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tomoni-angular\"/>
    </mc:Choice>
  </mc:AlternateContent>
  <bookViews>
    <workbookView xWindow="0" yWindow="0" windowWidth="23040" windowHeight="9192" tabRatio="1000" activeTab="1"/>
  </bookViews>
  <sheets>
    <sheet name="Parent" sheetId="1" r:id="rId1"/>
    <sheet name="26084" sheetId="2" r:id="rId2"/>
    <sheet name="2084217893" sheetId="3" r:id="rId3"/>
    <sheet name="2084060731" sheetId="4" r:id="rId4"/>
    <sheet name="20060" sheetId="5" r:id="rId5"/>
    <sheet name="21600" sheetId="23" r:id="rId6"/>
    <sheet name="2084032594" sheetId="6" r:id="rId7"/>
    <sheet name="24202" sheetId="7" r:id="rId8"/>
    <sheet name="2084043920" sheetId="8" r:id="rId9"/>
    <sheet name="26086" sheetId="9" r:id="rId10"/>
    <sheet name="22896" sheetId="10" r:id="rId11"/>
    <sheet name="2084055844" sheetId="11" r:id="rId12"/>
    <sheet name="24198" sheetId="12" r:id="rId13"/>
    <sheet name="23976" sheetId="13" r:id="rId14"/>
    <sheet name="42177" sheetId="14" r:id="rId15"/>
    <sheet name="23140" sheetId="15" r:id="rId16"/>
    <sheet name="23000" sheetId="16" r:id="rId17"/>
    <sheet name="26318" sheetId="17" r:id="rId18"/>
    <sheet name="20000" sheetId="18" r:id="rId19"/>
    <sheet name="24698" sheetId="19" r:id="rId20"/>
    <sheet name="24242" sheetId="20" r:id="rId21"/>
    <sheet name="25464" sheetId="21" r:id="rId22"/>
    <sheet name="21964" sheetId="22" r:id="rId23"/>
    <sheet name="23336" sheetId="26" r:id="rId24"/>
    <sheet name="23632" sheetId="24" r:id="rId25"/>
    <sheet name="22152" sheetId="25" r:id="rId26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10" i="2"/>
  <c r="H11" i="2"/>
  <c r="H12" i="2"/>
  <c r="H13" i="2"/>
  <c r="H14" i="2"/>
  <c r="H15" i="2"/>
  <c r="H16" i="2"/>
  <c r="H17" i="2"/>
  <c r="H18" i="2"/>
  <c r="H19" i="2"/>
  <c r="H22" i="2"/>
  <c r="H23" i="2"/>
  <c r="H24" i="2"/>
  <c r="H25" i="2"/>
  <c r="H26" i="2"/>
  <c r="H29" i="2"/>
  <c r="H30" i="2"/>
  <c r="H31" i="2"/>
  <c r="H32" i="2"/>
  <c r="H33" i="2"/>
  <c r="H2" i="2"/>
  <c r="H3" i="3"/>
  <c r="H4" i="3"/>
  <c r="H5" i="3"/>
  <c r="H6" i="3"/>
  <c r="H2" i="3"/>
  <c r="H3" i="4"/>
  <c r="H4" i="4"/>
  <c r="H5" i="4"/>
  <c r="H6" i="4"/>
  <c r="H7" i="4"/>
  <c r="H8" i="4"/>
  <c r="H11" i="4"/>
  <c r="H12" i="4"/>
  <c r="H13" i="4"/>
  <c r="H14" i="4"/>
  <c r="H15" i="4"/>
  <c r="H16" i="4"/>
  <c r="H17" i="4"/>
  <c r="H18" i="4"/>
  <c r="H19" i="4"/>
  <c r="H20" i="4"/>
  <c r="H21" i="4"/>
  <c r="H22" i="4"/>
  <c r="H25" i="4"/>
  <c r="H26" i="4"/>
  <c r="H27" i="4"/>
  <c r="H28" i="4"/>
  <c r="H29" i="4"/>
  <c r="H30" i="4"/>
  <c r="H31" i="4"/>
  <c r="H32" i="4"/>
  <c r="H33" i="4"/>
  <c r="H34" i="4"/>
  <c r="H35" i="4"/>
  <c r="H36" i="4"/>
  <c r="H39" i="4"/>
  <c r="H40" i="4"/>
  <c r="H41" i="4"/>
  <c r="H42" i="4"/>
  <c r="H43" i="4"/>
  <c r="H44" i="4"/>
  <c r="H45" i="4"/>
  <c r="H46" i="4"/>
  <c r="H47" i="4"/>
  <c r="H48" i="4"/>
  <c r="H49" i="4"/>
  <c r="H50" i="4"/>
  <c r="H53" i="4"/>
  <c r="H54" i="4"/>
  <c r="H55" i="4"/>
  <c r="H56" i="4"/>
  <c r="H59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4" i="5"/>
  <c r="H55" i="5"/>
  <c r="H56" i="5"/>
  <c r="H57" i="5"/>
  <c r="H58" i="5"/>
  <c r="H59" i="5"/>
  <c r="H60" i="5"/>
  <c r="H61" i="5"/>
  <c r="H62" i="5"/>
  <c r="H65" i="5"/>
  <c r="H66" i="5"/>
  <c r="H69" i="5"/>
  <c r="H70" i="5"/>
  <c r="H71" i="5"/>
  <c r="H72" i="5"/>
  <c r="H73" i="5"/>
  <c r="H74" i="5"/>
  <c r="H75" i="5"/>
  <c r="H76" i="5"/>
  <c r="H77" i="5"/>
  <c r="H78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7" i="5"/>
  <c r="H128" i="5"/>
  <c r="H129" i="5"/>
  <c r="H130" i="5"/>
  <c r="H131" i="5"/>
  <c r="H132" i="5"/>
  <c r="H133" i="5"/>
  <c r="H134" i="5"/>
  <c r="H135" i="5"/>
  <c r="H136" i="5"/>
  <c r="H137" i="5"/>
  <c r="H140" i="5"/>
  <c r="H141" i="5"/>
  <c r="H144" i="5"/>
  <c r="H145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5" i="5"/>
  <c r="H166" i="5"/>
  <c r="H167" i="5"/>
  <c r="H168" i="5"/>
  <c r="H169" i="5"/>
  <c r="H170" i="5"/>
  <c r="H171" i="5"/>
  <c r="H172" i="5"/>
  <c r="H173" i="5"/>
  <c r="H174" i="5"/>
  <c r="H177" i="5"/>
  <c r="H178" i="5"/>
  <c r="H181" i="5"/>
  <c r="H182" i="5"/>
  <c r="H183" i="5"/>
  <c r="H184" i="5"/>
  <c r="H185" i="5"/>
  <c r="H186" i="5"/>
  <c r="H187" i="5"/>
  <c r="H188" i="5"/>
  <c r="H189" i="5"/>
  <c r="H190" i="5"/>
  <c r="H193" i="5"/>
  <c r="H194" i="5"/>
  <c r="H195" i="5"/>
  <c r="H196" i="5"/>
  <c r="H197" i="5"/>
  <c r="H198" i="5"/>
  <c r="H199" i="5"/>
  <c r="H200" i="5"/>
  <c r="H201" i="5"/>
  <c r="H202" i="5"/>
  <c r="H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30" i="6"/>
  <c r="H31" i="6"/>
  <c r="H32" i="6"/>
  <c r="H35" i="6"/>
  <c r="H36" i="6"/>
  <c r="H39" i="6"/>
  <c r="H40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3" i="6"/>
  <c r="H64" i="6"/>
  <c r="H65" i="6"/>
  <c r="H66" i="6"/>
  <c r="H67" i="6"/>
  <c r="H70" i="6"/>
  <c r="H71" i="6"/>
  <c r="H72" i="6"/>
  <c r="H73" i="6"/>
  <c r="H74" i="6"/>
  <c r="H75" i="6"/>
  <c r="H78" i="6"/>
  <c r="H79" i="6"/>
  <c r="H80" i="6"/>
  <c r="H83" i="6"/>
  <c r="H84" i="6"/>
  <c r="H87" i="6"/>
  <c r="H88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8" i="7"/>
  <c r="H19" i="7"/>
  <c r="H20" i="7"/>
  <c r="H21" i="7"/>
  <c r="H22" i="7"/>
  <c r="H23" i="7"/>
  <c r="H24" i="7"/>
  <c r="H27" i="7"/>
  <c r="H28" i="7"/>
  <c r="H29" i="7"/>
  <c r="H30" i="7"/>
  <c r="H31" i="7"/>
  <c r="H32" i="7"/>
  <c r="H33" i="7"/>
  <c r="H34" i="7"/>
  <c r="H37" i="7"/>
  <c r="H38" i="7"/>
  <c r="H39" i="7"/>
  <c r="H40" i="7"/>
  <c r="H41" i="7"/>
  <c r="H42" i="7"/>
  <c r="H43" i="7"/>
  <c r="H46" i="7"/>
  <c r="H47" i="7"/>
  <c r="H48" i="7"/>
  <c r="H49" i="7"/>
  <c r="H50" i="7"/>
  <c r="H51" i="7"/>
  <c r="H52" i="7"/>
  <c r="H53" i="7"/>
  <c r="H54" i="7"/>
  <c r="H57" i="7"/>
  <c r="H58" i="7"/>
  <c r="H59" i="7"/>
  <c r="H60" i="7"/>
  <c r="H61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7" i="7"/>
  <c r="H88" i="7"/>
  <c r="H89" i="7"/>
  <c r="H90" i="7"/>
  <c r="H91" i="7"/>
  <c r="H92" i="7"/>
  <c r="H93" i="7"/>
  <c r="H96" i="7"/>
  <c r="H97" i="7"/>
  <c r="H98" i="7"/>
  <c r="H99" i="7"/>
  <c r="H100" i="7"/>
  <c r="H101" i="7"/>
  <c r="H102" i="7"/>
  <c r="H103" i="7"/>
  <c r="H104" i="7"/>
  <c r="H105" i="7"/>
  <c r="H108" i="7"/>
  <c r="H109" i="7"/>
  <c r="H110" i="7"/>
  <c r="H111" i="7"/>
  <c r="H112" i="7"/>
  <c r="H115" i="7"/>
  <c r="H116" i="7"/>
  <c r="H117" i="7"/>
  <c r="H118" i="7"/>
  <c r="H119" i="7"/>
  <c r="H120" i="7"/>
  <c r="H123" i="7"/>
  <c r="H124" i="7"/>
  <c r="H125" i="7"/>
  <c r="H2" i="7"/>
  <c r="H3" i="8"/>
  <c r="H4" i="8"/>
  <c r="H5" i="8"/>
  <c r="H6" i="8"/>
  <c r="H7" i="8"/>
  <c r="H8" i="8"/>
  <c r="H9" i="8"/>
  <c r="H10" i="8"/>
  <c r="H11" i="8"/>
  <c r="H14" i="8"/>
  <c r="H15" i="8"/>
  <c r="H16" i="8"/>
  <c r="H17" i="8"/>
  <c r="H18" i="8"/>
  <c r="H19" i="8"/>
  <c r="H20" i="8"/>
  <c r="H21" i="8"/>
  <c r="H22" i="8"/>
  <c r="H23" i="8"/>
  <c r="H24" i="8"/>
  <c r="H27" i="8"/>
  <c r="H28" i="8"/>
  <c r="H29" i="8"/>
  <c r="H30" i="8"/>
  <c r="H31" i="8"/>
  <c r="H32" i="8"/>
  <c r="H35" i="8"/>
  <c r="H36" i="8"/>
  <c r="H37" i="8"/>
  <c r="H38" i="8"/>
  <c r="H39" i="8"/>
  <c r="H40" i="8"/>
  <c r="H43" i="8"/>
  <c r="H44" i="8"/>
  <c r="H45" i="8"/>
  <c r="H46" i="8"/>
  <c r="H47" i="8"/>
  <c r="H48" i="8"/>
  <c r="H49" i="8"/>
  <c r="H50" i="8"/>
  <c r="H51" i="8"/>
  <c r="H52" i="8"/>
  <c r="H53" i="8"/>
  <c r="H56" i="8"/>
  <c r="H57" i="8"/>
  <c r="H58" i="8"/>
  <c r="H61" i="8"/>
  <c r="H62" i="8"/>
  <c r="H63" i="8"/>
  <c r="H64" i="8"/>
  <c r="H65" i="8"/>
  <c r="H66" i="8"/>
  <c r="H67" i="8"/>
  <c r="H68" i="8"/>
  <c r="H69" i="8"/>
  <c r="H70" i="8"/>
  <c r="H71" i="8"/>
  <c r="H74" i="8"/>
  <c r="H75" i="8"/>
  <c r="H76" i="8"/>
  <c r="H77" i="8"/>
  <c r="H78" i="8"/>
  <c r="H79" i="8"/>
  <c r="H80" i="8"/>
  <c r="H81" i="8"/>
  <c r="H82" i="8"/>
  <c r="H83" i="8"/>
  <c r="H86" i="8"/>
  <c r="H87" i="8"/>
  <c r="H88" i="8"/>
  <c r="H89" i="8"/>
  <c r="H90" i="8"/>
  <c r="H91" i="8"/>
  <c r="H92" i="8"/>
  <c r="H93" i="8"/>
  <c r="H2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21" i="9"/>
  <c r="H22" i="9"/>
  <c r="H23" i="9"/>
  <c r="H24" i="9"/>
  <c r="H25" i="9"/>
  <c r="H26" i="9"/>
  <c r="H27" i="9"/>
  <c r="H28" i="9"/>
  <c r="H29" i="9"/>
  <c r="H32" i="9"/>
  <c r="H33" i="9"/>
  <c r="H34" i="9"/>
  <c r="H35" i="9"/>
  <c r="H36" i="9"/>
  <c r="H37" i="9"/>
  <c r="H38" i="9"/>
  <c r="H39" i="9"/>
  <c r="H42" i="9"/>
  <c r="H43" i="9"/>
  <c r="H44" i="9"/>
  <c r="H47" i="9"/>
  <c r="H48" i="9"/>
  <c r="H49" i="9"/>
  <c r="H50" i="9"/>
  <c r="H53" i="9"/>
  <c r="H54" i="9"/>
  <c r="H55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81" i="9"/>
  <c r="H82" i="9"/>
  <c r="H83" i="9"/>
  <c r="H84" i="9"/>
  <c r="H85" i="9"/>
  <c r="H86" i="9"/>
  <c r="H89" i="9"/>
  <c r="H90" i="9"/>
  <c r="H91" i="9"/>
  <c r="H92" i="9"/>
  <c r="H93" i="9"/>
  <c r="H94" i="9"/>
  <c r="H95" i="9"/>
  <c r="H96" i="9"/>
  <c r="H97" i="9"/>
  <c r="H98" i="9"/>
  <c r="H99" i="9"/>
  <c r="H100" i="9"/>
  <c r="H103" i="9"/>
  <c r="H104" i="9"/>
  <c r="H105" i="9"/>
  <c r="H106" i="9"/>
  <c r="H107" i="9"/>
  <c r="H110" i="9"/>
  <c r="H111" i="9"/>
  <c r="H112" i="9"/>
  <c r="H113" i="9"/>
  <c r="H116" i="9"/>
  <c r="H117" i="9"/>
  <c r="H118" i="9"/>
  <c r="H119" i="9"/>
  <c r="H120" i="9"/>
  <c r="H121" i="9"/>
  <c r="H122" i="9"/>
  <c r="H123" i="9"/>
  <c r="H126" i="9"/>
  <c r="H127" i="9"/>
  <c r="H128" i="9"/>
  <c r="H129" i="9"/>
  <c r="H130" i="9"/>
  <c r="H131" i="9"/>
  <c r="H2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41" i="10"/>
  <c r="H42" i="10"/>
  <c r="H43" i="10"/>
  <c r="H44" i="10"/>
  <c r="H45" i="10"/>
  <c r="H46" i="10"/>
  <c r="H47" i="10"/>
  <c r="H48" i="10"/>
  <c r="H49" i="10"/>
  <c r="H50" i="10"/>
  <c r="H51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21" i="10"/>
  <c r="H122" i="10"/>
  <c r="H125" i="10"/>
  <c r="H126" i="10"/>
  <c r="H127" i="10"/>
  <c r="H128" i="10"/>
  <c r="H131" i="10"/>
  <c r="H132" i="10"/>
  <c r="H133" i="10"/>
  <c r="H134" i="10"/>
  <c r="H135" i="10"/>
  <c r="H136" i="10"/>
  <c r="H137" i="10"/>
  <c r="H138" i="10"/>
  <c r="H139" i="10"/>
  <c r="H140" i="10"/>
  <c r="H143" i="10"/>
  <c r="H144" i="10"/>
  <c r="H145" i="10"/>
  <c r="H2" i="10"/>
  <c r="H3" i="11"/>
  <c r="H4" i="11"/>
  <c r="H5" i="11"/>
  <c r="H8" i="11"/>
  <c r="H9" i="11"/>
  <c r="H10" i="11"/>
  <c r="H11" i="11"/>
  <c r="H12" i="11"/>
  <c r="H13" i="11"/>
  <c r="H14" i="11"/>
  <c r="H15" i="11"/>
  <c r="H18" i="11"/>
  <c r="H19" i="11"/>
  <c r="H20" i="11"/>
  <c r="H21" i="11"/>
  <c r="H22" i="11"/>
  <c r="H25" i="11"/>
  <c r="H26" i="11"/>
  <c r="H27" i="11"/>
  <c r="H28" i="11"/>
  <c r="H31" i="11"/>
  <c r="H32" i="11"/>
  <c r="H33" i="11"/>
  <c r="H34" i="11"/>
  <c r="H35" i="11"/>
  <c r="H36" i="11"/>
  <c r="H37" i="11"/>
  <c r="H38" i="11"/>
  <c r="H39" i="11"/>
  <c r="H40" i="11"/>
  <c r="H41" i="11"/>
  <c r="H2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2" i="12"/>
  <c r="H63" i="12"/>
  <c r="H64" i="12"/>
  <c r="H65" i="12"/>
  <c r="H66" i="12"/>
  <c r="H67" i="12"/>
  <c r="H68" i="12"/>
  <c r="H69" i="12"/>
  <c r="H70" i="12"/>
  <c r="H71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3" i="12"/>
  <c r="H104" i="12"/>
  <c r="H105" i="12"/>
  <c r="H106" i="12"/>
  <c r="H107" i="12"/>
  <c r="H108" i="12"/>
  <c r="H109" i="12"/>
  <c r="H110" i="12"/>
  <c r="H111" i="12"/>
  <c r="H112" i="12"/>
  <c r="H113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5" i="12"/>
  <c r="H176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9" i="12"/>
  <c r="H200" i="12"/>
  <c r="H201" i="12"/>
  <c r="H202" i="12"/>
  <c r="H203" i="12"/>
  <c r="H204" i="12"/>
  <c r="H205" i="12"/>
  <c r="H206" i="12"/>
  <c r="H207" i="12"/>
  <c r="H210" i="12"/>
  <c r="H211" i="12"/>
  <c r="H212" i="12"/>
  <c r="H213" i="12"/>
  <c r="H214" i="12"/>
  <c r="H215" i="12"/>
  <c r="H216" i="12"/>
  <c r="H217" i="12"/>
  <c r="H218" i="12"/>
  <c r="H221" i="12"/>
  <c r="H222" i="12"/>
  <c r="H223" i="12"/>
  <c r="H224" i="12"/>
  <c r="H225" i="12"/>
  <c r="H226" i="12"/>
  <c r="H227" i="12"/>
  <c r="H228" i="12"/>
  <c r="H229" i="12"/>
  <c r="H230" i="12"/>
  <c r="H231" i="12"/>
  <c r="H234" i="12"/>
  <c r="H235" i="12"/>
  <c r="H2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2" i="13"/>
  <c r="H23" i="13"/>
  <c r="H24" i="13"/>
  <c r="H25" i="13"/>
  <c r="H26" i="13"/>
  <c r="H27" i="13"/>
  <c r="H28" i="13"/>
  <c r="H29" i="13"/>
  <c r="H30" i="13"/>
  <c r="H31" i="13"/>
  <c r="H32" i="13"/>
  <c r="H35" i="13"/>
  <c r="H36" i="13"/>
  <c r="H37" i="13"/>
  <c r="H38" i="13"/>
  <c r="H39" i="13"/>
  <c r="H40" i="13"/>
  <c r="H41" i="13"/>
  <c r="H42" i="13"/>
  <c r="H43" i="13"/>
  <c r="H44" i="13"/>
  <c r="H45" i="13"/>
  <c r="H48" i="13"/>
  <c r="H49" i="13"/>
  <c r="H52" i="13"/>
  <c r="H53" i="13"/>
  <c r="H56" i="13"/>
  <c r="H57" i="13"/>
  <c r="H58" i="13"/>
  <c r="H59" i="13"/>
  <c r="H60" i="13"/>
  <c r="H61" i="13"/>
  <c r="H62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11" i="13"/>
  <c r="H112" i="13"/>
  <c r="H113" i="13"/>
  <c r="H114" i="13"/>
  <c r="H115" i="13"/>
  <c r="H116" i="13"/>
  <c r="H117" i="13"/>
  <c r="H120" i="13"/>
  <c r="H121" i="13"/>
  <c r="H122" i="13"/>
  <c r="H123" i="13"/>
  <c r="H124" i="13"/>
  <c r="H125" i="13"/>
  <c r="H126" i="13"/>
  <c r="H127" i="13"/>
  <c r="H128" i="13"/>
  <c r="H129" i="13"/>
  <c r="H130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2" i="13"/>
  <c r="H153" i="13"/>
  <c r="H154" i="13"/>
  <c r="H155" i="13"/>
  <c r="H156" i="13"/>
  <c r="H157" i="13"/>
  <c r="H158" i="13"/>
  <c r="H159" i="13"/>
  <c r="H162" i="13"/>
  <c r="H163" i="13"/>
  <c r="H164" i="13"/>
  <c r="H165" i="13"/>
  <c r="H166" i="13"/>
  <c r="H167" i="13"/>
  <c r="H170" i="13"/>
  <c r="H171" i="13"/>
  <c r="H172" i="13"/>
  <c r="H173" i="13"/>
  <c r="H174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5" i="13"/>
  <c r="H196" i="13"/>
  <c r="H197" i="13"/>
  <c r="H198" i="13"/>
  <c r="H199" i="13"/>
  <c r="H200" i="13"/>
  <c r="H201" i="13"/>
  <c r="H202" i="13"/>
  <c r="H203" i="13"/>
  <c r="H204" i="13"/>
  <c r="H207" i="13"/>
  <c r="H208" i="13"/>
  <c r="H209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" i="13"/>
  <c r="H222" i="14"/>
  <c r="H223" i="14"/>
  <c r="H224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5" i="14"/>
  <c r="H46" i="14"/>
  <c r="H47" i="14"/>
  <c r="H48" i="14"/>
  <c r="H49" i="14"/>
  <c r="H50" i="14"/>
  <c r="H51" i="14"/>
  <c r="H52" i="14"/>
  <c r="H55" i="14"/>
  <c r="H56" i="14"/>
  <c r="H57" i="14"/>
  <c r="H58" i="14"/>
  <c r="H59" i="14"/>
  <c r="H60" i="14"/>
  <c r="H61" i="14"/>
  <c r="H62" i="14"/>
  <c r="H63" i="14"/>
  <c r="H64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7" i="14"/>
  <c r="H98" i="14"/>
  <c r="H99" i="14"/>
  <c r="H100" i="14"/>
  <c r="H103" i="14"/>
  <c r="H104" i="14"/>
  <c r="H105" i="14"/>
  <c r="H106" i="14"/>
  <c r="H107" i="14"/>
  <c r="H108" i="14"/>
  <c r="H109" i="14"/>
  <c r="H110" i="14"/>
  <c r="H111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9" i="14"/>
  <c r="H130" i="14"/>
  <c r="H131" i="14"/>
  <c r="H132" i="14"/>
  <c r="H133" i="14"/>
  <c r="H134" i="14"/>
  <c r="H135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4" i="14"/>
  <c r="H185" i="14"/>
  <c r="H186" i="14"/>
  <c r="H187" i="14"/>
  <c r="H188" i="14"/>
  <c r="H189" i="14"/>
  <c r="H190" i="14"/>
  <c r="H191" i="14"/>
  <c r="H192" i="14"/>
  <c r="H195" i="14"/>
  <c r="H196" i="14"/>
  <c r="H197" i="14"/>
  <c r="H198" i="14"/>
  <c r="H199" i="14"/>
  <c r="H200" i="14"/>
  <c r="H201" i="14"/>
  <c r="H202" i="14"/>
  <c r="H203" i="14"/>
  <c r="H204" i="14"/>
  <c r="H205" i="14"/>
  <c r="H208" i="14"/>
  <c r="H209" i="14"/>
  <c r="H210" i="14"/>
  <c r="H211" i="14"/>
  <c r="H212" i="14"/>
  <c r="H213" i="14"/>
  <c r="H216" i="14"/>
  <c r="H217" i="14"/>
  <c r="H218" i="14"/>
  <c r="H219" i="14"/>
  <c r="H220" i="14"/>
  <c r="H221" i="14"/>
  <c r="H2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8" i="15"/>
  <c r="H129" i="15"/>
  <c r="H130" i="15"/>
  <c r="H131" i="15"/>
  <c r="H132" i="15"/>
  <c r="H133" i="15"/>
  <c r="H136" i="15"/>
  <c r="H137" i="15"/>
  <c r="H138" i="15"/>
  <c r="H139" i="15"/>
  <c r="H140" i="15"/>
  <c r="H141" i="15"/>
  <c r="H142" i="15"/>
  <c r="H143" i="15"/>
  <c r="H146" i="15"/>
  <c r="H147" i="15"/>
  <c r="H148" i="15"/>
  <c r="H149" i="15"/>
  <c r="H150" i="15"/>
  <c r="H151" i="15"/>
  <c r="H152" i="15"/>
  <c r="H153" i="15"/>
  <c r="H154" i="15"/>
  <c r="H157" i="15"/>
  <c r="H158" i="15"/>
  <c r="H159" i="15"/>
  <c r="H160" i="15"/>
  <c r="H161" i="15"/>
  <c r="H162" i="15"/>
  <c r="H163" i="15"/>
  <c r="H164" i="15"/>
  <c r="H167" i="15"/>
  <c r="H168" i="15"/>
  <c r="H169" i="15"/>
  <c r="H170" i="15"/>
  <c r="H171" i="15"/>
  <c r="H172" i="15"/>
  <c r="H173" i="15"/>
  <c r="H176" i="15"/>
  <c r="H177" i="15"/>
  <c r="H178" i="15"/>
  <c r="H179" i="15"/>
  <c r="H180" i="15"/>
  <c r="H183" i="15"/>
  <c r="H184" i="15"/>
  <c r="H187" i="15"/>
  <c r="H188" i="15"/>
  <c r="H189" i="15"/>
  <c r="H190" i="15"/>
  <c r="H191" i="15"/>
  <c r="H192" i="15"/>
  <c r="H193" i="15"/>
  <c r="H194" i="15"/>
  <c r="H197" i="15"/>
  <c r="H198" i="15"/>
  <c r="H199" i="15"/>
  <c r="H200" i="15"/>
  <c r="H203" i="15"/>
  <c r="H204" i="15"/>
  <c r="H205" i="15"/>
  <c r="H206" i="15"/>
  <c r="H207" i="15"/>
  <c r="H208" i="15"/>
  <c r="H209" i="15"/>
  <c r="H210" i="15"/>
  <c r="H211" i="15"/>
  <c r="H214" i="15"/>
  <c r="H215" i="15"/>
  <c r="H216" i="15"/>
  <c r="H219" i="15"/>
  <c r="H220" i="15"/>
  <c r="H221" i="15"/>
  <c r="H222" i="15"/>
  <c r="H223" i="15"/>
  <c r="H2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2" i="16"/>
  <c r="H233" i="16"/>
  <c r="H234" i="16"/>
  <c r="H235" i="16"/>
  <c r="H236" i="16"/>
  <c r="H237" i="16"/>
  <c r="H238" i="16"/>
  <c r="H239" i="16"/>
  <c r="H240" i="16"/>
  <c r="H243" i="16"/>
  <c r="H244" i="16"/>
  <c r="H245" i="16"/>
  <c r="H246" i="16"/>
  <c r="H247" i="16"/>
  <c r="H248" i="16"/>
  <c r="H249" i="16"/>
  <c r="H252" i="16"/>
  <c r="H253" i="16"/>
  <c r="H254" i="16"/>
  <c r="H255" i="16"/>
  <c r="H256" i="16"/>
  <c r="H257" i="16"/>
  <c r="H258" i="16"/>
  <c r="H259" i="16"/>
  <c r="H260" i="16"/>
  <c r="H261" i="16"/>
  <c r="H262" i="16"/>
  <c r="H265" i="16"/>
  <c r="H266" i="16"/>
  <c r="H267" i="16"/>
  <c r="H268" i="16"/>
  <c r="H269" i="16"/>
  <c r="H270" i="16"/>
  <c r="H271" i="16"/>
  <c r="H274" i="16"/>
  <c r="H275" i="16"/>
  <c r="H276" i="16"/>
  <c r="H277" i="16"/>
  <c r="H278" i="16"/>
  <c r="H279" i="16"/>
  <c r="H280" i="16"/>
  <c r="H281" i="16"/>
  <c r="H282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4" i="16"/>
  <c r="H305" i="16"/>
  <c r="H306" i="16"/>
  <c r="H307" i="16"/>
  <c r="H308" i="16"/>
  <c r="H309" i="16"/>
  <c r="H310" i="16"/>
  <c r="H311" i="16"/>
  <c r="H314" i="16"/>
  <c r="H315" i="16"/>
  <c r="H316" i="16"/>
  <c r="H317" i="16"/>
  <c r="H318" i="16"/>
  <c r="H319" i="16"/>
  <c r="H320" i="16"/>
  <c r="H321" i="16"/>
  <c r="H322" i="16"/>
  <c r="H325" i="16"/>
  <c r="H326" i="16"/>
  <c r="H327" i="16"/>
  <c r="H328" i="16"/>
  <c r="H329" i="16"/>
  <c r="H330" i="16"/>
  <c r="H331" i="16"/>
  <c r="H332" i="16"/>
  <c r="H335" i="16"/>
  <c r="H336" i="16"/>
  <c r="H337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9" i="16"/>
  <c r="H360" i="16"/>
  <c r="H361" i="16"/>
  <c r="H362" i="16"/>
  <c r="H2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8" i="17"/>
  <c r="H149" i="17"/>
  <c r="H150" i="17"/>
  <c r="H151" i="17"/>
  <c r="H152" i="17"/>
  <c r="H153" i="17"/>
  <c r="H154" i="17"/>
  <c r="H157" i="17"/>
  <c r="H158" i="17"/>
  <c r="H159" i="17"/>
  <c r="H160" i="17"/>
  <c r="H161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31" i="17"/>
  <c r="H232" i="17"/>
  <c r="H233" i="17"/>
  <c r="H234" i="17"/>
  <c r="H235" i="17"/>
  <c r="H236" i="17"/>
  <c r="H237" i="17"/>
  <c r="H238" i="17"/>
  <c r="H241" i="17"/>
  <c r="H242" i="17"/>
  <c r="H243" i="17"/>
  <c r="H244" i="17"/>
  <c r="H245" i="17"/>
  <c r="H246" i="17"/>
  <c r="H247" i="17"/>
  <c r="H248" i="17"/>
  <c r="H249" i="17"/>
  <c r="H252" i="17"/>
  <c r="H253" i="17"/>
  <c r="H254" i="17"/>
  <c r="H255" i="17"/>
  <c r="H256" i="17"/>
  <c r="H257" i="17"/>
  <c r="H258" i="17"/>
  <c r="H259" i="17"/>
  <c r="H260" i="17"/>
  <c r="H261" i="17"/>
  <c r="H262" i="17"/>
  <c r="H265" i="17"/>
  <c r="H266" i="17"/>
  <c r="H267" i="17"/>
  <c r="H268" i="17"/>
  <c r="H269" i="17"/>
  <c r="H270" i="17"/>
  <c r="H273" i="17"/>
  <c r="H274" i="17"/>
  <c r="H275" i="17"/>
  <c r="H276" i="17"/>
  <c r="H277" i="17"/>
  <c r="H278" i="17"/>
  <c r="H281" i="17"/>
  <c r="H282" i="17"/>
  <c r="H283" i="17"/>
  <c r="H284" i="17"/>
  <c r="H285" i="17"/>
  <c r="H286" i="17"/>
  <c r="H287" i="17"/>
  <c r="H288" i="17"/>
  <c r="H289" i="17"/>
  <c r="H290" i="17"/>
  <c r="H291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60" i="17"/>
  <c r="H361" i="17"/>
  <c r="H362" i="17"/>
  <c r="H363" i="17"/>
  <c r="H364" i="17"/>
  <c r="H365" i="17"/>
  <c r="H366" i="17"/>
  <c r="H367" i="17"/>
  <c r="H370" i="17"/>
  <c r="H371" i="17"/>
  <c r="H372" i="17"/>
  <c r="H375" i="17"/>
  <c r="H376" i="17"/>
  <c r="H377" i="17"/>
  <c r="H378" i="17"/>
  <c r="H379" i="17"/>
  <c r="H382" i="17"/>
  <c r="H383" i="17"/>
  <c r="H384" i="17"/>
  <c r="H2" i="17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3" i="19"/>
  <c r="H164" i="19"/>
  <c r="H165" i="19"/>
  <c r="H166" i="19"/>
  <c r="H167" i="19"/>
  <c r="H168" i="19"/>
  <c r="H169" i="19"/>
  <c r="H170" i="19"/>
  <c r="H171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7" i="19"/>
  <c r="H208" i="19"/>
  <c r="H209" i="19"/>
  <c r="H210" i="19"/>
  <c r="H211" i="19"/>
  <c r="H212" i="19"/>
  <c r="H213" i="19"/>
  <c r="H214" i="19"/>
  <c r="H217" i="19"/>
  <c r="H218" i="19"/>
  <c r="H221" i="19"/>
  <c r="H222" i="19"/>
  <c r="H223" i="19"/>
  <c r="H224" i="19"/>
  <c r="H225" i="19"/>
  <c r="H226" i="19"/>
  <c r="H227" i="19"/>
  <c r="H228" i="19"/>
  <c r="H231" i="19"/>
  <c r="H232" i="19"/>
  <c r="H233" i="19"/>
  <c r="H234" i="19"/>
  <c r="H235" i="19"/>
  <c r="H236" i="19"/>
  <c r="H237" i="19"/>
  <c r="H238" i="19"/>
  <c r="H239" i="19"/>
  <c r="H240" i="19"/>
  <c r="H241" i="19"/>
  <c r="H244" i="19"/>
  <c r="H245" i="19"/>
  <c r="H246" i="19"/>
  <c r="H247" i="19"/>
  <c r="H248" i="19"/>
  <c r="H249" i="19"/>
  <c r="H252" i="19"/>
  <c r="H253" i="19"/>
  <c r="H254" i="19"/>
  <c r="H255" i="19"/>
  <c r="H256" i="19"/>
  <c r="H257" i="19"/>
  <c r="H258" i="19"/>
  <c r="H261" i="19"/>
  <c r="H262" i="19"/>
  <c r="H263" i="19"/>
  <c r="H264" i="19"/>
  <c r="H267" i="19"/>
  <c r="H268" i="19"/>
  <c r="H269" i="19"/>
  <c r="H270" i="19"/>
  <c r="H271" i="19"/>
  <c r="H272" i="19"/>
  <c r="H273" i="19"/>
  <c r="H274" i="19"/>
  <c r="H275" i="19"/>
  <c r="H276" i="19"/>
  <c r="H279" i="19"/>
  <c r="H280" i="19"/>
  <c r="H281" i="19"/>
  <c r="H282" i="19"/>
  <c r="H283" i="19"/>
  <c r="H286" i="19"/>
  <c r="H287" i="19"/>
  <c r="H288" i="19"/>
  <c r="H289" i="19"/>
  <c r="H290" i="19"/>
  <c r="H291" i="19"/>
  <c r="H292" i="19"/>
  <c r="H293" i="19"/>
  <c r="H294" i="19"/>
  <c r="H295" i="19"/>
  <c r="H296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8" i="19"/>
  <c r="H319" i="19"/>
  <c r="H320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8" i="18"/>
  <c r="H29" i="18"/>
  <c r="H30" i="18"/>
  <c r="H31" i="18"/>
  <c r="H32" i="18"/>
  <c r="H33" i="18"/>
  <c r="H34" i="18"/>
  <c r="H35" i="18"/>
  <c r="H36" i="18"/>
  <c r="H37" i="18"/>
  <c r="H38" i="18"/>
  <c r="H41" i="18"/>
  <c r="H42" i="18"/>
  <c r="H43" i="18"/>
  <c r="H44" i="18"/>
  <c r="H47" i="18"/>
  <c r="H48" i="18"/>
  <c r="H49" i="18"/>
  <c r="H50" i="18"/>
  <c r="H51" i="18"/>
  <c r="H52" i="18"/>
  <c r="H53" i="18"/>
  <c r="H56" i="18"/>
  <c r="H57" i="18"/>
  <c r="H58" i="18"/>
  <c r="H59" i="18"/>
  <c r="H60" i="18"/>
  <c r="H61" i="18"/>
  <c r="H62" i="18"/>
  <c r="H63" i="18"/>
  <c r="H64" i="18"/>
  <c r="H65" i="18"/>
  <c r="H66" i="18"/>
  <c r="H69" i="18"/>
  <c r="H70" i="18"/>
  <c r="H71" i="18"/>
  <c r="H72" i="18"/>
  <c r="H73" i="18"/>
  <c r="H76" i="18"/>
  <c r="H77" i="18"/>
  <c r="H78" i="18"/>
  <c r="H79" i="18"/>
  <c r="H80" i="18"/>
  <c r="H81" i="18"/>
  <c r="H82" i="18"/>
  <c r="H83" i="18"/>
  <c r="H84" i="18"/>
  <c r="H85" i="18"/>
  <c r="H88" i="18"/>
  <c r="H89" i="18"/>
  <c r="H90" i="18"/>
  <c r="H91" i="18"/>
  <c r="H92" i="18"/>
  <c r="H93" i="18"/>
  <c r="H94" i="18"/>
  <c r="H95" i="18"/>
  <c r="H96" i="18"/>
  <c r="H100" i="18"/>
  <c r="H101" i="18"/>
  <c r="H102" i="18"/>
  <c r="H103" i="18"/>
  <c r="H104" i="18"/>
  <c r="H105" i="18"/>
  <c r="H106" i="18"/>
  <c r="H107" i="18"/>
  <c r="H110" i="18"/>
  <c r="H111" i="18"/>
  <c r="H112" i="18"/>
  <c r="H113" i="18"/>
  <c r="H114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3" i="18"/>
  <c r="H134" i="18"/>
  <c r="H135" i="18"/>
  <c r="H138" i="18"/>
  <c r="H139" i="18"/>
  <c r="H140" i="18"/>
  <c r="H141" i="18"/>
  <c r="H142" i="18"/>
  <c r="H145" i="18"/>
  <c r="H146" i="18"/>
  <c r="H147" i="18"/>
  <c r="H148" i="18"/>
  <c r="H149" i="18"/>
  <c r="H150" i="18"/>
  <c r="H153" i="18"/>
  <c r="H154" i="18"/>
  <c r="H155" i="18"/>
  <c r="H156" i="18"/>
  <c r="H157" i="18"/>
  <c r="H158" i="18"/>
  <c r="H161" i="18"/>
  <c r="H162" i="18"/>
  <c r="H163" i="18"/>
  <c r="H164" i="18"/>
  <c r="H165" i="18"/>
  <c r="H166" i="18"/>
  <c r="H167" i="18"/>
  <c r="H168" i="18"/>
  <c r="H172" i="18"/>
  <c r="H173" i="18"/>
  <c r="H174" i="18"/>
  <c r="H175" i="18"/>
  <c r="H176" i="18"/>
  <c r="H177" i="18"/>
  <c r="H178" i="18"/>
  <c r="H179" i="18"/>
  <c r="H180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7" i="18"/>
  <c r="H208" i="18"/>
  <c r="H209" i="18"/>
  <c r="H210" i="18"/>
  <c r="H211" i="18"/>
  <c r="H212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51" i="18"/>
  <c r="H252" i="18"/>
  <c r="H253" i="18"/>
  <c r="H254" i="18"/>
  <c r="H255" i="18"/>
  <c r="H256" i="18"/>
  <c r="H257" i="18"/>
  <c r="H258" i="18"/>
  <c r="H2" i="18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6" i="20"/>
  <c r="H47" i="20"/>
  <c r="H48" i="20"/>
  <c r="H49" i="20"/>
  <c r="H50" i="20"/>
  <c r="H51" i="20"/>
  <c r="H52" i="20"/>
  <c r="H53" i="20"/>
  <c r="H54" i="20"/>
  <c r="H55" i="20"/>
  <c r="H56" i="20"/>
  <c r="H59" i="20"/>
  <c r="H60" i="20"/>
  <c r="H61" i="20"/>
  <c r="H62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7" i="20"/>
  <c r="H88" i="20"/>
  <c r="H89" i="20"/>
  <c r="H90" i="20"/>
  <c r="H91" i="20"/>
  <c r="H92" i="20"/>
  <c r="H93" i="20"/>
  <c r="H94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2" i="20"/>
  <c r="H113" i="20"/>
  <c r="H114" i="20"/>
  <c r="H115" i="20"/>
  <c r="H116" i="20"/>
  <c r="H117" i="20"/>
  <c r="H118" i="20"/>
  <c r="H119" i="20"/>
  <c r="H120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7" i="20"/>
  <c r="H138" i="20"/>
  <c r="H139" i="20"/>
  <c r="H140" i="20"/>
  <c r="H141" i="20"/>
  <c r="H142" i="20"/>
  <c r="H143" i="20"/>
  <c r="H144" i="20"/>
  <c r="H145" i="20"/>
  <c r="H146" i="20"/>
  <c r="H149" i="20"/>
  <c r="H150" i="20"/>
  <c r="H151" i="20"/>
  <c r="H152" i="20"/>
  <c r="H153" i="20"/>
  <c r="H154" i="20"/>
  <c r="H157" i="20"/>
  <c r="H158" i="20"/>
  <c r="H159" i="20"/>
  <c r="H160" i="20"/>
  <c r="H161" i="20"/>
  <c r="H162" i="20"/>
  <c r="H163" i="20"/>
  <c r="H166" i="20"/>
  <c r="H167" i="20"/>
  <c r="H168" i="20"/>
  <c r="H171" i="20"/>
  <c r="H172" i="20"/>
  <c r="H173" i="20"/>
  <c r="H174" i="20"/>
  <c r="H175" i="20"/>
  <c r="H176" i="20"/>
  <c r="H177" i="20"/>
  <c r="H178" i="20"/>
  <c r="H179" i="20"/>
  <c r="H182" i="20"/>
  <c r="H183" i="20"/>
  <c r="H184" i="20"/>
  <c r="H185" i="20"/>
  <c r="H186" i="20"/>
  <c r="H187" i="20"/>
  <c r="H188" i="20"/>
  <c r="H191" i="20"/>
  <c r="H192" i="20"/>
  <c r="H193" i="20"/>
  <c r="H194" i="20"/>
  <c r="H195" i="20"/>
  <c r="H196" i="20"/>
  <c r="H199" i="20"/>
  <c r="H200" i="20"/>
  <c r="H201" i="20"/>
  <c r="H202" i="20"/>
  <c r="H203" i="20"/>
  <c r="H204" i="20"/>
  <c r="H205" i="20"/>
  <c r="H2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4" i="21"/>
  <c r="H155" i="21"/>
  <c r="H156" i="21"/>
  <c r="H157" i="21"/>
  <c r="H158" i="21"/>
  <c r="H159" i="21"/>
  <c r="H160" i="21"/>
  <c r="H161" i="21"/>
  <c r="H162" i="21"/>
  <c r="H165" i="21"/>
  <c r="H166" i="21"/>
  <c r="H167" i="21"/>
  <c r="H168" i="21"/>
  <c r="H169" i="21"/>
  <c r="H170" i="21"/>
  <c r="H171" i="21"/>
  <c r="H172" i="21"/>
  <c r="H173" i="21"/>
  <c r="H174" i="21"/>
  <c r="H177" i="21"/>
  <c r="H178" i="21"/>
  <c r="H179" i="21"/>
  <c r="H180" i="21"/>
  <c r="H181" i="21"/>
  <c r="H182" i="21"/>
  <c r="H185" i="21"/>
  <c r="H186" i="21"/>
  <c r="H187" i="21"/>
  <c r="H188" i="21"/>
  <c r="H191" i="21"/>
  <c r="H192" i="21"/>
  <c r="H193" i="21"/>
  <c r="H194" i="21"/>
  <c r="H195" i="21"/>
  <c r="H196" i="21"/>
  <c r="H197" i="21"/>
  <c r="H200" i="21"/>
  <c r="H201" i="21"/>
  <c r="H202" i="21"/>
  <c r="H203" i="21"/>
  <c r="H204" i="21"/>
  <c r="H205" i="21"/>
  <c r="H208" i="21"/>
  <c r="H209" i="21"/>
  <c r="H210" i="21"/>
  <c r="H211" i="21"/>
  <c r="H212" i="21"/>
  <c r="H213" i="21"/>
  <c r="H216" i="21"/>
  <c r="H217" i="21"/>
  <c r="H218" i="21"/>
  <c r="H219" i="21"/>
  <c r="H220" i="21"/>
  <c r="H221" i="21"/>
  <c r="H224" i="21"/>
  <c r="H225" i="21"/>
  <c r="H226" i="21"/>
  <c r="H227" i="21"/>
  <c r="H228" i="21"/>
  <c r="H231" i="21"/>
  <c r="H232" i="21"/>
  <c r="H233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51" i="21"/>
  <c r="H252" i="21"/>
  <c r="H253" i="21"/>
  <c r="H254" i="21"/>
  <c r="H255" i="21"/>
  <c r="H256" i="21"/>
  <c r="H259" i="21"/>
  <c r="H260" i="21"/>
  <c r="H261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2" i="21"/>
  <c r="H283" i="21"/>
  <c r="H284" i="21"/>
  <c r="H285" i="21"/>
  <c r="H286" i="21"/>
  <c r="H287" i="21"/>
  <c r="H288" i="21"/>
  <c r="H289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4" i="21"/>
  <c r="H315" i="21"/>
  <c r="H318" i="21"/>
  <c r="H319" i="21"/>
  <c r="H320" i="21"/>
  <c r="H321" i="21"/>
  <c r="H322" i="21"/>
  <c r="H323" i="21"/>
  <c r="H326" i="21"/>
  <c r="H327" i="21"/>
  <c r="H330" i="21"/>
  <c r="H331" i="21"/>
  <c r="H332" i="21"/>
  <c r="H333" i="21"/>
  <c r="H334" i="21"/>
  <c r="H335" i="21"/>
  <c r="H336" i="21"/>
  <c r="H337" i="21"/>
  <c r="H340" i="21"/>
  <c r="H341" i="21"/>
  <c r="H342" i="21"/>
  <c r="H343" i="21"/>
  <c r="H344" i="21"/>
  <c r="H347" i="21"/>
  <c r="H348" i="21"/>
  <c r="H349" i="21"/>
  <c r="H350" i="21"/>
  <c r="H351" i="21"/>
  <c r="H352" i="21"/>
  <c r="H355" i="21"/>
  <c r="H356" i="21"/>
  <c r="H357" i="21"/>
  <c r="H358" i="21"/>
  <c r="H359" i="21"/>
  <c r="H360" i="21"/>
  <c r="H361" i="21"/>
  <c r="H362" i="21"/>
  <c r="H363" i="21"/>
  <c r="H364" i="21"/>
  <c r="H367" i="21"/>
  <c r="H368" i="21"/>
  <c r="H369" i="21"/>
  <c r="H370" i="21"/>
  <c r="H371" i="21"/>
  <c r="H372" i="21"/>
  <c r="H375" i="21"/>
  <c r="H376" i="21"/>
  <c r="H377" i="21"/>
  <c r="H378" i="21"/>
  <c r="H381" i="21"/>
  <c r="H382" i="21"/>
  <c r="H385" i="21"/>
  <c r="H386" i="21"/>
  <c r="H387" i="21"/>
  <c r="H388" i="21"/>
  <c r="H389" i="21"/>
  <c r="H392" i="21"/>
  <c r="H393" i="21"/>
  <c r="H394" i="21"/>
  <c r="H395" i="21"/>
  <c r="H396" i="21"/>
  <c r="H397" i="21"/>
  <c r="H398" i="21"/>
  <c r="H399" i="21"/>
  <c r="H2" i="21"/>
  <c r="H3" i="22"/>
  <c r="H4" i="22"/>
  <c r="H5" i="22"/>
  <c r="H6" i="22"/>
  <c r="H7" i="22"/>
  <c r="H8" i="22"/>
  <c r="H9" i="22"/>
  <c r="H10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7" i="22"/>
  <c r="H58" i="22"/>
  <c r="H59" i="22"/>
  <c r="H60" i="22"/>
  <c r="H61" i="22"/>
  <c r="H62" i="22"/>
  <c r="H63" i="22"/>
  <c r="H64" i="22"/>
  <c r="H65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9" i="22"/>
  <c r="H90" i="22"/>
  <c r="H91" i="22"/>
  <c r="H92" i="22"/>
  <c r="H93" i="22"/>
  <c r="H96" i="22"/>
  <c r="H97" i="22"/>
  <c r="H98" i="22"/>
  <c r="H99" i="22"/>
  <c r="H100" i="22"/>
  <c r="H101" i="22"/>
  <c r="H102" i="22"/>
  <c r="H103" i="22"/>
  <c r="H104" i="22"/>
  <c r="H105" i="22"/>
  <c r="H108" i="22"/>
  <c r="H109" i="22"/>
  <c r="H110" i="22"/>
  <c r="H2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4" i="23"/>
  <c r="H25" i="23"/>
  <c r="H26" i="23"/>
  <c r="H27" i="23"/>
  <c r="H28" i="23"/>
  <c r="H29" i="23"/>
  <c r="H30" i="23"/>
  <c r="H31" i="23"/>
  <c r="H32" i="23"/>
  <c r="H33" i="23"/>
  <c r="H34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4" i="23"/>
  <c r="H75" i="23"/>
  <c r="H76" i="23"/>
  <c r="H77" i="23"/>
  <c r="H78" i="23"/>
  <c r="H79" i="23"/>
  <c r="H80" i="23"/>
  <c r="H81" i="23"/>
  <c r="H82" i="23"/>
  <c r="H86" i="23"/>
  <c r="H87" i="23"/>
  <c r="H88" i="23"/>
  <c r="H89" i="23"/>
  <c r="H90" i="23"/>
  <c r="H91" i="23"/>
  <c r="H92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41" i="23"/>
  <c r="H142" i="23"/>
  <c r="H143" i="23"/>
  <c r="H144" i="23"/>
  <c r="H145" i="23"/>
  <c r="H146" i="23"/>
  <c r="H147" i="23"/>
  <c r="H148" i="23"/>
  <c r="H152" i="23"/>
  <c r="H153" i="23"/>
  <c r="H154" i="23"/>
  <c r="H155" i="23"/>
  <c r="H156" i="23"/>
  <c r="H157" i="23"/>
  <c r="H161" i="23"/>
  <c r="H162" i="23"/>
  <c r="H163" i="23"/>
  <c r="H164" i="23"/>
  <c r="H165" i="23"/>
  <c r="H166" i="23"/>
  <c r="H167" i="23"/>
  <c r="H168" i="23"/>
  <c r="H169" i="23"/>
  <c r="H170" i="23"/>
  <c r="H174" i="23"/>
  <c r="H175" i="23"/>
  <c r="H176" i="23"/>
  <c r="H177" i="23"/>
  <c r="H178" i="23"/>
  <c r="H179" i="23"/>
  <c r="H180" i="23"/>
  <c r="H181" i="23"/>
  <c r="H182" i="23"/>
  <c r="H183" i="23"/>
  <c r="H184" i="23"/>
  <c r="H188" i="23"/>
  <c r="H189" i="23"/>
  <c r="H190" i="23"/>
  <c r="H191" i="23"/>
  <c r="H192" i="23"/>
  <c r="H193" i="23"/>
  <c r="H194" i="23"/>
  <c r="H195" i="23"/>
  <c r="H196" i="23"/>
  <c r="H197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21" i="23"/>
  <c r="H222" i="23"/>
  <c r="H223" i="23"/>
  <c r="H224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" i="23"/>
  <c r="H15" i="25"/>
  <c r="H16" i="25"/>
  <c r="H38" i="25"/>
  <c r="H39" i="25"/>
  <c r="H57" i="25"/>
  <c r="H58" i="25"/>
  <c r="H73" i="25"/>
  <c r="H74" i="25"/>
  <c r="H80" i="25"/>
  <c r="H81" i="25"/>
  <c r="H85" i="25"/>
  <c r="H86" i="25"/>
  <c r="H87" i="25"/>
  <c r="H102" i="25"/>
  <c r="H103" i="25"/>
  <c r="H118" i="25"/>
  <c r="H119" i="25"/>
  <c r="H123" i="25"/>
  <c r="H124" i="25"/>
  <c r="H125" i="25"/>
  <c r="H147" i="25"/>
  <c r="H148" i="25"/>
  <c r="H149" i="25"/>
  <c r="H159" i="25"/>
  <c r="H160" i="25"/>
  <c r="H161" i="25"/>
  <c r="H168" i="25"/>
  <c r="H169" i="25"/>
  <c r="H170" i="25"/>
  <c r="I3" i="25"/>
  <c r="I4" i="25"/>
  <c r="I5" i="25"/>
  <c r="I6" i="25"/>
  <c r="I7" i="25"/>
  <c r="I8" i="25"/>
  <c r="I9" i="25"/>
  <c r="I10" i="25"/>
  <c r="I11" i="25"/>
  <c r="I12" i="25"/>
  <c r="I13" i="25"/>
  <c r="I14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4" i="25"/>
  <c r="I75" i="25"/>
  <c r="I76" i="25"/>
  <c r="I77" i="25"/>
  <c r="I78" i="25"/>
  <c r="I79" i="25"/>
  <c r="I82" i="25"/>
  <c r="I83" i="25"/>
  <c r="I84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20" i="25"/>
  <c r="I121" i="25"/>
  <c r="I122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50" i="25"/>
  <c r="I151" i="25"/>
  <c r="I152" i="25"/>
  <c r="I153" i="25"/>
  <c r="I154" i="25"/>
  <c r="I155" i="25"/>
  <c r="I156" i="25"/>
  <c r="I157" i="25"/>
  <c r="I158" i="25"/>
  <c r="I162" i="25"/>
  <c r="I163" i="25"/>
  <c r="I164" i="25"/>
  <c r="I165" i="25"/>
  <c r="I166" i="25"/>
  <c r="I167" i="25"/>
  <c r="I169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2" i="25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4" i="24"/>
  <c r="H105" i="24"/>
  <c r="H106" i="24"/>
  <c r="H107" i="24"/>
  <c r="H108" i="24"/>
  <c r="H109" i="24"/>
  <c r="H110" i="24"/>
  <c r="H111" i="24"/>
  <c r="H112" i="24"/>
  <c r="H113" i="24"/>
  <c r="H117" i="24"/>
  <c r="H118" i="24"/>
  <c r="H119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9" i="24"/>
  <c r="H150" i="24"/>
  <c r="H151" i="24"/>
  <c r="H152" i="24"/>
  <c r="H153" i="24"/>
  <c r="H154" i="24"/>
  <c r="H158" i="24"/>
  <c r="H159" i="24"/>
  <c r="H160" i="24"/>
  <c r="H161" i="24"/>
  <c r="H162" i="24"/>
  <c r="H163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8" i="24"/>
  <c r="H189" i="24"/>
  <c r="H190" i="24"/>
  <c r="H191" i="24"/>
  <c r="H192" i="24"/>
  <c r="H193" i="24"/>
  <c r="H194" i="24"/>
  <c r="H195" i="24"/>
  <c r="H196" i="24"/>
  <c r="H197" i="24"/>
  <c r="H201" i="24"/>
  <c r="H202" i="24"/>
  <c r="H203" i="24"/>
  <c r="H204" i="24"/>
  <c r="H205" i="24"/>
  <c r="H206" i="24"/>
  <c r="H207" i="24"/>
  <c r="H208" i="24"/>
  <c r="H209" i="24"/>
  <c r="H213" i="24"/>
  <c r="H214" i="24"/>
  <c r="H215" i="24"/>
  <c r="H216" i="24"/>
  <c r="H217" i="24"/>
  <c r="H218" i="24"/>
  <c r="H219" i="24"/>
  <c r="H220" i="24"/>
  <c r="H221" i="24"/>
  <c r="H222" i="24"/>
  <c r="H223" i="24"/>
  <c r="H227" i="24"/>
  <c r="H228" i="24"/>
  <c r="H229" i="24"/>
  <c r="H230" i="24"/>
  <c r="H231" i="24"/>
  <c r="H232" i="24"/>
  <c r="H233" i="24"/>
  <c r="H237" i="24"/>
  <c r="H238" i="24"/>
  <c r="H239" i="24"/>
  <c r="H240" i="24"/>
  <c r="H241" i="24"/>
  <c r="H245" i="24"/>
  <c r="H246" i="24"/>
  <c r="H247" i="24"/>
  <c r="H248" i="24"/>
  <c r="H249" i="24"/>
  <c r="H250" i="24"/>
  <c r="H251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367" i="24"/>
  <c r="H368" i="24"/>
  <c r="H369" i="24"/>
  <c r="H373" i="24"/>
  <c r="H374" i="24"/>
  <c r="H375" i="24"/>
  <c r="H376" i="24"/>
  <c r="H377" i="24"/>
  <c r="H378" i="24"/>
  <c r="H379" i="24"/>
  <c r="H380" i="24"/>
  <c r="H384" i="24"/>
  <c r="H385" i="24"/>
  <c r="H386" i="24"/>
  <c r="H387" i="24"/>
  <c r="H388" i="24"/>
  <c r="H389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" i="24"/>
  <c r="H158" i="26"/>
  <c r="H159" i="26"/>
  <c r="H160" i="26"/>
  <c r="H161" i="26"/>
  <c r="H162" i="26"/>
  <c r="H163" i="26"/>
  <c r="H164" i="26"/>
  <c r="H165" i="26"/>
  <c r="H166" i="26"/>
  <c r="H157" i="26"/>
  <c r="H149" i="26"/>
  <c r="H150" i="26"/>
  <c r="H151" i="26"/>
  <c r="H152" i="26"/>
  <c r="H153" i="26"/>
  <c r="H148" i="26"/>
  <c r="H141" i="26"/>
  <c r="H142" i="26"/>
  <c r="H143" i="26"/>
  <c r="H140" i="26"/>
  <c r="H131" i="26"/>
  <c r="H132" i="26"/>
  <c r="H133" i="26"/>
  <c r="H134" i="26"/>
  <c r="H135" i="26"/>
  <c r="H136" i="26"/>
  <c r="H130" i="26"/>
  <c r="H122" i="26"/>
  <c r="H123" i="26"/>
  <c r="H124" i="26"/>
  <c r="H125" i="26"/>
  <c r="H126" i="26"/>
  <c r="H127" i="26"/>
  <c r="H128" i="26"/>
  <c r="H121" i="26"/>
  <c r="H116" i="26"/>
  <c r="H117" i="26"/>
  <c r="H115" i="26"/>
  <c r="H103" i="26"/>
  <c r="H104" i="26"/>
  <c r="H105" i="26"/>
  <c r="H106" i="26"/>
  <c r="H107" i="26"/>
  <c r="H108" i="26"/>
  <c r="H109" i="26"/>
  <c r="H110" i="26"/>
  <c r="H111" i="26"/>
  <c r="H102" i="26"/>
  <c r="H93" i="26"/>
  <c r="H94" i="26"/>
  <c r="H95" i="26"/>
  <c r="H96" i="26"/>
  <c r="H97" i="26"/>
  <c r="H98" i="26"/>
  <c r="H92" i="26"/>
  <c r="H88" i="26"/>
  <c r="H87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63" i="26"/>
  <c r="H51" i="26"/>
  <c r="H52" i="26"/>
  <c r="H53" i="26"/>
  <c r="H54" i="26"/>
  <c r="H55" i="26"/>
  <c r="H56" i="26"/>
  <c r="H57" i="26"/>
  <c r="H58" i="26"/>
  <c r="H59" i="26"/>
  <c r="H50" i="26"/>
  <c r="H41" i="26"/>
  <c r="H42" i="26"/>
  <c r="H43" i="26"/>
  <c r="H44" i="26"/>
  <c r="H45" i="26"/>
  <c r="H46" i="26"/>
  <c r="H40" i="26"/>
  <c r="H34" i="26"/>
  <c r="H35" i="26"/>
  <c r="H36" i="26"/>
  <c r="H33" i="26"/>
  <c r="H24" i="26"/>
  <c r="H25" i="26"/>
  <c r="H26" i="26"/>
  <c r="H27" i="26"/>
  <c r="H28" i="26"/>
  <c r="H29" i="26"/>
  <c r="H23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" i="26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F94" i="6"/>
  <c r="F73" i="6"/>
  <c r="F84" i="6"/>
  <c r="F103" i="6"/>
  <c r="F75" i="6"/>
  <c r="F102" i="6"/>
  <c r="F65" i="6"/>
  <c r="F71" i="6"/>
  <c r="F70" i="6"/>
  <c r="F99" i="6"/>
  <c r="F88" i="6"/>
  <c r="F66" i="6"/>
  <c r="F63" i="6"/>
  <c r="F107" i="6"/>
  <c r="F106" i="6"/>
  <c r="F72" i="6"/>
  <c r="F104" i="6"/>
  <c r="F98" i="6"/>
  <c r="F91" i="6"/>
  <c r="F67" i="6"/>
  <c r="F79" i="6"/>
  <c r="F95" i="6"/>
  <c r="F105" i="6"/>
  <c r="F100" i="6"/>
  <c r="F80" i="6"/>
  <c r="F93" i="6"/>
  <c r="F96" i="6"/>
  <c r="F78" i="6"/>
  <c r="F83" i="6"/>
  <c r="F64" i="6"/>
  <c r="F97" i="6"/>
  <c r="F87" i="6"/>
  <c r="F74" i="6"/>
  <c r="F92" i="6"/>
  <c r="F101" i="6"/>
  <c r="D166" i="26" l="1"/>
  <c r="D165" i="26"/>
  <c r="D164" i="26"/>
  <c r="D163" i="26"/>
  <c r="D162" i="26"/>
  <c r="D161" i="26"/>
  <c r="D160" i="26"/>
  <c r="D159" i="26"/>
  <c r="D158" i="26"/>
  <c r="D157" i="26"/>
  <c r="D153" i="26"/>
  <c r="D152" i="26"/>
  <c r="D151" i="26"/>
  <c r="D150" i="26"/>
  <c r="D149" i="26"/>
  <c r="D148" i="26"/>
  <c r="D143" i="26"/>
  <c r="D142" i="26"/>
  <c r="D141" i="26"/>
  <c r="D140" i="26"/>
  <c r="D136" i="26"/>
  <c r="D135" i="26"/>
  <c r="D134" i="26"/>
  <c r="D133" i="26"/>
  <c r="D132" i="26"/>
  <c r="D131" i="26"/>
  <c r="D130" i="26"/>
  <c r="D128" i="26"/>
  <c r="D127" i="26"/>
  <c r="D126" i="26"/>
  <c r="D125" i="26"/>
  <c r="D124" i="26"/>
  <c r="D123" i="26"/>
  <c r="D122" i="26"/>
  <c r="D121" i="26"/>
  <c r="D117" i="26"/>
  <c r="D116" i="26"/>
  <c r="D115" i="26"/>
  <c r="D111" i="26"/>
  <c r="D110" i="26"/>
  <c r="D109" i="26"/>
  <c r="D108" i="26"/>
  <c r="D107" i="26"/>
  <c r="D106" i="26"/>
  <c r="D105" i="26"/>
  <c r="D104" i="26"/>
  <c r="D103" i="26"/>
  <c r="D102" i="26"/>
  <c r="D98" i="26"/>
  <c r="D97" i="26"/>
  <c r="D96" i="26"/>
  <c r="D95" i="26"/>
  <c r="D94" i="26"/>
  <c r="D93" i="26"/>
  <c r="D92" i="26"/>
  <c r="D88" i="26"/>
  <c r="D87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59" i="26"/>
  <c r="D58" i="26"/>
  <c r="D57" i="26"/>
  <c r="D56" i="26"/>
  <c r="D55" i="26"/>
  <c r="D54" i="26"/>
  <c r="D53" i="26"/>
  <c r="D52" i="26"/>
  <c r="D51" i="26"/>
  <c r="D50" i="26"/>
  <c r="D46" i="26"/>
  <c r="D45" i="26"/>
  <c r="D44" i="26"/>
  <c r="D43" i="26"/>
  <c r="D42" i="26"/>
  <c r="D41" i="26"/>
  <c r="D40" i="26"/>
  <c r="D36" i="26"/>
  <c r="D35" i="26"/>
  <c r="D34" i="26"/>
  <c r="D33" i="26"/>
  <c r="D29" i="26"/>
  <c r="D28" i="26"/>
  <c r="D27" i="26"/>
  <c r="D26" i="26"/>
  <c r="D25" i="26"/>
  <c r="D24" i="26"/>
  <c r="D23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87" i="25"/>
  <c r="D186" i="25"/>
  <c r="D185" i="25"/>
  <c r="D184" i="25"/>
  <c r="D183" i="25"/>
  <c r="D182" i="25"/>
  <c r="D181" i="25"/>
  <c r="D180" i="25"/>
  <c r="D179" i="25"/>
  <c r="D178" i="25"/>
  <c r="D177" i="25"/>
  <c r="D176" i="25"/>
  <c r="D175" i="25"/>
  <c r="D174" i="25"/>
  <c r="D173" i="25"/>
  <c r="D172" i="25"/>
  <c r="D171" i="25"/>
  <c r="D167" i="25"/>
  <c r="D166" i="25"/>
  <c r="D165" i="25"/>
  <c r="D164" i="25"/>
  <c r="D163" i="25"/>
  <c r="D162" i="25"/>
  <c r="D158" i="25"/>
  <c r="D157" i="25"/>
  <c r="D156" i="25"/>
  <c r="D155" i="25"/>
  <c r="D154" i="25"/>
  <c r="D153" i="25"/>
  <c r="D152" i="25"/>
  <c r="D151" i="25"/>
  <c r="D150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2" i="25"/>
  <c r="D121" i="25"/>
  <c r="D120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4" i="25"/>
  <c r="D83" i="25"/>
  <c r="D82" i="25"/>
  <c r="D79" i="25"/>
  <c r="D78" i="25"/>
  <c r="D77" i="25"/>
  <c r="D76" i="25"/>
  <c r="D75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380" i="24"/>
  <c r="D379" i="24"/>
  <c r="D378" i="24"/>
  <c r="D377" i="24"/>
  <c r="D376" i="24"/>
  <c r="D375" i="24"/>
  <c r="D374" i="24"/>
  <c r="D373" i="24"/>
  <c r="D369" i="24"/>
  <c r="D368" i="24"/>
  <c r="D367" i="24"/>
  <c r="D366" i="24"/>
  <c r="D365" i="24"/>
  <c r="D364" i="24"/>
  <c r="D363" i="24"/>
  <c r="D362" i="24"/>
  <c r="D361" i="24"/>
  <c r="D360" i="24"/>
  <c r="D359" i="24"/>
  <c r="D358" i="24"/>
  <c r="D357" i="24"/>
  <c r="D356" i="24"/>
  <c r="D355" i="24"/>
  <c r="D354" i="24"/>
  <c r="D350" i="24"/>
  <c r="D349" i="24"/>
  <c r="D348" i="24"/>
  <c r="D347" i="24"/>
  <c r="D346" i="24"/>
  <c r="D345" i="24"/>
  <c r="D344" i="24"/>
  <c r="D343" i="24"/>
  <c r="D342" i="24"/>
  <c r="D341" i="24"/>
  <c r="D340" i="24"/>
  <c r="D339" i="24"/>
  <c r="D338" i="24"/>
  <c r="D337" i="24"/>
  <c r="D336" i="24"/>
  <c r="D332" i="24"/>
  <c r="D331" i="24"/>
  <c r="D330" i="24"/>
  <c r="D329" i="24"/>
  <c r="D328" i="24"/>
  <c r="D327" i="24"/>
  <c r="D326" i="24"/>
  <c r="D325" i="24"/>
  <c r="D324" i="24"/>
  <c r="D323" i="24"/>
  <c r="D322" i="24"/>
  <c r="D321" i="24"/>
  <c r="D320" i="24"/>
  <c r="D319" i="24"/>
  <c r="D318" i="24"/>
  <c r="D317" i="24"/>
  <c r="D316" i="24"/>
  <c r="D315" i="24"/>
  <c r="D275" i="24"/>
  <c r="D274" i="24"/>
  <c r="D273" i="24"/>
  <c r="D272" i="24"/>
  <c r="D271" i="24"/>
  <c r="D270" i="24"/>
  <c r="D269" i="24"/>
  <c r="D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1" i="24"/>
  <c r="D250" i="24"/>
  <c r="D249" i="24"/>
  <c r="D248" i="24"/>
  <c r="D247" i="24"/>
  <c r="D246" i="24"/>
  <c r="D245" i="24"/>
  <c r="D241" i="24"/>
  <c r="D240" i="24"/>
  <c r="D239" i="24"/>
  <c r="D238" i="24"/>
  <c r="D237" i="24"/>
  <c r="D233" i="24"/>
  <c r="D232" i="24"/>
  <c r="D231" i="24"/>
  <c r="D230" i="24"/>
  <c r="D229" i="24"/>
  <c r="D228" i="24"/>
  <c r="D227" i="24"/>
  <c r="D223" i="24"/>
  <c r="D222" i="24"/>
  <c r="D221" i="24"/>
  <c r="D220" i="24"/>
  <c r="D219" i="24"/>
  <c r="D218" i="24"/>
  <c r="D217" i="24"/>
  <c r="D216" i="24"/>
  <c r="D215" i="24"/>
  <c r="D214" i="24"/>
  <c r="D213" i="24"/>
  <c r="D197" i="24"/>
  <c r="D196" i="24"/>
  <c r="D195" i="24"/>
  <c r="D194" i="24"/>
  <c r="D193" i="24"/>
  <c r="D192" i="24"/>
  <c r="D191" i="24"/>
  <c r="D190" i="24"/>
  <c r="D189" i="24"/>
  <c r="D188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13" i="24"/>
  <c r="D112" i="24"/>
  <c r="D111" i="24"/>
  <c r="D110" i="24"/>
  <c r="D109" i="24"/>
  <c r="D108" i="24"/>
  <c r="D107" i="24"/>
  <c r="D106" i="24"/>
  <c r="D105" i="24"/>
  <c r="D104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261" i="23"/>
  <c r="D260" i="23"/>
  <c r="D259" i="23"/>
  <c r="D258" i="23"/>
  <c r="D257" i="23"/>
  <c r="D256" i="23"/>
  <c r="D255" i="23"/>
  <c r="D254" i="23"/>
  <c r="D253" i="23"/>
  <c r="D252" i="23"/>
  <c r="D248" i="23"/>
  <c r="D247" i="23"/>
  <c r="D246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4" i="23"/>
  <c r="D223" i="23"/>
  <c r="D222" i="23"/>
  <c r="D221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197" i="23"/>
  <c r="D196" i="23"/>
  <c r="D195" i="23"/>
  <c r="D194" i="23"/>
  <c r="D193" i="23"/>
  <c r="D192" i="23"/>
  <c r="D191" i="23"/>
  <c r="D190" i="23"/>
  <c r="D189" i="23"/>
  <c r="D188" i="23"/>
  <c r="D184" i="23"/>
  <c r="D183" i="23"/>
  <c r="D182" i="23"/>
  <c r="D181" i="23"/>
  <c r="D180" i="23"/>
  <c r="D179" i="23"/>
  <c r="D178" i="23"/>
  <c r="D177" i="23"/>
  <c r="D176" i="23"/>
  <c r="D175" i="23"/>
  <c r="D174" i="23"/>
  <c r="D170" i="23"/>
  <c r="D169" i="23"/>
  <c r="D168" i="23"/>
  <c r="D167" i="23"/>
  <c r="D166" i="23"/>
  <c r="D165" i="23"/>
  <c r="D164" i="23"/>
  <c r="D163" i="23"/>
  <c r="D162" i="23"/>
  <c r="D161" i="23"/>
  <c r="D157" i="23"/>
  <c r="D156" i="23"/>
  <c r="D155" i="23"/>
  <c r="D154" i="23"/>
  <c r="D153" i="23"/>
  <c r="D152" i="23"/>
  <c r="D148" i="23"/>
  <c r="D147" i="23"/>
  <c r="D146" i="23"/>
  <c r="D145" i="23"/>
  <c r="D144" i="23"/>
  <c r="D143" i="23"/>
  <c r="D142" i="23"/>
  <c r="D141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2" i="23"/>
  <c r="D91" i="23"/>
  <c r="D90" i="23"/>
  <c r="D89" i="23"/>
  <c r="D88" i="23"/>
  <c r="D87" i="23"/>
  <c r="D86" i="23"/>
  <c r="D82" i="23"/>
  <c r="D81" i="23"/>
  <c r="D80" i="23"/>
  <c r="D79" i="23"/>
  <c r="D78" i="23"/>
  <c r="D77" i="23"/>
  <c r="D76" i="23"/>
  <c r="D75" i="23"/>
  <c r="D74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4" i="23"/>
  <c r="D33" i="23"/>
  <c r="D32" i="23"/>
  <c r="D31" i="23"/>
  <c r="D30" i="23"/>
  <c r="D29" i="23"/>
  <c r="D28" i="23"/>
  <c r="D27" i="23"/>
  <c r="D26" i="23"/>
  <c r="D25" i="23"/>
  <c r="D24" i="23"/>
  <c r="D16" i="23"/>
  <c r="D110" i="22"/>
  <c r="D109" i="22"/>
  <c r="D108" i="22"/>
  <c r="D105" i="22"/>
  <c r="D104" i="22"/>
  <c r="D103" i="22"/>
  <c r="D102" i="22"/>
  <c r="D101" i="22"/>
  <c r="D100" i="22"/>
  <c r="D99" i="22"/>
  <c r="D98" i="22"/>
  <c r="D97" i="22"/>
  <c r="D96" i="22"/>
  <c r="D93" i="22"/>
  <c r="D92" i="22"/>
  <c r="D91" i="22"/>
  <c r="D90" i="22"/>
  <c r="D89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5" i="22"/>
  <c r="D64" i="22"/>
  <c r="D63" i="22"/>
  <c r="D62" i="22"/>
  <c r="D61" i="22"/>
  <c r="D60" i="22"/>
  <c r="D59" i="22"/>
  <c r="D58" i="22"/>
  <c r="D57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0" i="22"/>
  <c r="D9" i="22"/>
  <c r="D8" i="22"/>
  <c r="D7" i="22"/>
  <c r="D6" i="22"/>
  <c r="D5" i="22"/>
  <c r="D4" i="22"/>
  <c r="D3" i="22"/>
  <c r="D2" i="22"/>
  <c r="D399" i="21"/>
  <c r="D398" i="21"/>
  <c r="D397" i="21"/>
  <c r="D396" i="21"/>
  <c r="D395" i="21"/>
  <c r="D394" i="21"/>
  <c r="D393" i="21"/>
  <c r="D392" i="21"/>
  <c r="D389" i="21"/>
  <c r="D388" i="21"/>
  <c r="D387" i="21"/>
  <c r="D386" i="21"/>
  <c r="D385" i="21"/>
  <c r="D382" i="21"/>
  <c r="D381" i="21"/>
  <c r="D378" i="21"/>
  <c r="D377" i="21"/>
  <c r="D376" i="21"/>
  <c r="D375" i="21"/>
  <c r="D372" i="21"/>
  <c r="D371" i="21"/>
  <c r="D370" i="21"/>
  <c r="D369" i="21"/>
  <c r="D368" i="21"/>
  <c r="D367" i="21"/>
  <c r="D364" i="21"/>
  <c r="D363" i="21"/>
  <c r="D362" i="21"/>
  <c r="D361" i="21"/>
  <c r="D360" i="21"/>
  <c r="D359" i="21"/>
  <c r="D358" i="21"/>
  <c r="D357" i="21"/>
  <c r="D356" i="21"/>
  <c r="D355" i="21"/>
  <c r="D352" i="21"/>
  <c r="D351" i="21"/>
  <c r="D350" i="21"/>
  <c r="D349" i="21"/>
  <c r="D348" i="21"/>
  <c r="D347" i="21"/>
  <c r="D344" i="21"/>
  <c r="D343" i="21"/>
  <c r="D342" i="21"/>
  <c r="D341" i="21"/>
  <c r="D340" i="21"/>
  <c r="D337" i="21"/>
  <c r="D336" i="21"/>
  <c r="D335" i="21"/>
  <c r="D334" i="21"/>
  <c r="D333" i="21"/>
  <c r="D332" i="21"/>
  <c r="D331" i="21"/>
  <c r="D330" i="21"/>
  <c r="D327" i="21"/>
  <c r="D326" i="21"/>
  <c r="D323" i="21"/>
  <c r="D322" i="21"/>
  <c r="D321" i="21"/>
  <c r="D320" i="21"/>
  <c r="D319" i="21"/>
  <c r="D318" i="21"/>
  <c r="D315" i="21"/>
  <c r="D314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6" i="21"/>
  <c r="D295" i="21"/>
  <c r="D294" i="21"/>
  <c r="D293" i="21"/>
  <c r="D292" i="21"/>
  <c r="D289" i="21"/>
  <c r="D288" i="21"/>
  <c r="D287" i="21"/>
  <c r="D286" i="21"/>
  <c r="D285" i="21"/>
  <c r="D284" i="21"/>
  <c r="D283" i="21"/>
  <c r="D282" i="21"/>
  <c r="D279" i="21"/>
  <c r="D278" i="21"/>
  <c r="D277" i="21"/>
  <c r="D276" i="21"/>
  <c r="D275" i="21"/>
  <c r="D274" i="21"/>
  <c r="D273" i="21"/>
  <c r="D272" i="21"/>
  <c r="D271" i="21"/>
  <c r="D270" i="21"/>
  <c r="D269" i="21"/>
  <c r="D268" i="21"/>
  <c r="D267" i="21"/>
  <c r="D266" i="21"/>
  <c r="D265" i="21"/>
  <c r="D264" i="21"/>
  <c r="D261" i="21"/>
  <c r="D260" i="21"/>
  <c r="D259" i="21"/>
  <c r="D256" i="21"/>
  <c r="D255" i="21"/>
  <c r="D254" i="21"/>
  <c r="D253" i="21"/>
  <c r="D252" i="21"/>
  <c r="D251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3" i="21"/>
  <c r="D232" i="21"/>
  <c r="D231" i="21"/>
  <c r="D228" i="21"/>
  <c r="D227" i="21"/>
  <c r="D226" i="21"/>
  <c r="D225" i="21"/>
  <c r="D224" i="21"/>
  <c r="D221" i="21"/>
  <c r="D220" i="21"/>
  <c r="D219" i="21"/>
  <c r="D218" i="21"/>
  <c r="D217" i="21"/>
  <c r="D216" i="21"/>
  <c r="D213" i="21"/>
  <c r="D212" i="21"/>
  <c r="D211" i="21"/>
  <c r="D210" i="21"/>
  <c r="D209" i="21"/>
  <c r="D208" i="21"/>
  <c r="D205" i="21"/>
  <c r="D204" i="21"/>
  <c r="D203" i="21"/>
  <c r="D202" i="21"/>
  <c r="D201" i="21"/>
  <c r="D200" i="21"/>
  <c r="D197" i="21"/>
  <c r="D196" i="21"/>
  <c r="D195" i="21"/>
  <c r="D194" i="21"/>
  <c r="D193" i="21"/>
  <c r="D192" i="21"/>
  <c r="D191" i="21"/>
  <c r="D188" i="21"/>
  <c r="D187" i="21"/>
  <c r="D186" i="21"/>
  <c r="D185" i="21"/>
  <c r="D182" i="21"/>
  <c r="D181" i="21"/>
  <c r="D180" i="21"/>
  <c r="D179" i="21"/>
  <c r="D178" i="21"/>
  <c r="D177" i="21"/>
  <c r="D174" i="21"/>
  <c r="D173" i="21"/>
  <c r="D172" i="21"/>
  <c r="D171" i="21"/>
  <c r="D170" i="21"/>
  <c r="D169" i="21"/>
  <c r="D168" i="21"/>
  <c r="D167" i="21"/>
  <c r="D166" i="21"/>
  <c r="D165" i="21"/>
  <c r="D162" i="21"/>
  <c r="D161" i="21"/>
  <c r="D160" i="21"/>
  <c r="D159" i="21"/>
  <c r="D158" i="21"/>
  <c r="D157" i="21"/>
  <c r="D156" i="21"/>
  <c r="D155" i="21"/>
  <c r="D154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E23" i="26"/>
  <c r="E74" i="26"/>
  <c r="F129" i="25"/>
  <c r="E67" i="24"/>
  <c r="F131" i="25"/>
  <c r="F289" i="21"/>
  <c r="F152" i="23"/>
  <c r="E64" i="24"/>
  <c r="E182" i="24"/>
  <c r="E269" i="24"/>
  <c r="F125" i="26"/>
  <c r="E136" i="23"/>
  <c r="F106" i="25"/>
  <c r="E16" i="26"/>
  <c r="E9" i="25"/>
  <c r="E308" i="21"/>
  <c r="E21" i="25"/>
  <c r="F280" i="24"/>
  <c r="F42" i="26"/>
  <c r="F119" i="21"/>
  <c r="E181" i="24"/>
  <c r="F191" i="21"/>
  <c r="E187" i="25"/>
  <c r="F91" i="22"/>
  <c r="F93" i="25"/>
  <c r="F359" i="24"/>
  <c r="E344" i="24"/>
  <c r="E302" i="19"/>
  <c r="F158" i="26"/>
  <c r="E331" i="24"/>
  <c r="F150" i="20"/>
  <c r="F341" i="21"/>
  <c r="F126" i="25"/>
  <c r="F330" i="24"/>
  <c r="E104" i="26"/>
  <c r="E87" i="24"/>
  <c r="F348" i="21"/>
  <c r="E50" i="26"/>
  <c r="E133" i="23"/>
  <c r="E240" i="23"/>
  <c r="E376" i="24"/>
  <c r="F188" i="24"/>
  <c r="E137" i="25"/>
  <c r="F125" i="23"/>
  <c r="E356" i="24"/>
  <c r="F50" i="25"/>
  <c r="F162" i="26"/>
  <c r="E184" i="24"/>
  <c r="F65" i="23"/>
  <c r="F160" i="24"/>
  <c r="F173" i="24"/>
  <c r="F152" i="20"/>
  <c r="F20" i="23"/>
  <c r="E12" i="19"/>
  <c r="E141" i="20"/>
  <c r="F47" i="25"/>
  <c r="E108" i="23"/>
  <c r="E341" i="24"/>
  <c r="F97" i="23"/>
  <c r="F107" i="26"/>
  <c r="E35" i="24"/>
  <c r="E204" i="23"/>
  <c r="F159" i="19"/>
  <c r="F79" i="22"/>
  <c r="F126" i="24"/>
  <c r="F228" i="23"/>
  <c r="F76" i="24"/>
  <c r="E215" i="18"/>
  <c r="F327" i="24"/>
  <c r="F298" i="24"/>
  <c r="F40" i="25"/>
  <c r="E236" i="23"/>
  <c r="E45" i="24"/>
  <c r="E346" i="24"/>
  <c r="F101" i="23"/>
  <c r="F42" i="20"/>
  <c r="E13" i="25"/>
  <c r="E68" i="23"/>
  <c r="F102" i="21"/>
  <c r="F33" i="25"/>
  <c r="F84" i="21"/>
  <c r="E335" i="21"/>
  <c r="E238" i="21"/>
  <c r="F167" i="20"/>
  <c r="F54" i="24"/>
  <c r="E108" i="26"/>
  <c r="E94" i="25"/>
  <c r="E331" i="21"/>
  <c r="F84" i="24"/>
  <c r="F24" i="25"/>
  <c r="E216" i="24"/>
  <c r="F4" i="25"/>
  <c r="F288" i="24"/>
  <c r="F16" i="26"/>
  <c r="F32" i="25"/>
  <c r="F159" i="20"/>
  <c r="F140" i="26"/>
  <c r="F130" i="24"/>
  <c r="F193" i="23"/>
  <c r="F384" i="24"/>
  <c r="E4" i="26"/>
  <c r="E179" i="20"/>
  <c r="F204" i="21"/>
  <c r="F223" i="19"/>
  <c r="F128" i="21"/>
  <c r="F99" i="22"/>
  <c r="E368" i="24"/>
  <c r="F143" i="23"/>
  <c r="E150" i="26"/>
  <c r="E131" i="24"/>
  <c r="E206" i="24"/>
  <c r="E41" i="23"/>
  <c r="F289" i="19"/>
  <c r="E23" i="18"/>
  <c r="F182" i="20"/>
  <c r="F2" i="26"/>
  <c r="E19" i="22"/>
  <c r="F137" i="25"/>
  <c r="E166" i="26"/>
  <c r="E127" i="26"/>
  <c r="E75" i="25"/>
  <c r="F9" i="26"/>
  <c r="F161" i="21"/>
  <c r="E106" i="25"/>
  <c r="E267" i="24"/>
  <c r="E170" i="24"/>
  <c r="F7" i="23"/>
  <c r="F363" i="24"/>
  <c r="F44" i="25"/>
  <c r="F153" i="24"/>
  <c r="F166" i="25"/>
  <c r="F54" i="23"/>
  <c r="F102" i="26"/>
  <c r="E38" i="23"/>
  <c r="F392" i="21"/>
  <c r="F128" i="24"/>
  <c r="E321" i="24"/>
  <c r="E23" i="25"/>
  <c r="E181" i="25"/>
  <c r="E69" i="24"/>
  <c r="F28" i="26"/>
  <c r="F15" i="24"/>
  <c r="E38" i="21"/>
  <c r="F73" i="21"/>
  <c r="F325" i="24"/>
  <c r="E111" i="26"/>
  <c r="F293" i="21"/>
  <c r="E25" i="20"/>
  <c r="F193" i="19"/>
  <c r="E213" i="23"/>
  <c r="F53" i="24"/>
  <c r="E13" i="20"/>
  <c r="E102" i="26"/>
  <c r="F287" i="19"/>
  <c r="F15" i="26"/>
  <c r="F111" i="24"/>
  <c r="F135" i="23"/>
  <c r="F108" i="23"/>
  <c r="E32" i="22"/>
  <c r="F31" i="24"/>
  <c r="E32" i="25"/>
  <c r="E78" i="24"/>
  <c r="E61" i="25"/>
  <c r="F249" i="24"/>
  <c r="E364" i="24"/>
  <c r="F233" i="19"/>
  <c r="F196" i="20"/>
  <c r="E27" i="26"/>
  <c r="F43" i="24"/>
  <c r="F355" i="24"/>
  <c r="F91" i="25"/>
  <c r="F314" i="21"/>
  <c r="E112" i="24"/>
  <c r="E137" i="23"/>
  <c r="F153" i="26"/>
  <c r="F47" i="23"/>
  <c r="E192" i="24"/>
  <c r="E104" i="25"/>
  <c r="E18" i="25"/>
  <c r="F346" i="24"/>
  <c r="E43" i="20"/>
  <c r="F107" i="21"/>
  <c r="F148" i="23"/>
  <c r="E129" i="24"/>
  <c r="E130" i="24"/>
  <c r="E82" i="23"/>
  <c r="F104" i="23"/>
  <c r="E23" i="24"/>
  <c r="F177" i="20"/>
  <c r="F55" i="25"/>
  <c r="F67" i="24"/>
  <c r="F121" i="25"/>
  <c r="E369" i="21"/>
  <c r="F107" i="24"/>
  <c r="E172" i="25"/>
  <c r="F104" i="24"/>
  <c r="E49" i="25"/>
  <c r="E133" i="25"/>
  <c r="F348" i="24"/>
  <c r="F19" i="26"/>
  <c r="E223" i="23"/>
  <c r="E62" i="23"/>
  <c r="E202" i="24"/>
  <c r="F341" i="24"/>
  <c r="F119" i="19"/>
  <c r="F386" i="24"/>
  <c r="F17" i="22"/>
  <c r="F232" i="24"/>
  <c r="E10" i="25"/>
  <c r="F87" i="23"/>
  <c r="E19" i="25"/>
  <c r="E24" i="26"/>
  <c r="E188" i="24"/>
  <c r="E56" i="23"/>
  <c r="F110" i="26"/>
  <c r="E132" i="26"/>
  <c r="F179" i="24"/>
  <c r="F234" i="23"/>
  <c r="F19" i="22"/>
  <c r="E146" i="25"/>
  <c r="E57" i="23"/>
  <c r="F258" i="23"/>
  <c r="E103" i="22"/>
  <c r="E179" i="24"/>
  <c r="F102" i="23"/>
  <c r="F69" i="22"/>
  <c r="F172" i="24"/>
  <c r="F315" i="24"/>
  <c r="F136" i="24"/>
  <c r="E172" i="20"/>
  <c r="F82" i="25"/>
  <c r="E89" i="21"/>
  <c r="E165" i="26"/>
  <c r="E373" i="24"/>
  <c r="E203" i="24"/>
  <c r="F367" i="24"/>
  <c r="E347" i="24"/>
  <c r="E281" i="24"/>
  <c r="E77" i="25"/>
  <c r="E44" i="26"/>
  <c r="F128" i="26"/>
  <c r="F80" i="23"/>
  <c r="E36" i="25"/>
  <c r="E107" i="26"/>
  <c r="E87" i="26"/>
  <c r="F157" i="25"/>
  <c r="F142" i="25"/>
  <c r="F116" i="25"/>
  <c r="F375" i="21"/>
  <c r="F304" i="21"/>
  <c r="F178" i="25"/>
  <c r="E163" i="23"/>
  <c r="F95" i="26"/>
  <c r="E43" i="26"/>
  <c r="F124" i="26"/>
  <c r="F18" i="26"/>
  <c r="E288" i="24"/>
  <c r="F11" i="26"/>
  <c r="F59" i="25"/>
  <c r="E134" i="23"/>
  <c r="F205" i="24"/>
  <c r="F62" i="23"/>
  <c r="F92" i="26"/>
  <c r="F99" i="25"/>
  <c r="F98" i="24"/>
  <c r="F340" i="24"/>
  <c r="F68" i="26"/>
  <c r="E376" i="21"/>
  <c r="F194" i="24"/>
  <c r="E140" i="26"/>
  <c r="E54" i="25"/>
  <c r="F159" i="26"/>
  <c r="E141" i="25"/>
  <c r="E196" i="24"/>
  <c r="F61" i="24"/>
  <c r="F235" i="23"/>
  <c r="E310" i="24"/>
  <c r="E113" i="23"/>
  <c r="E46" i="19"/>
  <c r="E34" i="23"/>
  <c r="E65" i="23"/>
  <c r="F184" i="24"/>
  <c r="E14" i="25"/>
  <c r="E212" i="23"/>
  <c r="E238" i="19"/>
  <c r="E323" i="21"/>
  <c r="E129" i="25"/>
  <c r="F54" i="26"/>
  <c r="F376" i="24"/>
  <c r="E367" i="24"/>
  <c r="F45" i="25"/>
  <c r="F399" i="21"/>
  <c r="E152" i="24"/>
  <c r="E25" i="21"/>
  <c r="E116" i="25"/>
  <c r="F46" i="25"/>
  <c r="E229" i="24"/>
  <c r="E39" i="24"/>
  <c r="E157" i="26"/>
  <c r="F105" i="24"/>
  <c r="E261" i="23"/>
  <c r="E362" i="24"/>
  <c r="E59" i="25"/>
  <c r="E72" i="25"/>
  <c r="E157" i="25"/>
  <c r="E141" i="26"/>
  <c r="E258" i="23"/>
  <c r="F28" i="25"/>
  <c r="E126" i="24"/>
  <c r="F136" i="26"/>
  <c r="E51" i="25"/>
  <c r="E66" i="26"/>
  <c r="F236" i="23"/>
  <c r="F328" i="24"/>
  <c r="F93" i="24"/>
  <c r="E187" i="20"/>
  <c r="E220" i="24"/>
  <c r="F137" i="23"/>
  <c r="F106" i="26"/>
  <c r="E98" i="26"/>
  <c r="F2" i="24"/>
  <c r="E97" i="20"/>
  <c r="E122" i="25"/>
  <c r="E65" i="26"/>
  <c r="E209" i="24"/>
  <c r="F117" i="23"/>
  <c r="E33" i="18"/>
  <c r="F25" i="26"/>
  <c r="E134" i="24"/>
  <c r="E244" i="21"/>
  <c r="E40" i="25"/>
  <c r="F37" i="21"/>
  <c r="F237" i="24"/>
  <c r="F260" i="24"/>
  <c r="F36" i="26"/>
  <c r="F180" i="25"/>
  <c r="E150" i="20"/>
  <c r="F131" i="23"/>
  <c r="E70" i="26"/>
  <c r="F63" i="26"/>
  <c r="E342" i="24"/>
  <c r="E7" i="25"/>
  <c r="F62" i="25"/>
  <c r="F111" i="25"/>
  <c r="E141" i="23"/>
  <c r="F78" i="25"/>
  <c r="E3" i="26"/>
  <c r="E135" i="26"/>
  <c r="E34" i="21"/>
  <c r="E143" i="20"/>
  <c r="E6" i="26"/>
  <c r="F357" i="21"/>
  <c r="E286" i="24"/>
  <c r="F217" i="24"/>
  <c r="E121" i="25"/>
  <c r="E260" i="24"/>
  <c r="F41" i="19"/>
  <c r="F163" i="25"/>
  <c r="E151" i="25"/>
  <c r="F151" i="25"/>
  <c r="E162" i="26"/>
  <c r="E101" i="21"/>
  <c r="E92" i="26"/>
  <c r="F228" i="21"/>
  <c r="F205" i="23"/>
  <c r="E7" i="21"/>
  <c r="E71" i="24"/>
  <c r="F165" i="21"/>
  <c r="E6" i="25"/>
  <c r="E110" i="26"/>
  <c r="F138" i="24"/>
  <c r="F389" i="21"/>
  <c r="F34" i="26"/>
  <c r="F23" i="24"/>
  <c r="F168" i="24"/>
  <c r="E247" i="24"/>
  <c r="F318" i="24"/>
  <c r="F137" i="24"/>
  <c r="F20" i="25"/>
  <c r="E252" i="21"/>
  <c r="E179" i="23"/>
  <c r="E139" i="24"/>
  <c r="E32" i="19"/>
  <c r="E54" i="24"/>
  <c r="F129" i="23"/>
  <c r="F109" i="25"/>
  <c r="F144" i="25"/>
  <c r="F27" i="24"/>
  <c r="E109" i="26"/>
  <c r="F354" i="24"/>
  <c r="E86" i="19"/>
  <c r="F143" i="25"/>
  <c r="E5" i="25"/>
  <c r="E164" i="25"/>
  <c r="F24" i="22"/>
  <c r="E153" i="24"/>
  <c r="F301" i="24"/>
  <c r="F388" i="24"/>
  <c r="F292" i="24"/>
  <c r="F320" i="24"/>
  <c r="F320" i="21"/>
  <c r="F134" i="25"/>
  <c r="E165" i="25"/>
  <c r="E283" i="24"/>
  <c r="F46" i="24"/>
  <c r="F201" i="21"/>
  <c r="E114" i="23"/>
  <c r="E333" i="21"/>
  <c r="E228" i="19"/>
  <c r="E230" i="24"/>
  <c r="E132" i="25"/>
  <c r="E88" i="26"/>
  <c r="E17" i="24"/>
  <c r="E159" i="24"/>
  <c r="E158" i="25"/>
  <c r="F65" i="19"/>
  <c r="E224" i="19"/>
  <c r="F263" i="24"/>
  <c r="F104" i="25"/>
  <c r="F196" i="21"/>
  <c r="E182" i="19"/>
  <c r="E237" i="18"/>
  <c r="E101" i="20"/>
  <c r="E126" i="21"/>
  <c r="F34" i="20"/>
  <c r="F108" i="21"/>
  <c r="E28" i="26"/>
  <c r="F149" i="26"/>
  <c r="F201" i="24"/>
  <c r="E145" i="23"/>
  <c r="E99" i="25"/>
  <c r="F227" i="24"/>
  <c r="F102" i="22"/>
  <c r="F141" i="25"/>
  <c r="F113" i="21"/>
  <c r="F22" i="24"/>
  <c r="E268" i="24"/>
  <c r="E154" i="25"/>
  <c r="F294" i="24"/>
  <c r="F78" i="26"/>
  <c r="E280" i="24"/>
  <c r="F7" i="25"/>
  <c r="E304" i="21"/>
  <c r="F97" i="26"/>
  <c r="F63" i="19"/>
  <c r="F172" i="25"/>
  <c r="F4" i="26"/>
  <c r="E76" i="24"/>
  <c r="E40" i="24"/>
  <c r="E182" i="23"/>
  <c r="F66" i="26"/>
  <c r="E174" i="20"/>
  <c r="F17" i="26"/>
  <c r="E370" i="21"/>
  <c r="E5" i="21"/>
  <c r="F92" i="25"/>
  <c r="F26" i="26"/>
  <c r="F204" i="24"/>
  <c r="F50" i="26"/>
  <c r="E328" i="24"/>
  <c r="F133" i="26"/>
  <c r="F311" i="24"/>
  <c r="F269" i="24"/>
  <c r="F60" i="22"/>
  <c r="F337" i="21"/>
  <c r="F89" i="25"/>
  <c r="E215" i="24"/>
  <c r="F127" i="23"/>
  <c r="F34" i="23"/>
  <c r="E175" i="25"/>
  <c r="E62" i="22"/>
  <c r="F64" i="26"/>
  <c r="E128" i="24"/>
  <c r="F105" i="21"/>
  <c r="E91" i="23"/>
  <c r="F109" i="24"/>
  <c r="E378" i="24"/>
  <c r="E7" i="24"/>
  <c r="F155" i="25"/>
  <c r="F11" i="23"/>
  <c r="E129" i="18"/>
  <c r="F74" i="20"/>
  <c r="E13" i="23"/>
  <c r="F32" i="23"/>
  <c r="F187" i="25"/>
  <c r="F307" i="16"/>
  <c r="F113" i="23"/>
  <c r="E24" i="25"/>
  <c r="E216" i="16"/>
  <c r="E371" i="21"/>
  <c r="F3" i="24"/>
  <c r="E302" i="24"/>
  <c r="E62" i="21"/>
  <c r="F98" i="22"/>
  <c r="F75" i="25"/>
  <c r="F167" i="23"/>
  <c r="E16" i="24"/>
  <c r="F15" i="21"/>
  <c r="F222" i="24"/>
  <c r="F10" i="25"/>
  <c r="F388" i="21"/>
  <c r="E209" i="21"/>
  <c r="F45" i="26"/>
  <c r="E152" i="23"/>
  <c r="F352" i="21"/>
  <c r="E149" i="21"/>
  <c r="E94" i="18"/>
  <c r="F261" i="19"/>
  <c r="E62" i="24"/>
  <c r="F10" i="22"/>
  <c r="F378" i="24"/>
  <c r="E55" i="26"/>
  <c r="F108" i="26"/>
  <c r="F245" i="24"/>
  <c r="E126" i="20"/>
  <c r="F26" i="25"/>
  <c r="E163" i="26"/>
  <c r="F253" i="23"/>
  <c r="F131" i="26"/>
  <c r="F44" i="26"/>
  <c r="E322" i="24"/>
  <c r="F97" i="25"/>
  <c r="F30" i="25"/>
  <c r="F88" i="25"/>
  <c r="E154" i="24"/>
  <c r="E121" i="26"/>
  <c r="F41" i="24"/>
  <c r="F162" i="25"/>
  <c r="F331" i="24"/>
  <c r="E81" i="23"/>
  <c r="F21" i="25"/>
  <c r="E5" i="22"/>
  <c r="F35" i="22"/>
  <c r="F140" i="24"/>
  <c r="E64" i="26"/>
  <c r="E231" i="24"/>
  <c r="F130" i="25"/>
  <c r="E363" i="24"/>
  <c r="E239" i="21"/>
  <c r="E242" i="21"/>
  <c r="E3" i="22"/>
  <c r="F206" i="23"/>
  <c r="F283" i="24"/>
  <c r="E364" i="21"/>
  <c r="E127" i="20"/>
  <c r="F215" i="23"/>
  <c r="F84" i="25"/>
  <c r="F127" i="19"/>
  <c r="E126" i="25"/>
  <c r="E61" i="20"/>
  <c r="F75" i="24"/>
  <c r="E180" i="23"/>
  <c r="F60" i="23"/>
  <c r="E186" i="25"/>
  <c r="E248" i="19"/>
  <c r="F324" i="24"/>
  <c r="F133" i="23"/>
  <c r="E285" i="24"/>
  <c r="F38" i="24"/>
  <c r="E235" i="23"/>
  <c r="E11" i="26"/>
  <c r="E86" i="22"/>
  <c r="E14" i="24"/>
  <c r="F271" i="24"/>
  <c r="E115" i="25"/>
  <c r="E6" i="23"/>
  <c r="F147" i="21"/>
  <c r="E5" i="26"/>
  <c r="F94" i="24"/>
  <c r="E117" i="26"/>
  <c r="E133" i="24"/>
  <c r="E67" i="25"/>
  <c r="F144" i="23"/>
  <c r="E32" i="21"/>
  <c r="F191" i="23"/>
  <c r="F82" i="23"/>
  <c r="E360" i="24"/>
  <c r="E27" i="20"/>
  <c r="E92" i="25"/>
  <c r="F4" i="23"/>
  <c r="F134" i="26"/>
  <c r="E131" i="25"/>
  <c r="E25" i="25"/>
  <c r="E113" i="25"/>
  <c r="F201" i="20"/>
  <c r="F77" i="24"/>
  <c r="E161" i="23"/>
  <c r="E314" i="21"/>
  <c r="F230" i="23"/>
  <c r="F79" i="23"/>
  <c r="E176" i="25"/>
  <c r="E151" i="21"/>
  <c r="E74" i="23"/>
  <c r="E139" i="25"/>
  <c r="F2" i="23"/>
  <c r="E358" i="21"/>
  <c r="F230" i="24"/>
  <c r="F356" i="24"/>
  <c r="E95" i="25"/>
  <c r="F379" i="24"/>
  <c r="F79" i="21"/>
  <c r="E92" i="21"/>
  <c r="F67" i="23"/>
  <c r="E75" i="24"/>
  <c r="F6" i="26"/>
  <c r="E3" i="24"/>
  <c r="F393" i="21"/>
  <c r="E378" i="21"/>
  <c r="E32" i="23"/>
  <c r="F96" i="25"/>
  <c r="F148" i="26"/>
  <c r="E228" i="24"/>
  <c r="E134" i="25"/>
  <c r="E59" i="22"/>
  <c r="F188" i="20"/>
  <c r="E295" i="19"/>
  <c r="E34" i="16"/>
  <c r="F118" i="23"/>
  <c r="F17" i="25"/>
  <c r="E246" i="17"/>
  <c r="F8" i="25"/>
  <c r="E150" i="19"/>
  <c r="E108" i="22"/>
  <c r="F142" i="23"/>
  <c r="F250" i="24"/>
  <c r="F289" i="24"/>
  <c r="E152" i="26"/>
  <c r="E5" i="20"/>
  <c r="F256" i="24"/>
  <c r="E240" i="18"/>
  <c r="E190" i="23"/>
  <c r="E218" i="19"/>
  <c r="E175" i="17"/>
  <c r="E56" i="19"/>
  <c r="E305" i="21"/>
  <c r="E309" i="24"/>
  <c r="F65" i="26"/>
  <c r="E57" i="26"/>
  <c r="E159" i="26"/>
  <c r="F2" i="25"/>
  <c r="F77" i="26"/>
  <c r="F61" i="22"/>
  <c r="E170" i="21"/>
  <c r="F127" i="26"/>
  <c r="F317" i="24"/>
  <c r="E138" i="25"/>
  <c r="F55" i="24"/>
  <c r="F156" i="25"/>
  <c r="E274" i="24"/>
  <c r="E161" i="18"/>
  <c r="E145" i="20"/>
  <c r="F366" i="24"/>
  <c r="E386" i="24"/>
  <c r="E96" i="23"/>
  <c r="E118" i="19"/>
  <c r="F14" i="25"/>
  <c r="F23" i="26"/>
  <c r="F136" i="25"/>
  <c r="E219" i="24"/>
  <c r="E29" i="25"/>
  <c r="F179" i="25"/>
  <c r="F95" i="24"/>
  <c r="F158" i="24"/>
  <c r="E247" i="18"/>
  <c r="E111" i="25"/>
  <c r="E189" i="23"/>
  <c r="F71" i="26"/>
  <c r="E197" i="23"/>
  <c r="E78" i="25"/>
  <c r="E70" i="25"/>
  <c r="E75" i="26"/>
  <c r="E195" i="21"/>
  <c r="F65" i="25"/>
  <c r="F12" i="24"/>
  <c r="E110" i="22"/>
  <c r="F29" i="26"/>
  <c r="F115" i="25"/>
  <c r="E197" i="24"/>
  <c r="F319" i="19"/>
  <c r="E8" i="24"/>
  <c r="E317" i="24"/>
  <c r="F221" i="23"/>
  <c r="E69" i="21"/>
  <c r="E127" i="24"/>
  <c r="E110" i="19"/>
  <c r="F174" i="20"/>
  <c r="F139" i="25"/>
  <c r="E81" i="26"/>
  <c r="F18" i="21"/>
  <c r="E119" i="24"/>
  <c r="E293" i="24"/>
  <c r="E130" i="25"/>
  <c r="F161" i="26"/>
  <c r="F76" i="25"/>
  <c r="E210" i="23"/>
  <c r="F378" i="21"/>
  <c r="E140" i="20"/>
  <c r="F266" i="21"/>
  <c r="F113" i="25"/>
  <c r="E195" i="24"/>
  <c r="F293" i="24"/>
  <c r="E177" i="20"/>
  <c r="F35" i="25"/>
  <c r="F48" i="21"/>
  <c r="F135" i="25"/>
  <c r="E50" i="22"/>
  <c r="E268" i="19"/>
  <c r="F142" i="26"/>
  <c r="F305" i="24"/>
  <c r="F68" i="22"/>
  <c r="F42" i="23"/>
  <c r="F265" i="24"/>
  <c r="E382" i="21"/>
  <c r="E396" i="21"/>
  <c r="F363" i="21"/>
  <c r="F123" i="20"/>
  <c r="F310" i="24"/>
  <c r="E265" i="24"/>
  <c r="F153" i="25"/>
  <c r="F64" i="23"/>
  <c r="E95" i="26"/>
  <c r="F98" i="21"/>
  <c r="E175" i="18"/>
  <c r="F171" i="21"/>
  <c r="F196" i="24"/>
  <c r="E112" i="23"/>
  <c r="F282" i="24"/>
  <c r="F119" i="24"/>
  <c r="E67" i="23"/>
  <c r="F181" i="23"/>
  <c r="F81" i="21"/>
  <c r="E18" i="26"/>
  <c r="F118" i="24"/>
  <c r="F142" i="20"/>
  <c r="F23" i="19"/>
  <c r="E294" i="24"/>
  <c r="E126" i="23"/>
  <c r="E67" i="20"/>
  <c r="E208" i="18"/>
  <c r="E42" i="23"/>
  <c r="E259" i="21"/>
  <c r="E79" i="22"/>
  <c r="E66" i="25"/>
  <c r="F73" i="19"/>
  <c r="F59" i="23"/>
  <c r="F369" i="21"/>
  <c r="F46" i="26"/>
  <c r="E214" i="19"/>
  <c r="F2" i="22"/>
  <c r="F343" i="24"/>
  <c r="E56" i="26"/>
  <c r="F166" i="26"/>
  <c r="F129" i="19"/>
  <c r="F287" i="21"/>
  <c r="F222" i="18"/>
  <c r="F284" i="21"/>
  <c r="F306" i="19"/>
  <c r="E98" i="23"/>
  <c r="E71" i="22"/>
  <c r="F225" i="19"/>
  <c r="E173" i="18"/>
  <c r="F204" i="17"/>
  <c r="E153" i="26"/>
  <c r="F18" i="25"/>
  <c r="F247" i="24"/>
  <c r="F71" i="24"/>
  <c r="F63" i="25"/>
  <c r="F350" i="21"/>
  <c r="F133" i="25"/>
  <c r="E101" i="22"/>
  <c r="F20" i="24"/>
  <c r="F330" i="21"/>
  <c r="F185" i="25"/>
  <c r="E89" i="22"/>
  <c r="F127" i="24"/>
  <c r="F151" i="26"/>
  <c r="F152" i="26"/>
  <c r="F194" i="23"/>
  <c r="F141" i="26"/>
  <c r="F51" i="26"/>
  <c r="F259" i="23"/>
  <c r="E132" i="24"/>
  <c r="F18" i="24"/>
  <c r="E46" i="26"/>
  <c r="E257" i="23"/>
  <c r="E6" i="24"/>
  <c r="E26" i="24"/>
  <c r="E3" i="25"/>
  <c r="E224" i="21"/>
  <c r="E15" i="24"/>
  <c r="F70" i="24"/>
  <c r="E6" i="22"/>
  <c r="E190" i="19"/>
  <c r="E55" i="20"/>
  <c r="F161" i="24"/>
  <c r="E81" i="17"/>
  <c r="E118" i="15"/>
  <c r="F220" i="15"/>
  <c r="E144" i="19"/>
  <c r="E177" i="14"/>
  <c r="F291" i="17"/>
  <c r="F87" i="26"/>
  <c r="E37" i="20"/>
  <c r="E83" i="24"/>
  <c r="E183" i="20"/>
  <c r="E385" i="24"/>
  <c r="E167" i="24"/>
  <c r="E70" i="22"/>
  <c r="E135" i="24"/>
  <c r="F5" i="25"/>
  <c r="F285" i="17"/>
  <c r="F98" i="26"/>
  <c r="E241" i="23"/>
  <c r="F22" i="25"/>
  <c r="F386" i="21"/>
  <c r="F112" i="25"/>
  <c r="E136" i="26"/>
  <c r="E343" i="24"/>
  <c r="F8" i="23"/>
  <c r="F385" i="24"/>
  <c r="F44" i="22"/>
  <c r="E224" i="23"/>
  <c r="E350" i="21"/>
  <c r="E27" i="23"/>
  <c r="E8" i="23"/>
  <c r="E74" i="24"/>
  <c r="E118" i="24"/>
  <c r="F74" i="24"/>
  <c r="E46" i="24"/>
  <c r="F315" i="21"/>
  <c r="E97" i="25"/>
  <c r="E215" i="23"/>
  <c r="E348" i="21"/>
  <c r="F201" i="23"/>
  <c r="E150" i="21"/>
  <c r="E182" i="25"/>
  <c r="F19" i="19"/>
  <c r="E83" i="26"/>
  <c r="F179" i="16"/>
  <c r="E261" i="17"/>
  <c r="E54" i="26"/>
  <c r="E13" i="26"/>
  <c r="E276" i="21"/>
  <c r="F100" i="22"/>
  <c r="E50" i="23"/>
  <c r="E102" i="21"/>
  <c r="F94" i="26"/>
  <c r="F154" i="23"/>
  <c r="E195" i="23"/>
  <c r="E34" i="22"/>
  <c r="F153" i="19"/>
  <c r="E129" i="23"/>
  <c r="E230" i="18"/>
  <c r="E7" i="23"/>
  <c r="F241" i="18"/>
  <c r="E44" i="24"/>
  <c r="E9" i="26"/>
  <c r="E205" i="21"/>
  <c r="F40" i="24"/>
  <c r="E43" i="24"/>
  <c r="E43" i="21"/>
  <c r="F14" i="20"/>
  <c r="F3" i="19"/>
  <c r="F382" i="21"/>
  <c r="E114" i="14"/>
  <c r="F37" i="22"/>
  <c r="F25" i="24"/>
  <c r="F36" i="24"/>
  <c r="E179" i="25"/>
  <c r="E188" i="21"/>
  <c r="E110" i="24"/>
  <c r="F38" i="21"/>
  <c r="F30" i="18"/>
  <c r="F219" i="16"/>
  <c r="F95" i="21"/>
  <c r="E123" i="18"/>
  <c r="E196" i="20"/>
  <c r="F175" i="24"/>
  <c r="E94" i="24"/>
  <c r="E177" i="23"/>
  <c r="F24" i="20"/>
  <c r="F132" i="26"/>
  <c r="E34" i="26"/>
  <c r="F96" i="23"/>
  <c r="F126" i="26"/>
  <c r="F322" i="24"/>
  <c r="E365" i="24"/>
  <c r="F89" i="22"/>
  <c r="F20" i="19"/>
  <c r="E167" i="21"/>
  <c r="E158" i="24"/>
  <c r="E38" i="24"/>
  <c r="F262" i="24"/>
  <c r="F209" i="23"/>
  <c r="E110" i="25"/>
  <c r="E50" i="25"/>
  <c r="F9" i="19"/>
  <c r="E2" i="26"/>
  <c r="F86" i="24"/>
  <c r="E184" i="23"/>
  <c r="E92" i="24"/>
  <c r="F323" i="21"/>
  <c r="F285" i="24"/>
  <c r="F67" i="25"/>
  <c r="E143" i="25"/>
  <c r="E87" i="20"/>
  <c r="E112" i="21"/>
  <c r="E397" i="21"/>
  <c r="E389" i="24"/>
  <c r="E183" i="18"/>
  <c r="E293" i="21"/>
  <c r="E52" i="25"/>
  <c r="E62" i="25"/>
  <c r="E342" i="21"/>
  <c r="E90" i="22"/>
  <c r="F31" i="25"/>
  <c r="F303" i="21"/>
  <c r="E130" i="16"/>
  <c r="F111" i="21"/>
  <c r="F10" i="21"/>
  <c r="F211" i="18"/>
  <c r="E7" i="22"/>
  <c r="E393" i="21"/>
  <c r="E63" i="26"/>
  <c r="F80" i="21"/>
  <c r="F89" i="24"/>
  <c r="E118" i="21"/>
  <c r="E381" i="21"/>
  <c r="F101" i="18"/>
  <c r="F51" i="25"/>
  <c r="E163" i="25"/>
  <c r="E120" i="19"/>
  <c r="E325" i="24"/>
  <c r="F77" i="22"/>
  <c r="E47" i="21"/>
  <c r="E354" i="24"/>
  <c r="F6" i="20"/>
  <c r="F70" i="20"/>
  <c r="E357" i="17"/>
  <c r="E207" i="19"/>
  <c r="F68" i="24"/>
  <c r="F52" i="21"/>
  <c r="E28" i="25"/>
  <c r="F69" i="25"/>
  <c r="F110" i="21"/>
  <c r="F110" i="22"/>
  <c r="E24" i="19"/>
  <c r="E76" i="26"/>
  <c r="E150" i="25"/>
  <c r="F364" i="24"/>
  <c r="E248" i="21"/>
  <c r="F203" i="23"/>
  <c r="F194" i="21"/>
  <c r="E347" i="21"/>
  <c r="F92" i="23"/>
  <c r="E70" i="23"/>
  <c r="E152" i="25"/>
  <c r="F76" i="23"/>
  <c r="F72" i="24"/>
  <c r="F10" i="23"/>
  <c r="F140" i="20"/>
  <c r="E99" i="23"/>
  <c r="F347" i="16"/>
  <c r="F101" i="21"/>
  <c r="E7" i="19"/>
  <c r="F152" i="24"/>
  <c r="E341" i="21"/>
  <c r="E221" i="21"/>
  <c r="F357" i="24"/>
  <c r="E302" i="17"/>
  <c r="F110" i="25"/>
  <c r="E100" i="24"/>
  <c r="E256" i="19"/>
  <c r="E330" i="24"/>
  <c r="F143" i="26"/>
  <c r="F63" i="24"/>
  <c r="F94" i="21"/>
  <c r="E361" i="21"/>
  <c r="E344" i="16"/>
  <c r="E254" i="23"/>
  <c r="F341" i="17"/>
  <c r="F164" i="26"/>
  <c r="E82" i="25"/>
  <c r="F5" i="24"/>
  <c r="F93" i="26"/>
  <c r="E285" i="17"/>
  <c r="E192" i="15"/>
  <c r="F8" i="26"/>
  <c r="F161" i="16"/>
  <c r="E300" i="16"/>
  <c r="E267" i="21"/>
  <c r="F239" i="21"/>
  <c r="F162" i="21"/>
  <c r="E12" i="26"/>
  <c r="E41" i="25"/>
  <c r="F265" i="21"/>
  <c r="F156" i="21"/>
  <c r="F138" i="25"/>
  <c r="F160" i="21"/>
  <c r="E262" i="19"/>
  <c r="E15" i="17"/>
  <c r="E47" i="23"/>
  <c r="E180" i="24"/>
  <c r="E295" i="17"/>
  <c r="E163" i="20"/>
  <c r="E22" i="19"/>
  <c r="F192" i="24"/>
  <c r="E206" i="23"/>
  <c r="F191" i="19"/>
  <c r="E88" i="23"/>
  <c r="E15" i="22"/>
  <c r="F105" i="25"/>
  <c r="E183" i="25"/>
  <c r="F117" i="24"/>
  <c r="E270" i="17"/>
  <c r="F323" i="24"/>
  <c r="F213" i="23"/>
  <c r="F290" i="24"/>
  <c r="E162" i="25"/>
  <c r="E304" i="24"/>
  <c r="F209" i="24"/>
  <c r="F29" i="25"/>
  <c r="F146" i="25"/>
  <c r="E8" i="25"/>
  <c r="F300" i="24"/>
  <c r="F80" i="22"/>
  <c r="E359" i="24"/>
  <c r="F190" i="23"/>
  <c r="E327" i="24"/>
  <c r="E191" i="23"/>
  <c r="F123" i="26"/>
  <c r="E2" i="25"/>
  <c r="F343" i="21"/>
  <c r="F7" i="22"/>
  <c r="E245" i="24"/>
  <c r="E77" i="18"/>
  <c r="E45" i="23"/>
  <c r="E112" i="25"/>
  <c r="F134" i="24"/>
  <c r="E78" i="26"/>
  <c r="F301" i="21"/>
  <c r="E193" i="24"/>
  <c r="F66" i="25"/>
  <c r="E294" i="17"/>
  <c r="E288" i="19"/>
  <c r="F267" i="24"/>
  <c r="E174" i="25"/>
  <c r="F130" i="17"/>
  <c r="E128" i="23"/>
  <c r="F133" i="19"/>
  <c r="F161" i="23"/>
  <c r="E208" i="15"/>
  <c r="E13" i="17"/>
  <c r="E129" i="20"/>
  <c r="F100" i="23"/>
  <c r="F54" i="22"/>
  <c r="F110" i="24"/>
  <c r="E137" i="20"/>
  <c r="F142" i="21"/>
  <c r="F214" i="23"/>
  <c r="E352" i="17"/>
  <c r="E149" i="26"/>
  <c r="F294" i="21"/>
  <c r="F271" i="19"/>
  <c r="E186" i="16"/>
  <c r="E110" i="15"/>
  <c r="F2" i="21"/>
  <c r="E355" i="21"/>
  <c r="E297" i="24"/>
  <c r="E180" i="25"/>
  <c r="E142" i="24"/>
  <c r="F145" i="25"/>
  <c r="E34" i="25"/>
  <c r="F319" i="24"/>
  <c r="F132" i="24"/>
  <c r="F246" i="23"/>
  <c r="E126" i="26"/>
  <c r="E117" i="23"/>
  <c r="F74" i="22"/>
  <c r="F261" i="21"/>
  <c r="F41" i="25"/>
  <c r="F195" i="23"/>
  <c r="E181" i="23"/>
  <c r="E80" i="22"/>
  <c r="E29" i="20"/>
  <c r="E176" i="24"/>
  <c r="E193" i="18"/>
  <c r="E78" i="22"/>
  <c r="F269" i="21"/>
  <c r="F81" i="19"/>
  <c r="E16" i="18"/>
  <c r="E137" i="17"/>
  <c r="F104" i="18"/>
  <c r="F275" i="21"/>
  <c r="F72" i="25"/>
  <c r="F63" i="23"/>
  <c r="E143" i="26"/>
  <c r="E326" i="24"/>
  <c r="F57" i="21"/>
  <c r="F260" i="21"/>
  <c r="F98" i="23"/>
  <c r="F97" i="24"/>
  <c r="E375" i="24"/>
  <c r="F177" i="24"/>
  <c r="E185" i="21"/>
  <c r="E59" i="21"/>
  <c r="E122" i="19"/>
  <c r="E60" i="22"/>
  <c r="F184" i="19"/>
  <c r="F184" i="23"/>
  <c r="E9" i="20"/>
  <c r="E171" i="25"/>
  <c r="F75" i="22"/>
  <c r="E153" i="20"/>
  <c r="F26" i="23"/>
  <c r="E242" i="18"/>
  <c r="F194" i="16"/>
  <c r="E50" i="20"/>
  <c r="F118" i="18"/>
  <c r="F241" i="23"/>
  <c r="F28" i="22"/>
  <c r="E20" i="25"/>
  <c r="E256" i="24"/>
  <c r="F69" i="26"/>
  <c r="E178" i="23"/>
  <c r="E130" i="26"/>
  <c r="F192" i="18"/>
  <c r="F193" i="21"/>
  <c r="E42" i="24"/>
  <c r="F23" i="21"/>
  <c r="E168" i="23"/>
  <c r="F53" i="20"/>
  <c r="F180" i="21"/>
  <c r="E2" i="24"/>
  <c r="F145" i="24"/>
  <c r="F23" i="25"/>
  <c r="F169" i="24"/>
  <c r="E120" i="25"/>
  <c r="F173" i="21"/>
  <c r="F171" i="25"/>
  <c r="F266" i="24"/>
  <c r="E84" i="21"/>
  <c r="E377" i="21"/>
  <c r="E248" i="17"/>
  <c r="E142" i="26"/>
  <c r="F296" i="24"/>
  <c r="F75" i="23"/>
  <c r="E57" i="18"/>
  <c r="F42" i="25"/>
  <c r="F41" i="26"/>
  <c r="E302" i="21"/>
  <c r="F335" i="21"/>
  <c r="F191" i="24"/>
  <c r="E4" i="25"/>
  <c r="E342" i="17"/>
  <c r="E251" i="24"/>
  <c r="E87" i="23"/>
  <c r="F361" i="24"/>
  <c r="E178" i="21"/>
  <c r="E237" i="23"/>
  <c r="E56" i="25"/>
  <c r="F63" i="21"/>
  <c r="E74" i="21"/>
  <c r="E99" i="20"/>
  <c r="F64" i="24"/>
  <c r="E295" i="24"/>
  <c r="E124" i="23"/>
  <c r="F54" i="25"/>
  <c r="F48" i="22"/>
  <c r="E220" i="21"/>
  <c r="E16" i="20"/>
  <c r="F66" i="24"/>
  <c r="E182" i="21"/>
  <c r="E90" i="25"/>
  <c r="E121" i="15"/>
  <c r="E5" i="14"/>
  <c r="E45" i="16"/>
  <c r="E156" i="25"/>
  <c r="E252" i="17"/>
  <c r="E141" i="18"/>
  <c r="E24" i="23"/>
  <c r="E121" i="18"/>
  <c r="F9" i="24"/>
  <c r="F105" i="26"/>
  <c r="E144" i="24"/>
  <c r="F213" i="21"/>
  <c r="F108" i="20"/>
  <c r="E123" i="20"/>
  <c r="E193" i="23"/>
  <c r="E127" i="25"/>
  <c r="F74" i="17"/>
  <c r="E327" i="17"/>
  <c r="F32" i="24"/>
  <c r="E140" i="25"/>
  <c r="F31" i="19"/>
  <c r="F3" i="26"/>
  <c r="E242" i="23"/>
  <c r="E106" i="24"/>
  <c r="E138" i="24"/>
  <c r="E100" i="19"/>
  <c r="E301" i="24"/>
  <c r="F7" i="26"/>
  <c r="E96" i="26"/>
  <c r="E33" i="24"/>
  <c r="F164" i="25"/>
  <c r="F333" i="21"/>
  <c r="F153" i="20"/>
  <c r="F24" i="26"/>
  <c r="F132" i="23"/>
  <c r="F203" i="21"/>
  <c r="F67" i="26"/>
  <c r="E136" i="25"/>
  <c r="E304" i="16"/>
  <c r="E69" i="22"/>
  <c r="E190" i="24"/>
  <c r="F362" i="21"/>
  <c r="E61" i="23"/>
  <c r="E40" i="26"/>
  <c r="F129" i="24"/>
  <c r="F90" i="24"/>
  <c r="F10" i="20"/>
  <c r="F55" i="26"/>
  <c r="F39" i="21"/>
  <c r="F60" i="25"/>
  <c r="E165" i="18"/>
  <c r="E114" i="25"/>
  <c r="F27" i="26"/>
  <c r="F255" i="19"/>
  <c r="F175" i="23"/>
  <c r="E39" i="20"/>
  <c r="F224" i="21"/>
  <c r="E96" i="21"/>
  <c r="E262" i="17"/>
  <c r="E362" i="21"/>
  <c r="F338" i="17"/>
  <c r="F56" i="24"/>
  <c r="F163" i="19"/>
  <c r="F108" i="22"/>
  <c r="E31" i="10"/>
  <c r="E112" i="20"/>
  <c r="E110" i="14"/>
  <c r="E30" i="16"/>
  <c r="F100" i="24"/>
  <c r="E177" i="24"/>
  <c r="F42" i="24"/>
  <c r="E61" i="22"/>
  <c r="F103" i="26"/>
  <c r="E174" i="19"/>
  <c r="E357" i="24"/>
  <c r="E271" i="21"/>
  <c r="F59" i="26"/>
  <c r="F88" i="26"/>
  <c r="E248" i="24"/>
  <c r="F398" i="21"/>
  <c r="E379" i="24"/>
  <c r="E68" i="26"/>
  <c r="F44" i="24"/>
  <c r="F58" i="24"/>
  <c r="E54" i="23"/>
  <c r="E366" i="24"/>
  <c r="F221" i="17"/>
  <c r="E12" i="18"/>
  <c r="F132" i="20"/>
  <c r="F246" i="24"/>
  <c r="E71" i="25"/>
  <c r="E256" i="23"/>
  <c r="F271" i="21"/>
  <c r="F6" i="23"/>
  <c r="E202" i="23"/>
  <c r="F36" i="21"/>
  <c r="F40" i="23"/>
  <c r="E57" i="22"/>
  <c r="F49" i="25"/>
  <c r="E160" i="19"/>
  <c r="F17" i="23"/>
  <c r="E153" i="18"/>
  <c r="E191" i="18"/>
  <c r="E91" i="18"/>
  <c r="E172" i="24"/>
  <c r="E69" i="19"/>
  <c r="F203" i="17"/>
  <c r="F336" i="21"/>
  <c r="E86" i="23"/>
  <c r="E98" i="22"/>
  <c r="E68" i="21"/>
  <c r="F97" i="22"/>
  <c r="F240" i="21"/>
  <c r="E258" i="19"/>
  <c r="F144" i="21"/>
  <c r="E208" i="24"/>
  <c r="E44" i="25"/>
  <c r="F5" i="23"/>
  <c r="F239" i="23"/>
  <c r="F360" i="24"/>
  <c r="F181" i="25"/>
  <c r="F202" i="24"/>
  <c r="F116" i="23"/>
  <c r="F187" i="20"/>
  <c r="F33" i="24"/>
  <c r="E369" i="24"/>
  <c r="E208" i="21"/>
  <c r="F369" i="24"/>
  <c r="F50" i="21"/>
  <c r="E245" i="18"/>
  <c r="E380" i="24"/>
  <c r="F13" i="21"/>
  <c r="F34" i="24"/>
  <c r="E303" i="21"/>
  <c r="F120" i="25"/>
  <c r="E203" i="23"/>
  <c r="F217" i="19"/>
  <c r="F50" i="19"/>
  <c r="F110" i="18"/>
  <c r="E119" i="18"/>
  <c r="E272" i="19"/>
  <c r="F237" i="23"/>
  <c r="F93" i="18"/>
  <c r="E128" i="25"/>
  <c r="E96" i="24"/>
  <c r="F176" i="24"/>
  <c r="E186" i="21"/>
  <c r="F114" i="21"/>
  <c r="F270" i="21"/>
  <c r="E71" i="21"/>
  <c r="E65" i="22"/>
  <c r="F179" i="23"/>
  <c r="F9" i="22"/>
  <c r="E68" i="24"/>
  <c r="E271" i="19"/>
  <c r="F128" i="20"/>
  <c r="E120" i="16"/>
  <c r="E335" i="17"/>
  <c r="E21" i="21"/>
  <c r="F52" i="26"/>
  <c r="E227" i="24"/>
  <c r="F135" i="24"/>
  <c r="F368" i="21"/>
  <c r="F226" i="21"/>
  <c r="F256" i="18"/>
  <c r="E162" i="16"/>
  <c r="E80" i="18"/>
  <c r="E292" i="24"/>
  <c r="F37" i="25"/>
  <c r="F65" i="21"/>
  <c r="F16" i="23"/>
  <c r="F247" i="17"/>
  <c r="E91" i="24"/>
  <c r="E7" i="16"/>
  <c r="F222" i="13"/>
  <c r="E63" i="14"/>
  <c r="F207" i="12"/>
  <c r="F58" i="21"/>
  <c r="E34" i="19"/>
  <c r="E148" i="5"/>
  <c r="E191" i="20"/>
  <c r="E150" i="24"/>
  <c r="E97" i="23"/>
  <c r="F129" i="21"/>
  <c r="F150" i="26"/>
  <c r="E239" i="23"/>
  <c r="E168" i="18"/>
  <c r="F258" i="18"/>
  <c r="E93" i="22"/>
  <c r="F167" i="24"/>
  <c r="F223" i="23"/>
  <c r="F253" i="21"/>
  <c r="F203" i="19"/>
  <c r="F33" i="18"/>
  <c r="E85" i="24"/>
  <c r="E98" i="25"/>
  <c r="F211" i="21"/>
  <c r="F25" i="23"/>
  <c r="E306" i="21"/>
  <c r="F158" i="25"/>
  <c r="F177" i="25"/>
  <c r="E37" i="21"/>
  <c r="E41" i="26"/>
  <c r="E169" i="24"/>
  <c r="F133" i="21"/>
  <c r="E376" i="17"/>
  <c r="E75" i="23"/>
  <c r="F149" i="20"/>
  <c r="F326" i="24"/>
  <c r="F396" i="21"/>
  <c r="F154" i="25"/>
  <c r="F112" i="23"/>
  <c r="F295" i="17"/>
  <c r="F349" i="17"/>
  <c r="E71" i="17"/>
  <c r="F248" i="16"/>
  <c r="E143" i="10"/>
  <c r="F33" i="26"/>
  <c r="F199" i="20"/>
  <c r="E145" i="25"/>
  <c r="F208" i="23"/>
  <c r="F288" i="21"/>
  <c r="F233" i="21"/>
  <c r="E65" i="18"/>
  <c r="E108" i="25"/>
  <c r="E320" i="24"/>
  <c r="E142" i="25"/>
  <c r="E82" i="26"/>
  <c r="E151" i="24"/>
  <c r="E80" i="16"/>
  <c r="E68" i="22"/>
  <c r="F104" i="22"/>
  <c r="F166" i="21"/>
  <c r="E39" i="19"/>
  <c r="F180" i="23"/>
  <c r="F237" i="21"/>
  <c r="E264" i="24"/>
  <c r="F306" i="24"/>
  <c r="E134" i="26"/>
  <c r="E271" i="24"/>
  <c r="F57" i="24"/>
  <c r="E260" i="23"/>
  <c r="F5" i="26"/>
  <c r="F304" i="24"/>
  <c r="F149" i="24"/>
  <c r="E332" i="24"/>
  <c r="F56" i="26"/>
  <c r="E233" i="23"/>
  <c r="E133" i="26"/>
  <c r="F117" i="26"/>
  <c r="E47" i="25"/>
  <c r="E115" i="23"/>
  <c r="E229" i="18"/>
  <c r="E14" i="22"/>
  <c r="E97" i="26"/>
  <c r="E58" i="24"/>
  <c r="F47" i="24"/>
  <c r="E77" i="24"/>
  <c r="E48" i="23"/>
  <c r="E189" i="24"/>
  <c r="F375" i="24"/>
  <c r="F132" i="25"/>
  <c r="F214" i="24"/>
  <c r="F217" i="21"/>
  <c r="E332" i="17"/>
  <c r="E33" i="21"/>
  <c r="F308" i="21"/>
  <c r="F218" i="24"/>
  <c r="E57" i="19"/>
  <c r="F247" i="16"/>
  <c r="E171" i="20"/>
  <c r="E93" i="25"/>
  <c r="E227" i="21"/>
  <c r="E161" i="26"/>
  <c r="E254" i="18"/>
  <c r="F3" i="21"/>
  <c r="F296" i="21"/>
  <c r="E307" i="21"/>
  <c r="F14" i="21"/>
  <c r="E15" i="21"/>
  <c r="E357" i="21"/>
  <c r="E222" i="23"/>
  <c r="F99" i="23"/>
  <c r="F24" i="19"/>
  <c r="E270" i="24"/>
  <c r="F221" i="19"/>
  <c r="F344" i="21"/>
  <c r="E54" i="21"/>
  <c r="F220" i="24"/>
  <c r="F347" i="24"/>
  <c r="E23" i="21"/>
  <c r="F370" i="21"/>
  <c r="E100" i="23"/>
  <c r="E25" i="17"/>
  <c r="E30" i="18"/>
  <c r="E217" i="24"/>
  <c r="F128" i="25"/>
  <c r="E185" i="17"/>
  <c r="F231" i="17"/>
  <c r="F20" i="17"/>
  <c r="E22" i="15"/>
  <c r="E41" i="24"/>
  <c r="F50" i="17"/>
  <c r="F220" i="16"/>
  <c r="F311" i="19"/>
  <c r="F173" i="17"/>
  <c r="F274" i="19"/>
  <c r="E13" i="19"/>
  <c r="F18" i="15"/>
  <c r="E64" i="25"/>
  <c r="F98" i="25"/>
  <c r="E89" i="24"/>
  <c r="E174" i="24"/>
  <c r="E66" i="24"/>
  <c r="E6" i="18"/>
  <c r="F95" i="25"/>
  <c r="F92" i="24"/>
  <c r="F243" i="21"/>
  <c r="E104" i="23"/>
  <c r="E120" i="15"/>
  <c r="F216" i="21"/>
  <c r="E127" i="17"/>
  <c r="E388" i="24"/>
  <c r="F276" i="21"/>
  <c r="F350" i="24"/>
  <c r="F109" i="21"/>
  <c r="E55" i="25"/>
  <c r="E35" i="25"/>
  <c r="E124" i="26"/>
  <c r="E101" i="25"/>
  <c r="F115" i="23"/>
  <c r="E14" i="19"/>
  <c r="E122" i="21"/>
  <c r="E69" i="26"/>
  <c r="E45" i="26"/>
  <c r="E340" i="24"/>
  <c r="F255" i="24"/>
  <c r="E164" i="26"/>
  <c r="E81" i="18"/>
  <c r="E209" i="18"/>
  <c r="F293" i="19"/>
  <c r="E124" i="24"/>
  <c r="F252" i="21"/>
  <c r="E23" i="14"/>
  <c r="F43" i="21"/>
  <c r="F58" i="26"/>
  <c r="E108" i="21"/>
  <c r="F159" i="24"/>
  <c r="E354" i="16"/>
  <c r="E94" i="26"/>
  <c r="E346" i="17"/>
  <c r="E75" i="20"/>
  <c r="E213" i="24"/>
  <c r="F33" i="22"/>
  <c r="E42" i="25"/>
  <c r="F189" i="24"/>
  <c r="F160" i="20"/>
  <c r="E24" i="21"/>
  <c r="F197" i="19"/>
  <c r="F123" i="24"/>
  <c r="F377" i="24"/>
  <c r="F241" i="24"/>
  <c r="F349" i="21"/>
  <c r="E10" i="23"/>
  <c r="E5" i="23"/>
  <c r="F77" i="25"/>
  <c r="E103" i="23"/>
  <c r="F258" i="24"/>
  <c r="F3" i="22"/>
  <c r="E143" i="19"/>
  <c r="F105" i="19"/>
  <c r="F227" i="21"/>
  <c r="E163" i="18"/>
  <c r="E178" i="24"/>
  <c r="F68" i="23"/>
  <c r="F3" i="23"/>
  <c r="E173" i="24"/>
  <c r="F43" i="22"/>
  <c r="E257" i="24"/>
  <c r="E148" i="26"/>
  <c r="E43" i="25"/>
  <c r="E377" i="24"/>
  <c r="E262" i="24"/>
  <c r="F182" i="25"/>
  <c r="F168" i="20"/>
  <c r="E290" i="17"/>
  <c r="E160" i="26"/>
  <c r="E284" i="21"/>
  <c r="E89" i="25"/>
  <c r="F10" i="26"/>
  <c r="E84" i="24"/>
  <c r="F31" i="23"/>
  <c r="F116" i="26"/>
  <c r="F27" i="16"/>
  <c r="E88" i="16"/>
  <c r="E117" i="20"/>
  <c r="E149" i="12"/>
  <c r="E300" i="24"/>
  <c r="E349" i="24"/>
  <c r="F43" i="25"/>
  <c r="E105" i="24"/>
  <c r="E63" i="25"/>
  <c r="F183" i="20"/>
  <c r="E336" i="17"/>
  <c r="E321" i="21"/>
  <c r="F247" i="21"/>
  <c r="F10" i="24"/>
  <c r="F82" i="26"/>
  <c r="F35" i="24"/>
  <c r="E136" i="19"/>
  <c r="E95" i="19"/>
  <c r="E169" i="23"/>
  <c r="E249" i="24"/>
  <c r="E17" i="26"/>
  <c r="F340" i="17"/>
  <c r="F45" i="19"/>
  <c r="E79" i="26"/>
  <c r="F163" i="26"/>
  <c r="E33" i="25"/>
  <c r="F109" i="26"/>
  <c r="F135" i="19"/>
  <c r="F68" i="20"/>
  <c r="F85" i="24"/>
  <c r="F61" i="25"/>
  <c r="E34" i="24"/>
  <c r="F53" i="22"/>
  <c r="F57" i="23"/>
  <c r="E73" i="4"/>
  <c r="E204" i="21"/>
  <c r="F244" i="19"/>
  <c r="E211" i="23"/>
  <c r="F143" i="20"/>
  <c r="F64" i="22"/>
  <c r="E196" i="12"/>
  <c r="F165" i="13"/>
  <c r="E49" i="20"/>
  <c r="F218" i="19"/>
  <c r="E104" i="24"/>
  <c r="F83" i="25"/>
  <c r="F100" i="25"/>
  <c r="E132" i="19"/>
  <c r="E105" i="26"/>
  <c r="F106" i="21"/>
  <c r="F261" i="23"/>
  <c r="F17" i="21"/>
  <c r="F268" i="24"/>
  <c r="E79" i="25"/>
  <c r="F77" i="23"/>
  <c r="F245" i="16"/>
  <c r="F109" i="22"/>
  <c r="F25" i="25"/>
  <c r="F78" i="21"/>
  <c r="E106" i="26"/>
  <c r="E238" i="23"/>
  <c r="F72" i="22"/>
  <c r="E91" i="25"/>
  <c r="F135" i="26"/>
  <c r="E166" i="25"/>
  <c r="E133" i="18"/>
  <c r="F96" i="24"/>
  <c r="F13" i="26"/>
  <c r="F381" i="21"/>
  <c r="E296" i="24"/>
  <c r="E30" i="23"/>
  <c r="E340" i="21"/>
  <c r="F247" i="23"/>
  <c r="F183" i="24"/>
  <c r="F30" i="20"/>
  <c r="E24" i="24"/>
  <c r="F50" i="23"/>
  <c r="E64" i="22"/>
  <c r="E102" i="20"/>
  <c r="F31" i="20"/>
  <c r="F247" i="19"/>
  <c r="E93" i="26"/>
  <c r="F145" i="20"/>
  <c r="E9" i="23"/>
  <c r="E125" i="23"/>
  <c r="F104" i="26"/>
  <c r="F5" i="22"/>
  <c r="F105" i="23"/>
  <c r="F174" i="25"/>
  <c r="F107" i="25"/>
  <c r="F165" i="25"/>
  <c r="E172" i="21"/>
  <c r="F33" i="21"/>
  <c r="F18" i="22"/>
  <c r="E7" i="18"/>
  <c r="E11" i="23"/>
  <c r="E135" i="21"/>
  <c r="F38" i="22"/>
  <c r="E63" i="24"/>
  <c r="E324" i="24"/>
  <c r="F15" i="23"/>
  <c r="E47" i="24"/>
  <c r="E88" i="21"/>
  <c r="F112" i="24"/>
  <c r="F8" i="18"/>
  <c r="E238" i="24"/>
  <c r="E240" i="19"/>
  <c r="E111" i="18"/>
  <c r="E11" i="24"/>
  <c r="E330" i="21"/>
  <c r="F183" i="19"/>
  <c r="E122" i="26"/>
  <c r="F59" i="22"/>
  <c r="E134" i="21"/>
  <c r="E179" i="21"/>
  <c r="E25" i="24"/>
  <c r="F281" i="24"/>
  <c r="E282" i="24"/>
  <c r="E196" i="23"/>
  <c r="E76" i="23"/>
  <c r="F47" i="21"/>
  <c r="F228" i="24"/>
  <c r="E81" i="20"/>
  <c r="F270" i="24"/>
  <c r="E97" i="21"/>
  <c r="E372" i="21"/>
  <c r="E189" i="18"/>
  <c r="E60" i="19"/>
  <c r="F123" i="16"/>
  <c r="E164" i="19"/>
  <c r="F46" i="23"/>
  <c r="E228" i="16"/>
  <c r="F57" i="18"/>
  <c r="E221" i="23"/>
  <c r="F212" i="23"/>
  <c r="F81" i="26"/>
  <c r="E54" i="15"/>
  <c r="F6" i="24"/>
  <c r="F387" i="24"/>
  <c r="E292" i="21"/>
  <c r="E78" i="19"/>
  <c r="F73" i="24"/>
  <c r="F4" i="22"/>
  <c r="F101" i="22"/>
  <c r="E88" i="25"/>
  <c r="F71" i="25"/>
  <c r="E133" i="19"/>
  <c r="F342" i="24"/>
  <c r="F178" i="23"/>
  <c r="E275" i="24"/>
  <c r="E177" i="25"/>
  <c r="F52" i="24"/>
  <c r="F39" i="23"/>
  <c r="F59" i="24"/>
  <c r="F52" i="25"/>
  <c r="F183" i="25"/>
  <c r="F284" i="24"/>
  <c r="E27" i="25"/>
  <c r="E116" i="21"/>
  <c r="F264" i="24"/>
  <c r="F298" i="17"/>
  <c r="F295" i="24"/>
  <c r="E228" i="18"/>
  <c r="F320" i="19"/>
  <c r="F382" i="17"/>
  <c r="E223" i="17"/>
  <c r="F35" i="18"/>
  <c r="F138" i="19"/>
  <c r="F168" i="18"/>
  <c r="F113" i="13"/>
  <c r="F157" i="26"/>
  <c r="F31" i="21"/>
  <c r="F219" i="24"/>
  <c r="E142" i="23"/>
  <c r="E337" i="21"/>
  <c r="F29" i="22"/>
  <c r="F150" i="25"/>
  <c r="F94" i="18"/>
  <c r="E109" i="23"/>
  <c r="E48" i="22"/>
  <c r="F117" i="25"/>
  <c r="F144" i="19"/>
  <c r="F179" i="21"/>
  <c r="E86" i="21"/>
  <c r="E123" i="24"/>
  <c r="F35" i="26"/>
  <c r="E300" i="21"/>
  <c r="F82" i="24"/>
  <c r="E65" i="25"/>
  <c r="E70" i="21"/>
  <c r="E162" i="23"/>
  <c r="F120" i="20"/>
  <c r="F66" i="21"/>
  <c r="E71" i="20"/>
  <c r="F272" i="24"/>
  <c r="F184" i="20"/>
  <c r="E234" i="23"/>
  <c r="E37" i="24"/>
  <c r="F274" i="21"/>
  <c r="F327" i="21"/>
  <c r="E125" i="18"/>
  <c r="F309" i="21"/>
  <c r="F85" i="16"/>
  <c r="E92" i="17"/>
  <c r="F127" i="12"/>
  <c r="E18" i="19"/>
  <c r="E103" i="12"/>
  <c r="E255" i="21"/>
  <c r="F96" i="17"/>
  <c r="E239" i="18"/>
  <c r="E8" i="21"/>
  <c r="E67" i="17"/>
  <c r="E247" i="19"/>
  <c r="E91" i="21"/>
  <c r="F120" i="17"/>
  <c r="F221" i="21"/>
  <c r="F63" i="12"/>
  <c r="F34" i="15"/>
  <c r="F99" i="9"/>
  <c r="E98" i="19"/>
  <c r="F58" i="22"/>
  <c r="F285" i="21"/>
  <c r="F295" i="21"/>
  <c r="E54" i="22"/>
  <c r="E24" i="18"/>
  <c r="F296" i="19"/>
  <c r="E139" i="19"/>
  <c r="F83" i="16"/>
  <c r="F203" i="18"/>
  <c r="E232" i="18"/>
  <c r="F128" i="23"/>
  <c r="E73" i="16"/>
  <c r="E215" i="15"/>
  <c r="E104" i="22"/>
  <c r="E100" i="25"/>
  <c r="F11" i="17"/>
  <c r="E138" i="16"/>
  <c r="E363" i="17"/>
  <c r="E33" i="20"/>
  <c r="F344" i="16"/>
  <c r="F77" i="19"/>
  <c r="E322" i="21"/>
  <c r="E176" i="20"/>
  <c r="E33" i="26"/>
  <c r="E145" i="24"/>
  <c r="F151" i="21"/>
  <c r="E19" i="24"/>
  <c r="E12" i="23"/>
  <c r="F124" i="24"/>
  <c r="E105" i="23"/>
  <c r="F99" i="24"/>
  <c r="E320" i="17"/>
  <c r="F59" i="21"/>
  <c r="F110" i="23"/>
  <c r="F374" i="24"/>
  <c r="E196" i="21"/>
  <c r="F197" i="21"/>
  <c r="E90" i="23"/>
  <c r="E22" i="24"/>
  <c r="E68" i="25"/>
  <c r="F62" i="24"/>
  <c r="E104" i="20"/>
  <c r="E201" i="20"/>
  <c r="E37" i="22"/>
  <c r="F203" i="24"/>
  <c r="F24" i="23"/>
  <c r="F75" i="26"/>
  <c r="E70" i="24"/>
  <c r="E175" i="23"/>
  <c r="F57" i="22"/>
  <c r="E158" i="16"/>
  <c r="E253" i="17"/>
  <c r="F196" i="19"/>
  <c r="F130" i="18"/>
  <c r="E166" i="18"/>
  <c r="E280" i="16"/>
  <c r="F305" i="19"/>
  <c r="E246" i="16"/>
  <c r="F230" i="18"/>
  <c r="E116" i="15"/>
  <c r="F85" i="14"/>
  <c r="F18" i="19"/>
  <c r="F153" i="18"/>
  <c r="F176" i="14"/>
  <c r="F172" i="17"/>
  <c r="F160" i="15"/>
  <c r="F303" i="24"/>
  <c r="E274" i="16"/>
  <c r="F142" i="15"/>
  <c r="F19" i="17"/>
  <c r="E215" i="13"/>
  <c r="F182" i="17"/>
  <c r="E207" i="23"/>
  <c r="E85" i="19"/>
  <c r="F133" i="24"/>
  <c r="E317" i="17"/>
  <c r="F2" i="13"/>
  <c r="F123" i="5"/>
  <c r="F117" i="10"/>
  <c r="F17" i="17"/>
  <c r="F52" i="15"/>
  <c r="E63" i="17"/>
  <c r="F169" i="23"/>
  <c r="F127" i="13"/>
  <c r="F116" i="19"/>
  <c r="E22" i="18"/>
  <c r="E206" i="15"/>
  <c r="E80" i="6"/>
  <c r="F224" i="17"/>
  <c r="E33" i="4"/>
  <c r="F61" i="7"/>
  <c r="E198" i="16"/>
  <c r="F327" i="17"/>
  <c r="F102" i="20"/>
  <c r="F235" i="12"/>
  <c r="E175" i="14"/>
  <c r="E73" i="21"/>
  <c r="E274" i="19"/>
  <c r="F216" i="24"/>
  <c r="F38" i="12"/>
  <c r="E236" i="19"/>
  <c r="E28" i="21"/>
  <c r="F158" i="19"/>
  <c r="E97" i="15"/>
  <c r="E16" i="23"/>
  <c r="F6" i="25"/>
  <c r="E5" i="19"/>
  <c r="E2" i="5"/>
  <c r="E113" i="21"/>
  <c r="E160" i="17"/>
  <c r="E213" i="17"/>
  <c r="F144" i="17"/>
  <c r="F131" i="12"/>
  <c r="E234" i="12"/>
  <c r="E136" i="17"/>
  <c r="E93" i="17"/>
  <c r="E49" i="23"/>
  <c r="F306" i="17"/>
  <c r="E91" i="20"/>
  <c r="F14" i="16"/>
  <c r="F189" i="19"/>
  <c r="F51" i="14"/>
  <c r="F273" i="24"/>
  <c r="F58" i="14"/>
  <c r="E96" i="16"/>
  <c r="F53" i="13"/>
  <c r="E224" i="18"/>
  <c r="F215" i="16"/>
  <c r="F33" i="16"/>
  <c r="F64" i="21"/>
  <c r="E137" i="24"/>
  <c r="F11" i="24"/>
  <c r="F126" i="23"/>
  <c r="F139" i="20"/>
  <c r="F141" i="21"/>
  <c r="F122" i="26"/>
  <c r="F148" i="21"/>
  <c r="E19" i="23"/>
  <c r="E337" i="24"/>
  <c r="E14" i="26"/>
  <c r="E149" i="24"/>
  <c r="E70" i="20"/>
  <c r="F53" i="26"/>
  <c r="E113" i="24"/>
  <c r="F326" i="21"/>
  <c r="E17" i="23"/>
  <c r="E111" i="24"/>
  <c r="E158" i="18"/>
  <c r="E287" i="21"/>
  <c r="E287" i="24"/>
  <c r="F79" i="26"/>
  <c r="E36" i="19"/>
  <c r="F248" i="24"/>
  <c r="F13" i="25"/>
  <c r="E345" i="24"/>
  <c r="E98" i="21"/>
  <c r="F37" i="13"/>
  <c r="F61" i="20"/>
  <c r="F314" i="19"/>
  <c r="E209" i="16"/>
  <c r="E255" i="18"/>
  <c r="E162" i="24"/>
  <c r="E23" i="19"/>
  <c r="F314" i="17"/>
  <c r="F315" i="19"/>
  <c r="F93" i="13"/>
  <c r="F16" i="18"/>
  <c r="F4" i="18"/>
  <c r="E334" i="21"/>
  <c r="E321" i="16"/>
  <c r="E309" i="21"/>
  <c r="F367" i="21"/>
  <c r="E174" i="21"/>
  <c r="E140" i="15"/>
  <c r="F228" i="16"/>
  <c r="E73" i="14"/>
  <c r="F137" i="15"/>
  <c r="E166" i="14"/>
  <c r="E10" i="21"/>
  <c r="F16" i="22"/>
  <c r="E225" i="18"/>
  <c r="F237" i="17"/>
  <c r="F204" i="23"/>
  <c r="F222" i="23"/>
  <c r="F27" i="15"/>
  <c r="F21" i="19"/>
  <c r="F82" i="15"/>
  <c r="F259" i="17"/>
  <c r="F83" i="18"/>
  <c r="F142" i="13"/>
  <c r="E221" i="18"/>
  <c r="E21" i="17"/>
  <c r="F238" i="18"/>
  <c r="E253" i="21"/>
  <c r="E61" i="21"/>
  <c r="F157" i="18"/>
  <c r="F297" i="24"/>
  <c r="E329" i="24"/>
  <c r="F61" i="23"/>
  <c r="E96" i="18"/>
  <c r="E274" i="17"/>
  <c r="E163" i="16"/>
  <c r="E128" i="18"/>
  <c r="E18" i="18"/>
  <c r="F19" i="7"/>
  <c r="E366" i="17"/>
  <c r="F29" i="14"/>
  <c r="F293" i="16"/>
  <c r="E165" i="19"/>
  <c r="E51" i="19"/>
  <c r="F220" i="18"/>
  <c r="F89" i="18"/>
  <c r="F28" i="20"/>
  <c r="E266" i="17"/>
  <c r="F8" i="7"/>
  <c r="E212" i="17"/>
  <c r="E14" i="7"/>
  <c r="E194" i="20"/>
  <c r="E318" i="24"/>
  <c r="F60" i="15"/>
  <c r="E42" i="15"/>
  <c r="E83" i="25"/>
  <c r="F160" i="26"/>
  <c r="F70" i="26"/>
  <c r="E64" i="15"/>
  <c r="E7" i="26"/>
  <c r="E157" i="19"/>
  <c r="E99" i="21"/>
  <c r="E97" i="24"/>
  <c r="E132" i="21"/>
  <c r="E90" i="16"/>
  <c r="E106" i="23"/>
  <c r="F266" i="17"/>
  <c r="E146" i="19"/>
  <c r="E8" i="20"/>
  <c r="F174" i="17"/>
  <c r="E329" i="16"/>
  <c r="E176" i="18"/>
  <c r="F279" i="19"/>
  <c r="E92" i="23"/>
  <c r="F149" i="21"/>
  <c r="F240" i="18"/>
  <c r="E78" i="20"/>
  <c r="F155" i="19"/>
  <c r="F49" i="23"/>
  <c r="E278" i="21"/>
  <c r="F190" i="16"/>
  <c r="F329" i="17"/>
  <c r="E185" i="14"/>
  <c r="E154" i="12"/>
  <c r="E84" i="17"/>
  <c r="F98" i="19"/>
  <c r="E51" i="17"/>
  <c r="F15" i="16"/>
  <c r="F192" i="17"/>
  <c r="F9" i="23"/>
  <c r="F18" i="17"/>
  <c r="E48" i="16"/>
  <c r="E96" i="15"/>
  <c r="F106" i="18"/>
  <c r="E122" i="14"/>
  <c r="F169" i="17"/>
  <c r="E124" i="15"/>
  <c r="F130" i="15"/>
  <c r="E73" i="17"/>
  <c r="F68" i="21"/>
  <c r="F208" i="15"/>
  <c r="E372" i="17"/>
  <c r="E319" i="24"/>
  <c r="E200" i="18"/>
  <c r="F29" i="8"/>
  <c r="F123" i="14"/>
  <c r="E162" i="18"/>
  <c r="E105" i="19"/>
  <c r="E155" i="21"/>
  <c r="E80" i="21"/>
  <c r="E237" i="21"/>
  <c r="F108" i="17"/>
  <c r="F365" i="24"/>
  <c r="E312" i="17"/>
  <c r="F238" i="24"/>
  <c r="F197" i="24"/>
  <c r="F372" i="21"/>
  <c r="F254" i="18"/>
  <c r="E338" i="24"/>
  <c r="F151" i="19"/>
  <c r="F169" i="19"/>
  <c r="F89" i="21"/>
  <c r="F213" i="24"/>
  <c r="F280" i="19"/>
  <c r="F111" i="13"/>
  <c r="F7" i="24"/>
  <c r="E130" i="23"/>
  <c r="E79" i="19"/>
  <c r="F80" i="26"/>
  <c r="E171" i="24"/>
  <c r="E261" i="19"/>
  <c r="E269" i="21"/>
  <c r="F192" i="20"/>
  <c r="F394" i="21"/>
  <c r="E204" i="19"/>
  <c r="E246" i="23"/>
  <c r="E70" i="18"/>
  <c r="F76" i="26"/>
  <c r="F308" i="24"/>
  <c r="F50" i="4"/>
  <c r="F95" i="12"/>
  <c r="E93" i="24"/>
  <c r="F156" i="14"/>
  <c r="E112" i="19"/>
  <c r="F61" i="19"/>
  <c r="F157" i="14"/>
  <c r="E83" i="21"/>
  <c r="E92" i="22"/>
  <c r="E81" i="15"/>
  <c r="F42" i="18"/>
  <c r="E145" i="13"/>
  <c r="F206" i="15"/>
  <c r="E116" i="23"/>
  <c r="E139" i="18"/>
  <c r="F217" i="16"/>
  <c r="E198" i="14"/>
  <c r="E212" i="18"/>
  <c r="F48" i="4"/>
  <c r="E248" i="23"/>
  <c r="E289" i="19"/>
  <c r="F216" i="12"/>
  <c r="F109" i="23"/>
  <c r="F211" i="23"/>
  <c r="F116" i="21"/>
  <c r="E31" i="13"/>
  <c r="E32" i="15"/>
  <c r="E110" i="21"/>
  <c r="F107" i="19"/>
  <c r="F232" i="16"/>
  <c r="E2" i="21"/>
  <c r="E232" i="17"/>
  <c r="F337" i="24"/>
  <c r="E65" i="17"/>
  <c r="F54" i="15"/>
  <c r="E66" i="18"/>
  <c r="F119" i="17"/>
  <c r="E157" i="21"/>
  <c r="E398" i="21"/>
  <c r="E333" i="17"/>
  <c r="E45" i="17"/>
  <c r="F167" i="16"/>
  <c r="F56" i="18"/>
  <c r="F361" i="21"/>
  <c r="E45" i="12"/>
  <c r="F225" i="16"/>
  <c r="E50" i="5"/>
  <c r="F192" i="14"/>
  <c r="F33" i="11"/>
  <c r="F163" i="24"/>
  <c r="F137" i="19"/>
  <c r="E184" i="25"/>
  <c r="E158" i="26"/>
  <c r="F39" i="24"/>
  <c r="F172" i="21"/>
  <c r="F29" i="21"/>
  <c r="F240" i="24"/>
  <c r="E105" i="18"/>
  <c r="F11" i="21"/>
  <c r="E75" i="8"/>
  <c r="E159" i="13"/>
  <c r="E279" i="21"/>
  <c r="E133" i="14"/>
  <c r="E362" i="16"/>
  <c r="E171" i="21"/>
  <c r="E175" i="24"/>
  <c r="E50" i="21"/>
  <c r="E44" i="22"/>
  <c r="E367" i="21"/>
  <c r="F176" i="23"/>
  <c r="F3" i="20"/>
  <c r="E329" i="17"/>
  <c r="F209" i="18"/>
  <c r="F76" i="19"/>
  <c r="E105" i="20"/>
  <c r="F125" i="13"/>
  <c r="E214" i="16"/>
  <c r="F159" i="15"/>
  <c r="E40" i="20"/>
  <c r="E123" i="26"/>
  <c r="E153" i="25"/>
  <c r="F98" i="20"/>
  <c r="E261" i="21"/>
  <c r="F200" i="20"/>
  <c r="F210" i="23"/>
  <c r="E39" i="21"/>
  <c r="F321" i="24"/>
  <c r="E121" i="21"/>
  <c r="E244" i="17"/>
  <c r="E106" i="21"/>
  <c r="F45" i="23"/>
  <c r="E150" i="5"/>
  <c r="E76" i="25"/>
  <c r="F225" i="21"/>
  <c r="F4" i="20"/>
  <c r="E60" i="23"/>
  <c r="E15" i="18"/>
  <c r="F13" i="24"/>
  <c r="E187" i="21"/>
  <c r="E207" i="17"/>
  <c r="E233" i="24"/>
  <c r="F2" i="20"/>
  <c r="F310" i="21"/>
  <c r="E169" i="21"/>
  <c r="F180" i="24"/>
  <c r="E192" i="19"/>
  <c r="F13" i="23"/>
  <c r="F237" i="16"/>
  <c r="F16" i="20"/>
  <c r="E279" i="19"/>
  <c r="E31" i="19"/>
  <c r="E240" i="16"/>
  <c r="E90" i="20"/>
  <c r="E167" i="17"/>
  <c r="E130" i="19"/>
  <c r="E141" i="15"/>
  <c r="E195" i="12"/>
  <c r="E129" i="9"/>
  <c r="E315" i="16"/>
  <c r="F221" i="18"/>
  <c r="E29" i="21"/>
  <c r="E119" i="21"/>
  <c r="E162" i="14"/>
  <c r="E7" i="14"/>
  <c r="F50" i="14"/>
  <c r="F25" i="18"/>
  <c r="E58" i="10"/>
  <c r="F280" i="16"/>
  <c r="F26" i="24"/>
  <c r="F83" i="24"/>
  <c r="F114" i="17"/>
  <c r="F19" i="13"/>
  <c r="F131" i="24"/>
  <c r="E100" i="21"/>
  <c r="F67" i="19"/>
  <c r="F61" i="9"/>
  <c r="E273" i="24"/>
  <c r="F147" i="14"/>
  <c r="F28" i="21"/>
  <c r="E55" i="17"/>
  <c r="F57" i="15"/>
  <c r="E66" i="10"/>
  <c r="F127" i="17"/>
  <c r="F155" i="21"/>
  <c r="E217" i="21"/>
  <c r="E207" i="18"/>
  <c r="F111" i="26"/>
  <c r="F207" i="19"/>
  <c r="E315" i="24"/>
  <c r="E367" i="17"/>
  <c r="E99" i="17"/>
  <c r="E53" i="6"/>
  <c r="F103" i="22"/>
  <c r="E69" i="16"/>
  <c r="F129" i="12"/>
  <c r="F185" i="18"/>
  <c r="E233" i="19"/>
  <c r="F48" i="20"/>
  <c r="E177" i="17"/>
  <c r="F266" i="16"/>
  <c r="F168" i="19"/>
  <c r="F157" i="17"/>
  <c r="F221" i="14"/>
  <c r="E54" i="16"/>
  <c r="E51" i="26"/>
  <c r="E40" i="19"/>
  <c r="E292" i="19"/>
  <c r="F182" i="24"/>
  <c r="F177" i="21"/>
  <c r="E170" i="16"/>
  <c r="E123" i="15"/>
  <c r="E128" i="26"/>
  <c r="F101" i="25"/>
  <c r="E93" i="20"/>
  <c r="E385" i="21"/>
  <c r="F130" i="23"/>
  <c r="F127" i="25"/>
  <c r="E101" i="18"/>
  <c r="E266" i="24"/>
  <c r="F97" i="19"/>
  <c r="E48" i="21"/>
  <c r="F43" i="26"/>
  <c r="F51" i="16"/>
  <c r="E209" i="13"/>
  <c r="F133" i="13"/>
  <c r="F12" i="26"/>
  <c r="E217" i="13"/>
  <c r="F10" i="17"/>
  <c r="F96" i="22"/>
  <c r="F134" i="17"/>
  <c r="E319" i="21"/>
  <c r="F15" i="19"/>
  <c r="F36" i="19"/>
  <c r="F114" i="18"/>
  <c r="F215" i="12"/>
  <c r="F194" i="19"/>
  <c r="E53" i="20"/>
  <c r="E166" i="20"/>
  <c r="E168" i="21"/>
  <c r="F225" i="18"/>
  <c r="F131" i="16"/>
  <c r="E82" i="5"/>
  <c r="E303" i="19"/>
  <c r="E88" i="6"/>
  <c r="F277" i="16"/>
  <c r="E125" i="24"/>
  <c r="F10" i="19"/>
  <c r="F36" i="25"/>
  <c r="F151" i="16"/>
  <c r="E198" i="19"/>
  <c r="E80" i="19"/>
  <c r="E308" i="24"/>
  <c r="E252" i="16"/>
  <c r="E56" i="24"/>
  <c r="F244" i="17"/>
  <c r="E199" i="19"/>
  <c r="F40" i="20"/>
  <c r="F78" i="15"/>
  <c r="E18" i="13"/>
  <c r="E132" i="17"/>
  <c r="E193" i="20"/>
  <c r="F87" i="12"/>
  <c r="F367" i="17"/>
  <c r="E142" i="18"/>
  <c r="F177" i="16"/>
  <c r="E62" i="18"/>
  <c r="F139" i="18"/>
  <c r="F178" i="15"/>
  <c r="F60" i="21"/>
  <c r="F192" i="21"/>
  <c r="E387" i="21"/>
  <c r="E305" i="24"/>
  <c r="E246" i="24"/>
  <c r="E15" i="23"/>
  <c r="F139" i="24"/>
  <c r="E250" i="24"/>
  <c r="E315" i="21"/>
  <c r="F27" i="23"/>
  <c r="E21" i="18"/>
  <c r="F163" i="16"/>
  <c r="E389" i="21"/>
  <c r="E148" i="21"/>
  <c r="F207" i="24"/>
  <c r="E107" i="23"/>
  <c r="F70" i="25"/>
  <c r="E350" i="24"/>
  <c r="E18" i="23"/>
  <c r="E60" i="21"/>
  <c r="E142" i="15"/>
  <c r="F175" i="25"/>
  <c r="E270" i="21"/>
  <c r="E314" i="16"/>
  <c r="E67" i="21"/>
  <c r="F130" i="26"/>
  <c r="E152" i="15"/>
  <c r="F298" i="16"/>
  <c r="E162" i="21"/>
  <c r="F56" i="23"/>
  <c r="E154" i="18"/>
  <c r="F229" i="18"/>
  <c r="F279" i="16"/>
  <c r="F215" i="17"/>
  <c r="F37" i="14"/>
  <c r="F227" i="17"/>
  <c r="F172" i="13"/>
  <c r="F42" i="16"/>
  <c r="F164" i="23"/>
  <c r="E17" i="25"/>
  <c r="E158" i="20"/>
  <c r="E65" i="20"/>
  <c r="E127" i="18"/>
  <c r="F144" i="13"/>
  <c r="E31" i="23"/>
  <c r="E61" i="13"/>
  <c r="E203" i="16"/>
  <c r="E282" i="19"/>
  <c r="E283" i="21"/>
  <c r="E131" i="26"/>
  <c r="E214" i="23"/>
  <c r="F264" i="21"/>
  <c r="E98" i="20"/>
  <c r="E7" i="17"/>
  <c r="E79" i="20"/>
  <c r="E55" i="24"/>
  <c r="E45" i="10"/>
  <c r="F56" i="25"/>
  <c r="F316" i="17"/>
  <c r="E25" i="23"/>
  <c r="E180" i="17"/>
  <c r="E137" i="21"/>
  <c r="F177" i="19"/>
  <c r="E212" i="19"/>
  <c r="F267" i="16"/>
  <c r="E135" i="19"/>
  <c r="F272" i="19"/>
  <c r="F206" i="16"/>
  <c r="E80" i="26"/>
  <c r="F21" i="9"/>
  <c r="F115" i="17"/>
  <c r="E164" i="15"/>
  <c r="E102" i="22"/>
  <c r="F91" i="14"/>
  <c r="E259" i="17"/>
  <c r="E119" i="19"/>
  <c r="F205" i="21"/>
  <c r="F201" i="19"/>
  <c r="E255" i="24"/>
  <c r="F69" i="19"/>
  <c r="F6" i="17"/>
  <c r="F115" i="13"/>
  <c r="E150" i="14"/>
  <c r="F56" i="17"/>
  <c r="F9" i="18"/>
  <c r="F221" i="24"/>
  <c r="F158" i="18"/>
  <c r="E18" i="15"/>
  <c r="E29" i="18"/>
  <c r="E254" i="17"/>
  <c r="F126" i="18"/>
  <c r="F137" i="13"/>
  <c r="F206" i="24"/>
  <c r="F216" i="23"/>
  <c r="E58" i="16"/>
  <c r="E134" i="20"/>
  <c r="F308" i="16"/>
  <c r="E43" i="23"/>
  <c r="E235" i="17"/>
  <c r="E332" i="16"/>
  <c r="E387" i="24"/>
  <c r="F136" i="19"/>
  <c r="E178" i="16"/>
  <c r="F344" i="24"/>
  <c r="E200" i="12"/>
  <c r="E154" i="19"/>
  <c r="F187" i="21"/>
  <c r="E47" i="18"/>
  <c r="F334" i="21"/>
  <c r="E51" i="21"/>
  <c r="E214" i="24"/>
  <c r="F108" i="24"/>
  <c r="F23" i="22"/>
  <c r="E352" i="21"/>
  <c r="E132" i="20"/>
  <c r="E51" i="24"/>
  <c r="E167" i="19"/>
  <c r="F16" i="17"/>
  <c r="E133" i="21"/>
  <c r="E117" i="24"/>
  <c r="F319" i="21"/>
  <c r="E128" i="15"/>
  <c r="F397" i="21"/>
  <c r="E259" i="23"/>
  <c r="F373" i="24"/>
  <c r="E13" i="24"/>
  <c r="F351" i="17"/>
  <c r="E122" i="23"/>
  <c r="F292" i="21"/>
  <c r="E100" i="22"/>
  <c r="E18" i="24"/>
  <c r="E154" i="20"/>
  <c r="F173" i="25"/>
  <c r="E135" i="25"/>
  <c r="F18" i="20"/>
  <c r="E14" i="18"/>
  <c r="F387" i="21"/>
  <c r="F65" i="22"/>
  <c r="E243" i="18"/>
  <c r="E149" i="17"/>
  <c r="E140" i="18"/>
  <c r="E339" i="24"/>
  <c r="E236" i="18"/>
  <c r="E9" i="17"/>
  <c r="E9" i="13"/>
  <c r="E143" i="21"/>
  <c r="E191" i="24"/>
  <c r="E184" i="17"/>
  <c r="F77" i="13"/>
  <c r="E56" i="16"/>
  <c r="E358" i="24"/>
  <c r="F229" i="12"/>
  <c r="F135" i="17"/>
  <c r="E59" i="19"/>
  <c r="F40" i="19"/>
  <c r="E167" i="23"/>
  <c r="F32" i="10"/>
  <c r="E143" i="23"/>
  <c r="F351" i="21"/>
  <c r="E276" i="17"/>
  <c r="E203" i="13"/>
  <c r="E17" i="17"/>
  <c r="E239" i="19"/>
  <c r="E2" i="23"/>
  <c r="F212" i="12"/>
  <c r="E322" i="16"/>
  <c r="E218" i="12"/>
  <c r="E144" i="20"/>
  <c r="E91" i="22"/>
  <c r="F29" i="20"/>
  <c r="F73" i="22"/>
  <c r="E125" i="10"/>
  <c r="F336" i="24"/>
  <c r="E46" i="23"/>
  <c r="E16" i="19"/>
  <c r="E37" i="14"/>
  <c r="E55" i="15"/>
  <c r="F2" i="18"/>
  <c r="F115" i="14"/>
  <c r="E320" i="16"/>
  <c r="F132" i="21"/>
  <c r="E184" i="19"/>
  <c r="E183" i="24"/>
  <c r="E12" i="25"/>
  <c r="E208" i="19"/>
  <c r="E176" i="16"/>
  <c r="E120" i="21"/>
  <c r="E36" i="26"/>
  <c r="E200" i="21"/>
  <c r="E241" i="18"/>
  <c r="F69" i="23"/>
  <c r="F19" i="16"/>
  <c r="F208" i="24"/>
  <c r="E75" i="22"/>
  <c r="F12" i="21"/>
  <c r="E160" i="24"/>
  <c r="F279" i="21"/>
  <c r="E155" i="25"/>
  <c r="E73" i="20"/>
  <c r="E197" i="19"/>
  <c r="E20" i="21"/>
  <c r="E71" i="26"/>
  <c r="F331" i="21"/>
  <c r="F145" i="18"/>
  <c r="F155" i="23"/>
  <c r="E6" i="19"/>
  <c r="F17" i="24"/>
  <c r="E226" i="21"/>
  <c r="F278" i="21"/>
  <c r="F91" i="19"/>
  <c r="E79" i="23"/>
  <c r="E210" i="12"/>
  <c r="F128" i="19"/>
  <c r="E87" i="15"/>
  <c r="E108" i="5"/>
  <c r="E90" i="12"/>
  <c r="F378" i="17"/>
  <c r="E35" i="18"/>
  <c r="F32" i="20"/>
  <c r="E34" i="17"/>
  <c r="E179" i="18"/>
  <c r="E301" i="16"/>
  <c r="F110" i="17"/>
  <c r="E31" i="22"/>
  <c r="F5" i="18"/>
  <c r="F62" i="12"/>
  <c r="E64" i="21"/>
  <c r="F113" i="16"/>
  <c r="E117" i="25"/>
  <c r="E244" i="19"/>
  <c r="F312" i="17"/>
  <c r="E47" i="22"/>
  <c r="E160" i="16"/>
  <c r="E127" i="13"/>
  <c r="F23" i="16"/>
  <c r="E394" i="21"/>
  <c r="F379" i="17"/>
  <c r="E31" i="20"/>
  <c r="F162" i="24"/>
  <c r="E42" i="20"/>
  <c r="F19" i="21"/>
  <c r="E303" i="17"/>
  <c r="F9" i="21"/>
  <c r="E197" i="14"/>
  <c r="E3" i="21"/>
  <c r="F25" i="11"/>
  <c r="E70" i="15"/>
  <c r="F27" i="25"/>
  <c r="F239" i="16"/>
  <c r="E11" i="21"/>
  <c r="F268" i="19"/>
  <c r="E29" i="23"/>
  <c r="E111" i="10"/>
  <c r="E4" i="19"/>
  <c r="E212" i="12"/>
  <c r="E177" i="19"/>
  <c r="E22" i="21"/>
  <c r="E125" i="26"/>
  <c r="E278" i="17"/>
  <c r="F234" i="19"/>
  <c r="E252" i="23"/>
  <c r="E74" i="22"/>
  <c r="F50" i="15"/>
  <c r="F342" i="16"/>
  <c r="F127" i="10"/>
  <c r="E107" i="19"/>
  <c r="E251" i="18"/>
  <c r="F124" i="13"/>
  <c r="E287" i="19"/>
  <c r="F14" i="17"/>
  <c r="E360" i="16"/>
  <c r="E174" i="5"/>
  <c r="F56" i="20"/>
  <c r="F175" i="20"/>
  <c r="F122" i="23"/>
  <c r="F195" i="18"/>
  <c r="F89" i="23"/>
  <c r="F123" i="7"/>
  <c r="F43" i="18"/>
  <c r="F254" i="19"/>
  <c r="F253" i="16"/>
  <c r="E36" i="22"/>
  <c r="F92" i="19"/>
  <c r="F301" i="19"/>
  <c r="E145" i="18"/>
  <c r="E83" i="20"/>
  <c r="E105" i="22"/>
  <c r="E151" i="26"/>
  <c r="F359" i="21"/>
  <c r="F51" i="24"/>
  <c r="E245" i="21"/>
  <c r="E66" i="21"/>
  <c r="E66" i="23"/>
  <c r="E239" i="24"/>
  <c r="F60" i="19"/>
  <c r="E46" i="22"/>
  <c r="E33" i="23"/>
  <c r="F112" i="19"/>
  <c r="E288" i="17"/>
  <c r="E107" i="24"/>
  <c r="F243" i="16"/>
  <c r="E9" i="22"/>
  <c r="E240" i="21"/>
  <c r="F88" i="23"/>
  <c r="F6" i="22"/>
  <c r="F355" i="21"/>
  <c r="E89" i="20"/>
  <c r="E88" i="24"/>
  <c r="E159" i="21"/>
  <c r="F66" i="23"/>
  <c r="E104" i="18"/>
  <c r="F64" i="18"/>
  <c r="F358" i="21"/>
  <c r="F189" i="18"/>
  <c r="E32" i="20"/>
  <c r="E53" i="17"/>
  <c r="F376" i="21"/>
  <c r="E63" i="21"/>
  <c r="F199" i="5"/>
  <c r="E63" i="15"/>
  <c r="E61" i="24"/>
  <c r="F51" i="5"/>
  <c r="E187" i="17"/>
  <c r="F229" i="23"/>
  <c r="E207" i="24"/>
  <c r="F47" i="18"/>
  <c r="E90" i="18"/>
  <c r="F288" i="16"/>
  <c r="F91" i="18"/>
  <c r="F198" i="18"/>
  <c r="F41" i="14"/>
  <c r="F104" i="10"/>
  <c r="F227" i="16"/>
  <c r="F103" i="16"/>
  <c r="E85" i="22"/>
  <c r="F168" i="23"/>
  <c r="E386" i="21"/>
  <c r="E31" i="21"/>
  <c r="E84" i="15"/>
  <c r="F22" i="16"/>
  <c r="E191" i="14"/>
  <c r="E232" i="16"/>
  <c r="E118" i="16"/>
  <c r="E16" i="16"/>
  <c r="E290" i="16"/>
  <c r="F256" i="19"/>
  <c r="F16" i="24"/>
  <c r="E264" i="19"/>
  <c r="E258" i="16"/>
  <c r="E284" i="24"/>
  <c r="E241" i="24"/>
  <c r="E56" i="21"/>
  <c r="E9" i="16"/>
  <c r="E93" i="21"/>
  <c r="F213" i="17"/>
  <c r="F273" i="19"/>
  <c r="E201" i="18"/>
  <c r="F143" i="24"/>
  <c r="E104" i="19"/>
  <c r="F9" i="13"/>
  <c r="E184" i="20"/>
  <c r="E356" i="17"/>
  <c r="F51" i="22"/>
  <c r="E203" i="21"/>
  <c r="E12" i="15"/>
  <c r="F258" i="16"/>
  <c r="F135" i="10"/>
  <c r="F7" i="21"/>
  <c r="E186" i="20"/>
  <c r="F307" i="21"/>
  <c r="F117" i="14"/>
  <c r="F147" i="23"/>
  <c r="F5" i="20"/>
  <c r="E108" i="19"/>
  <c r="E277" i="21"/>
  <c r="F240" i="19"/>
  <c r="E52" i="19"/>
  <c r="E267" i="17"/>
  <c r="E69" i="25"/>
  <c r="E132" i="23"/>
  <c r="F114" i="23"/>
  <c r="E8" i="19"/>
  <c r="E318" i="19"/>
  <c r="E101" i="13"/>
  <c r="E89" i="23"/>
  <c r="E142" i="13"/>
  <c r="E222" i="24"/>
  <c r="F202" i="21"/>
  <c r="F25" i="21"/>
  <c r="F139" i="14"/>
  <c r="F45" i="22"/>
  <c r="E236" i="21"/>
  <c r="E38" i="20"/>
  <c r="F179" i="14"/>
  <c r="F204" i="15"/>
  <c r="E185" i="19"/>
  <c r="F65" i="24"/>
  <c r="F49" i="21"/>
  <c r="F177" i="18"/>
  <c r="F152" i="17"/>
  <c r="F164" i="18"/>
  <c r="E201" i="19"/>
  <c r="F24" i="17"/>
  <c r="F208" i="17"/>
  <c r="F145" i="21"/>
  <c r="E113" i="20"/>
  <c r="F93" i="20"/>
  <c r="E35" i="21"/>
  <c r="F342" i="21"/>
  <c r="F215" i="15"/>
  <c r="E21" i="12"/>
  <c r="F31" i="5"/>
  <c r="F133" i="14"/>
  <c r="E136" i="24"/>
  <c r="F200" i="18"/>
  <c r="F17" i="2"/>
  <c r="F193" i="17"/>
  <c r="E16" i="22"/>
  <c r="E48" i="20"/>
  <c r="F46" i="15"/>
  <c r="E109" i="14"/>
  <c r="E26" i="5"/>
  <c r="E57" i="17"/>
  <c r="E294" i="19"/>
  <c r="F41" i="17"/>
  <c r="F310" i="19"/>
  <c r="E343" i="21"/>
  <c r="E62" i="15"/>
  <c r="F236" i="18"/>
  <c r="F16" i="19"/>
  <c r="E68" i="15"/>
  <c r="F175" i="17"/>
  <c r="F62" i="16"/>
  <c r="F185" i="19"/>
  <c r="F83" i="7"/>
  <c r="F96" i="19"/>
  <c r="E109" i="10"/>
  <c r="F27" i="7"/>
  <c r="F210" i="17"/>
  <c r="F78" i="5"/>
  <c r="F55" i="4"/>
  <c r="F228" i="18"/>
  <c r="F170" i="24"/>
  <c r="E298" i="16"/>
  <c r="E17" i="15"/>
  <c r="E30" i="19"/>
  <c r="E223" i="18"/>
  <c r="E97" i="19"/>
  <c r="F197" i="16"/>
  <c r="F118" i="21"/>
  <c r="E112" i="12"/>
  <c r="E105" i="21"/>
  <c r="E193" i="19"/>
  <c r="F169" i="15"/>
  <c r="F29" i="9"/>
  <c r="F29" i="13"/>
  <c r="F277" i="21"/>
  <c r="F67" i="7"/>
  <c r="F62" i="18"/>
  <c r="F256" i="17"/>
  <c r="E106" i="15"/>
  <c r="F111" i="14"/>
  <c r="E10" i="17"/>
  <c r="F180" i="13"/>
  <c r="E62" i="5"/>
  <c r="F2" i="9"/>
  <c r="E126" i="17"/>
  <c r="E32" i="6"/>
  <c r="E137" i="5"/>
  <c r="F72" i="26"/>
  <c r="E117" i="12"/>
  <c r="E81" i="22"/>
  <c r="E49" i="19"/>
  <c r="F5" i="14"/>
  <c r="F335" i="17"/>
  <c r="F377" i="17"/>
  <c r="E131" i="9"/>
  <c r="F60" i="18"/>
  <c r="E148" i="23"/>
  <c r="E73" i="7"/>
  <c r="F95" i="10"/>
  <c r="E179" i="19"/>
  <c r="E224" i="13"/>
  <c r="E282" i="16"/>
  <c r="E127" i="12"/>
  <c r="F78" i="16"/>
  <c r="F78" i="23"/>
  <c r="F134" i="16"/>
  <c r="E3" i="15"/>
  <c r="E213" i="12"/>
  <c r="F178" i="20"/>
  <c r="E39" i="11"/>
  <c r="E138" i="20"/>
  <c r="E228" i="21"/>
  <c r="E19" i="16"/>
  <c r="F18" i="18"/>
  <c r="E87" i="21"/>
  <c r="E368" i="21"/>
  <c r="F74" i="26"/>
  <c r="E17" i="20"/>
  <c r="F307" i="24"/>
  <c r="E320" i="21"/>
  <c r="E96" i="19"/>
  <c r="F39" i="11"/>
  <c r="F287" i="17"/>
  <c r="F91" i="24"/>
  <c r="F8" i="21"/>
  <c r="E163" i="19"/>
  <c r="F92" i="15"/>
  <c r="E230" i="23"/>
  <c r="F141" i="24"/>
  <c r="E209" i="23"/>
  <c r="E203" i="17"/>
  <c r="F226" i="17"/>
  <c r="F81" i="10"/>
  <c r="F138" i="18"/>
  <c r="F53" i="21"/>
  <c r="F12" i="13"/>
  <c r="E113" i="19"/>
  <c r="F261" i="16"/>
  <c r="F19" i="25"/>
  <c r="F235" i="16"/>
  <c r="F358" i="24"/>
  <c r="E67" i="26"/>
  <c r="F83" i="21"/>
  <c r="F256" i="23"/>
  <c r="F40" i="26"/>
  <c r="F157" i="20"/>
  <c r="E4" i="22"/>
  <c r="F195" i="24"/>
  <c r="F140" i="25"/>
  <c r="F6" i="16"/>
  <c r="F89" i="14"/>
  <c r="F34" i="21"/>
  <c r="E78" i="9"/>
  <c r="E35" i="26"/>
  <c r="F263" i="19"/>
  <c r="F143" i="19"/>
  <c r="F64" i="14"/>
  <c r="E27" i="19"/>
  <c r="F194" i="20"/>
  <c r="F91" i="13"/>
  <c r="E121" i="14"/>
  <c r="E168" i="24"/>
  <c r="F57" i="14"/>
  <c r="F216" i="16"/>
  <c r="F73" i="26"/>
  <c r="E167" i="25"/>
  <c r="E52" i="22"/>
  <c r="E225" i="16"/>
  <c r="F188" i="15"/>
  <c r="E205" i="23"/>
  <c r="E194" i="24"/>
  <c r="E268" i="17"/>
  <c r="E223" i="24"/>
  <c r="F197" i="5"/>
  <c r="F211" i="16"/>
  <c r="E42" i="19"/>
  <c r="F34" i="25"/>
  <c r="F42" i="17"/>
  <c r="E316" i="17"/>
  <c r="E279" i="24"/>
  <c r="E46" i="21"/>
  <c r="F132" i="16"/>
  <c r="F72" i="21"/>
  <c r="E356" i="16"/>
  <c r="E112" i="18"/>
  <c r="F229" i="16"/>
  <c r="F67" i="15"/>
  <c r="F275" i="19"/>
  <c r="F48" i="6"/>
  <c r="F80" i="16"/>
  <c r="E343" i="17"/>
  <c r="F52" i="18"/>
  <c r="F309" i="24"/>
  <c r="E263" i="19"/>
  <c r="F197" i="14"/>
  <c r="F79" i="19"/>
  <c r="F34" i="22"/>
  <c r="E226" i="19"/>
  <c r="F42" i="4"/>
  <c r="F119" i="5"/>
  <c r="F61" i="17"/>
  <c r="F218" i="18"/>
  <c r="E11" i="20"/>
  <c r="E375" i="17"/>
  <c r="F299" i="21"/>
  <c r="E128" i="19"/>
  <c r="E96" i="17"/>
  <c r="E59" i="26"/>
  <c r="E186" i="19"/>
  <c r="F118" i="5"/>
  <c r="E161" i="24"/>
  <c r="F107" i="20"/>
  <c r="F9" i="11"/>
  <c r="E98" i="15"/>
  <c r="F24" i="24"/>
  <c r="E9" i="24"/>
  <c r="E42" i="21"/>
  <c r="E220" i="17"/>
  <c r="E218" i="16"/>
  <c r="F203" i="14"/>
  <c r="F59" i="18"/>
  <c r="E114" i="18"/>
  <c r="E313" i="19"/>
  <c r="E349" i="16"/>
  <c r="E4" i="17"/>
  <c r="F223" i="13"/>
  <c r="E28" i="18"/>
  <c r="E336" i="16"/>
  <c r="F345" i="16"/>
  <c r="E27" i="10"/>
  <c r="F28" i="14"/>
  <c r="E97" i="17"/>
  <c r="E101" i="7"/>
  <c r="E37" i="13"/>
  <c r="E69" i="13"/>
  <c r="F85" i="13"/>
  <c r="E322" i="17"/>
  <c r="F242" i="21"/>
  <c r="E28" i="9"/>
  <c r="F79" i="13"/>
  <c r="F8" i="4"/>
  <c r="E193" i="21"/>
  <c r="F199" i="19"/>
  <c r="F71" i="17"/>
  <c r="E24" i="10"/>
  <c r="E4" i="1"/>
  <c r="F282" i="19"/>
  <c r="E66" i="15"/>
  <c r="F307" i="19"/>
  <c r="E173" i="17"/>
  <c r="F25" i="14"/>
  <c r="E51" i="8"/>
  <c r="E52" i="26"/>
  <c r="E280" i="19"/>
  <c r="E46" i="25"/>
  <c r="F225" i="12"/>
  <c r="E13" i="14"/>
  <c r="F269" i="19"/>
  <c r="F245" i="17"/>
  <c r="E83" i="16"/>
  <c r="F286" i="24"/>
  <c r="E45" i="25"/>
  <c r="F32" i="13"/>
  <c r="E216" i="18"/>
  <c r="F72" i="20"/>
  <c r="F75" i="19"/>
  <c r="E51" i="20"/>
  <c r="E111" i="23"/>
  <c r="E92" i="15"/>
  <c r="F371" i="17"/>
  <c r="F353" i="17"/>
  <c r="E30" i="20"/>
  <c r="E214" i="12"/>
  <c r="E10" i="19"/>
  <c r="E141" i="13"/>
  <c r="F48" i="25"/>
  <c r="F60" i="13"/>
  <c r="E209" i="17"/>
  <c r="F57" i="26"/>
  <c r="E15" i="20"/>
  <c r="F30" i="23"/>
  <c r="E26" i="23"/>
  <c r="E44" i="10"/>
  <c r="E34" i="14"/>
  <c r="F235" i="18"/>
  <c r="F354" i="17"/>
  <c r="F27" i="11"/>
  <c r="E175" i="12"/>
  <c r="E53" i="26"/>
  <c r="F190" i="18"/>
  <c r="F124" i="18"/>
  <c r="E117" i="14"/>
  <c r="F165" i="17"/>
  <c r="F134" i="20"/>
  <c r="F169" i="14"/>
  <c r="F103" i="18"/>
  <c r="E197" i="16"/>
  <c r="F99" i="19"/>
  <c r="E174" i="18"/>
  <c r="F90" i="22"/>
  <c r="F49" i="18"/>
  <c r="E117" i="17"/>
  <c r="F176" i="18"/>
  <c r="F19" i="23"/>
  <c r="E12" i="20"/>
  <c r="F148" i="15"/>
  <c r="E177" i="13"/>
  <c r="F187" i="15"/>
  <c r="F202" i="16"/>
  <c r="E30" i="15"/>
  <c r="F44" i="17"/>
  <c r="F188" i="17"/>
  <c r="F180" i="15"/>
  <c r="E25" i="26"/>
  <c r="E53" i="4"/>
  <c r="F38" i="19"/>
  <c r="F137" i="21"/>
  <c r="E339" i="17"/>
  <c r="F179" i="19"/>
  <c r="F116" i="17"/>
  <c r="E237" i="17"/>
  <c r="E121" i="5"/>
  <c r="E259" i="24"/>
  <c r="F139" i="12"/>
  <c r="F118" i="16"/>
  <c r="E234" i="17"/>
  <c r="E81" i="21"/>
  <c r="E49" i="6"/>
  <c r="F55" i="23"/>
  <c r="E78" i="14"/>
  <c r="F50" i="20"/>
  <c r="F283" i="19"/>
  <c r="F69" i="18"/>
  <c r="E90" i="21"/>
  <c r="E29" i="14"/>
  <c r="F299" i="19"/>
  <c r="F157" i="15"/>
  <c r="F92" i="12"/>
  <c r="E266" i="16"/>
  <c r="E37" i="5"/>
  <c r="F30" i="21"/>
  <c r="F96" i="7"/>
  <c r="F191" i="17"/>
  <c r="F70" i="17"/>
  <c r="F352" i="17"/>
  <c r="F8" i="19"/>
  <c r="E11" i="10"/>
  <c r="E170" i="23"/>
  <c r="E59" i="20"/>
  <c r="F159" i="17"/>
  <c r="F240" i="23"/>
  <c r="F225" i="17"/>
  <c r="F287" i="16"/>
  <c r="E314" i="19"/>
  <c r="E32" i="16"/>
  <c r="E111" i="21"/>
  <c r="F37" i="17"/>
  <c r="F31" i="12"/>
  <c r="E157" i="18"/>
  <c r="F25" i="4"/>
  <c r="E56" i="15"/>
  <c r="E202" i="12"/>
  <c r="F300" i="21"/>
  <c r="E178" i="13"/>
  <c r="F91" i="17"/>
  <c r="E12" i="24"/>
  <c r="E86" i="17"/>
  <c r="F83" i="12"/>
  <c r="F170" i="12"/>
  <c r="E21" i="4"/>
  <c r="E115" i="26"/>
  <c r="F181" i="24"/>
  <c r="E266" i="21"/>
  <c r="F203" i="20"/>
  <c r="E143" i="24"/>
  <c r="E69" i="20"/>
  <c r="E175" i="20"/>
  <c r="E254" i="16"/>
  <c r="E142" i="19"/>
  <c r="F75" i="13"/>
  <c r="E2" i="11"/>
  <c r="F174" i="23"/>
  <c r="F149" i="13"/>
  <c r="F36" i="18"/>
  <c r="E45" i="14"/>
  <c r="E146" i="21"/>
  <c r="E157" i="15"/>
  <c r="E47" i="15"/>
  <c r="F157" i="23"/>
  <c r="E77" i="26"/>
  <c r="E365" i="17"/>
  <c r="F47" i="12"/>
  <c r="E78" i="18"/>
  <c r="E228" i="12"/>
  <c r="F78" i="24"/>
  <c r="F91" i="16"/>
  <c r="E267" i="19"/>
  <c r="E197" i="18"/>
  <c r="F3" i="25"/>
  <c r="E25" i="18"/>
  <c r="E73" i="26"/>
  <c r="F299" i="24"/>
  <c r="E290" i="24"/>
  <c r="E111" i="17"/>
  <c r="E269" i="19"/>
  <c r="F171" i="16"/>
  <c r="F27" i="9"/>
  <c r="F94" i="25"/>
  <c r="E200" i="20"/>
  <c r="E77" i="23"/>
  <c r="F20" i="21"/>
  <c r="E50" i="14"/>
  <c r="E188" i="12"/>
  <c r="E136" i="15"/>
  <c r="F9" i="10"/>
  <c r="F217" i="23"/>
  <c r="F21" i="11"/>
  <c r="F39" i="22"/>
  <c r="F257" i="23"/>
  <c r="E134" i="16"/>
  <c r="F368" i="24"/>
  <c r="E8" i="26"/>
  <c r="E29" i="19"/>
  <c r="E285" i="16"/>
  <c r="E134" i="19"/>
  <c r="F92" i="22"/>
  <c r="F76" i="15"/>
  <c r="F165" i="14"/>
  <c r="E170" i="15"/>
  <c r="F321" i="21"/>
  <c r="E124" i="16"/>
  <c r="E88" i="20"/>
  <c r="F185" i="20"/>
  <c r="F46" i="22"/>
  <c r="E144" i="25"/>
  <c r="F11" i="14"/>
  <c r="F193" i="20"/>
  <c r="E175" i="19"/>
  <c r="E378" i="17"/>
  <c r="F191" i="16"/>
  <c r="F185" i="21"/>
  <c r="F2" i="14"/>
  <c r="E77" i="22"/>
  <c r="E82" i="18"/>
  <c r="F156" i="19"/>
  <c r="F6" i="18"/>
  <c r="E27" i="21"/>
  <c r="E228" i="17"/>
  <c r="F185" i="16"/>
  <c r="F37" i="18"/>
  <c r="F149" i="19"/>
  <c r="F18" i="16"/>
  <c r="F55" i="12"/>
  <c r="F207" i="23"/>
  <c r="F180" i="17"/>
  <c r="E131" i="23"/>
  <c r="E175" i="16"/>
  <c r="F163" i="15"/>
  <c r="E222" i="12"/>
  <c r="E253" i="18"/>
  <c r="E256" i="17"/>
  <c r="E165" i="21"/>
  <c r="E291" i="17"/>
  <c r="F8" i="20"/>
  <c r="E63" i="10"/>
  <c r="E22" i="11"/>
  <c r="F279" i="24"/>
  <c r="F145" i="14"/>
  <c r="E20" i="23"/>
  <c r="F58" i="17"/>
  <c r="E216" i="15"/>
  <c r="E198" i="18"/>
  <c r="E189" i="15"/>
  <c r="F58" i="13"/>
  <c r="E241" i="19"/>
  <c r="E146" i="23"/>
  <c r="F281" i="19"/>
  <c r="F109" i="17"/>
  <c r="E256" i="21"/>
  <c r="F361" i="16"/>
  <c r="F223" i="15"/>
  <c r="F152" i="25"/>
  <c r="E101" i="23"/>
  <c r="E362" i="17"/>
  <c r="F2" i="17"/>
  <c r="F200" i="12"/>
  <c r="E6" i="14"/>
  <c r="E295" i="21"/>
  <c r="E374" i="24"/>
  <c r="F40" i="16"/>
  <c r="E293" i="19"/>
  <c r="E66" i="6"/>
  <c r="E5" i="13"/>
  <c r="E66" i="13"/>
  <c r="E48" i="18"/>
  <c r="F93" i="21"/>
  <c r="E128" i="9"/>
  <c r="E164" i="18"/>
  <c r="F204" i="14"/>
  <c r="E231" i="19"/>
  <c r="E311" i="19"/>
  <c r="F24" i="14"/>
  <c r="F346" i="17"/>
  <c r="F89" i="16"/>
  <c r="F54" i="16"/>
  <c r="E187" i="15"/>
  <c r="F28" i="15"/>
  <c r="E153" i="23"/>
  <c r="E96" i="25"/>
  <c r="E38" i="13"/>
  <c r="E159" i="14"/>
  <c r="F145" i="17"/>
  <c r="F291" i="16"/>
  <c r="F91" i="15"/>
  <c r="E371" i="17"/>
  <c r="E86" i="24"/>
  <c r="F148" i="19"/>
  <c r="E109" i="16"/>
  <c r="F113" i="20"/>
  <c r="F21" i="24"/>
  <c r="F89" i="19"/>
  <c r="E291" i="19"/>
  <c r="E77" i="20"/>
  <c r="E72" i="22"/>
  <c r="E26" i="25"/>
  <c r="E69" i="18"/>
  <c r="F69" i="14"/>
  <c r="E125" i="21"/>
  <c r="E44" i="19"/>
  <c r="F195" i="12"/>
  <c r="F11" i="2"/>
  <c r="E205" i="24"/>
  <c r="E355" i="16"/>
  <c r="F37" i="24"/>
  <c r="E325" i="17"/>
  <c r="F208" i="19"/>
  <c r="F246" i="18"/>
  <c r="F209" i="19"/>
  <c r="E248" i="16"/>
  <c r="F146" i="21"/>
  <c r="E66" i="16"/>
  <c r="F324" i="17"/>
  <c r="F332" i="17"/>
  <c r="F76" i="22"/>
  <c r="F61" i="10"/>
  <c r="F347" i="21"/>
  <c r="E39" i="22"/>
  <c r="E104" i="21"/>
  <c r="F210" i="16"/>
  <c r="F133" i="18"/>
  <c r="F43" i="19"/>
  <c r="E344" i="17"/>
  <c r="E361" i="17"/>
  <c r="F276" i="16"/>
  <c r="F216" i="15"/>
  <c r="F167" i="17"/>
  <c r="E87" i="13"/>
  <c r="E205" i="15"/>
  <c r="F30" i="4"/>
  <c r="E206" i="17"/>
  <c r="E187" i="13"/>
  <c r="F122" i="9"/>
  <c r="E183" i="17"/>
  <c r="E205" i="17"/>
  <c r="E42" i="14"/>
  <c r="E392" i="21"/>
  <c r="F71" i="13"/>
  <c r="E265" i="16"/>
  <c r="E243" i="21"/>
  <c r="E21" i="14"/>
  <c r="E150" i="16"/>
  <c r="F160" i="19"/>
  <c r="E18" i="11"/>
  <c r="F223" i="17"/>
  <c r="F80" i="13"/>
  <c r="F7" i="17"/>
  <c r="E7" i="10"/>
  <c r="E210" i="18"/>
  <c r="F55" i="5"/>
  <c r="F152" i="14"/>
  <c r="E181" i="12"/>
  <c r="E173" i="15"/>
  <c r="E42" i="18"/>
  <c r="E178" i="20"/>
  <c r="F121" i="19"/>
  <c r="E222" i="16"/>
  <c r="E14" i="5"/>
  <c r="E106" i="13"/>
  <c r="F45" i="14"/>
  <c r="F376" i="17"/>
  <c r="E74" i="19"/>
  <c r="E197" i="5"/>
  <c r="E90" i="5"/>
  <c r="E19" i="2"/>
  <c r="E46" i="17"/>
  <c r="F127" i="18"/>
  <c r="E22" i="6"/>
  <c r="E87" i="8"/>
  <c r="F86" i="16"/>
  <c r="E102" i="18"/>
  <c r="F12" i="18"/>
  <c r="F124" i="16"/>
  <c r="E157" i="16"/>
  <c r="E83" i="22"/>
  <c r="E96" i="10"/>
  <c r="F125" i="24"/>
  <c r="E11" i="15"/>
  <c r="F69" i="9"/>
  <c r="E79" i="18"/>
  <c r="F25" i="17"/>
  <c r="E281" i="19"/>
  <c r="F56" i="5"/>
  <c r="F112" i="18"/>
  <c r="E255" i="19"/>
  <c r="E75" i="6"/>
  <c r="F260" i="16"/>
  <c r="E311" i="17"/>
  <c r="F103" i="19"/>
  <c r="E2" i="1"/>
  <c r="E84" i="19"/>
  <c r="F309" i="19"/>
  <c r="F77" i="8"/>
  <c r="F72" i="15"/>
  <c r="F187" i="5"/>
  <c r="E83" i="14"/>
  <c r="F83" i="22"/>
  <c r="F155" i="16"/>
  <c r="E152" i="16"/>
  <c r="F165" i="26"/>
  <c r="F32" i="22"/>
  <c r="F53" i="25"/>
  <c r="E205" i="20"/>
  <c r="F103" i="13"/>
  <c r="F125" i="20"/>
  <c r="E264" i="21"/>
  <c r="E100" i="18"/>
  <c r="F73" i="5"/>
  <c r="F171" i="24"/>
  <c r="F159" i="21"/>
  <c r="F10" i="15"/>
  <c r="E235" i="19"/>
  <c r="F109" i="14"/>
  <c r="F145" i="23"/>
  <c r="E211" i="19"/>
  <c r="F122" i="19"/>
  <c r="E360" i="17"/>
  <c r="E64" i="18"/>
  <c r="F5" i="2"/>
  <c r="E60" i="18"/>
  <c r="E24" i="15"/>
  <c r="E57" i="24"/>
  <c r="E190" i="12"/>
  <c r="E64" i="19"/>
  <c r="F144" i="24"/>
  <c r="E13" i="13"/>
  <c r="E72" i="21"/>
  <c r="F120" i="18"/>
  <c r="F232" i="18"/>
  <c r="F48" i="18"/>
  <c r="E21" i="19"/>
  <c r="E190" i="18"/>
  <c r="E107" i="14"/>
  <c r="F207" i="13"/>
  <c r="F291" i="24"/>
  <c r="F123" i="23"/>
  <c r="F105" i="22"/>
  <c r="F157" i="21"/>
  <c r="E35" i="8"/>
  <c r="E139" i="20"/>
  <c r="E27" i="14"/>
  <c r="E138" i="14"/>
  <c r="F107" i="17"/>
  <c r="E91" i="10"/>
  <c r="E103" i="15"/>
  <c r="E306" i="17"/>
  <c r="E4" i="24"/>
  <c r="F52" i="22"/>
  <c r="E208" i="23"/>
  <c r="E252" i="19"/>
  <c r="E53" i="18"/>
  <c r="E11" i="19"/>
  <c r="E257" i="18"/>
  <c r="F51" i="10"/>
  <c r="E15" i="15"/>
  <c r="F151" i="15"/>
  <c r="F231" i="19"/>
  <c r="E84" i="16"/>
  <c r="E141" i="24"/>
  <c r="E185" i="25"/>
  <c r="E116" i="19"/>
  <c r="F149" i="18"/>
  <c r="F111" i="16"/>
  <c r="F49" i="10"/>
  <c r="E120" i="9"/>
  <c r="E129" i="14"/>
  <c r="F208" i="18"/>
  <c r="F84" i="22"/>
  <c r="E171" i="14"/>
  <c r="F131" i="19"/>
  <c r="E32" i="18"/>
  <c r="F288" i="17"/>
  <c r="F80" i="17"/>
  <c r="E78" i="15"/>
  <c r="F27" i="8"/>
  <c r="E87" i="10"/>
  <c r="E355" i="17"/>
  <c r="E312" i="19"/>
  <c r="F62" i="17"/>
  <c r="E231" i="17"/>
  <c r="F71" i="12"/>
  <c r="E75" i="15"/>
  <c r="F2" i="19"/>
  <c r="F318" i="17"/>
  <c r="E311" i="24"/>
  <c r="F48" i="17"/>
  <c r="E96" i="22"/>
  <c r="E249" i="16"/>
  <c r="E167" i="16"/>
  <c r="F104" i="21"/>
  <c r="E21" i="11"/>
  <c r="E217" i="17"/>
  <c r="F262" i="16"/>
  <c r="F253" i="19"/>
  <c r="E86" i="14"/>
  <c r="F96" i="18"/>
  <c r="E281" i="17"/>
  <c r="E363" i="21"/>
  <c r="E92" i="16"/>
  <c r="E139" i="13"/>
  <c r="F83" i="20"/>
  <c r="E85" i="14"/>
  <c r="F167" i="25"/>
  <c r="E253" i="16"/>
  <c r="E144" i="17"/>
  <c r="E64" i="6"/>
  <c r="F131" i="10"/>
  <c r="E106" i="16"/>
  <c r="E26" i="21"/>
  <c r="E90" i="13"/>
  <c r="E158" i="21"/>
  <c r="E111" i="12"/>
  <c r="E11" i="25"/>
  <c r="F182" i="16"/>
  <c r="E45" i="21"/>
  <c r="E207" i="16"/>
  <c r="E100" i="16"/>
  <c r="E255" i="23"/>
  <c r="E102" i="23"/>
  <c r="E118" i="12"/>
  <c r="E85" i="17"/>
  <c r="E136" i="16"/>
  <c r="E230" i="12"/>
  <c r="F102" i="19"/>
  <c r="F41" i="5"/>
  <c r="E49" i="14"/>
  <c r="E122" i="18"/>
  <c r="F88" i="24"/>
  <c r="E100" i="5"/>
  <c r="F85" i="9"/>
  <c r="F17" i="19"/>
  <c r="E56" i="18"/>
  <c r="F16" i="15"/>
  <c r="F25" i="22"/>
  <c r="F27" i="21"/>
  <c r="F46" i="21"/>
  <c r="F145" i="12"/>
  <c r="E203" i="20"/>
  <c r="F43" i="20"/>
  <c r="F22" i="22"/>
  <c r="F77" i="21"/>
  <c r="E80" i="10"/>
  <c r="F133" i="20"/>
  <c r="F232" i="21"/>
  <c r="E395" i="21"/>
  <c r="E273" i="21"/>
  <c r="E318" i="21"/>
  <c r="E3" i="18"/>
  <c r="E24" i="22"/>
  <c r="E137" i="19"/>
  <c r="E382" i="17"/>
  <c r="F96" i="13"/>
  <c r="E10" i="11"/>
  <c r="F178" i="19"/>
  <c r="E53" i="22"/>
  <c r="E227" i="17"/>
  <c r="F33" i="19"/>
  <c r="E263" i="24"/>
  <c r="E103" i="14"/>
  <c r="E286" i="21"/>
  <c r="E258" i="24"/>
  <c r="F25" i="2"/>
  <c r="F113" i="12"/>
  <c r="E134" i="18"/>
  <c r="F86" i="17"/>
  <c r="F37" i="15"/>
  <c r="F122" i="25"/>
  <c r="F61" i="14"/>
  <c r="E82" i="13"/>
  <c r="F191" i="20"/>
  <c r="F105" i="20"/>
  <c r="F195" i="21"/>
  <c r="E97" i="16"/>
  <c r="F201" i="16"/>
  <c r="E22" i="22"/>
  <c r="F255" i="21"/>
  <c r="F81" i="20"/>
  <c r="F27" i="20"/>
  <c r="E35" i="4"/>
  <c r="E326" i="17"/>
  <c r="E55" i="14"/>
  <c r="F314" i="16"/>
  <c r="F146" i="20"/>
  <c r="E154" i="17"/>
  <c r="E186" i="18"/>
  <c r="F147" i="19"/>
  <c r="F107" i="18"/>
  <c r="E183" i="23"/>
  <c r="E121" i="16"/>
  <c r="E118" i="23"/>
  <c r="F15" i="22"/>
  <c r="E43" i="19"/>
  <c r="F68" i="25"/>
  <c r="E330" i="16"/>
  <c r="F154" i="17"/>
  <c r="F165" i="19"/>
  <c r="F150" i="19"/>
  <c r="E9" i="21"/>
  <c r="F87" i="17"/>
  <c r="E77" i="14"/>
  <c r="E47" i="20"/>
  <c r="E192" i="14"/>
  <c r="E103" i="19"/>
  <c r="E95" i="12"/>
  <c r="E306" i="19"/>
  <c r="F117" i="9"/>
  <c r="F94" i="19"/>
  <c r="F241" i="19"/>
  <c r="E48" i="4"/>
  <c r="E14" i="17"/>
  <c r="E36" i="16"/>
  <c r="E28" i="19"/>
  <c r="F113" i="15"/>
  <c r="F234" i="16"/>
  <c r="E82" i="21"/>
  <c r="F70" i="19"/>
  <c r="E11" i="17"/>
  <c r="F131" i="5"/>
  <c r="E231" i="23"/>
  <c r="F310" i="16"/>
  <c r="F145" i="16"/>
  <c r="F86" i="14"/>
  <c r="F12" i="16"/>
  <c r="E15" i="5"/>
  <c r="F362" i="16"/>
  <c r="E112" i="17"/>
  <c r="E199" i="14"/>
  <c r="E162" i="20"/>
  <c r="F16" i="13"/>
  <c r="F6" i="21"/>
  <c r="F3" i="10"/>
  <c r="F90" i="18"/>
  <c r="F70" i="18"/>
  <c r="E17" i="8"/>
  <c r="F371" i="21"/>
  <c r="F123" i="12"/>
  <c r="E41" i="18"/>
  <c r="E127" i="23"/>
  <c r="F356" i="17"/>
  <c r="F41" i="16"/>
  <c r="F106" i="19"/>
  <c r="E5" i="18"/>
  <c r="E37" i="19"/>
  <c r="E283" i="19"/>
  <c r="F75" i="5"/>
  <c r="F198" i="16"/>
  <c r="E260" i="21"/>
  <c r="F97" i="10"/>
  <c r="E18" i="10"/>
  <c r="F13" i="6"/>
  <c r="F311" i="16"/>
  <c r="F8" i="22"/>
  <c r="E26" i="26"/>
  <c r="F94" i="20"/>
  <c r="E94" i="20"/>
  <c r="F62" i="22"/>
  <c r="E89" i="18"/>
  <c r="E318" i="17"/>
  <c r="E135" i="12"/>
  <c r="E163" i="24"/>
  <c r="F5" i="13"/>
  <c r="E23" i="20"/>
  <c r="E44" i="21"/>
  <c r="F210" i="19"/>
  <c r="F268" i="21"/>
  <c r="E220" i="15"/>
  <c r="E31" i="14"/>
  <c r="E63" i="19"/>
  <c r="E98" i="17"/>
  <c r="F89" i="17"/>
  <c r="F320" i="17"/>
  <c r="F345" i="17"/>
  <c r="F56" i="19"/>
  <c r="F74" i="19"/>
  <c r="E306" i="24"/>
  <c r="F170" i="19"/>
  <c r="F93" i="19"/>
  <c r="F12" i="25"/>
  <c r="F362" i="24"/>
  <c r="F186" i="25"/>
  <c r="E27" i="24"/>
  <c r="F202" i="23"/>
  <c r="E349" i="21"/>
  <c r="E38" i="19"/>
  <c r="F93" i="7"/>
  <c r="F289" i="16"/>
  <c r="E31" i="12"/>
  <c r="E52" i="18"/>
  <c r="E165" i="17"/>
  <c r="E259" i="16"/>
  <c r="E106" i="18"/>
  <c r="E89" i="7"/>
  <c r="E99" i="19"/>
  <c r="F35" i="11"/>
  <c r="F41" i="23"/>
  <c r="E71" i="13"/>
  <c r="E399" i="21"/>
  <c r="F351" i="16"/>
  <c r="F21" i="5"/>
  <c r="E172" i="16"/>
  <c r="F4" i="4"/>
  <c r="E326" i="21"/>
  <c r="F319" i="17"/>
  <c r="F92" i="17"/>
  <c r="E30" i="25"/>
  <c r="E173" i="14"/>
  <c r="F274" i="16"/>
  <c r="E36" i="24"/>
  <c r="F146" i="23"/>
  <c r="E260" i="17"/>
  <c r="E151" i="14"/>
  <c r="F145" i="19"/>
  <c r="F112" i="20"/>
  <c r="F88" i="20"/>
  <c r="F86" i="23"/>
  <c r="F17" i="12"/>
  <c r="F85" i="19"/>
  <c r="E141" i="14"/>
  <c r="E208" i="17"/>
  <c r="F113" i="18"/>
  <c r="F278" i="16"/>
  <c r="E68" i="16"/>
  <c r="F338" i="24"/>
  <c r="E289" i="21"/>
  <c r="F143" i="21"/>
  <c r="E90" i="19"/>
  <c r="F119" i="16"/>
  <c r="F91" i="9"/>
  <c r="E232" i="19"/>
  <c r="F49" i="17"/>
  <c r="E166" i="23"/>
  <c r="E222" i="18"/>
  <c r="E55" i="23"/>
  <c r="F264" i="19"/>
  <c r="F79" i="25"/>
  <c r="E141" i="21"/>
  <c r="F62" i="14"/>
  <c r="F67" i="13"/>
  <c r="F7" i="19"/>
  <c r="E72" i="15"/>
  <c r="F114" i="19"/>
  <c r="E72" i="26"/>
  <c r="F183" i="17"/>
  <c r="E7" i="13"/>
  <c r="F207" i="16"/>
  <c r="F142" i="18"/>
  <c r="E320" i="19"/>
  <c r="F257" i="16"/>
  <c r="E2" i="20"/>
  <c r="F106" i="24"/>
  <c r="F360" i="21"/>
  <c r="E184" i="18"/>
  <c r="E78" i="23"/>
  <c r="F58" i="16"/>
  <c r="E116" i="16"/>
  <c r="E57" i="7"/>
  <c r="F300" i="19"/>
  <c r="E189" i="19"/>
  <c r="F117" i="16"/>
  <c r="F52" i="19"/>
  <c r="F12" i="6"/>
  <c r="F11" i="19"/>
  <c r="E4" i="20"/>
  <c r="F13" i="1"/>
  <c r="E348" i="24"/>
  <c r="F13" i="13"/>
  <c r="F353" i="16"/>
  <c r="E58" i="23"/>
  <c r="E49" i="10"/>
  <c r="E58" i="21"/>
  <c r="F328" i="17"/>
  <c r="E347" i="17"/>
  <c r="E204" i="16"/>
  <c r="E223" i="14"/>
  <c r="E101" i="17"/>
  <c r="F153" i="16"/>
  <c r="F153" i="12"/>
  <c r="E282" i="21"/>
  <c r="E51" i="18"/>
  <c r="F224" i="14"/>
  <c r="F34" i="19"/>
  <c r="E71" i="15"/>
  <c r="F81" i="22"/>
  <c r="F319" i="16"/>
  <c r="E163" i="12"/>
  <c r="E32" i="17"/>
  <c r="F359" i="16"/>
  <c r="F9" i="16"/>
  <c r="E200" i="16"/>
  <c r="F58" i="10"/>
  <c r="E124" i="20"/>
  <c r="E163" i="14"/>
  <c r="E181" i="13"/>
  <c r="E157" i="5"/>
  <c r="F126" i="19"/>
  <c r="F66" i="19"/>
  <c r="F20" i="18"/>
  <c r="F216" i="17"/>
  <c r="F36" i="4"/>
  <c r="E95" i="21"/>
  <c r="E119" i="20"/>
  <c r="E29" i="10"/>
  <c r="F110" i="15"/>
  <c r="E217" i="19"/>
  <c r="E360" i="21"/>
  <c r="E218" i="18"/>
  <c r="F22" i="2"/>
  <c r="F66" i="16"/>
  <c r="E253" i="19"/>
  <c r="E122" i="13"/>
  <c r="E192" i="20"/>
  <c r="E254" i="19"/>
  <c r="F115" i="15"/>
  <c r="E21" i="8"/>
  <c r="F143" i="13"/>
  <c r="F15" i="7"/>
  <c r="F136" i="15"/>
  <c r="E11" i="14"/>
  <c r="F165" i="18"/>
  <c r="F58" i="18"/>
  <c r="E88" i="18"/>
  <c r="F20" i="6"/>
  <c r="E19" i="6"/>
  <c r="E47" i="19"/>
  <c r="E300" i="17"/>
  <c r="F283" i="21"/>
  <c r="E240" i="24"/>
  <c r="F85" i="22"/>
  <c r="E159" i="12"/>
  <c r="F283" i="17"/>
  <c r="E81" i="8"/>
  <c r="E180" i="18"/>
  <c r="F40" i="17"/>
  <c r="E220" i="18"/>
  <c r="F92" i="8"/>
  <c r="E8" i="9"/>
  <c r="E86" i="12"/>
  <c r="F102" i="5"/>
  <c r="E72" i="17"/>
  <c r="E77" i="5"/>
  <c r="F18" i="13"/>
  <c r="F302" i="19"/>
  <c r="E17" i="21"/>
  <c r="F22" i="12"/>
  <c r="E46" i="14"/>
  <c r="E10" i="20"/>
  <c r="F88" i="13"/>
  <c r="E49" i="5"/>
  <c r="E154" i="21"/>
  <c r="F26" i="2"/>
  <c r="F32" i="21"/>
  <c r="F103" i="17"/>
  <c r="F96" i="9"/>
  <c r="E4" i="21"/>
  <c r="F302" i="24"/>
  <c r="F5" i="21"/>
  <c r="F322" i="21"/>
  <c r="E29" i="16"/>
  <c r="E213" i="21"/>
  <c r="E8" i="5"/>
  <c r="E228" i="23"/>
  <c r="E216" i="21"/>
  <c r="F364" i="17"/>
  <c r="F41" i="18"/>
  <c r="F336" i="16"/>
  <c r="E246" i="19"/>
  <c r="F186" i="21"/>
  <c r="F62" i="20"/>
  <c r="F98" i="17"/>
  <c r="F81" i="13"/>
  <c r="E26" i="16"/>
  <c r="E36" i="20"/>
  <c r="E69" i="23"/>
  <c r="F70" i="22"/>
  <c r="F113" i="24"/>
  <c r="F312" i="19"/>
  <c r="E152" i="17"/>
  <c r="F59" i="19"/>
  <c r="E353" i="16"/>
  <c r="E6" i="21"/>
  <c r="E8" i="22"/>
  <c r="F27" i="10"/>
  <c r="F83" i="14"/>
  <c r="E68" i="19"/>
  <c r="E23" i="10"/>
  <c r="E200" i="19"/>
  <c r="E64" i="16"/>
  <c r="F69" i="5"/>
  <c r="E337" i="16"/>
  <c r="E76" i="15"/>
  <c r="F119" i="20"/>
  <c r="E137" i="13"/>
  <c r="F104" i="5"/>
  <c r="E71" i="10"/>
  <c r="E151" i="17"/>
  <c r="F141" i="23"/>
  <c r="F190" i="24"/>
  <c r="E159" i="15"/>
  <c r="E219" i="18"/>
  <c r="E244" i="18"/>
  <c r="F63" i="16"/>
  <c r="E7" i="9"/>
  <c r="F68" i="13"/>
  <c r="F22" i="6"/>
  <c r="F109" i="12"/>
  <c r="F57" i="6"/>
  <c r="F84" i="14"/>
  <c r="F133" i="5"/>
  <c r="F163" i="20"/>
  <c r="E135" i="17"/>
  <c r="F297" i="17"/>
  <c r="E117" i="7"/>
  <c r="E70" i="12"/>
  <c r="E59" i="23"/>
  <c r="E33" i="19"/>
  <c r="E5" i="10"/>
  <c r="F7" i="7"/>
  <c r="F48" i="23"/>
  <c r="F31" i="16"/>
  <c r="F253" i="17"/>
  <c r="F175" i="19"/>
  <c r="F95" i="16"/>
  <c r="E306" i="16"/>
  <c r="E39" i="14"/>
  <c r="F194" i="17"/>
  <c r="E9" i="11"/>
  <c r="F110" i="14"/>
  <c r="E12" i="9"/>
  <c r="E65" i="19"/>
  <c r="F69" i="20"/>
  <c r="F71" i="9"/>
  <c r="F125" i="7"/>
  <c r="F179" i="18"/>
  <c r="F329" i="24"/>
  <c r="E218" i="24"/>
  <c r="F170" i="17"/>
  <c r="F142" i="24"/>
  <c r="E79" i="14"/>
  <c r="F149" i="17"/>
  <c r="E62" i="19"/>
  <c r="F205" i="16"/>
  <c r="F217" i="18"/>
  <c r="E191" i="21"/>
  <c r="F313" i="19"/>
  <c r="E19" i="26"/>
  <c r="E197" i="17"/>
  <c r="E92" i="19"/>
  <c r="E49" i="22"/>
  <c r="F255" i="17"/>
  <c r="E38" i="22"/>
  <c r="F139" i="19"/>
  <c r="E42" i="22"/>
  <c r="E75" i="19"/>
  <c r="E17" i="9"/>
  <c r="F239" i="19"/>
  <c r="E24" i="5"/>
  <c r="E36" i="17"/>
  <c r="E218" i="21"/>
  <c r="E189" i="17"/>
  <c r="F224" i="12"/>
  <c r="E16" i="17"/>
  <c r="F116" i="20"/>
  <c r="F12" i="19"/>
  <c r="F121" i="26"/>
  <c r="F27" i="13"/>
  <c r="F154" i="19"/>
  <c r="E77" i="12"/>
  <c r="F69" i="17"/>
  <c r="F189" i="14"/>
  <c r="E229" i="16"/>
  <c r="F19" i="18"/>
  <c r="E273" i="17"/>
  <c r="E13" i="5"/>
  <c r="F268" i="17"/>
  <c r="F75" i="9"/>
  <c r="E237" i="16"/>
  <c r="E107" i="25"/>
  <c r="E46" i="10"/>
  <c r="F67" i="21"/>
  <c r="E168" i="20"/>
  <c r="E211" i="17"/>
  <c r="E289" i="17"/>
  <c r="F38" i="23"/>
  <c r="F180" i="14"/>
  <c r="E125" i="17"/>
  <c r="F69" i="12"/>
  <c r="E25" i="13"/>
  <c r="E203" i="12"/>
  <c r="F272" i="21"/>
  <c r="E89" i="13"/>
  <c r="F372" i="17"/>
  <c r="F65" i="9"/>
  <c r="F171" i="14"/>
  <c r="E10" i="13"/>
  <c r="E331" i="17"/>
  <c r="E13" i="10"/>
  <c r="E47" i="14"/>
  <c r="E225" i="19"/>
  <c r="F56" i="14"/>
  <c r="F224" i="16"/>
  <c r="F164" i="19"/>
  <c r="F123" i="18"/>
  <c r="E114" i="19"/>
  <c r="F102" i="16"/>
  <c r="E31" i="24"/>
  <c r="E163" i="15"/>
  <c r="F79" i="20"/>
  <c r="F2" i="3"/>
  <c r="F181" i="21"/>
  <c r="E22" i="8"/>
  <c r="E4" i="10"/>
  <c r="E95" i="18"/>
  <c r="F157" i="16"/>
  <c r="E225" i="13"/>
  <c r="F332" i="21"/>
  <c r="E106" i="14"/>
  <c r="F100" i="18"/>
  <c r="F17" i="5"/>
  <c r="E57" i="14"/>
  <c r="E206" i="16"/>
  <c r="E29" i="22"/>
  <c r="F173" i="20"/>
  <c r="F63" i="18"/>
  <c r="E100" i="20"/>
  <c r="F137" i="10"/>
  <c r="F186" i="19"/>
  <c r="F6" i="15"/>
  <c r="E173" i="5"/>
  <c r="E13" i="9"/>
  <c r="F71" i="14"/>
  <c r="F180" i="12"/>
  <c r="F78" i="19"/>
  <c r="E32" i="7"/>
  <c r="E46" i="8"/>
  <c r="F86" i="21"/>
  <c r="F101" i="20"/>
  <c r="E15" i="4"/>
  <c r="F50" i="12"/>
  <c r="F87" i="20"/>
  <c r="F217" i="12"/>
  <c r="F154" i="5"/>
  <c r="F182" i="19"/>
  <c r="F80" i="18"/>
  <c r="E93" i="19"/>
  <c r="F327" i="16"/>
  <c r="F154" i="12"/>
  <c r="E11" i="2"/>
  <c r="E44" i="16"/>
  <c r="F246" i="17"/>
  <c r="F30" i="5"/>
  <c r="E36" i="21"/>
  <c r="F59" i="9"/>
  <c r="E99" i="24"/>
  <c r="E116" i="20"/>
  <c r="E133" i="10"/>
  <c r="E146" i="13"/>
  <c r="F146" i="18"/>
  <c r="F89" i="15"/>
  <c r="E49" i="7"/>
  <c r="E42" i="9"/>
  <c r="F186" i="18"/>
  <c r="F282" i="21"/>
  <c r="F395" i="21"/>
  <c r="F339" i="24"/>
  <c r="E40" i="15"/>
  <c r="E126" i="18"/>
  <c r="E29" i="17"/>
  <c r="F356" i="21"/>
  <c r="F2" i="4"/>
  <c r="E43" i="16"/>
  <c r="E203" i="15"/>
  <c r="E71" i="7"/>
  <c r="F103" i="10"/>
  <c r="F138" i="13"/>
  <c r="F26" i="12"/>
  <c r="F21" i="21"/>
  <c r="E3" i="20"/>
  <c r="F217" i="13"/>
  <c r="F305" i="17"/>
  <c r="F45" i="12"/>
  <c r="E37" i="15"/>
  <c r="F275" i="16"/>
  <c r="F282" i="16"/>
  <c r="F93" i="15"/>
  <c r="E122" i="12"/>
  <c r="F187" i="12"/>
  <c r="F130" i="20"/>
  <c r="E165" i="23"/>
  <c r="E40" i="23"/>
  <c r="E9" i="14"/>
  <c r="F65" i="4"/>
  <c r="E246" i="18"/>
  <c r="E21" i="24"/>
  <c r="E98" i="6"/>
  <c r="F64" i="17"/>
  <c r="F40" i="8"/>
  <c r="F20" i="8"/>
  <c r="F90" i="17"/>
  <c r="F131" i="20"/>
  <c r="F58" i="6"/>
  <c r="F24" i="6"/>
  <c r="F126" i="17"/>
  <c r="E14" i="9"/>
  <c r="E15" i="7"/>
  <c r="F282" i="17"/>
  <c r="E41" i="5"/>
  <c r="F37" i="9"/>
  <c r="E242" i="17"/>
  <c r="F71" i="19"/>
  <c r="E98" i="24"/>
  <c r="E237" i="24"/>
  <c r="F147" i="13"/>
  <c r="F287" i="24"/>
  <c r="E30" i="22"/>
  <c r="E6" i="13"/>
  <c r="F257" i="24"/>
  <c r="F39" i="20"/>
  <c r="E97" i="6"/>
  <c r="E328" i="17"/>
  <c r="E59" i="24"/>
  <c r="E22" i="25"/>
  <c r="E109" i="22"/>
  <c r="F214" i="17"/>
  <c r="E118" i="18"/>
  <c r="F153" i="23"/>
  <c r="F46" i="16"/>
  <c r="E32" i="24"/>
  <c r="E3" i="23"/>
  <c r="E288" i="21"/>
  <c r="F128" i="18"/>
  <c r="E285" i="21"/>
  <c r="E220" i="16"/>
  <c r="E73" i="22"/>
  <c r="F19" i="14"/>
  <c r="F114" i="25"/>
  <c r="F343" i="16"/>
  <c r="F218" i="17"/>
  <c r="E64" i="17"/>
  <c r="F202" i="19"/>
  <c r="F305" i="21"/>
  <c r="F205" i="14"/>
  <c r="E132" i="16"/>
  <c r="F77" i="20"/>
  <c r="F63" i="17"/>
  <c r="E182" i="16"/>
  <c r="E270" i="16"/>
  <c r="F316" i="24"/>
  <c r="E345" i="17"/>
  <c r="E28" i="12"/>
  <c r="E81" i="19"/>
  <c r="F5" i="7"/>
  <c r="E114" i="16"/>
  <c r="F26" i="20"/>
  <c r="E10" i="1"/>
  <c r="F360" i="16"/>
  <c r="E222" i="15"/>
  <c r="F213" i="14"/>
  <c r="E169" i="12"/>
  <c r="F321" i="16"/>
  <c r="E49" i="4"/>
  <c r="E243" i="17"/>
  <c r="E50" i="18"/>
  <c r="E76" i="16"/>
  <c r="F301" i="16"/>
  <c r="F7" i="12"/>
  <c r="E299" i="16"/>
  <c r="E65" i="13"/>
  <c r="E170" i="13"/>
  <c r="E221" i="16"/>
  <c r="F162" i="18"/>
  <c r="E187" i="18"/>
  <c r="E116" i="26"/>
  <c r="F7" i="5"/>
  <c r="F183" i="12"/>
  <c r="E106" i="10"/>
  <c r="F44" i="19"/>
  <c r="E159" i="19"/>
  <c r="E53" i="16"/>
  <c r="F54" i="4"/>
  <c r="F241" i="17"/>
  <c r="F100" i="21"/>
  <c r="F55" i="20"/>
  <c r="F76" i="20"/>
  <c r="E24" i="6"/>
  <c r="E14" i="15"/>
  <c r="F145" i="5"/>
  <c r="E83" i="7"/>
  <c r="E73" i="15"/>
  <c r="F97" i="21"/>
  <c r="E226" i="16"/>
  <c r="E298" i="24"/>
  <c r="E221" i="24"/>
  <c r="F276" i="17"/>
  <c r="E221" i="17"/>
  <c r="E44" i="5"/>
  <c r="F90" i="20"/>
  <c r="F184" i="17"/>
  <c r="F169" i="21"/>
  <c r="E7" i="12"/>
  <c r="F112" i="17"/>
  <c r="E272" i="24"/>
  <c r="E52" i="21"/>
  <c r="F231" i="21"/>
  <c r="F170" i="21"/>
  <c r="E203" i="18"/>
  <c r="E80" i="20"/>
  <c r="F209" i="13"/>
  <c r="F247" i="18"/>
  <c r="F31" i="22"/>
  <c r="F43" i="15"/>
  <c r="E128" i="16"/>
  <c r="F249" i="16"/>
  <c r="E14" i="14"/>
  <c r="E149" i="18"/>
  <c r="F231" i="12"/>
  <c r="F141" i="18"/>
  <c r="F330" i="17"/>
  <c r="E252" i="18"/>
  <c r="E76" i="20"/>
  <c r="E209" i="19"/>
  <c r="F132" i="15"/>
  <c r="F125" i="14"/>
  <c r="E346" i="16"/>
  <c r="F25" i="13"/>
  <c r="E10" i="15"/>
  <c r="F91" i="8"/>
  <c r="F252" i="23"/>
  <c r="E3" i="19"/>
  <c r="E270" i="19"/>
  <c r="F140" i="14"/>
  <c r="E171" i="13"/>
  <c r="F212" i="17"/>
  <c r="F251" i="24"/>
  <c r="F14" i="8"/>
  <c r="F208" i="16"/>
  <c r="E99" i="12"/>
  <c r="E5" i="6"/>
  <c r="F5" i="10"/>
  <c r="E133" i="17"/>
  <c r="E225" i="17"/>
  <c r="F79" i="10"/>
  <c r="E64" i="7"/>
  <c r="E18" i="20"/>
  <c r="F331" i="16"/>
  <c r="E133" i="12"/>
  <c r="F349" i="16"/>
  <c r="F140" i="17"/>
  <c r="F4" i="24"/>
  <c r="E13" i="12"/>
  <c r="E297" i="16"/>
  <c r="E194" i="23"/>
  <c r="F316" i="16"/>
  <c r="F82" i="19"/>
  <c r="F111" i="23"/>
  <c r="E38" i="10"/>
  <c r="F197" i="23"/>
  <c r="E169" i="17"/>
  <c r="F54" i="20"/>
  <c r="F384" i="17"/>
  <c r="E145" i="16"/>
  <c r="F162" i="14"/>
  <c r="E153" i="14"/>
  <c r="E256" i="16"/>
  <c r="F7" i="6"/>
  <c r="F22" i="21"/>
  <c r="E22" i="17"/>
  <c r="F85" i="5"/>
  <c r="E217" i="23"/>
  <c r="F172" i="15"/>
  <c r="E204" i="12"/>
  <c r="F177" i="13"/>
  <c r="E36" i="15"/>
  <c r="E177" i="18"/>
  <c r="E53" i="13"/>
  <c r="F341" i="16"/>
  <c r="F143" i="10"/>
  <c r="F151" i="20"/>
  <c r="E78" i="13"/>
  <c r="E31" i="6"/>
  <c r="F44" i="13"/>
  <c r="E54" i="5"/>
  <c r="F32" i="17"/>
  <c r="F222" i="14"/>
  <c r="E150" i="17"/>
  <c r="E4" i="14"/>
  <c r="E289" i="16"/>
  <c r="E90" i="15"/>
  <c r="E39" i="16"/>
  <c r="E121" i="12"/>
  <c r="F167" i="19"/>
  <c r="F151" i="24"/>
  <c r="F152" i="16"/>
  <c r="E25" i="5"/>
  <c r="E24" i="1"/>
  <c r="F4" i="17"/>
  <c r="E211" i="16"/>
  <c r="F112" i="21"/>
  <c r="E6" i="2"/>
  <c r="E148" i="18"/>
  <c r="F303" i="17"/>
  <c r="F3" i="4"/>
  <c r="F43" i="8"/>
  <c r="F67" i="14"/>
  <c r="F51" i="12"/>
  <c r="F11" i="1"/>
  <c r="E113" i="17"/>
  <c r="F317" i="17"/>
  <c r="E109" i="19"/>
  <c r="F192" i="12"/>
  <c r="E138" i="15"/>
  <c r="F211" i="19"/>
  <c r="F166" i="17"/>
  <c r="E143" i="13"/>
  <c r="E154" i="16"/>
  <c r="F14" i="15"/>
  <c r="E23" i="9"/>
  <c r="F221" i="13"/>
  <c r="F144" i="14"/>
  <c r="F365" i="17"/>
  <c r="F21" i="22"/>
  <c r="F66" i="5"/>
  <c r="E325" i="16"/>
  <c r="F295" i="19"/>
  <c r="E65" i="24"/>
  <c r="F76" i="8"/>
  <c r="E72" i="20"/>
  <c r="F130" i="13"/>
  <c r="F91" i="21"/>
  <c r="F350" i="17"/>
  <c r="F14" i="12"/>
  <c r="F99" i="21"/>
  <c r="F256" i="21"/>
  <c r="E147" i="19"/>
  <c r="E246" i="21"/>
  <c r="F43" i="10"/>
  <c r="F370" i="17"/>
  <c r="F9" i="17"/>
  <c r="E19" i="17"/>
  <c r="F3" i="3"/>
  <c r="E321" i="17"/>
  <c r="E34" i="15"/>
  <c r="F3" i="18"/>
  <c r="F257" i="17"/>
  <c r="F308" i="17"/>
  <c r="E146" i="20"/>
  <c r="E95" i="15"/>
  <c r="E9" i="10"/>
  <c r="E227" i="12"/>
  <c r="F183" i="18"/>
  <c r="E73" i="6"/>
  <c r="F134" i="10"/>
  <c r="E35" i="10"/>
  <c r="F110" i="10"/>
  <c r="E185" i="13"/>
  <c r="F23" i="14"/>
  <c r="E68" i="12"/>
  <c r="E20" i="10"/>
  <c r="F42" i="14"/>
  <c r="E58" i="6"/>
  <c r="E50" i="8"/>
  <c r="F3" i="7"/>
  <c r="F257" i="18"/>
  <c r="E14" i="23"/>
  <c r="F166" i="18"/>
  <c r="E359" i="21"/>
  <c r="E361" i="24"/>
  <c r="E140" i="24"/>
  <c r="E10" i="22"/>
  <c r="E316" i="24"/>
  <c r="E159" i="20"/>
  <c r="F16" i="4"/>
  <c r="F115" i="26"/>
  <c r="F17" i="18"/>
  <c r="F11" i="25"/>
  <c r="F288" i="19"/>
  <c r="E18" i="21"/>
  <c r="E44" i="23"/>
  <c r="F276" i="19"/>
  <c r="E194" i="19"/>
  <c r="F125" i="12"/>
  <c r="F138" i="14"/>
  <c r="E182" i="20"/>
  <c r="E60" i="24"/>
  <c r="E84" i="12"/>
  <c r="E178" i="5"/>
  <c r="F136" i="21"/>
  <c r="F118" i="20"/>
  <c r="F87" i="15"/>
  <c r="E50" i="12"/>
  <c r="F47" i="16"/>
  <c r="E23" i="22"/>
  <c r="E286" i="17"/>
  <c r="F92" i="14"/>
  <c r="E70" i="10"/>
  <c r="E140" i="17"/>
  <c r="F13" i="14"/>
  <c r="F15" i="11"/>
  <c r="F57" i="16"/>
  <c r="F45" i="24"/>
  <c r="E114" i="20"/>
  <c r="F238" i="19"/>
  <c r="E16" i="8"/>
  <c r="E81" i="13"/>
  <c r="E76" i="18"/>
  <c r="F184" i="25"/>
  <c r="E207" i="15"/>
  <c r="F199" i="16"/>
  <c r="E31" i="25"/>
  <c r="F29" i="15"/>
  <c r="E110" i="12"/>
  <c r="F68" i="19"/>
  <c r="E143" i="12"/>
  <c r="F28" i="5"/>
  <c r="F20" i="7"/>
  <c r="E61" i="16"/>
  <c r="E190" i="5"/>
  <c r="F42" i="9"/>
  <c r="E177" i="5"/>
  <c r="E158" i="15"/>
  <c r="E51" i="22"/>
  <c r="F14" i="1"/>
  <c r="F102" i="17"/>
  <c r="E82" i="24"/>
  <c r="F318" i="16"/>
  <c r="E9" i="9"/>
  <c r="F219" i="21"/>
  <c r="E50" i="17"/>
  <c r="E72" i="5"/>
  <c r="F49" i="22"/>
  <c r="E37" i="10"/>
  <c r="E39" i="15"/>
  <c r="E370" i="17"/>
  <c r="E87" i="17"/>
  <c r="E147" i="12"/>
  <c r="F23" i="12"/>
  <c r="E182" i="17"/>
  <c r="F4" i="15"/>
  <c r="E27" i="7"/>
  <c r="F59" i="20"/>
  <c r="F153" i="5"/>
  <c r="F331" i="17"/>
  <c r="E67" i="12"/>
  <c r="E275" i="16"/>
  <c r="F124" i="23"/>
  <c r="E117" i="18"/>
  <c r="E6" i="20"/>
  <c r="E135" i="18"/>
  <c r="E194" i="21"/>
  <c r="F267" i="21"/>
  <c r="F57" i="13"/>
  <c r="E141" i="12"/>
  <c r="F171" i="20"/>
  <c r="E15" i="19"/>
  <c r="F66" i="17"/>
  <c r="F119" i="18"/>
  <c r="F42" i="21"/>
  <c r="E15" i="26"/>
  <c r="F38" i="18"/>
  <c r="E29" i="15"/>
  <c r="E33" i="14"/>
  <c r="F278" i="17"/>
  <c r="E34" i="20"/>
  <c r="E289" i="24"/>
  <c r="E237" i="19"/>
  <c r="E167" i="20"/>
  <c r="E71" i="18"/>
  <c r="F325" i="16"/>
  <c r="E286" i="19"/>
  <c r="F95" i="19"/>
  <c r="F81" i="12"/>
  <c r="F27" i="14"/>
  <c r="E102" i="5"/>
  <c r="E8" i="11"/>
  <c r="E128" i="20"/>
  <c r="E198" i="13"/>
  <c r="F139" i="15"/>
  <c r="E194" i="18"/>
  <c r="F173" i="16"/>
  <c r="F72" i="19"/>
  <c r="F11" i="18"/>
  <c r="F204" i="19"/>
  <c r="E110" i="17"/>
  <c r="F151" i="12"/>
  <c r="E193" i="15"/>
  <c r="E65" i="21"/>
  <c r="E20" i="19"/>
  <c r="F317" i="16"/>
  <c r="E161" i="14"/>
  <c r="E231" i="12"/>
  <c r="F106" i="20"/>
  <c r="F90" i="13"/>
  <c r="E21" i="6"/>
  <c r="E17" i="6"/>
  <c r="E95" i="6"/>
  <c r="E19" i="20"/>
  <c r="F22" i="18"/>
  <c r="E32" i="2"/>
  <c r="E24" i="12"/>
  <c r="F318" i="21"/>
  <c r="F78" i="20"/>
  <c r="F380" i="24"/>
  <c r="E139" i="15"/>
  <c r="E216" i="12"/>
  <c r="E150" i="18"/>
  <c r="F340" i="16"/>
  <c r="E76" i="8"/>
  <c r="F70" i="21"/>
  <c r="F149" i="5"/>
  <c r="F69" i="13"/>
  <c r="E211" i="18"/>
  <c r="E226" i="18"/>
  <c r="F109" i="5"/>
  <c r="F171" i="15"/>
  <c r="F106" i="23"/>
  <c r="E144" i="23"/>
  <c r="E183" i="13"/>
  <c r="E40" i="4"/>
  <c r="F46" i="7"/>
  <c r="E76" i="9"/>
  <c r="F18" i="12"/>
  <c r="F150" i="24"/>
  <c r="E82" i="12"/>
  <c r="F95" i="15"/>
  <c r="E109" i="24"/>
  <c r="F179" i="12"/>
  <c r="F36" i="14"/>
  <c r="E282" i="17"/>
  <c r="F15" i="14"/>
  <c r="F190" i="19"/>
  <c r="E38" i="18"/>
  <c r="F242" i="18"/>
  <c r="F362" i="17"/>
  <c r="E123" i="14"/>
  <c r="E202" i="18"/>
  <c r="F304" i="16"/>
  <c r="E19" i="18"/>
  <c r="F82" i="22"/>
  <c r="F138" i="16"/>
  <c r="F168" i="15"/>
  <c r="E86" i="16"/>
  <c r="E213" i="19"/>
  <c r="F100" i="13"/>
  <c r="F306" i="21"/>
  <c r="E61" i="14"/>
  <c r="E23" i="12"/>
  <c r="F65" i="17"/>
  <c r="E177" i="15"/>
  <c r="F245" i="19"/>
  <c r="F161" i="14"/>
  <c r="E97" i="22"/>
  <c r="E120" i="5"/>
  <c r="E124" i="13"/>
  <c r="F7" i="14"/>
  <c r="F12" i="1"/>
  <c r="E24" i="9"/>
  <c r="F36" i="12"/>
  <c r="E130" i="21"/>
  <c r="E52" i="8"/>
  <c r="E147" i="15"/>
  <c r="E217" i="12"/>
  <c r="F35" i="5"/>
  <c r="F97" i="17"/>
  <c r="F181" i="16"/>
  <c r="F28" i="18"/>
  <c r="E31" i="18"/>
  <c r="F59" i="13"/>
  <c r="F101" i="10"/>
  <c r="F70" i="10"/>
  <c r="F135" i="14"/>
  <c r="F101" i="13"/>
  <c r="E12" i="12"/>
  <c r="E201" i="13"/>
  <c r="E91" i="16"/>
  <c r="F159" i="14"/>
  <c r="E24" i="2"/>
  <c r="E89" i="14"/>
  <c r="F61" i="13"/>
  <c r="E14" i="12"/>
  <c r="F207" i="15"/>
  <c r="E19" i="11"/>
  <c r="E256" i="18"/>
  <c r="F120" i="7"/>
  <c r="E121" i="9"/>
  <c r="E59" i="6"/>
  <c r="E86" i="10"/>
  <c r="F129" i="16"/>
  <c r="E92" i="12"/>
  <c r="E94" i="14"/>
  <c r="E350" i="16"/>
  <c r="E176" i="19"/>
  <c r="F38" i="17"/>
  <c r="E161" i="5"/>
  <c r="E115" i="20"/>
  <c r="F23" i="2"/>
  <c r="E8" i="15"/>
  <c r="E142" i="20"/>
  <c r="F74" i="4"/>
  <c r="F73" i="13"/>
  <c r="E28" i="7"/>
  <c r="F115" i="10"/>
  <c r="F35" i="19"/>
  <c r="F34" i="14"/>
  <c r="E68" i="13"/>
  <c r="F108" i="14"/>
  <c r="E164" i="14"/>
  <c r="E4" i="12"/>
  <c r="E171" i="12"/>
  <c r="E136" i="21"/>
  <c r="F200" i="15"/>
  <c r="E2" i="7"/>
  <c r="E68" i="4"/>
  <c r="F255" i="23"/>
  <c r="E3" i="8"/>
  <c r="E221" i="15"/>
  <c r="F67" i="4"/>
  <c r="F189" i="23"/>
  <c r="F14" i="18"/>
  <c r="F23" i="20"/>
  <c r="F184" i="14"/>
  <c r="E67" i="4"/>
  <c r="F233" i="23"/>
  <c r="E332" i="21"/>
  <c r="E174" i="16"/>
  <c r="F243" i="18"/>
  <c r="F61" i="21"/>
  <c r="E139" i="16"/>
  <c r="E27" i="16"/>
  <c r="E54" i="19"/>
  <c r="F277" i="17"/>
  <c r="E225" i="21"/>
  <c r="E188" i="15"/>
  <c r="F257" i="19"/>
  <c r="F67" i="9"/>
  <c r="E198" i="15"/>
  <c r="F49" i="19"/>
  <c r="F205" i="20"/>
  <c r="E39" i="17"/>
  <c r="F326" i="16"/>
  <c r="F57" i="12"/>
  <c r="E79" i="15"/>
  <c r="E110" i="5"/>
  <c r="E301" i="21"/>
  <c r="F229" i="24"/>
  <c r="E35" i="17"/>
  <c r="E20" i="22"/>
  <c r="F30" i="12"/>
  <c r="F45" i="10"/>
  <c r="E241" i="21"/>
  <c r="F38" i="20"/>
  <c r="E10" i="14"/>
  <c r="E299" i="19"/>
  <c r="F146" i="19"/>
  <c r="E166" i="12"/>
  <c r="F238" i="16"/>
  <c r="E160" i="21"/>
  <c r="E202" i="16"/>
  <c r="E13" i="1"/>
  <c r="F189" i="13"/>
  <c r="E121" i="19"/>
  <c r="F254" i="23"/>
  <c r="F73" i="18"/>
  <c r="E168" i="19"/>
  <c r="E115" i="17"/>
  <c r="F157" i="19"/>
  <c r="F208" i="14"/>
  <c r="F95" i="13"/>
  <c r="E10" i="26"/>
  <c r="F35" i="9"/>
  <c r="F90" i="14"/>
  <c r="F72" i="16"/>
  <c r="E173" i="20"/>
  <c r="E47" i="12"/>
  <c r="E168" i="17"/>
  <c r="F72" i="17"/>
  <c r="F270" i="16"/>
  <c r="E156" i="16"/>
  <c r="E169" i="14"/>
  <c r="E267" i="16"/>
  <c r="F51" i="18"/>
  <c r="E100" i="15"/>
  <c r="E37" i="7"/>
  <c r="F93" i="17"/>
  <c r="E26" i="14"/>
  <c r="E44" i="18"/>
  <c r="E146" i="18"/>
  <c r="E281" i="16"/>
  <c r="E90" i="14"/>
  <c r="E95" i="13"/>
  <c r="E4" i="23"/>
  <c r="F108" i="13"/>
  <c r="E203" i="19"/>
  <c r="F216" i="13"/>
  <c r="F43" i="5"/>
  <c r="E341" i="16"/>
  <c r="E132" i="14"/>
  <c r="E117" i="19"/>
  <c r="E27" i="9"/>
  <c r="E48" i="13"/>
  <c r="F186" i="20"/>
  <c r="F161" i="15"/>
  <c r="F60" i="24"/>
  <c r="E49" i="17"/>
  <c r="F79" i="17"/>
  <c r="F96" i="26"/>
  <c r="E135" i="23"/>
  <c r="E202" i="21"/>
  <c r="F26" i="21"/>
  <c r="F46" i="17"/>
  <c r="E53" i="25"/>
  <c r="F103" i="15"/>
  <c r="E16" i="1"/>
  <c r="E61" i="18"/>
  <c r="F28" i="23"/>
  <c r="F355" i="16"/>
  <c r="E261" i="24"/>
  <c r="E17" i="18"/>
  <c r="E196" i="17"/>
  <c r="F212" i="21"/>
  <c r="F210" i="18"/>
  <c r="E75" i="10"/>
  <c r="E188" i="23"/>
  <c r="E80" i="15"/>
  <c r="F92" i="18"/>
  <c r="E51" i="16"/>
  <c r="E232" i="21"/>
  <c r="E109" i="25"/>
  <c r="F325" i="17"/>
  <c r="F81" i="9"/>
  <c r="F49" i="14"/>
  <c r="E191" i="15"/>
  <c r="F137" i="16"/>
  <c r="F127" i="20"/>
  <c r="E189" i="16"/>
  <c r="E171" i="5"/>
  <c r="E167" i="12"/>
  <c r="E42" i="26"/>
  <c r="E351" i="21"/>
  <c r="F76" i="14"/>
  <c r="E2" i="18"/>
  <c r="E323" i="24"/>
  <c r="E38" i="16"/>
  <c r="E2" i="16"/>
  <c r="F237" i="19"/>
  <c r="F105" i="16"/>
  <c r="F184" i="18"/>
  <c r="F93" i="22"/>
  <c r="F106" i="17"/>
  <c r="F189" i="5"/>
  <c r="E119" i="5"/>
  <c r="F63" i="10"/>
  <c r="F242" i="17"/>
  <c r="F18" i="1"/>
  <c r="E152" i="14"/>
  <c r="E58" i="13"/>
  <c r="E18" i="22"/>
  <c r="F107" i="16"/>
  <c r="F215" i="24"/>
  <c r="E24" i="8"/>
  <c r="E154" i="23"/>
  <c r="F297" i="16"/>
  <c r="E143" i="17"/>
  <c r="F244" i="21"/>
  <c r="E161" i="15"/>
  <c r="E198" i="17"/>
  <c r="F62" i="19"/>
  <c r="E77" i="21"/>
  <c r="F204" i="18"/>
  <c r="E375" i="21"/>
  <c r="E388" i="21"/>
  <c r="F244" i="18"/>
  <c r="F286" i="19"/>
  <c r="F62" i="15"/>
  <c r="F16" i="6"/>
  <c r="E199" i="15"/>
  <c r="E65" i="15"/>
  <c r="E15" i="16"/>
  <c r="F65" i="7"/>
  <c r="F150" i="21"/>
  <c r="E158" i="19"/>
  <c r="E58" i="19"/>
  <c r="E201" i="24"/>
  <c r="F107" i="14"/>
  <c r="F189" i="17"/>
  <c r="F95" i="9"/>
  <c r="F88" i="17"/>
  <c r="F245" i="21"/>
  <c r="E180" i="15"/>
  <c r="E56" i="17"/>
  <c r="F48" i="19"/>
  <c r="E73" i="24"/>
  <c r="F19" i="20"/>
  <c r="F5" i="19"/>
  <c r="E152" i="19"/>
  <c r="F82" i="7"/>
  <c r="F112" i="13"/>
  <c r="F349" i="24"/>
  <c r="F213" i="12"/>
  <c r="F185" i="17"/>
  <c r="F28" i="9"/>
  <c r="E16" i="4"/>
  <c r="E211" i="21"/>
  <c r="F23" i="15"/>
  <c r="E77" i="7"/>
  <c r="F66" i="10"/>
  <c r="F115" i="19"/>
  <c r="E19" i="14"/>
  <c r="F158" i="5"/>
  <c r="E157" i="17"/>
  <c r="F50" i="18"/>
  <c r="E91" i="7"/>
  <c r="F36" i="15"/>
  <c r="F5" i="17"/>
  <c r="F74" i="21"/>
  <c r="F77" i="15"/>
  <c r="E183" i="15"/>
  <c r="F41" i="12"/>
  <c r="F73" i="16"/>
  <c r="F66" i="12"/>
  <c r="F101" i="7"/>
  <c r="F10" i="2"/>
  <c r="F79" i="18"/>
  <c r="E91" i="17"/>
  <c r="E127" i="9"/>
  <c r="E85" i="9"/>
  <c r="F147" i="12"/>
  <c r="E160" i="5"/>
  <c r="E206" i="12"/>
  <c r="F108" i="10"/>
  <c r="F108" i="25"/>
  <c r="F238" i="23"/>
  <c r="E108" i="24"/>
  <c r="F76" i="17"/>
  <c r="E54" i="20"/>
  <c r="F377" i="21"/>
  <c r="F156" i="23"/>
  <c r="E88" i="10"/>
  <c r="E317" i="16"/>
  <c r="E45" i="13"/>
  <c r="E102" i="13"/>
  <c r="F24" i="9"/>
  <c r="F168" i="12"/>
  <c r="F311" i="21"/>
  <c r="F24" i="18"/>
  <c r="F254" i="16"/>
  <c r="E74" i="13"/>
  <c r="E335" i="16"/>
  <c r="E135" i="14"/>
  <c r="E65" i="4"/>
  <c r="E67" i="19"/>
  <c r="F11" i="5"/>
  <c r="E146" i="16"/>
  <c r="E276" i="16"/>
  <c r="E65" i="7"/>
  <c r="F231" i="23"/>
  <c r="F222" i="16"/>
  <c r="E269" i="17"/>
  <c r="E204" i="15"/>
  <c r="E15" i="6"/>
  <c r="E364" i="17"/>
  <c r="F74" i="8"/>
  <c r="E34" i="12"/>
  <c r="E148" i="15"/>
  <c r="E79" i="13"/>
  <c r="E199" i="18"/>
  <c r="F115" i="21"/>
  <c r="F158" i="17"/>
  <c r="E292" i="16"/>
  <c r="E19" i="1"/>
  <c r="F170" i="15"/>
  <c r="F119" i="15"/>
  <c r="E19" i="19"/>
  <c r="E29" i="4"/>
  <c r="E61" i="19"/>
  <c r="E33" i="17"/>
  <c r="E48" i="6"/>
  <c r="E186" i="5"/>
  <c r="E187" i="14"/>
  <c r="F34" i="12"/>
  <c r="E107" i="20"/>
  <c r="E21" i="10"/>
  <c r="F173" i="13"/>
  <c r="E199" i="20"/>
  <c r="E154" i="13"/>
  <c r="F131" i="21"/>
  <c r="F100" i="20"/>
  <c r="E195" i="18"/>
  <c r="F178" i="21"/>
  <c r="E41" i="20"/>
  <c r="F124" i="7"/>
  <c r="E214" i="13"/>
  <c r="F33" i="15"/>
  <c r="F214" i="13"/>
  <c r="F67" i="20"/>
  <c r="E115" i="15"/>
  <c r="E72" i="13"/>
  <c r="F273" i="17"/>
  <c r="F125" i="17"/>
  <c r="F73" i="9"/>
  <c r="E174" i="17"/>
  <c r="F84" i="20"/>
  <c r="F142" i="14"/>
  <c r="F14" i="7"/>
  <c r="E128" i="21"/>
  <c r="E131" i="10"/>
  <c r="F62" i="10"/>
  <c r="E76" i="19"/>
  <c r="F183" i="16"/>
  <c r="F286" i="16"/>
  <c r="E155" i="14"/>
  <c r="E192" i="18"/>
  <c r="E10" i="24"/>
  <c r="E170" i="19"/>
  <c r="E8" i="10"/>
  <c r="F110" i="9"/>
  <c r="F150" i="12"/>
  <c r="E72" i="19"/>
  <c r="F108" i="15"/>
  <c r="F220" i="17"/>
  <c r="F252" i="19"/>
  <c r="E165" i="13"/>
  <c r="F52" i="8"/>
  <c r="E156" i="19"/>
  <c r="F63" i="22"/>
  <c r="F32" i="11"/>
  <c r="F96" i="5"/>
  <c r="F121" i="12"/>
  <c r="F64" i="12"/>
  <c r="E35" i="6"/>
  <c r="F51" i="8"/>
  <c r="E377" i="17"/>
  <c r="F35" i="4"/>
  <c r="F90" i="10"/>
  <c r="F7" i="1"/>
  <c r="E277" i="16"/>
  <c r="E83" i="13"/>
  <c r="F7" i="16"/>
  <c r="E115" i="14"/>
  <c r="F233" i="16"/>
  <c r="F2" i="8"/>
  <c r="F110" i="7"/>
  <c r="F4" i="6"/>
  <c r="E131" i="12"/>
  <c r="F52" i="6"/>
  <c r="E20" i="11"/>
  <c r="E145" i="14"/>
  <c r="E15" i="1"/>
  <c r="F141" i="15"/>
  <c r="F50" i="16"/>
  <c r="F346" i="16"/>
  <c r="F96" i="10"/>
  <c r="E85" i="16"/>
  <c r="F92" i="9"/>
  <c r="F265" i="16"/>
  <c r="F168" i="21"/>
  <c r="E165" i="5"/>
  <c r="F2" i="15"/>
  <c r="E352" i="16"/>
  <c r="F352" i="16"/>
  <c r="E310" i="21"/>
  <c r="E90" i="24"/>
  <c r="E8" i="17"/>
  <c r="E291" i="24"/>
  <c r="F102" i="10"/>
  <c r="E351" i="17"/>
  <c r="E294" i="16"/>
  <c r="E224" i="16"/>
  <c r="E18" i="17"/>
  <c r="E126" i="12"/>
  <c r="E99" i="6"/>
  <c r="E204" i="18"/>
  <c r="E130" i="15"/>
  <c r="E22" i="16"/>
  <c r="F96" i="15"/>
  <c r="F100" i="14"/>
  <c r="F117" i="12"/>
  <c r="F127" i="16"/>
  <c r="E23" i="13"/>
  <c r="E60" i="9"/>
  <c r="F172" i="18"/>
  <c r="E187" i="16"/>
  <c r="F55" i="21"/>
  <c r="F109" i="20"/>
  <c r="E63" i="4"/>
  <c r="F75" i="20"/>
  <c r="E134" i="13"/>
  <c r="F136" i="13"/>
  <c r="F161" i="17"/>
  <c r="F116" i="5"/>
  <c r="F76" i="12"/>
  <c r="E174" i="23"/>
  <c r="F93" i="8"/>
  <c r="F302" i="21"/>
  <c r="F375" i="17"/>
  <c r="E30" i="5"/>
  <c r="E5" i="17"/>
  <c r="F140" i="16"/>
  <c r="E319" i="17"/>
  <c r="F57" i="5"/>
  <c r="F203" i="12"/>
  <c r="E58" i="8"/>
  <c r="F14" i="19"/>
  <c r="F22" i="15"/>
  <c r="F34" i="4"/>
  <c r="E251" i="21"/>
  <c r="E31" i="8"/>
  <c r="F134" i="19"/>
  <c r="F134" i="23"/>
  <c r="F142" i="16"/>
  <c r="E218" i="17"/>
  <c r="F139" i="17"/>
  <c r="F65" i="20"/>
  <c r="F97" i="15"/>
  <c r="E104" i="16"/>
  <c r="E212" i="21"/>
  <c r="F93" i="9"/>
  <c r="F138" i="17"/>
  <c r="E4" i="9"/>
  <c r="F24" i="13"/>
  <c r="E283" i="17"/>
  <c r="F27" i="4"/>
  <c r="F133" i="10"/>
  <c r="F6" i="2"/>
  <c r="F118" i="14"/>
  <c r="F166" i="12"/>
  <c r="E265" i="17"/>
  <c r="F82" i="10"/>
  <c r="E72" i="9"/>
  <c r="F120" i="21"/>
  <c r="E59" i="12"/>
  <c r="E12" i="1"/>
  <c r="F204" i="20"/>
  <c r="E185" i="16"/>
  <c r="E178" i="18"/>
  <c r="F74" i="23"/>
  <c r="F17" i="13"/>
  <c r="E122" i="9"/>
  <c r="F41" i="10"/>
  <c r="E40" i="17"/>
  <c r="F46" i="20"/>
  <c r="F87" i="8"/>
  <c r="E74" i="12"/>
  <c r="E109" i="5"/>
  <c r="E10" i="2"/>
  <c r="E4" i="16"/>
  <c r="F151" i="5"/>
  <c r="E130" i="17"/>
  <c r="E89" i="19"/>
  <c r="E188" i="5"/>
  <c r="E82" i="9"/>
  <c r="E131" i="17"/>
  <c r="F69" i="16"/>
  <c r="E305" i="19"/>
  <c r="E214" i="17"/>
  <c r="E178" i="19"/>
  <c r="F115" i="5"/>
  <c r="F10" i="10"/>
  <c r="E20" i="16"/>
  <c r="F114" i="5"/>
  <c r="E189" i="13"/>
  <c r="F184" i="13"/>
  <c r="F78" i="9"/>
  <c r="E60" i="6"/>
  <c r="E12" i="6"/>
  <c r="E105" i="9"/>
  <c r="E52" i="6"/>
  <c r="F113" i="19"/>
  <c r="F344" i="17"/>
  <c r="F148" i="17"/>
  <c r="F48" i="9"/>
  <c r="E135" i="10"/>
  <c r="F99" i="14"/>
  <c r="F249" i="19"/>
  <c r="F39" i="15"/>
  <c r="E101" i="6"/>
  <c r="F65" i="8"/>
  <c r="E10" i="7"/>
  <c r="E287" i="17"/>
  <c r="F103" i="12"/>
  <c r="F164" i="13"/>
  <c r="F332" i="24"/>
  <c r="E45" i="6"/>
  <c r="E35" i="16"/>
  <c r="F18" i="6"/>
  <c r="F44" i="23"/>
  <c r="E258" i="17"/>
  <c r="F142" i="17"/>
  <c r="F178" i="18"/>
  <c r="F121" i="16"/>
  <c r="F122" i="16"/>
  <c r="F54" i="6"/>
  <c r="F136" i="23"/>
  <c r="F105" i="5"/>
  <c r="F154" i="24"/>
  <c r="F81" i="18"/>
  <c r="F127" i="21"/>
  <c r="E147" i="14"/>
  <c r="E131" i="16"/>
  <c r="E268" i="21"/>
  <c r="F223" i="12"/>
  <c r="F65" i="15"/>
  <c r="E184" i="16"/>
  <c r="F108" i="7"/>
  <c r="E19" i="10"/>
  <c r="E94" i="13"/>
  <c r="E13" i="11"/>
  <c r="E74" i="10"/>
  <c r="E133" i="16"/>
  <c r="E9" i="18"/>
  <c r="F180" i="16"/>
  <c r="F117" i="7"/>
  <c r="E85" i="5"/>
  <c r="F18" i="9"/>
  <c r="E5" i="12"/>
  <c r="F211" i="15"/>
  <c r="E359" i="16"/>
  <c r="E64" i="9"/>
  <c r="F4" i="1"/>
  <c r="E178" i="14"/>
  <c r="F97" i="16"/>
  <c r="F153" i="17"/>
  <c r="E4" i="18"/>
  <c r="E191" i="12"/>
  <c r="F172" i="14"/>
  <c r="F246" i="16"/>
  <c r="E233" i="16"/>
  <c r="E149" i="15"/>
  <c r="F69" i="10"/>
  <c r="E53" i="8"/>
  <c r="E115" i="19"/>
  <c r="F79" i="14"/>
  <c r="F184" i="12"/>
  <c r="F176" i="20"/>
  <c r="E140" i="16"/>
  <c r="E11" i="5"/>
  <c r="E308" i="16"/>
  <c r="F10" i="14"/>
  <c r="E50" i="6"/>
  <c r="E43" i="6"/>
  <c r="F196" i="23"/>
  <c r="F299" i="17"/>
  <c r="E151" i="19"/>
  <c r="E151" i="15"/>
  <c r="F43" i="13"/>
  <c r="E217" i="18"/>
  <c r="E11" i="7"/>
  <c r="E4" i="2"/>
  <c r="E100" i="17"/>
  <c r="F27" i="5"/>
  <c r="E224" i="17"/>
  <c r="E5" i="7"/>
  <c r="F68" i="7"/>
  <c r="F31" i="2"/>
  <c r="F255" i="18"/>
  <c r="F54" i="19"/>
  <c r="F4" i="5"/>
  <c r="E38" i="8"/>
  <c r="F114" i="13"/>
  <c r="F18" i="2"/>
  <c r="E58" i="18"/>
  <c r="E304" i="19"/>
  <c r="F71" i="21"/>
  <c r="E120" i="20"/>
  <c r="E153" i="19"/>
  <c r="F32" i="9"/>
  <c r="F185" i="12"/>
  <c r="E9" i="19"/>
  <c r="E15" i="14"/>
  <c r="F200" i="21"/>
  <c r="F21" i="18"/>
  <c r="E6" i="9"/>
  <c r="E81" i="5"/>
  <c r="E176" i="23"/>
  <c r="F19" i="5"/>
  <c r="E107" i="16"/>
  <c r="E65" i="9"/>
  <c r="E236" i="17"/>
  <c r="E158" i="12"/>
  <c r="E38" i="7"/>
  <c r="F224" i="23"/>
  <c r="E40" i="8"/>
  <c r="F47" i="10"/>
  <c r="E15" i="9"/>
  <c r="F12" i="12"/>
  <c r="F28" i="11"/>
  <c r="F103" i="23"/>
  <c r="E112" i="5"/>
  <c r="F219" i="14"/>
  <c r="F72" i="14"/>
  <c r="F188" i="23"/>
  <c r="E30" i="2"/>
  <c r="E83" i="9"/>
  <c r="F337" i="16"/>
  <c r="E104" i="9"/>
  <c r="F38" i="10"/>
  <c r="E5" i="24"/>
  <c r="F22" i="19"/>
  <c r="E47" i="7"/>
  <c r="F3" i="8"/>
  <c r="E35" i="5"/>
  <c r="E109" i="15"/>
  <c r="E105" i="10"/>
  <c r="F38" i="11"/>
  <c r="E2" i="10"/>
  <c r="F77" i="5"/>
  <c r="F60" i="9"/>
  <c r="E186" i="12"/>
  <c r="F136" i="12"/>
  <c r="F145" i="13"/>
  <c r="F187" i="13"/>
  <c r="F34" i="11"/>
  <c r="F142" i="19"/>
  <c r="F220" i="21"/>
  <c r="E49" i="9"/>
  <c r="F167" i="21"/>
  <c r="F33" i="23"/>
  <c r="E185" i="18"/>
  <c r="E70" i="14"/>
  <c r="E37" i="25"/>
  <c r="E36" i="5"/>
  <c r="E308" i="17"/>
  <c r="E153" i="17"/>
  <c r="F65" i="10"/>
  <c r="E68" i="17"/>
  <c r="F18" i="5"/>
  <c r="F196" i="14"/>
  <c r="E205" i="14"/>
  <c r="E204" i="20"/>
  <c r="F107" i="15"/>
  <c r="F55" i="17"/>
  <c r="F274" i="24"/>
  <c r="F53" i="16"/>
  <c r="F3" i="13"/>
  <c r="E74" i="16"/>
  <c r="F203" i="16"/>
  <c r="E108" i="7"/>
  <c r="F49" i="12"/>
  <c r="F101" i="15"/>
  <c r="E80" i="23"/>
  <c r="F15" i="15"/>
  <c r="E66" i="8"/>
  <c r="F123" i="13"/>
  <c r="F258" i="19"/>
  <c r="F176" i="16"/>
  <c r="E172" i="18"/>
  <c r="F76" i="5"/>
  <c r="E356" i="21"/>
  <c r="E97" i="9"/>
  <c r="F26" i="1"/>
  <c r="F9" i="12"/>
  <c r="F30" i="17"/>
  <c r="E348" i="17"/>
  <c r="E6" i="5"/>
  <c r="E38" i="9"/>
  <c r="F70" i="15"/>
  <c r="F129" i="9"/>
  <c r="E87" i="16"/>
  <c r="E51" i="14"/>
  <c r="F120" i="13"/>
  <c r="F31" i="8"/>
  <c r="F34" i="17"/>
  <c r="E79" i="7"/>
  <c r="F143" i="12"/>
  <c r="F157" i="13"/>
  <c r="F170" i="14"/>
  <c r="F320" i="16"/>
  <c r="E304" i="17"/>
  <c r="F42" i="19"/>
  <c r="F117" i="19"/>
  <c r="F251" i="18"/>
  <c r="F179" i="20"/>
  <c r="E2" i="15"/>
  <c r="E330" i="17"/>
  <c r="F87" i="5"/>
  <c r="E88" i="12"/>
  <c r="F218" i="13"/>
  <c r="E107" i="6"/>
  <c r="E93" i="8"/>
  <c r="E17" i="12"/>
  <c r="F103" i="9"/>
  <c r="F245" i="18"/>
  <c r="E43" i="13"/>
  <c r="F74" i="9"/>
  <c r="E155" i="5"/>
  <c r="E249" i="19"/>
  <c r="E5" i="16"/>
  <c r="E92" i="14"/>
  <c r="F222" i="17"/>
  <c r="E107" i="21"/>
  <c r="E227" i="18"/>
  <c r="F168" i="17"/>
  <c r="E129" i="15"/>
  <c r="E15" i="13"/>
  <c r="F115" i="20"/>
  <c r="F14" i="24"/>
  <c r="F62" i="21"/>
  <c r="F68" i="15"/>
  <c r="E58" i="17"/>
  <c r="E340" i="17"/>
  <c r="F231" i="18"/>
  <c r="F14" i="23"/>
  <c r="F212" i="18"/>
  <c r="F59" i="15"/>
  <c r="F290" i="17"/>
  <c r="F92" i="5"/>
  <c r="E60" i="17"/>
  <c r="F59" i="4"/>
  <c r="F193" i="18"/>
  <c r="E133" i="15"/>
  <c r="E4" i="6"/>
  <c r="F296" i="16"/>
  <c r="E2" i="6"/>
  <c r="E11" i="11"/>
  <c r="F112" i="10"/>
  <c r="E62" i="9"/>
  <c r="E170" i="14"/>
  <c r="E26" i="4"/>
  <c r="E299" i="21"/>
  <c r="F6" i="8"/>
  <c r="F40" i="15"/>
  <c r="F68" i="9"/>
  <c r="E125" i="14"/>
  <c r="F345" i="24"/>
  <c r="E210" i="19"/>
  <c r="F29" i="18"/>
  <c r="F23" i="18"/>
  <c r="E133" i="20"/>
  <c r="F37" i="7"/>
  <c r="F261" i="17"/>
  <c r="F63" i="14"/>
  <c r="F213" i="19"/>
  <c r="F80" i="14"/>
  <c r="F20" i="22"/>
  <c r="F39" i="19"/>
  <c r="F178" i="5"/>
  <c r="F124" i="20"/>
  <c r="F35" i="21"/>
  <c r="E195" i="19"/>
  <c r="F90" i="9"/>
  <c r="F20" i="16"/>
  <c r="F273" i="21"/>
  <c r="F147" i="18"/>
  <c r="F248" i="21"/>
  <c r="F290" i="19"/>
  <c r="E69" i="17"/>
  <c r="F120" i="16"/>
  <c r="E113" i="16"/>
  <c r="F228" i="19"/>
  <c r="F57" i="17"/>
  <c r="E49" i="16"/>
  <c r="F226" i="16"/>
  <c r="F303" i="19"/>
  <c r="E217" i="14"/>
  <c r="E208" i="16"/>
  <c r="E45" i="8"/>
  <c r="F13" i="9"/>
  <c r="F198" i="19"/>
  <c r="F195" i="16"/>
  <c r="E157" i="14"/>
  <c r="E62" i="14"/>
  <c r="F41" i="11"/>
  <c r="E45" i="15"/>
  <c r="E63" i="18"/>
  <c r="F121" i="10"/>
  <c r="F53" i="9"/>
  <c r="F156" i="18"/>
  <c r="F59" i="14"/>
  <c r="F51" i="7"/>
  <c r="E8" i="8"/>
  <c r="E22" i="4"/>
  <c r="F69" i="8"/>
  <c r="F64" i="9"/>
  <c r="F8" i="24"/>
  <c r="F218" i="16"/>
  <c r="E216" i="17"/>
  <c r="E157" i="20"/>
  <c r="F175" i="18"/>
  <c r="E109" i="21"/>
  <c r="F111" i="19"/>
  <c r="F177" i="14"/>
  <c r="F74" i="15"/>
  <c r="E109" i="12"/>
  <c r="F190" i="14"/>
  <c r="F197" i="15"/>
  <c r="E8" i="1"/>
  <c r="F32" i="18"/>
  <c r="F61" i="15"/>
  <c r="F126" i="9"/>
  <c r="E232" i="23"/>
  <c r="E22" i="2"/>
  <c r="E115" i="13"/>
  <c r="E167" i="14"/>
  <c r="E134" i="14"/>
  <c r="E379" i="17"/>
  <c r="F154" i="20"/>
  <c r="F12" i="17"/>
  <c r="F130" i="5"/>
  <c r="F300" i="17"/>
  <c r="E83" i="17"/>
  <c r="F121" i="21"/>
  <c r="F68" i="16"/>
  <c r="E91" i="12"/>
  <c r="F50" i="10"/>
  <c r="E35" i="14"/>
  <c r="F196" i="18"/>
  <c r="F89" i="13"/>
  <c r="F58" i="7"/>
  <c r="F304" i="19"/>
  <c r="E21" i="1"/>
  <c r="F49" i="8"/>
  <c r="E216" i="13"/>
  <c r="F179" i="13"/>
  <c r="F80" i="19"/>
  <c r="F68" i="4"/>
  <c r="E215" i="12"/>
  <c r="E69" i="12"/>
  <c r="F3" i="16"/>
  <c r="E85" i="12"/>
  <c r="F94" i="17"/>
  <c r="E164" i="23"/>
  <c r="E76" i="22"/>
  <c r="F284" i="17"/>
  <c r="E296" i="16"/>
  <c r="F84" i="18"/>
  <c r="F108" i="12"/>
  <c r="E35" i="20"/>
  <c r="F29" i="16"/>
  <c r="F203" i="15"/>
  <c r="F77" i="14"/>
  <c r="F158" i="16"/>
  <c r="E172" i="5"/>
  <c r="F9" i="25"/>
  <c r="F97" i="7"/>
  <c r="F162" i="13"/>
  <c r="E98" i="7"/>
  <c r="E12" i="7"/>
  <c r="F41" i="15"/>
  <c r="E62" i="10"/>
  <c r="E30" i="10"/>
  <c r="F32" i="4"/>
  <c r="E181" i="16"/>
  <c r="E14" i="21"/>
  <c r="F231" i="24"/>
  <c r="E113" i="10"/>
  <c r="F166" i="5"/>
  <c r="F79" i="16"/>
  <c r="E224" i="14"/>
  <c r="E105" i="6"/>
  <c r="E189" i="14"/>
  <c r="F21" i="4"/>
  <c r="F78" i="18"/>
  <c r="E30" i="7"/>
  <c r="F169" i="16"/>
  <c r="E74" i="14"/>
  <c r="E50" i="9"/>
  <c r="F104" i="14"/>
  <c r="F21" i="12"/>
  <c r="F188" i="18"/>
  <c r="E4" i="11"/>
  <c r="F6" i="10"/>
  <c r="F44" i="12"/>
  <c r="E39" i="7"/>
  <c r="F154" i="18"/>
  <c r="F11" i="9"/>
  <c r="F356" i="16"/>
  <c r="F38" i="16"/>
  <c r="E79" i="17"/>
  <c r="F82" i="5"/>
  <c r="F221" i="16"/>
  <c r="F192" i="23"/>
  <c r="F308" i="19"/>
  <c r="F19" i="10"/>
  <c r="E166" i="19"/>
  <c r="E218" i="13"/>
  <c r="F147" i="16"/>
  <c r="E344" i="21"/>
  <c r="F50" i="7"/>
  <c r="F254" i="21"/>
  <c r="E8" i="18"/>
  <c r="F8" i="17"/>
  <c r="F22" i="11"/>
  <c r="F181" i="14"/>
  <c r="E111" i="14"/>
  <c r="E37" i="18"/>
  <c r="F141" i="20"/>
  <c r="E268" i="16"/>
  <c r="E67" i="16"/>
  <c r="F24" i="21"/>
  <c r="E45" i="4"/>
  <c r="E180" i="21"/>
  <c r="E25" i="22"/>
  <c r="E157" i="23"/>
  <c r="F90" i="23"/>
  <c r="E159" i="17"/>
  <c r="E119" i="12"/>
  <c r="E132" i="15"/>
  <c r="F112" i="9"/>
  <c r="E9" i="6"/>
  <c r="F269" i="17"/>
  <c r="E48" i="7"/>
  <c r="F260" i="17"/>
  <c r="E57" i="10"/>
  <c r="F59" i="5"/>
  <c r="E7" i="15"/>
  <c r="E138" i="18"/>
  <c r="E326" i="16"/>
  <c r="F122" i="18"/>
  <c r="F69" i="21"/>
  <c r="E23" i="6"/>
  <c r="E299" i="24"/>
  <c r="E118" i="7"/>
  <c r="E24" i="7"/>
  <c r="F100" i="5"/>
  <c r="F296" i="17"/>
  <c r="E56" i="6"/>
  <c r="E127" i="5"/>
  <c r="F153" i="14"/>
  <c r="E351" i="16"/>
  <c r="F122" i="12"/>
  <c r="F180" i="18"/>
  <c r="E136" i="5"/>
  <c r="F141" i="12"/>
  <c r="F83" i="13"/>
  <c r="F15" i="17"/>
  <c r="F75" i="15"/>
  <c r="F166" i="20"/>
  <c r="F43" i="7"/>
  <c r="F22" i="17"/>
  <c r="F25" i="15"/>
  <c r="F16" i="8"/>
  <c r="E92" i="8"/>
  <c r="F138" i="15"/>
  <c r="E274" i="21"/>
  <c r="F146" i="14"/>
  <c r="E116" i="7"/>
  <c r="E89" i="17"/>
  <c r="F233" i="24"/>
  <c r="E125" i="12"/>
  <c r="E59" i="4"/>
  <c r="F44" i="21"/>
  <c r="F31" i="13"/>
  <c r="F78" i="13"/>
  <c r="F44" i="18"/>
  <c r="E21" i="7"/>
  <c r="E167" i="13"/>
  <c r="F219" i="17"/>
  <c r="E75" i="14"/>
  <c r="E148" i="19"/>
  <c r="E46" i="15"/>
  <c r="E155" i="18"/>
  <c r="F45" i="17"/>
  <c r="F84" i="15"/>
  <c r="F71" i="18"/>
  <c r="E181" i="14"/>
  <c r="E133" i="13"/>
  <c r="F8" i="14"/>
  <c r="F13" i="18"/>
  <c r="E104" i="13"/>
  <c r="F4" i="9"/>
  <c r="E141" i="16"/>
  <c r="F118" i="9"/>
  <c r="E354" i="17"/>
  <c r="F37" i="10"/>
  <c r="F46" i="19"/>
  <c r="F16" i="9"/>
  <c r="F42" i="15"/>
  <c r="F212" i="14"/>
  <c r="F121" i="14"/>
  <c r="E13" i="4"/>
  <c r="E180" i="12"/>
  <c r="F232" i="17"/>
  <c r="F75" i="16"/>
  <c r="F27" i="6"/>
  <c r="E186" i="13"/>
  <c r="E47" i="6"/>
  <c r="F88" i="16"/>
  <c r="F40" i="14"/>
  <c r="F8" i="11"/>
  <c r="F39" i="14"/>
  <c r="E41" i="19"/>
  <c r="E49" i="18"/>
  <c r="E308" i="19"/>
  <c r="F307" i="17"/>
  <c r="F81" i="17"/>
  <c r="F124" i="14"/>
  <c r="E123" i="12"/>
  <c r="F33" i="17"/>
  <c r="E226" i="17"/>
  <c r="E70" i="8"/>
  <c r="F158" i="20"/>
  <c r="F200" i="13"/>
  <c r="F198" i="14"/>
  <c r="F246" i="21"/>
  <c r="F171" i="17"/>
  <c r="F196" i="5"/>
  <c r="F9" i="9"/>
  <c r="E113" i="18"/>
  <c r="F252" i="18"/>
  <c r="F232" i="23"/>
  <c r="F162" i="20"/>
  <c r="E85" i="13"/>
  <c r="F103" i="21"/>
  <c r="F10" i="13"/>
  <c r="E342" i="16"/>
  <c r="F299" i="16"/>
  <c r="E59" i="15"/>
  <c r="F195" i="5"/>
  <c r="E202" i="19"/>
  <c r="F35" i="15"/>
  <c r="E197" i="13"/>
  <c r="F78" i="17"/>
  <c r="E39" i="9"/>
  <c r="E160" i="12"/>
  <c r="E123" i="13"/>
  <c r="E142" i="17"/>
  <c r="E88" i="15"/>
  <c r="E341" i="17"/>
  <c r="F143" i="17"/>
  <c r="E265" i="21"/>
  <c r="E183" i="19"/>
  <c r="F210" i="15"/>
  <c r="E103" i="7"/>
  <c r="E62" i="17"/>
  <c r="F109" i="10"/>
  <c r="F25" i="1"/>
  <c r="F132" i="12"/>
  <c r="F336" i="17"/>
  <c r="F20" i="14"/>
  <c r="F129" i="14"/>
  <c r="F67" i="17"/>
  <c r="F330" i="16"/>
  <c r="F69" i="7"/>
  <c r="F163" i="12"/>
  <c r="F172" i="20"/>
  <c r="F130" i="16"/>
  <c r="F35" i="12"/>
  <c r="F92" i="20"/>
  <c r="F205" i="17"/>
  <c r="E93" i="16"/>
  <c r="F23" i="1"/>
  <c r="F202" i="13"/>
  <c r="E156" i="23"/>
  <c r="E76" i="14"/>
  <c r="E56" i="5"/>
  <c r="E130" i="20"/>
  <c r="F321" i="17"/>
  <c r="E18" i="12"/>
  <c r="E25" i="4"/>
  <c r="F71" i="22"/>
  <c r="E167" i="18"/>
  <c r="E102" i="16"/>
  <c r="F203" i="13"/>
  <c r="E142" i="16"/>
  <c r="F82" i="21"/>
  <c r="E24" i="17"/>
  <c r="E84" i="20"/>
  <c r="E71" i="8"/>
  <c r="F159" i="12"/>
  <c r="E111" i="19"/>
  <c r="F93" i="12"/>
  <c r="F9" i="20"/>
  <c r="F103" i="7"/>
  <c r="E157" i="13"/>
  <c r="E190" i="15"/>
  <c r="F226" i="18"/>
  <c r="F174" i="5"/>
  <c r="F343" i="17"/>
  <c r="E45" i="22"/>
  <c r="F182" i="13"/>
  <c r="E104" i="10"/>
  <c r="F89" i="10"/>
  <c r="E164" i="12"/>
  <c r="E53" i="7"/>
  <c r="F209" i="17"/>
  <c r="F31" i="17"/>
  <c r="E28" i="23"/>
  <c r="F79" i="8"/>
  <c r="E12" i="21"/>
  <c r="F37" i="20"/>
  <c r="E65" i="16"/>
  <c r="F110" i="19"/>
  <c r="F105" i="18"/>
  <c r="F167" i="5"/>
  <c r="F39" i="9"/>
  <c r="F186" i="5"/>
  <c r="F256" i="16"/>
  <c r="F38" i="7"/>
  <c r="F135" i="16"/>
  <c r="F43" i="16"/>
  <c r="E93" i="12"/>
  <c r="E37" i="9"/>
  <c r="F197" i="18"/>
  <c r="F42" i="10"/>
  <c r="F122" i="21"/>
  <c r="F191" i="18"/>
  <c r="E71" i="5"/>
  <c r="F227" i="19"/>
  <c r="E30" i="13"/>
  <c r="E94" i="15"/>
  <c r="F70" i="9"/>
  <c r="E140" i="13"/>
  <c r="F9" i="8"/>
  <c r="E71" i="16"/>
  <c r="F94" i="16"/>
  <c r="E117" i="10"/>
  <c r="F82" i="20"/>
  <c r="E39" i="5"/>
  <c r="E179" i="12"/>
  <c r="E195" i="17"/>
  <c r="E92" i="10"/>
  <c r="E18" i="8"/>
  <c r="F136" i="10"/>
  <c r="E187" i="12"/>
  <c r="E9" i="5"/>
  <c r="E55" i="19"/>
  <c r="E103" i="6"/>
  <c r="E149" i="14"/>
  <c r="E107" i="13"/>
  <c r="E80" i="8"/>
  <c r="E106" i="6"/>
  <c r="E83" i="10"/>
  <c r="E3" i="13"/>
  <c r="F180" i="19"/>
  <c r="F13" i="11"/>
  <c r="F29" i="7"/>
  <c r="F152" i="19"/>
  <c r="F162" i="23"/>
  <c r="E72" i="18"/>
  <c r="F91" i="7"/>
  <c r="F206" i="17"/>
  <c r="F209" i="21"/>
  <c r="F285" i="16"/>
  <c r="F220" i="14"/>
  <c r="F124" i="15"/>
  <c r="F329" i="16"/>
  <c r="F37" i="8"/>
  <c r="F3" i="12"/>
  <c r="E110" i="16"/>
  <c r="E79" i="21"/>
  <c r="F97" i="5"/>
  <c r="E108" i="16"/>
  <c r="F208" i="13"/>
  <c r="F176" i="25"/>
  <c r="E180" i="16"/>
  <c r="E223" i="13"/>
  <c r="E293" i="16"/>
  <c r="E131" i="19"/>
  <c r="E85" i="18"/>
  <c r="E25" i="1"/>
  <c r="F161" i="12"/>
  <c r="E31" i="15"/>
  <c r="E90" i="9"/>
  <c r="F58" i="23"/>
  <c r="F9" i="1"/>
  <c r="F49" i="15"/>
  <c r="F133" i="15"/>
  <c r="E66" i="7"/>
  <c r="E33" i="10"/>
  <c r="E269" i="16"/>
  <c r="E42" i="4"/>
  <c r="F30" i="16"/>
  <c r="E233" i="21"/>
  <c r="F185" i="5"/>
  <c r="F5" i="4"/>
  <c r="E49" i="15"/>
  <c r="F218" i="21"/>
  <c r="E66" i="12"/>
  <c r="E34" i="4"/>
  <c r="E33" i="11"/>
  <c r="E171" i="19"/>
  <c r="E200" i="14"/>
  <c r="E52" i="24"/>
  <c r="F91" i="10"/>
  <c r="E144" i="14"/>
  <c r="E162" i="12"/>
  <c r="F52" i="20"/>
  <c r="F294" i="16"/>
  <c r="E94" i="16"/>
  <c r="F334" i="17"/>
  <c r="E177" i="16"/>
  <c r="F136" i="16"/>
  <c r="E11" i="13"/>
  <c r="F72" i="18"/>
  <c r="F107" i="23"/>
  <c r="F7" i="4"/>
  <c r="F73" i="14"/>
  <c r="F143" i="14"/>
  <c r="E188" i="14"/>
  <c r="E31" i="17"/>
  <c r="F188" i="14"/>
  <c r="E27" i="11"/>
  <c r="F322" i="16"/>
  <c r="F267" i="19"/>
  <c r="F13" i="7"/>
  <c r="F17" i="8"/>
  <c r="F16" i="21"/>
  <c r="E114" i="13"/>
  <c r="F65" i="5"/>
  <c r="F29" i="23"/>
  <c r="F194" i="5"/>
  <c r="F172" i="5"/>
  <c r="F52" i="16"/>
  <c r="F43" i="23"/>
  <c r="E275" i="17"/>
  <c r="F186" i="17"/>
  <c r="E66" i="19"/>
  <c r="E165" i="14"/>
  <c r="E204" i="24"/>
  <c r="E50" i="4"/>
  <c r="F129" i="5"/>
  <c r="F86" i="19"/>
  <c r="E225" i="12"/>
  <c r="F137" i="17"/>
  <c r="E120" i="7"/>
  <c r="F86" i="8"/>
  <c r="E300" i="19"/>
  <c r="E192" i="12"/>
  <c r="F29" i="2"/>
  <c r="F63" i="8"/>
  <c r="E73" i="9"/>
  <c r="E180" i="13"/>
  <c r="F94" i="15"/>
  <c r="E149" i="13"/>
  <c r="F47" i="17"/>
  <c r="E305" i="17"/>
  <c r="F107" i="12"/>
  <c r="F275" i="17"/>
  <c r="F176" i="15"/>
  <c r="F2" i="5"/>
  <c r="F109" i="7"/>
  <c r="E71" i="4"/>
  <c r="F225" i="13"/>
  <c r="E59" i="17"/>
  <c r="F37" i="11"/>
  <c r="E23" i="5"/>
  <c r="E30" i="6"/>
  <c r="F85" i="17"/>
  <c r="F58" i="15"/>
  <c r="E19" i="8"/>
  <c r="F64" i="16"/>
  <c r="F23" i="9"/>
  <c r="F107" i="5"/>
  <c r="E27" i="6"/>
  <c r="F111" i="15"/>
  <c r="E235" i="12"/>
  <c r="F219" i="15"/>
  <c r="F41" i="4"/>
  <c r="E62" i="13"/>
  <c r="F52" i="13"/>
  <c r="E31" i="16"/>
  <c r="E95" i="17"/>
  <c r="F18" i="11"/>
  <c r="F261" i="24"/>
  <c r="F192" i="19"/>
  <c r="F76" i="18"/>
  <c r="E22" i="14"/>
  <c r="F304" i="17"/>
  <c r="E219" i="21"/>
  <c r="F199" i="13"/>
  <c r="F238" i="21"/>
  <c r="F65" i="12"/>
  <c r="F107" i="13"/>
  <c r="E153" i="13"/>
  <c r="F171" i="13"/>
  <c r="E77" i="13"/>
  <c r="E146" i="12"/>
  <c r="F64" i="10"/>
  <c r="E130" i="9"/>
  <c r="E122" i="10"/>
  <c r="E296" i="21"/>
  <c r="E313" i="17"/>
  <c r="F13" i="19"/>
  <c r="F60" i="20"/>
  <c r="E151" i="12"/>
  <c r="E310" i="16"/>
  <c r="E258" i="18"/>
  <c r="E158" i="14"/>
  <c r="F253" i="18"/>
  <c r="E85" i="21"/>
  <c r="E234" i="16"/>
  <c r="F67" i="16"/>
  <c r="E383" i="17"/>
  <c r="E43" i="5"/>
  <c r="E307" i="16"/>
  <c r="F44" i="6"/>
  <c r="E191" i="17"/>
  <c r="E93" i="9"/>
  <c r="F193" i="12"/>
  <c r="F55" i="9"/>
  <c r="E70" i="4"/>
  <c r="F169" i="12"/>
  <c r="E89" i="15"/>
  <c r="F84" i="19"/>
  <c r="E145" i="21"/>
  <c r="E32" i="13"/>
  <c r="E106" i="19"/>
  <c r="E17" i="1"/>
  <c r="F13" i="4"/>
  <c r="E11" i="6"/>
  <c r="E137" i="15"/>
  <c r="E238" i="16"/>
  <c r="E221" i="13"/>
  <c r="F161" i="18"/>
  <c r="E16" i="5"/>
  <c r="F140" i="18"/>
  <c r="E44" i="8"/>
  <c r="F53" i="4"/>
  <c r="E82" i="8"/>
  <c r="E125" i="13"/>
  <c r="F86" i="22"/>
  <c r="E73" i="13"/>
  <c r="E2" i="8"/>
  <c r="F86" i="13"/>
  <c r="F17" i="16"/>
  <c r="F39" i="13"/>
  <c r="F119" i="14"/>
  <c r="E16" i="12"/>
  <c r="E116" i="9"/>
  <c r="F50" i="6"/>
  <c r="F270" i="17"/>
  <c r="E25" i="14"/>
  <c r="E149" i="5"/>
  <c r="E27" i="12"/>
  <c r="E124" i="14"/>
  <c r="E78" i="17"/>
  <c r="E120" i="12"/>
  <c r="E54" i="10"/>
  <c r="F68" i="14"/>
  <c r="E22" i="10"/>
  <c r="F55" i="14"/>
  <c r="E318" i="16"/>
  <c r="F248" i="23"/>
  <c r="E29" i="8"/>
  <c r="F40" i="11"/>
  <c r="F150" i="16"/>
  <c r="F119" i="9"/>
  <c r="F159" i="13"/>
  <c r="E114" i="5"/>
  <c r="E28" i="10"/>
  <c r="F43" i="12"/>
  <c r="F113" i="5"/>
  <c r="F31" i="7"/>
  <c r="F26" i="6"/>
  <c r="E139" i="10"/>
  <c r="F167" i="15"/>
  <c r="F90" i="21"/>
  <c r="F19" i="11"/>
  <c r="E166" i="13"/>
  <c r="F160" i="16"/>
  <c r="F96" i="21"/>
  <c r="E171" i="16"/>
  <c r="F74" i="5"/>
  <c r="F55" i="15"/>
  <c r="F21" i="15"/>
  <c r="F39" i="17"/>
  <c r="E38" i="11"/>
  <c r="E139" i="17"/>
  <c r="F64" i="15"/>
  <c r="F101" i="17"/>
  <c r="F144" i="5"/>
  <c r="F9" i="15"/>
  <c r="E84" i="25"/>
  <c r="E132" i="12"/>
  <c r="E63" i="12"/>
  <c r="F22" i="4"/>
  <c r="F366" i="17"/>
  <c r="F47" i="19"/>
  <c r="F6" i="14"/>
  <c r="E187" i="5"/>
  <c r="F171" i="5"/>
  <c r="F70" i="13"/>
  <c r="F57" i="10"/>
  <c r="E255" i="16"/>
  <c r="F173" i="18"/>
  <c r="F3" i="17"/>
  <c r="E57" i="5"/>
  <c r="F74" i="16"/>
  <c r="F196" i="16"/>
  <c r="E173" i="25"/>
  <c r="E204" i="13"/>
  <c r="E25" i="6"/>
  <c r="F140" i="21"/>
  <c r="E119" i="7"/>
  <c r="F75" i="10"/>
  <c r="F83" i="5"/>
  <c r="F89" i="20"/>
  <c r="F117" i="15"/>
  <c r="E89" i="5"/>
  <c r="E17" i="16"/>
  <c r="E91" i="5"/>
  <c r="F8" i="5"/>
  <c r="F98" i="12"/>
  <c r="E114" i="17"/>
  <c r="F21" i="10"/>
  <c r="E211" i="15"/>
  <c r="E4" i="5"/>
  <c r="E13" i="18"/>
  <c r="E66" i="5"/>
  <c r="F4" i="21"/>
  <c r="F162" i="15"/>
  <c r="F54" i="9"/>
  <c r="E52" i="20"/>
  <c r="F113" i="10"/>
  <c r="E43" i="12"/>
  <c r="E47" i="16"/>
  <c r="E88" i="5"/>
  <c r="E26" i="13"/>
  <c r="E129" i="5"/>
  <c r="F153" i="15"/>
  <c r="F127" i="5"/>
  <c r="E36" i="8"/>
  <c r="F223" i="18"/>
  <c r="E92" i="18"/>
  <c r="F94" i="9"/>
  <c r="F136" i="5"/>
  <c r="E33" i="15"/>
  <c r="E135" i="16"/>
  <c r="E38" i="14"/>
  <c r="F223" i="16"/>
  <c r="E94" i="9"/>
  <c r="E4" i="8"/>
  <c r="E186" i="17"/>
  <c r="F156" i="5"/>
  <c r="E261" i="16"/>
  <c r="E117" i="15"/>
  <c r="F2" i="7"/>
  <c r="E338" i="17"/>
  <c r="E97" i="5"/>
  <c r="E100" i="7"/>
  <c r="E52" i="7"/>
  <c r="E76" i="7"/>
  <c r="E115" i="21"/>
  <c r="E2" i="17"/>
  <c r="F92" i="13"/>
  <c r="E43" i="7"/>
  <c r="F165" i="23"/>
  <c r="E104" i="12"/>
  <c r="E46" i="12"/>
  <c r="F118" i="15"/>
  <c r="F3" i="15"/>
  <c r="E51" i="15"/>
  <c r="E201" i="17"/>
  <c r="F146" i="12"/>
  <c r="F114" i="15"/>
  <c r="E18" i="7"/>
  <c r="F39" i="7"/>
  <c r="F101" i="5"/>
  <c r="E73" i="10"/>
  <c r="E55" i="9"/>
  <c r="E219" i="15"/>
  <c r="E48" i="14"/>
  <c r="E155" i="16"/>
  <c r="F185" i="14"/>
  <c r="E64" i="23"/>
  <c r="F315" i="16"/>
  <c r="E181" i="17"/>
  <c r="E168" i="16"/>
  <c r="F233" i="17"/>
  <c r="E103" i="18"/>
  <c r="F65" i="13"/>
  <c r="F105" i="14"/>
  <c r="E301" i="19"/>
  <c r="E28" i="14"/>
  <c r="F174" i="24"/>
  <c r="E36" i="12"/>
  <c r="E5" i="8"/>
  <c r="F244" i="16"/>
  <c r="E40" i="6"/>
  <c r="F12" i="5"/>
  <c r="E107" i="9"/>
  <c r="F56" i="21"/>
  <c r="E196" i="18"/>
  <c r="E183" i="12"/>
  <c r="E243" i="16"/>
  <c r="F93" i="10"/>
  <c r="F46" i="8"/>
  <c r="F152" i="13"/>
  <c r="F53" i="15"/>
  <c r="F166" i="19"/>
  <c r="E113" i="13"/>
  <c r="E27" i="4"/>
  <c r="E57" i="15"/>
  <c r="E77" i="10"/>
  <c r="F48" i="14"/>
  <c r="E276" i="19"/>
  <c r="E102" i="17"/>
  <c r="E78" i="16"/>
  <c r="E10" i="9"/>
  <c r="E106" i="12"/>
  <c r="E11" i="8"/>
  <c r="E185" i="5"/>
  <c r="F183" i="5"/>
  <c r="E73" i="19"/>
  <c r="E161" i="16"/>
  <c r="F51" i="6"/>
  <c r="E43" i="8"/>
  <c r="E215" i="16"/>
  <c r="E130" i="13"/>
  <c r="E81" i="10"/>
  <c r="E20" i="4"/>
  <c r="E117" i="13"/>
  <c r="E204" i="14"/>
  <c r="E63" i="9"/>
  <c r="E93" i="5"/>
  <c r="F23" i="8"/>
  <c r="E29" i="2"/>
  <c r="F45" i="16"/>
  <c r="F155" i="12"/>
  <c r="F91" i="12"/>
  <c r="E35" i="13"/>
  <c r="E27" i="8"/>
  <c r="E102" i="6"/>
  <c r="E34" i="18"/>
  <c r="F201" i="5"/>
  <c r="F125" i="18"/>
  <c r="E100" i="10"/>
  <c r="E7" i="8"/>
  <c r="F4" i="10"/>
  <c r="E56" i="20"/>
  <c r="E90" i="7"/>
  <c r="F54" i="12"/>
  <c r="F77" i="12"/>
  <c r="F138" i="10"/>
  <c r="E52" i="14"/>
  <c r="F82" i="17"/>
  <c r="F116" i="10"/>
  <c r="F161" i="20"/>
  <c r="E61" i="7"/>
  <c r="F49" i="20"/>
  <c r="F141" i="5"/>
  <c r="F16" i="16"/>
  <c r="F186" i="14"/>
  <c r="F155" i="18"/>
  <c r="F181" i="13"/>
  <c r="F5" i="5"/>
  <c r="F212" i="13"/>
  <c r="F25" i="12"/>
  <c r="F252" i="17"/>
  <c r="E151" i="16"/>
  <c r="F188" i="13"/>
  <c r="F69" i="24"/>
  <c r="E32" i="14"/>
  <c r="F73" i="17"/>
  <c r="E77" i="19"/>
  <c r="F339" i="17"/>
  <c r="E59" i="10"/>
  <c r="F15" i="9"/>
  <c r="E6" i="12"/>
  <c r="F313" i="17"/>
  <c r="F106" i="14"/>
  <c r="E17" i="5"/>
  <c r="E32" i="11"/>
  <c r="E67" i="9"/>
  <c r="E10" i="6"/>
  <c r="E92" i="7"/>
  <c r="E158" i="5"/>
  <c r="E277" i="17"/>
  <c r="F28" i="4"/>
  <c r="F86" i="12"/>
  <c r="F28" i="13"/>
  <c r="F87" i="10"/>
  <c r="E319" i="16"/>
  <c r="F7" i="10"/>
  <c r="E185" i="12"/>
  <c r="E152" i="13"/>
  <c r="E105" i="13"/>
  <c r="E36" i="13"/>
  <c r="E76" i="5"/>
  <c r="E58" i="7"/>
  <c r="F29" i="5"/>
  <c r="F76" i="16"/>
  <c r="E196" i="5"/>
  <c r="F150" i="17"/>
  <c r="F70" i="14"/>
  <c r="E62" i="12"/>
  <c r="F25" i="20"/>
  <c r="E124" i="5"/>
  <c r="E100" i="6"/>
  <c r="E35" i="22"/>
  <c r="F48" i="13"/>
  <c r="E33" i="2"/>
  <c r="E10" i="12"/>
  <c r="E203" i="14"/>
  <c r="E39" i="4"/>
  <c r="F90" i="12"/>
  <c r="E3" i="1"/>
  <c r="E20" i="20"/>
  <c r="F68" i="8"/>
  <c r="F158" i="14"/>
  <c r="E82" i="15"/>
  <c r="E182" i="5"/>
  <c r="E84" i="6"/>
  <c r="E78" i="12"/>
  <c r="E74" i="20"/>
  <c r="E34" i="9"/>
  <c r="F50" i="22"/>
  <c r="F87" i="24"/>
  <c r="F255" i="16"/>
  <c r="F121" i="9"/>
  <c r="F38" i="8"/>
  <c r="E99" i="14"/>
  <c r="E69" i="9"/>
  <c r="F210" i="12"/>
  <c r="E84" i="18"/>
  <c r="F6" i="19"/>
  <c r="F31" i="15"/>
  <c r="F52" i="17"/>
  <c r="F14" i="26"/>
  <c r="E231" i="21"/>
  <c r="F59" i="7"/>
  <c r="E89" i="9"/>
  <c r="E98" i="14"/>
  <c r="E241" i="17"/>
  <c r="F54" i="21"/>
  <c r="F15" i="20"/>
  <c r="E215" i="17"/>
  <c r="E80" i="17"/>
  <c r="E4" i="3"/>
  <c r="F178" i="13"/>
  <c r="E143" i="15"/>
  <c r="E210" i="14"/>
  <c r="F347" i="17"/>
  <c r="F246" i="19"/>
  <c r="E295" i="16"/>
  <c r="F126" i="21"/>
  <c r="F34" i="18"/>
  <c r="E134" i="5"/>
  <c r="E86" i="5"/>
  <c r="E41" i="17"/>
  <c r="F85" i="18"/>
  <c r="E74" i="9"/>
  <c r="F46" i="4"/>
  <c r="E26" i="2"/>
  <c r="F164" i="15"/>
  <c r="F30" i="19"/>
  <c r="F31" i="18"/>
  <c r="E146" i="14"/>
  <c r="F123" i="15"/>
  <c r="E49" i="8"/>
  <c r="F39" i="5"/>
  <c r="E80" i="13"/>
  <c r="F195" i="20"/>
  <c r="F43" i="6"/>
  <c r="E43" i="22"/>
  <c r="F87" i="16"/>
  <c r="F200" i="16"/>
  <c r="E113" i="15"/>
  <c r="F148" i="18"/>
  <c r="E107" i="18"/>
  <c r="F92" i="10"/>
  <c r="F326" i="17"/>
  <c r="E219" i="16"/>
  <c r="F7" i="2"/>
  <c r="F289" i="17"/>
  <c r="E78" i="10"/>
  <c r="F165" i="12"/>
  <c r="F268" i="16"/>
  <c r="F113" i="9"/>
  <c r="E108" i="20"/>
  <c r="E195" i="16"/>
  <c r="F119" i="12"/>
  <c r="E33" i="9"/>
  <c r="F48" i="7"/>
  <c r="F235" i="19"/>
  <c r="E28" i="15"/>
  <c r="F14" i="2"/>
  <c r="F32" i="2"/>
  <c r="E12" i="10"/>
  <c r="F132" i="14"/>
  <c r="E195" i="13"/>
  <c r="F281" i="17"/>
  <c r="F29" i="12"/>
  <c r="F36" i="20"/>
  <c r="E21" i="15"/>
  <c r="F3" i="9"/>
  <c r="F24" i="5"/>
  <c r="E64" i="12"/>
  <c r="E9" i="8"/>
  <c r="E88" i="13"/>
  <c r="E22" i="5"/>
  <c r="F119" i="7"/>
  <c r="F32" i="6"/>
  <c r="F23" i="7"/>
  <c r="F54" i="5"/>
  <c r="E124" i="12"/>
  <c r="F88" i="14"/>
  <c r="E33" i="16"/>
  <c r="F292" i="16"/>
  <c r="F134" i="13"/>
  <c r="F154" i="16"/>
  <c r="F52" i="12"/>
  <c r="F112" i="15"/>
  <c r="F96" i="12"/>
  <c r="E57" i="6"/>
  <c r="E95" i="9"/>
  <c r="F95" i="17"/>
  <c r="F120" i="9"/>
  <c r="E13" i="16"/>
  <c r="E145" i="12"/>
  <c r="E11" i="1"/>
  <c r="F5" i="1"/>
  <c r="F73" i="7"/>
  <c r="E112" i="10"/>
  <c r="E140" i="21"/>
  <c r="E80" i="7"/>
  <c r="E91" i="14"/>
  <c r="F211" i="12"/>
  <c r="E108" i="13"/>
  <c r="F19" i="2"/>
  <c r="E236" i="16"/>
  <c r="E162" i="5"/>
  <c r="F49" i="5"/>
  <c r="F100" i="15"/>
  <c r="E48" i="17"/>
  <c r="F100" i="7"/>
  <c r="E49" i="13"/>
  <c r="E104" i="6"/>
  <c r="F173" i="14"/>
  <c r="F13" i="16"/>
  <c r="F190" i="17"/>
  <c r="F67" i="12"/>
  <c r="F122" i="10"/>
  <c r="F251" i="21"/>
  <c r="F305" i="16"/>
  <c r="F205" i="15"/>
  <c r="F26" i="11"/>
  <c r="E122" i="5"/>
  <c r="F47" i="20"/>
  <c r="E53" i="21"/>
  <c r="F333" i="17"/>
  <c r="E117" i="16"/>
  <c r="F301" i="17"/>
  <c r="E349" i="17"/>
  <c r="E188" i="13"/>
  <c r="F75" i="14"/>
  <c r="E39" i="6"/>
  <c r="F141" i="14"/>
  <c r="F49" i="4"/>
  <c r="E164" i="17"/>
  <c r="F2" i="16"/>
  <c r="E2" i="12"/>
  <c r="F26" i="14"/>
  <c r="E126" i="9"/>
  <c r="F176" i="17"/>
  <c r="F117" i="5"/>
  <c r="E132" i="5"/>
  <c r="F8" i="13"/>
  <c r="E309" i="19"/>
  <c r="E208" i="14"/>
  <c r="F59" i="6"/>
  <c r="F259" i="24"/>
  <c r="E99" i="13"/>
  <c r="E96" i="5"/>
  <c r="E112" i="13"/>
  <c r="F39" i="6"/>
  <c r="E118" i="17"/>
  <c r="F199" i="15"/>
  <c r="F12" i="11"/>
  <c r="F195" i="14"/>
  <c r="E336" i="21"/>
  <c r="F24" i="7"/>
  <c r="E169" i="16"/>
  <c r="E355" i="24"/>
  <c r="E227" i="19"/>
  <c r="F171" i="19"/>
  <c r="F275" i="24"/>
  <c r="E105" i="25"/>
  <c r="F9" i="14"/>
  <c r="E82" i="7"/>
  <c r="E193" i="17"/>
  <c r="F188" i="16"/>
  <c r="F98" i="13"/>
  <c r="E224" i="12"/>
  <c r="E162" i="15"/>
  <c r="E208" i="13"/>
  <c r="E93" i="10"/>
  <c r="E238" i="18"/>
  <c r="E195" i="14"/>
  <c r="E100" i="14"/>
  <c r="E245" i="17"/>
  <c r="F60" i="4"/>
  <c r="E212" i="13"/>
  <c r="F199" i="14"/>
  <c r="F87" i="13"/>
  <c r="F162" i="12"/>
  <c r="F16" i="14"/>
  <c r="E88" i="17"/>
  <c r="E191" i="19"/>
  <c r="F20" i="4"/>
  <c r="F201" i="13"/>
  <c r="F121" i="18"/>
  <c r="E288" i="16"/>
  <c r="E155" i="23"/>
  <c r="F58" i="19"/>
  <c r="F28" i="16"/>
  <c r="F24" i="12"/>
  <c r="E188" i="16"/>
  <c r="E196" i="14"/>
  <c r="F139" i="10"/>
  <c r="F76" i="7"/>
  <c r="F106" i="13"/>
  <c r="F49" i="13"/>
  <c r="F146" i="15"/>
  <c r="F32" i="15"/>
  <c r="F216" i="18"/>
  <c r="E14" i="8"/>
  <c r="E129" i="17"/>
  <c r="E22" i="13"/>
  <c r="F235" i="17"/>
  <c r="F162" i="5"/>
  <c r="F46" i="12"/>
  <c r="E71" i="9"/>
  <c r="F60" i="10"/>
  <c r="E190" i="13"/>
  <c r="E223" i="12"/>
  <c r="E179" i="13"/>
  <c r="E81" i="9"/>
  <c r="F162" i="16"/>
  <c r="E15" i="2"/>
  <c r="F134" i="14"/>
  <c r="F44" i="8"/>
  <c r="E24" i="13"/>
  <c r="F103" i="5"/>
  <c r="E131" i="21"/>
  <c r="E168" i="14"/>
  <c r="E26" i="15"/>
  <c r="E115" i="16"/>
  <c r="E170" i="5"/>
  <c r="F17" i="1"/>
  <c r="E41" i="16"/>
  <c r="E46" i="16"/>
  <c r="E74" i="6"/>
  <c r="F202" i="5"/>
  <c r="E255" i="17"/>
  <c r="F227" i="12"/>
  <c r="F44" i="16"/>
  <c r="E65" i="5"/>
  <c r="F201" i="18"/>
  <c r="F186" i="12"/>
  <c r="F31" i="4"/>
  <c r="F8" i="15"/>
  <c r="F118" i="12"/>
  <c r="F210" i="21"/>
  <c r="E92" i="6"/>
  <c r="F30" i="13"/>
  <c r="F212" i="19"/>
  <c r="F18" i="7"/>
  <c r="F3" i="14"/>
  <c r="F19" i="1"/>
  <c r="E234" i="19"/>
  <c r="E130" i="18"/>
  <c r="E30" i="14"/>
  <c r="E244" i="16"/>
  <c r="F94" i="13"/>
  <c r="F42" i="13"/>
  <c r="F202" i="18"/>
  <c r="F141" i="13"/>
  <c r="E20" i="1"/>
  <c r="F48" i="15"/>
  <c r="F182" i="5"/>
  <c r="E111" i="13"/>
  <c r="E309" i="16"/>
  <c r="E127" i="19"/>
  <c r="E196" i="16"/>
  <c r="E91" i="19"/>
  <c r="F128" i="13"/>
  <c r="E108" i="12"/>
  <c r="F76" i="13"/>
  <c r="E68" i="14"/>
  <c r="E303" i="24"/>
  <c r="F49" i="9"/>
  <c r="F236" i="21"/>
  <c r="F4" i="13"/>
  <c r="E92" i="13"/>
  <c r="E28" i="16"/>
  <c r="F18" i="10"/>
  <c r="F181" i="5"/>
  <c r="E138" i="19"/>
  <c r="E207" i="13"/>
  <c r="E101" i="19"/>
  <c r="F122" i="15"/>
  <c r="E25" i="15"/>
  <c r="E29" i="13"/>
  <c r="F77" i="18"/>
  <c r="E311" i="21"/>
  <c r="E156" i="5"/>
  <c r="F33" i="2"/>
  <c r="E67" i="14"/>
  <c r="E87" i="12"/>
  <c r="F10" i="9"/>
  <c r="F72" i="7"/>
  <c r="E170" i="12"/>
  <c r="F14" i="10"/>
  <c r="E52" i="16"/>
  <c r="E3" i="12"/>
  <c r="E192" i="23"/>
  <c r="E100" i="9"/>
  <c r="E172" i="15"/>
  <c r="F3" i="6"/>
  <c r="E14" i="1"/>
  <c r="F128" i="15"/>
  <c r="F220" i="13"/>
  <c r="E80" i="14"/>
  <c r="F2" i="2"/>
  <c r="E72" i="4"/>
  <c r="F81" i="8"/>
  <c r="E111" i="15"/>
  <c r="F64" i="7"/>
  <c r="F116" i="15"/>
  <c r="F4" i="3"/>
  <c r="E75" i="13"/>
  <c r="F89" i="7"/>
  <c r="F239" i="24"/>
  <c r="E80" i="12"/>
  <c r="F50" i="5"/>
  <c r="F4" i="2"/>
  <c r="F228" i="12"/>
  <c r="E104" i="5"/>
  <c r="E13" i="21"/>
  <c r="F141" i="17"/>
  <c r="E307" i="17"/>
  <c r="F140" i="5"/>
  <c r="F82" i="13"/>
  <c r="E3" i="9"/>
  <c r="E31" i="4"/>
  <c r="E314" i="17"/>
  <c r="E193" i="12"/>
  <c r="E8" i="14"/>
  <c r="F194" i="12"/>
  <c r="F71" i="10"/>
  <c r="E17" i="22"/>
  <c r="E76" i="13"/>
  <c r="E8" i="4"/>
  <c r="F152" i="15"/>
  <c r="F168" i="14"/>
  <c r="E111" i="7"/>
  <c r="E12" i="4"/>
  <c r="E23" i="8"/>
  <c r="E44" i="12"/>
  <c r="F311" i="17"/>
  <c r="E78" i="21"/>
  <c r="E112" i="9"/>
  <c r="F37" i="19"/>
  <c r="E52" i="13"/>
  <c r="F145" i="10"/>
  <c r="F70" i="7"/>
  <c r="F137" i="5"/>
  <c r="E323" i="17"/>
  <c r="F170" i="13"/>
  <c r="F33" i="7"/>
  <c r="F23" i="17"/>
  <c r="F90" i="16"/>
  <c r="F6" i="5"/>
  <c r="E69" i="15"/>
  <c r="E5" i="3"/>
  <c r="F81" i="7"/>
  <c r="F111" i="5"/>
  <c r="E25" i="11"/>
  <c r="E5" i="1"/>
  <c r="E89" i="12"/>
  <c r="E72" i="16"/>
  <c r="E84" i="9"/>
  <c r="F38" i="13"/>
  <c r="E294" i="21"/>
  <c r="F357" i="17"/>
  <c r="E125" i="20"/>
  <c r="F21" i="7"/>
  <c r="F60" i="17"/>
  <c r="F66" i="20"/>
  <c r="E109" i="17"/>
  <c r="E105" i="5"/>
  <c r="F187" i="16"/>
  <c r="E119" i="14"/>
  <c r="E13" i="7"/>
  <c r="E145" i="17"/>
  <c r="F348" i="16"/>
  <c r="E161" i="17"/>
  <c r="E151" i="20"/>
  <c r="E271" i="16"/>
  <c r="E125" i="15"/>
  <c r="F198" i="13"/>
  <c r="F90" i="25"/>
  <c r="F209" i="16"/>
  <c r="E36" i="18"/>
  <c r="E20" i="24"/>
  <c r="F183" i="15"/>
  <c r="F111" i="9"/>
  <c r="E82" i="10"/>
  <c r="F64" i="8"/>
  <c r="F42" i="7"/>
  <c r="F81" i="23"/>
  <c r="E231" i="18"/>
  <c r="E144" i="13"/>
  <c r="E123" i="16"/>
  <c r="E153" i="16"/>
  <c r="E110" i="10"/>
  <c r="F133" i="17"/>
  <c r="F6" i="7"/>
  <c r="F211" i="14"/>
  <c r="F37" i="5"/>
  <c r="E2" i="4"/>
  <c r="E112" i="16"/>
  <c r="E97" i="7"/>
  <c r="E42" i="12"/>
  <c r="F214" i="16"/>
  <c r="E14" i="20"/>
  <c r="F69" i="4"/>
  <c r="F254" i="17"/>
  <c r="E69" i="8"/>
  <c r="F134" i="5"/>
  <c r="F73" i="4"/>
  <c r="F117" i="17"/>
  <c r="F25" i="9"/>
  <c r="F34" i="9"/>
  <c r="E70" i="16"/>
  <c r="F11" i="16"/>
  <c r="F66" i="8"/>
  <c r="E227" i="16"/>
  <c r="E62" i="20"/>
  <c r="E27" i="15"/>
  <c r="F94" i="14"/>
  <c r="F59" i="10"/>
  <c r="F3" i="11"/>
  <c r="F117" i="13"/>
  <c r="F87" i="14"/>
  <c r="F222" i="19"/>
  <c r="E83" i="5"/>
  <c r="E18" i="16"/>
  <c r="F151" i="17"/>
  <c r="E57" i="21"/>
  <c r="F165" i="5"/>
  <c r="F206" i="12"/>
  <c r="E9" i="1"/>
  <c r="F105" i="10"/>
  <c r="F163" i="14"/>
  <c r="E57" i="16"/>
  <c r="F51" i="20"/>
  <c r="F198" i="5"/>
  <c r="E115" i="7"/>
  <c r="F131" i="9"/>
  <c r="E210" i="15"/>
  <c r="F122" i="14"/>
  <c r="E160" i="14"/>
  <c r="E245" i="16"/>
  <c r="F134" i="12"/>
  <c r="E148" i="13"/>
  <c r="E6" i="3"/>
  <c r="E32" i="9"/>
  <c r="E46" i="4"/>
  <c r="E13" i="6"/>
  <c r="F80" i="12"/>
  <c r="E177" i="21"/>
  <c r="E168" i="12"/>
  <c r="E65" i="12"/>
  <c r="F112" i="16"/>
  <c r="F61" i="18"/>
  <c r="E82" i="17"/>
  <c r="E273" i="19"/>
  <c r="E79" i="16"/>
  <c r="F202" i="14"/>
  <c r="F154" i="13"/>
  <c r="E26" i="9"/>
  <c r="F67" i="8"/>
  <c r="F103" i="20"/>
  <c r="F128" i="12"/>
  <c r="E190" i="17"/>
  <c r="E153" i="12"/>
  <c r="F10" i="5"/>
  <c r="E197" i="21"/>
  <c r="E99" i="7"/>
  <c r="E172" i="14"/>
  <c r="E186" i="14"/>
  <c r="F182" i="12"/>
  <c r="F192" i="15"/>
  <c r="F196" i="12"/>
  <c r="F128" i="5"/>
  <c r="F126" i="12"/>
  <c r="F70" i="8"/>
  <c r="F112" i="5"/>
  <c r="E70" i="6"/>
  <c r="E134" i="12"/>
  <c r="F153" i="13"/>
  <c r="F36" i="10"/>
  <c r="E33" i="7"/>
  <c r="F82" i="9"/>
  <c r="F26" i="9"/>
  <c r="E69" i="4"/>
  <c r="F142" i="12"/>
  <c r="F218" i="14"/>
  <c r="F100" i="16"/>
  <c r="E100" i="13"/>
  <c r="E147" i="18"/>
  <c r="F20" i="1"/>
  <c r="F6" i="9"/>
  <c r="F204" i="13"/>
  <c r="E33" i="12"/>
  <c r="E4" i="4"/>
  <c r="F35" i="13"/>
  <c r="E111" i="5"/>
  <c r="F130" i="12"/>
  <c r="F30" i="14"/>
  <c r="E8" i="12"/>
  <c r="E29" i="5"/>
  <c r="E34" i="11"/>
  <c r="F118" i="7"/>
  <c r="E26" i="10"/>
  <c r="E7" i="2"/>
  <c r="F28" i="12"/>
  <c r="E156" i="14"/>
  <c r="E119" i="9"/>
  <c r="E118" i="10"/>
  <c r="E278" i="16"/>
  <c r="F30" i="2"/>
  <c r="E114" i="10"/>
  <c r="F135" i="18"/>
  <c r="F19" i="8"/>
  <c r="F149" i="12"/>
  <c r="E46" i="5"/>
  <c r="F363" i="17"/>
  <c r="E47" i="17"/>
  <c r="F134" i="21"/>
  <c r="F361" i="17"/>
  <c r="F355" i="17"/>
  <c r="F176" i="19"/>
  <c r="E235" i="18"/>
  <c r="F201" i="12"/>
  <c r="E52" i="15"/>
  <c r="E79" i="8"/>
  <c r="F166" i="16"/>
  <c r="E60" i="25"/>
  <c r="F166" i="23"/>
  <c r="F8" i="1"/>
  <c r="F184" i="15"/>
  <c r="F133" i="12"/>
  <c r="F14" i="4"/>
  <c r="F129" i="17"/>
  <c r="F109" i="16"/>
  <c r="F209" i="14"/>
  <c r="F322" i="17"/>
  <c r="E25" i="12"/>
  <c r="F33" i="12"/>
  <c r="E168" i="5"/>
  <c r="F4" i="12"/>
  <c r="F118" i="17"/>
  <c r="F221" i="15"/>
  <c r="E81" i="7"/>
  <c r="F202" i="12"/>
  <c r="F14" i="22"/>
  <c r="F26" i="15"/>
  <c r="F126" i="13"/>
  <c r="E127" i="21"/>
  <c r="E67" i="13"/>
  <c r="F136" i="17"/>
  <c r="E178" i="15"/>
  <c r="E184" i="13"/>
  <c r="E58" i="26"/>
  <c r="E331" i="16"/>
  <c r="E84" i="5"/>
  <c r="F12" i="15"/>
  <c r="E50" i="7"/>
  <c r="F31" i="6"/>
  <c r="E30" i="12"/>
  <c r="E93" i="18"/>
  <c r="E136" i="13"/>
  <c r="F108" i="16"/>
  <c r="F73" i="20"/>
  <c r="E42" i="13"/>
  <c r="E28" i="4"/>
  <c r="E73" i="5"/>
  <c r="F68" i="17"/>
  <c r="E223" i="19"/>
  <c r="F61" i="8"/>
  <c r="F36" i="13"/>
  <c r="F58" i="12"/>
  <c r="E16" i="14"/>
  <c r="F218" i="12"/>
  <c r="E7" i="6"/>
  <c r="E48" i="8"/>
  <c r="E20" i="17"/>
  <c r="F132" i="19"/>
  <c r="E195" i="5"/>
  <c r="F10" i="11"/>
  <c r="E202" i="13"/>
  <c r="F47" i="8"/>
  <c r="E122" i="16"/>
  <c r="E149" i="20"/>
  <c r="E60" i="7"/>
  <c r="F26" i="17"/>
  <c r="F200" i="19"/>
  <c r="E56" i="4"/>
  <c r="E82" i="19"/>
  <c r="F29" i="19"/>
  <c r="F36" i="5"/>
  <c r="E69" i="14"/>
  <c r="F78" i="10"/>
  <c r="F74" i="7"/>
  <c r="F226" i="19"/>
  <c r="E12" i="17"/>
  <c r="F193" i="15"/>
  <c r="F205" i="12"/>
  <c r="F236" i="19"/>
  <c r="F117" i="20"/>
  <c r="F23" i="6"/>
  <c r="E334" i="17"/>
  <c r="F5" i="3"/>
  <c r="F111" i="12"/>
  <c r="F74" i="10"/>
  <c r="F99" i="12"/>
  <c r="E63" i="6"/>
  <c r="F52" i="7"/>
  <c r="F51" i="15"/>
  <c r="F80" i="15"/>
  <c r="E134" i="17"/>
  <c r="E36" i="4"/>
  <c r="E77" i="9"/>
  <c r="F37" i="12"/>
  <c r="E173" i="13"/>
  <c r="E19" i="5"/>
  <c r="F22" i="9"/>
  <c r="F191" i="13"/>
  <c r="E102" i="19"/>
  <c r="E136" i="12"/>
  <c r="E23" i="2"/>
  <c r="F207" i="18"/>
  <c r="E81" i="16"/>
  <c r="E260" i="16"/>
  <c r="F224" i="18"/>
  <c r="E71" i="12"/>
  <c r="F70" i="4"/>
  <c r="E201" i="16"/>
  <c r="E279" i="16"/>
  <c r="F94" i="10"/>
  <c r="E347" i="16"/>
  <c r="F33" i="14"/>
  <c r="E2" i="22"/>
  <c r="E182" i="13"/>
  <c r="F73" i="15"/>
  <c r="F44" i="15"/>
  <c r="F4" i="11"/>
  <c r="E11" i="4"/>
  <c r="E130" i="14"/>
  <c r="F107" i="10"/>
  <c r="E257" i="16"/>
  <c r="E39" i="23"/>
  <c r="F93" i="14"/>
  <c r="F51" i="21"/>
  <c r="E6" i="10"/>
  <c r="F81" i="15"/>
  <c r="F7" i="8"/>
  <c r="E41" i="12"/>
  <c r="F115" i="7"/>
  <c r="F174" i="19"/>
  <c r="F12" i="4"/>
  <c r="F43" i="4"/>
  <c r="F57" i="8"/>
  <c r="F189" i="15"/>
  <c r="F93" i="16"/>
  <c r="E22" i="12"/>
  <c r="E284" i="17"/>
  <c r="E62" i="8"/>
  <c r="E226" i="12"/>
  <c r="E161" i="20"/>
  <c r="E345" i="16"/>
  <c r="F9" i="7"/>
  <c r="F135" i="21"/>
  <c r="E28" i="11"/>
  <c r="F64" i="4"/>
  <c r="F39" i="16"/>
  <c r="E25" i="9"/>
  <c r="F130" i="9"/>
  <c r="E79" i="6"/>
  <c r="E44" i="4"/>
  <c r="E60" i="14"/>
  <c r="F124" i="12"/>
  <c r="E201" i="23"/>
  <c r="F12" i="14"/>
  <c r="E188" i="17"/>
  <c r="E257" i="17"/>
  <c r="F10" i="8"/>
  <c r="E229" i="12"/>
  <c r="E173" i="16"/>
  <c r="E38" i="15"/>
  <c r="F106" i="16"/>
  <c r="E104" i="14"/>
  <c r="F12" i="20"/>
  <c r="F9" i="5"/>
  <c r="F21" i="6"/>
  <c r="F29" i="17"/>
  <c r="E114" i="15"/>
  <c r="F31" i="14"/>
  <c r="F76" i="9"/>
  <c r="E222" i="14"/>
  <c r="F160" i="14"/>
  <c r="E156" i="18"/>
  <c r="F187" i="14"/>
  <c r="F117" i="21"/>
  <c r="F177" i="5"/>
  <c r="E118" i="9"/>
  <c r="F15" i="18"/>
  <c r="F70" i="16"/>
  <c r="F222" i="12"/>
  <c r="F44" i="10"/>
  <c r="F125" i="10"/>
  <c r="F200" i="14"/>
  <c r="E79" i="12"/>
  <c r="E130" i="5"/>
  <c r="E51" i="5"/>
  <c r="E192" i="13"/>
  <c r="E54" i="6"/>
  <c r="E194" i="15"/>
  <c r="E101" i="15"/>
  <c r="E307" i="24"/>
  <c r="E43" i="10"/>
  <c r="E89" i="8"/>
  <c r="F26" i="16"/>
  <c r="F97" i="13"/>
  <c r="F160" i="5"/>
  <c r="F75" i="17"/>
  <c r="F100" i="17"/>
  <c r="F34" i="16"/>
  <c r="E26" i="1"/>
  <c r="F30" i="15"/>
  <c r="E106" i="9"/>
  <c r="F195" i="17"/>
  <c r="E30" i="17"/>
  <c r="E249" i="17"/>
  <c r="E70" i="9"/>
  <c r="F91" i="5"/>
  <c r="E200" i="15"/>
  <c r="E222" i="13"/>
  <c r="F14" i="11"/>
  <c r="F71" i="15"/>
  <c r="F16" i="12"/>
  <c r="E47" i="9"/>
  <c r="F88" i="8"/>
  <c r="E166" i="5"/>
  <c r="E55" i="12"/>
  <c r="F87" i="7"/>
  <c r="F26" i="10"/>
  <c r="F68" i="12"/>
  <c r="F71" i="20"/>
  <c r="F270" i="19"/>
  <c r="F189" i="16"/>
  <c r="F240" i="16"/>
  <c r="F78" i="8"/>
  <c r="F58" i="8"/>
  <c r="E94" i="6"/>
  <c r="E115" i="10"/>
  <c r="E23" i="16"/>
  <c r="E70" i="5"/>
  <c r="F46" i="5"/>
  <c r="F72" i="4"/>
  <c r="E3" i="10"/>
  <c r="F10" i="7"/>
  <c r="F11" i="10"/>
  <c r="E176" i="15"/>
  <c r="F148" i="13"/>
  <c r="F135" i="5"/>
  <c r="F3" i="1"/>
  <c r="E223" i="16"/>
  <c r="F48" i="16"/>
  <c r="E68" i="9"/>
  <c r="F30" i="8"/>
  <c r="F78" i="14"/>
  <c r="E29" i="9"/>
  <c r="E86" i="8"/>
  <c r="E84" i="14"/>
  <c r="E166" i="16"/>
  <c r="E105" i="7"/>
  <c r="E8" i="16"/>
  <c r="E86" i="13"/>
  <c r="F98" i="5"/>
  <c r="F219" i="13"/>
  <c r="E14" i="10"/>
  <c r="F168" i="5"/>
  <c r="F306" i="16"/>
  <c r="F295" i="16"/>
  <c r="F262" i="17"/>
  <c r="E2" i="19"/>
  <c r="F38" i="14"/>
  <c r="E54" i="7"/>
  <c r="E116" i="17"/>
  <c r="F88" i="12"/>
  <c r="E128" i="12"/>
  <c r="E20" i="8"/>
  <c r="F155" i="13"/>
  <c r="E133" i="5"/>
  <c r="E123" i="23"/>
  <c r="E257" i="19"/>
  <c r="E181" i="5"/>
  <c r="E189" i="5"/>
  <c r="F19" i="4"/>
  <c r="F30" i="6"/>
  <c r="F15" i="2"/>
  <c r="F149" i="15"/>
  <c r="F23" i="10"/>
  <c r="E116" i="10"/>
  <c r="F46" i="6"/>
  <c r="F101" i="19"/>
  <c r="E135" i="5"/>
  <c r="E120" i="13"/>
  <c r="F6" i="13"/>
  <c r="F274" i="17"/>
  <c r="F132" i="10"/>
  <c r="E172" i="13"/>
  <c r="E68" i="20"/>
  <c r="E138" i="13"/>
  <c r="F97" i="12"/>
  <c r="F172" i="12"/>
  <c r="F133" i="16"/>
  <c r="F181" i="12"/>
  <c r="F204" i="12"/>
  <c r="E23" i="1"/>
  <c r="F6" i="12"/>
  <c r="F124" i="17"/>
  <c r="F14" i="9"/>
  <c r="F45" i="15"/>
  <c r="F4" i="8"/>
  <c r="E239" i="16"/>
  <c r="E113" i="12"/>
  <c r="F160" i="12"/>
  <c r="F236" i="16"/>
  <c r="E193" i="5"/>
  <c r="F100" i="12"/>
  <c r="E124" i="17"/>
  <c r="F34" i="7"/>
  <c r="E192" i="21"/>
  <c r="F129" i="15"/>
  <c r="F188" i="21"/>
  <c r="E79" i="10"/>
  <c r="F84" i="17"/>
  <c r="E164" i="13"/>
  <c r="E41" i="10"/>
  <c r="F168" i="16"/>
  <c r="F150" i="15"/>
  <c r="F32" i="5"/>
  <c r="E65" i="8"/>
  <c r="E131" i="5"/>
  <c r="F75" i="12"/>
  <c r="E204" i="17"/>
  <c r="F130" i="19"/>
  <c r="E78" i="8"/>
  <c r="F11" i="6"/>
  <c r="F241" i="21"/>
  <c r="F146" i="16"/>
  <c r="E98" i="13"/>
  <c r="E43" i="17"/>
  <c r="E32" i="12"/>
  <c r="F59" i="12"/>
  <c r="F152" i="5"/>
  <c r="F63" i="15"/>
  <c r="F55" i="16"/>
  <c r="F294" i="17"/>
  <c r="F354" i="16"/>
  <c r="F179" i="15"/>
  <c r="F175" i="16"/>
  <c r="F38" i="5"/>
  <c r="E5" i="4"/>
  <c r="E57" i="12"/>
  <c r="F186" i="13"/>
  <c r="E96" i="13"/>
  <c r="F216" i="14"/>
  <c r="E145" i="10"/>
  <c r="E71" i="6"/>
  <c r="F154" i="21"/>
  <c r="F102" i="18"/>
  <c r="E301" i="17"/>
  <c r="F139" i="16"/>
  <c r="E115" i="5"/>
  <c r="F42" i="12"/>
  <c r="F22" i="10"/>
  <c r="E62" i="16"/>
  <c r="F90" i="7"/>
  <c r="F160" i="17"/>
  <c r="F76" i="10"/>
  <c r="F19" i="6"/>
  <c r="E171" i="15"/>
  <c r="F36" i="16"/>
  <c r="E38" i="5"/>
  <c r="E51" i="10"/>
  <c r="E28" i="8"/>
  <c r="E163" i="13"/>
  <c r="E58" i="5"/>
  <c r="E174" i="14"/>
  <c r="E350" i="17"/>
  <c r="F174" i="13"/>
  <c r="E316" i="16"/>
  <c r="E129" i="21"/>
  <c r="F198" i="15"/>
  <c r="E72" i="6"/>
  <c r="E327" i="16"/>
  <c r="F47" i="6"/>
  <c r="E6" i="4"/>
  <c r="F94" i="12"/>
  <c r="F87" i="21"/>
  <c r="F192" i="13"/>
  <c r="F223" i="14"/>
  <c r="E23" i="7"/>
  <c r="E92" i="20"/>
  <c r="E151" i="5"/>
  <c r="E48" i="9"/>
  <c r="E176" i="17"/>
  <c r="F174" i="16"/>
  <c r="E167" i="5"/>
  <c r="E127" i="10"/>
  <c r="F34" i="10"/>
  <c r="F88" i="18"/>
  <c r="F164" i="17"/>
  <c r="F144" i="20"/>
  <c r="E44" i="15"/>
  <c r="F97" i="20"/>
  <c r="F54" i="10"/>
  <c r="E125" i="7"/>
  <c r="F35" i="8"/>
  <c r="F72" i="10"/>
  <c r="F8" i="10"/>
  <c r="F56" i="8"/>
  <c r="E53" i="9"/>
  <c r="E34" i="10"/>
  <c r="F60" i="7"/>
  <c r="F105" i="9"/>
  <c r="E83" i="19"/>
  <c r="E147" i="16"/>
  <c r="F28" i="10"/>
  <c r="F178" i="16"/>
  <c r="F85" i="12"/>
  <c r="E6" i="17"/>
  <c r="F53" i="19"/>
  <c r="F84" i="16"/>
  <c r="E103" i="5"/>
  <c r="F191" i="14"/>
  <c r="F21" i="8"/>
  <c r="F129" i="20"/>
  <c r="E29" i="7"/>
  <c r="E38" i="17"/>
  <c r="F60" i="14"/>
  <c r="F99" i="20"/>
  <c r="E74" i="15"/>
  <c r="F79" i="15"/>
  <c r="F5" i="6"/>
  <c r="F82" i="16"/>
  <c r="E60" i="13"/>
  <c r="E64" i="14"/>
  <c r="F28" i="8"/>
  <c r="E13" i="15"/>
  <c r="E111" i="9"/>
  <c r="E137" i="10"/>
  <c r="E54" i="17"/>
  <c r="E41" i="11"/>
  <c r="F44" i="4"/>
  <c r="E210" i="17"/>
  <c r="F143" i="15"/>
  <c r="F106" i="10"/>
  <c r="E161" i="21"/>
  <c r="E324" i="17"/>
  <c r="E7" i="4"/>
  <c r="F100" i="19"/>
  <c r="E44" i="9"/>
  <c r="F10" i="12"/>
  <c r="E26" i="17"/>
  <c r="E54" i="4"/>
  <c r="F291" i="19"/>
  <c r="F389" i="24"/>
  <c r="E205" i="16"/>
  <c r="F10" i="6"/>
  <c r="F186" i="16"/>
  <c r="E287" i="16"/>
  <c r="F128" i="16"/>
  <c r="E56" i="14"/>
  <c r="E3" i="14"/>
  <c r="F154" i="15"/>
  <c r="F56" i="16"/>
  <c r="F155" i="14"/>
  <c r="F167" i="13"/>
  <c r="F81" i="16"/>
  <c r="F128" i="17"/>
  <c r="E166" i="17"/>
  <c r="F175" i="12"/>
  <c r="E3" i="7"/>
  <c r="E60" i="10"/>
  <c r="E196" i="19"/>
  <c r="E74" i="5"/>
  <c r="E53" i="19"/>
  <c r="E47" i="10"/>
  <c r="E37" i="17"/>
  <c r="F217" i="14"/>
  <c r="F164" i="14"/>
  <c r="F83" i="19"/>
  <c r="E184" i="5"/>
  <c r="F21" i="17"/>
  <c r="F17" i="20"/>
  <c r="E29" i="26"/>
  <c r="E172" i="12"/>
  <c r="F238" i="17"/>
  <c r="F207" i="17"/>
  <c r="F169" i="5"/>
  <c r="E60" i="20"/>
  <c r="F123" i="9"/>
  <c r="E103" i="10"/>
  <c r="E128" i="13"/>
  <c r="E147" i="13"/>
  <c r="E150" i="12"/>
  <c r="E63" i="22"/>
  <c r="F115" i="16"/>
  <c r="E76" i="10"/>
  <c r="E12" i="13"/>
  <c r="F234" i="17"/>
  <c r="E166" i="21"/>
  <c r="F40" i="6"/>
  <c r="E18" i="5"/>
  <c r="E100" i="12"/>
  <c r="E149" i="16"/>
  <c r="F66" i="15"/>
  <c r="E156" i="13"/>
  <c r="E128" i="5"/>
  <c r="E5" i="2"/>
  <c r="E201" i="21"/>
  <c r="F25" i="10"/>
  <c r="E101" i="16"/>
  <c r="E194" i="16"/>
  <c r="F24" i="2"/>
  <c r="F224" i="13"/>
  <c r="F243" i="17"/>
  <c r="F198" i="17"/>
  <c r="E75" i="5"/>
  <c r="F5" i="9"/>
  <c r="F9" i="6"/>
  <c r="F66" i="13"/>
  <c r="E141" i="5"/>
  <c r="F88" i="10"/>
  <c r="E41" i="15"/>
  <c r="F66" i="4"/>
  <c r="F29" i="10"/>
  <c r="E55" i="10"/>
  <c r="E262" i="16"/>
  <c r="F88" i="7"/>
  <c r="F56" i="15"/>
  <c r="E118" i="14"/>
  <c r="F13" i="5"/>
  <c r="F46" i="10"/>
  <c r="F262" i="19"/>
  <c r="F47" i="5"/>
  <c r="F53" i="7"/>
  <c r="E169" i="15"/>
  <c r="E46" i="20"/>
  <c r="F45" i="13"/>
  <c r="F11" i="8"/>
  <c r="E56" i="13"/>
  <c r="F74" i="12"/>
  <c r="F62" i="8"/>
  <c r="E198" i="5"/>
  <c r="F78" i="22"/>
  <c r="F200" i="5"/>
  <c r="E78" i="6"/>
  <c r="F71" i="16"/>
  <c r="F22" i="7"/>
  <c r="F74" i="13"/>
  <c r="F140" i="13"/>
  <c r="E37" i="8"/>
  <c r="F113" i="17"/>
  <c r="E21" i="16"/>
  <c r="E102" i="10"/>
  <c r="E32" i="10"/>
  <c r="F190" i="5"/>
  <c r="F201" i="14"/>
  <c r="E191" i="16"/>
  <c r="F140" i="15"/>
  <c r="F13" i="2"/>
  <c r="F80" i="20"/>
  <c r="E201" i="12"/>
  <c r="F35" i="17"/>
  <c r="E35" i="11"/>
  <c r="F4" i="19"/>
  <c r="E174" i="13"/>
  <c r="F183" i="23"/>
  <c r="F80" i="7"/>
  <c r="F10" i="1"/>
  <c r="E137" i="16"/>
  <c r="E247" i="23"/>
  <c r="F60" i="6"/>
  <c r="E120" i="17"/>
  <c r="E126" i="10"/>
  <c r="E179" i="15"/>
  <c r="F18" i="23"/>
  <c r="E145" i="19"/>
  <c r="F110" i="5"/>
  <c r="E200" i="5"/>
  <c r="F197" i="13"/>
  <c r="F182" i="23"/>
  <c r="F14" i="14"/>
  <c r="F85" i="21"/>
  <c r="E219" i="13"/>
  <c r="E131" i="14"/>
  <c r="F32" i="7"/>
  <c r="F350" i="16"/>
  <c r="E94" i="12"/>
  <c r="E83" i="8"/>
  <c r="E16" i="9"/>
  <c r="F383" i="17"/>
  <c r="E43" i="9"/>
  <c r="E67" i="6"/>
  <c r="F139" i="13"/>
  <c r="F97" i="9"/>
  <c r="E75" i="17"/>
  <c r="F190" i="13"/>
  <c r="E7" i="1"/>
  <c r="F62" i="13"/>
  <c r="E182" i="12"/>
  <c r="E72" i="7"/>
  <c r="F10" i="16"/>
  <c r="F15" i="13"/>
  <c r="F158" i="13"/>
  <c r="E68" i="8"/>
  <c r="F185" i="13"/>
  <c r="E31" i="2"/>
  <c r="E91" i="9"/>
  <c r="F74" i="14"/>
  <c r="F13" i="10"/>
  <c r="E36" i="11"/>
  <c r="E180" i="19"/>
  <c r="E145" i="5"/>
  <c r="E96" i="12"/>
  <c r="F22" i="14"/>
  <c r="E54" i="9"/>
  <c r="F79" i="12"/>
  <c r="F109" i="15"/>
  <c r="E22" i="1"/>
  <c r="E14" i="4"/>
  <c r="E31" i="7"/>
  <c r="F47" i="15"/>
  <c r="E59" i="13"/>
  <c r="F215" i="13"/>
  <c r="E77" i="16"/>
  <c r="F53" i="18"/>
  <c r="F309" i="16"/>
  <c r="F105" i="12"/>
  <c r="E103" i="26"/>
  <c r="E7" i="20"/>
  <c r="E15" i="8"/>
  <c r="F110" i="16"/>
  <c r="E93" i="14"/>
  <c r="E94" i="17"/>
  <c r="F17" i="9"/>
  <c r="F51" i="17"/>
  <c r="E122" i="15"/>
  <c r="E76" i="17"/>
  <c r="F290" i="16"/>
  <c r="E60" i="15"/>
  <c r="F111" i="10"/>
  <c r="E93" i="15"/>
  <c r="E91" i="13"/>
  <c r="F92" i="7"/>
  <c r="F149" i="16"/>
  <c r="F82" i="18"/>
  <c r="F148" i="16"/>
  <c r="E235" i="16"/>
  <c r="E29" i="12"/>
  <c r="E6" i="15"/>
  <c r="F16" i="5"/>
  <c r="F82" i="8"/>
  <c r="E71" i="19"/>
  <c r="E64" i="10"/>
  <c r="E30" i="8"/>
  <c r="F10" i="18"/>
  <c r="E24" i="20"/>
  <c r="E55" i="16"/>
  <c r="F219" i="18"/>
  <c r="F15" i="10"/>
  <c r="F144" i="10"/>
  <c r="E223" i="15"/>
  <c r="E55" i="6"/>
  <c r="E22" i="9"/>
  <c r="E12" i="16"/>
  <c r="F6" i="1"/>
  <c r="E32" i="5"/>
  <c r="E254" i="21"/>
  <c r="E3" i="17"/>
  <c r="E84" i="7"/>
  <c r="F20" i="11"/>
  <c r="E103" i="9"/>
  <c r="E114" i="21"/>
  <c r="F167" i="18"/>
  <c r="F271" i="16"/>
  <c r="E105" i="12"/>
  <c r="F187" i="18"/>
  <c r="E113" i="9"/>
  <c r="E57" i="13"/>
  <c r="E123" i="7"/>
  <c r="E106" i="20"/>
  <c r="F53" i="8"/>
  <c r="E3" i="3"/>
  <c r="F72" i="9"/>
  <c r="F120" i="15"/>
  <c r="E140" i="14"/>
  <c r="E152" i="12"/>
  <c r="E63" i="23"/>
  <c r="E59" i="5"/>
  <c r="E45" i="19"/>
  <c r="E247" i="16"/>
  <c r="F5" i="11"/>
  <c r="F131" i="15"/>
  <c r="F300" i="16"/>
  <c r="E124" i="7"/>
  <c r="F104" i="16"/>
  <c r="F175" i="14"/>
  <c r="E26" i="12"/>
  <c r="F71" i="5"/>
  <c r="E311" i="16"/>
  <c r="F236" i="17"/>
  <c r="E67" i="7"/>
  <c r="F104" i="19"/>
  <c r="E179" i="14"/>
  <c r="F105" i="7"/>
  <c r="F164" i="12"/>
  <c r="F86" i="9"/>
  <c r="F189" i="12"/>
  <c r="E28" i="13"/>
  <c r="E196" i="13"/>
  <c r="E35" i="9"/>
  <c r="E59" i="9"/>
  <c r="E210" i="16"/>
  <c r="E19" i="7"/>
  <c r="F89" i="8"/>
  <c r="E98" i="12"/>
  <c r="E50" i="10"/>
  <c r="E69" i="10"/>
  <c r="F83" i="8"/>
  <c r="E15" i="12"/>
  <c r="F213" i="13"/>
  <c r="E220" i="13"/>
  <c r="E55" i="4"/>
  <c r="F99" i="13"/>
  <c r="E16" i="15"/>
  <c r="F161" i="5"/>
  <c r="E5" i="5"/>
  <c r="E310" i="19"/>
  <c r="E107" i="15"/>
  <c r="E291" i="16"/>
  <c r="E88" i="14"/>
  <c r="E217" i="16"/>
  <c r="E76" i="12"/>
  <c r="E170" i="17"/>
  <c r="E90" i="8"/>
  <c r="F129" i="18"/>
  <c r="E10" i="10"/>
  <c r="F48" i="8"/>
  <c r="E13" i="2"/>
  <c r="F45" i="5"/>
  <c r="F24" i="10"/>
  <c r="E50" i="16"/>
  <c r="E117" i="5"/>
  <c r="F120" i="5"/>
  <c r="E315" i="17"/>
  <c r="F98" i="15"/>
  <c r="F114" i="16"/>
  <c r="F88" i="15"/>
  <c r="E31" i="5"/>
  <c r="E107" i="10"/>
  <c r="F45" i="4"/>
  <c r="E139" i="12"/>
  <c r="F248" i="17"/>
  <c r="E69" i="5"/>
  <c r="E2" i="9"/>
  <c r="E275" i="19"/>
  <c r="E48" i="12"/>
  <c r="E158" i="17"/>
  <c r="E142" i="12"/>
  <c r="E41" i="13"/>
  <c r="F24" i="1"/>
  <c r="F8" i="12"/>
  <c r="E171" i="17"/>
  <c r="E44" i="6"/>
  <c r="E8" i="6"/>
  <c r="F32" i="19"/>
  <c r="E18" i="6"/>
  <c r="E4" i="15"/>
  <c r="E144" i="10"/>
  <c r="E90" i="17"/>
  <c r="E35" i="12"/>
  <c r="E7" i="5"/>
  <c r="E97" i="12"/>
  <c r="E19" i="4"/>
  <c r="E25" i="10"/>
  <c r="E3" i="5"/>
  <c r="F258" i="17"/>
  <c r="E36" i="14"/>
  <c r="F91" i="20"/>
  <c r="E87" i="7"/>
  <c r="F178" i="14"/>
  <c r="F252" i="16"/>
  <c r="E26" i="11"/>
  <c r="E201" i="14"/>
  <c r="F14" i="13"/>
  <c r="F62" i="5"/>
  <c r="F224" i="19"/>
  <c r="F90" i="15"/>
  <c r="E70" i="17"/>
  <c r="E71" i="14"/>
  <c r="E36" i="9"/>
  <c r="F214" i="19"/>
  <c r="F64" i="19"/>
  <c r="E148" i="12"/>
  <c r="E41" i="4"/>
  <c r="E96" i="9"/>
  <c r="F40" i="13"/>
  <c r="E201" i="5"/>
  <c r="F120" i="14"/>
  <c r="F38" i="9"/>
  <c r="F221" i="12"/>
  <c r="E75" i="9"/>
  <c r="E39" i="13"/>
  <c r="F140" i="10"/>
  <c r="F88" i="5"/>
  <c r="F84" i="9"/>
  <c r="E104" i="7"/>
  <c r="F72" i="5"/>
  <c r="F140" i="12"/>
  <c r="E61" i="5"/>
  <c r="E36" i="6"/>
  <c r="E83" i="15"/>
  <c r="E199" i="12"/>
  <c r="F92" i="16"/>
  <c r="E123" i="5"/>
  <c r="F106" i="15"/>
  <c r="F29" i="4"/>
  <c r="E139" i="14"/>
  <c r="E94" i="10"/>
  <c r="E129" i="19"/>
  <c r="E142" i="21"/>
  <c r="F36" i="17"/>
  <c r="E3" i="2"/>
  <c r="F144" i="12"/>
  <c r="E118" i="20"/>
  <c r="F11" i="12"/>
  <c r="E155" i="12"/>
  <c r="F104" i="12"/>
  <c r="E148" i="14"/>
  <c r="F178" i="24"/>
  <c r="E82" i="22"/>
  <c r="E156" i="21"/>
  <c r="F70" i="12"/>
  <c r="E305" i="16"/>
  <c r="E83" i="12"/>
  <c r="E162" i="13"/>
  <c r="F208" i="21"/>
  <c r="F19" i="24"/>
  <c r="E188" i="20"/>
  <c r="E70" i="19"/>
  <c r="E42" i="10"/>
  <c r="E307" i="19"/>
  <c r="E154" i="14"/>
  <c r="E41" i="7"/>
  <c r="E59" i="18"/>
  <c r="E65" i="10"/>
  <c r="E41" i="14"/>
  <c r="E52" i="17"/>
  <c r="F8" i="9"/>
  <c r="F167" i="14"/>
  <c r="E161" i="12"/>
  <c r="F47" i="22"/>
  <c r="F35" i="10"/>
  <c r="E158" i="13"/>
  <c r="F28" i="19"/>
  <c r="E272" i="21"/>
  <c r="F335" i="16"/>
  <c r="E199" i="13"/>
  <c r="F21" i="14"/>
  <c r="F364" i="21"/>
  <c r="F99" i="5"/>
  <c r="F35" i="6"/>
  <c r="E17" i="13"/>
  <c r="F190" i="12"/>
  <c r="F83" i="17"/>
  <c r="F131" i="14"/>
  <c r="F40" i="5"/>
  <c r="E353" i="17"/>
  <c r="E245" i="19"/>
  <c r="F37" i="16"/>
  <c r="F35" i="16"/>
  <c r="F239" i="18"/>
  <c r="E117" i="9"/>
  <c r="E34" i="7"/>
  <c r="F156" i="16"/>
  <c r="F194" i="15"/>
  <c r="E87" i="5"/>
  <c r="E103" i="20"/>
  <c r="F50" i="8"/>
  <c r="F155" i="5"/>
  <c r="F53" i="12"/>
  <c r="F202" i="20"/>
  <c r="F148" i="14"/>
  <c r="F33" i="20"/>
  <c r="F66" i="7"/>
  <c r="F63" i="9"/>
  <c r="E47" i="8"/>
  <c r="F292" i="19"/>
  <c r="F47" i="9"/>
  <c r="F70" i="5"/>
  <c r="E221" i="14"/>
  <c r="E15" i="11"/>
  <c r="F100" i="10"/>
  <c r="F111" i="7"/>
  <c r="E10" i="8"/>
  <c r="E153" i="5"/>
  <c r="E10" i="18"/>
  <c r="E83" i="6"/>
  <c r="F55" i="10"/>
  <c r="E45" i="5"/>
  <c r="E184" i="14"/>
  <c r="F96" i="16"/>
  <c r="E3" i="4"/>
  <c r="E49" i="12"/>
  <c r="F228" i="17"/>
  <c r="F187" i="17"/>
  <c r="F84" i="13"/>
  <c r="E168" i="15"/>
  <c r="E17" i="19"/>
  <c r="E14" i="11"/>
  <c r="F89" i="5"/>
  <c r="E55" i="21"/>
  <c r="E315" i="19"/>
  <c r="E42" i="5"/>
  <c r="E48" i="5"/>
  <c r="F46" i="14"/>
  <c r="F30" i="10"/>
  <c r="F54" i="7"/>
  <c r="E112" i="15"/>
  <c r="E6" i="1"/>
  <c r="F2" i="6"/>
  <c r="F2" i="1"/>
  <c r="E3" i="11"/>
  <c r="F15" i="1"/>
  <c r="E142" i="14"/>
  <c r="E147" i="21"/>
  <c r="E32" i="8"/>
  <c r="F117" i="18"/>
  <c r="E211" i="12"/>
  <c r="E299" i="17"/>
  <c r="E212" i="14"/>
  <c r="E144" i="21"/>
  <c r="F110" i="12"/>
  <c r="F32" i="16"/>
  <c r="F148" i="5"/>
  <c r="E58" i="22"/>
  <c r="E43" i="15"/>
  <c r="E200" i="13"/>
  <c r="F30" i="22"/>
  <c r="F25" i="5"/>
  <c r="E49" i="21"/>
  <c r="F56" i="10"/>
  <c r="E16" i="6"/>
  <c r="F232" i="19"/>
  <c r="F135" i="12"/>
  <c r="E12" i="2"/>
  <c r="E84" i="22"/>
  <c r="F177" i="23"/>
  <c r="F57" i="7"/>
  <c r="E97" i="10"/>
  <c r="E119" i="16"/>
  <c r="E88" i="8"/>
  <c r="E47" i="5"/>
  <c r="F173" i="15"/>
  <c r="F11" i="20"/>
  <c r="E16" i="2"/>
  <c r="E46" i="7"/>
  <c r="E35" i="15"/>
  <c r="F7" i="13"/>
  <c r="F14" i="5"/>
  <c r="F21" i="16"/>
  <c r="F55" i="6"/>
  <c r="F17" i="15"/>
  <c r="F116" i="12"/>
  <c r="F5" i="8"/>
  <c r="F56" i="12"/>
  <c r="E70" i="7"/>
  <c r="E56" i="10"/>
  <c r="E106" i="17"/>
  <c r="E9" i="7"/>
  <c r="F97" i="14"/>
  <c r="F126" i="20"/>
  <c r="E66" i="9"/>
  <c r="F75" i="8"/>
  <c r="F5" i="15"/>
  <c r="F173" i="5"/>
  <c r="E17" i="4"/>
  <c r="E144" i="12"/>
  <c r="E12" i="11"/>
  <c r="F11" i="4"/>
  <c r="F84" i="5"/>
  <c r="E113" i="5"/>
  <c r="F42" i="22"/>
  <c r="E286" i="16"/>
  <c r="F177" i="15"/>
  <c r="E124" i="18"/>
  <c r="F267" i="17"/>
  <c r="E60" i="4"/>
  <c r="E202" i="20"/>
  <c r="F49" i="16"/>
  <c r="F141" i="16"/>
  <c r="E130" i="12"/>
  <c r="E15" i="10"/>
  <c r="F3" i="5"/>
  <c r="E109" i="20"/>
  <c r="E70" i="13"/>
  <c r="E6" i="8"/>
  <c r="F125" i="21"/>
  <c r="E35" i="19"/>
  <c r="E58" i="9"/>
  <c r="E50" i="19"/>
  <c r="F55" i="19"/>
  <c r="E18" i="9"/>
  <c r="E6" i="6"/>
  <c r="F156" i="13"/>
  <c r="E222" i="19"/>
  <c r="F149" i="14"/>
  <c r="F150" i="5"/>
  <c r="E19" i="21"/>
  <c r="F104" i="9"/>
  <c r="F11" i="13"/>
  <c r="E155" i="19"/>
  <c r="E58" i="15"/>
  <c r="F223" i="24"/>
  <c r="F22" i="13"/>
  <c r="F197" i="17"/>
  <c r="F99" i="17"/>
  <c r="E116" i="12"/>
  <c r="E337" i="17"/>
  <c r="F66" i="18"/>
  <c r="E253" i="23"/>
  <c r="F170" i="16"/>
  <c r="E218" i="14"/>
  <c r="E64" i="4"/>
  <c r="E197" i="15"/>
  <c r="E202" i="14"/>
  <c r="F86" i="5"/>
  <c r="F134" i="18"/>
  <c r="E24" i="14"/>
  <c r="E96" i="7"/>
  <c r="F249" i="17"/>
  <c r="E152" i="20"/>
  <c r="E209" i="15"/>
  <c r="E40" i="14"/>
  <c r="F26" i="4"/>
  <c r="F131" i="17"/>
  <c r="F16" i="1"/>
  <c r="E159" i="5"/>
  <c r="E4" i="13"/>
  <c r="F170" i="5"/>
  <c r="E160" i="15"/>
  <c r="F111" i="17"/>
  <c r="F42" i="5"/>
  <c r="E96" i="6"/>
  <c r="F199" i="18"/>
  <c r="F15" i="6"/>
  <c r="F49" i="7"/>
  <c r="F8" i="6"/>
  <c r="E219" i="17"/>
  <c r="F332" i="16"/>
  <c r="F265" i="17"/>
  <c r="F69" i="15"/>
  <c r="E32" i="4"/>
  <c r="F48" i="5"/>
  <c r="E99" i="15"/>
  <c r="E18" i="1"/>
  <c r="F323" i="17"/>
  <c r="F7" i="20"/>
  <c r="E26" i="6"/>
  <c r="F163" i="13"/>
  <c r="F2" i="12"/>
  <c r="E109" i="7"/>
  <c r="E229" i="23"/>
  <c r="F62" i="9"/>
  <c r="E90" i="10"/>
  <c r="E120" i="14"/>
  <c r="E18" i="4"/>
  <c r="F51" i="19"/>
  <c r="F16" i="2"/>
  <c r="F77" i="17"/>
  <c r="F217" i="17"/>
  <c r="E87" i="6"/>
  <c r="F20" i="5"/>
  <c r="F13" i="15"/>
  <c r="E7" i="7"/>
  <c r="F108" i="5"/>
  <c r="F36" i="6"/>
  <c r="F89" i="9"/>
  <c r="E74" i="17"/>
  <c r="E28" i="22"/>
  <c r="F132" i="17"/>
  <c r="E11" i="18"/>
  <c r="F106" i="9"/>
  <c r="E26" i="20"/>
  <c r="F182" i="21"/>
  <c r="E290" i="19"/>
  <c r="F348" i="17"/>
  <c r="E59" i="14"/>
  <c r="F65" i="16"/>
  <c r="F181" i="17"/>
  <c r="F172" i="16"/>
  <c r="E6" i="16"/>
  <c r="E42" i="7"/>
  <c r="E6" i="7"/>
  <c r="F22" i="8"/>
  <c r="E40" i="5"/>
  <c r="E97" i="14"/>
  <c r="E65" i="6"/>
  <c r="F40" i="7"/>
  <c r="E77" i="8"/>
  <c r="F6" i="6"/>
  <c r="E82" i="16"/>
  <c r="F385" i="21"/>
  <c r="F18" i="4"/>
  <c r="E2" i="13"/>
  <c r="E52" i="12"/>
  <c r="F84" i="7"/>
  <c r="F130" i="21"/>
  <c r="E67" i="15"/>
  <c r="E93" i="6"/>
  <c r="F13" i="12"/>
  <c r="F259" i="21"/>
  <c r="F17" i="6"/>
  <c r="F112" i="7"/>
  <c r="E220" i="14"/>
  <c r="F116" i="14"/>
  <c r="E194" i="17"/>
  <c r="F45" i="21"/>
  <c r="E112" i="7"/>
  <c r="E165" i="12"/>
  <c r="E191" i="13"/>
  <c r="F22" i="5"/>
  <c r="E110" i="7"/>
  <c r="F48" i="12"/>
  <c r="F78" i="7"/>
  <c r="F226" i="12"/>
  <c r="E143" i="14"/>
  <c r="F102" i="15"/>
  <c r="E40" i="11"/>
  <c r="E192" i="17"/>
  <c r="E56" i="8"/>
  <c r="E296" i="17"/>
  <c r="F33" i="10"/>
  <c r="E27" i="13"/>
  <c r="E87" i="14"/>
  <c r="F199" i="12"/>
  <c r="F45" i="6"/>
  <c r="F234" i="12"/>
  <c r="E20" i="5"/>
  <c r="E298" i="17"/>
  <c r="E14" i="2"/>
  <c r="E173" i="21"/>
  <c r="E48" i="19"/>
  <c r="F121" i="15"/>
  <c r="F137" i="20"/>
  <c r="E247" i="17"/>
  <c r="E72" i="10"/>
  <c r="E23" i="17"/>
  <c r="F171" i="12"/>
  <c r="F11" i="11"/>
  <c r="E106" i="5"/>
  <c r="F167" i="12"/>
  <c r="F193" i="5"/>
  <c r="F83" i="15"/>
  <c r="E140" i="12"/>
  <c r="E47" i="4"/>
  <c r="E53" i="24"/>
  <c r="F31" i="10"/>
  <c r="F120" i="12"/>
  <c r="F104" i="13"/>
  <c r="E221" i="12"/>
  <c r="F107" i="9"/>
  <c r="F59" i="17"/>
  <c r="E103" i="21"/>
  <c r="E53" i="15"/>
  <c r="E148" i="16"/>
  <c r="E67" i="8"/>
  <c r="F18" i="8"/>
  <c r="E61" i="15"/>
  <c r="E25" i="2"/>
  <c r="E92" i="9"/>
  <c r="E110" i="18"/>
  <c r="F47" i="14"/>
  <c r="F196" i="17"/>
  <c r="E48" i="10"/>
  <c r="F98" i="7"/>
  <c r="F102" i="7"/>
  <c r="F209" i="15"/>
  <c r="E141" i="17"/>
  <c r="F163" i="18"/>
  <c r="F260" i="23"/>
  <c r="F211" i="17"/>
  <c r="E384" i="24"/>
  <c r="F30" i="7"/>
  <c r="F77" i="16"/>
  <c r="F120" i="19"/>
  <c r="E97" i="13"/>
  <c r="F35" i="20"/>
  <c r="F75" i="7"/>
  <c r="E127" i="16"/>
  <c r="E61" i="8"/>
  <c r="F39" i="4"/>
  <c r="F22" i="1"/>
  <c r="E11" i="12"/>
  <c r="F166" i="14"/>
  <c r="E238" i="17"/>
  <c r="F35" i="14"/>
  <c r="E17" i="2"/>
  <c r="E136" i="10"/>
  <c r="F77" i="7"/>
  <c r="F52" i="14"/>
  <c r="F6" i="4"/>
  <c r="E131" i="20"/>
  <c r="F43" i="9"/>
  <c r="E30" i="21"/>
  <c r="E10" i="16"/>
  <c r="E75" i="12"/>
  <c r="F26" i="13"/>
  <c r="E138" i="17"/>
  <c r="E12" i="5"/>
  <c r="F116" i="7"/>
  <c r="F6" i="3"/>
  <c r="E184" i="15"/>
  <c r="F188" i="12"/>
  <c r="E110" i="23"/>
  <c r="E18" i="2"/>
  <c r="E20" i="7"/>
  <c r="F4" i="7"/>
  <c r="F337" i="17"/>
  <c r="F21" i="1"/>
  <c r="E116" i="5"/>
  <c r="F214" i="15"/>
  <c r="E72" i="14"/>
  <c r="E155" i="13"/>
  <c r="F237" i="18"/>
  <c r="F20" i="10"/>
  <c r="F36" i="11"/>
  <c r="E126" i="19"/>
  <c r="E33" i="22"/>
  <c r="F45" i="8"/>
  <c r="F32" i="14"/>
  <c r="F191" i="12"/>
  <c r="E98" i="5"/>
  <c r="E138" i="10"/>
  <c r="F47" i="7"/>
  <c r="E154" i="15"/>
  <c r="E11" i="9"/>
  <c r="E37" i="12"/>
  <c r="E88" i="7"/>
  <c r="F57" i="19"/>
  <c r="E327" i="21"/>
  <c r="F41" i="7"/>
  <c r="E336" i="24"/>
  <c r="F40" i="4"/>
  <c r="E64" i="8"/>
  <c r="E42" i="17"/>
  <c r="F93" i="5"/>
  <c r="F124" i="5"/>
  <c r="F24" i="15"/>
  <c r="F33" i="9"/>
  <c r="F77" i="10"/>
  <c r="F53" i="6"/>
  <c r="F269" i="16"/>
  <c r="F7" i="9"/>
  <c r="E22" i="7"/>
  <c r="F56" i="6"/>
  <c r="F104" i="7"/>
  <c r="E20" i="14"/>
  <c r="F128" i="10"/>
  <c r="F328" i="16"/>
  <c r="F12" i="10"/>
  <c r="E66" i="4"/>
  <c r="E89" i="16"/>
  <c r="E58" i="12"/>
  <c r="E213" i="14"/>
  <c r="F13" i="17"/>
  <c r="F60" i="5"/>
  <c r="F114" i="20"/>
  <c r="F122" i="13"/>
  <c r="F44" i="5"/>
  <c r="F111" i="18"/>
  <c r="E160" i="20"/>
  <c r="E44" i="17"/>
  <c r="E73" i="18"/>
  <c r="F163" i="23"/>
  <c r="E94" i="19"/>
  <c r="E147" i="23"/>
  <c r="F27" i="19"/>
  <c r="F17" i="4"/>
  <c r="E181" i="21"/>
  <c r="F101" i="16"/>
  <c r="E55" i="5"/>
  <c r="E221" i="19"/>
  <c r="E11" i="16"/>
  <c r="F116" i="16"/>
  <c r="E19" i="13"/>
  <c r="E140" i="5"/>
  <c r="F15" i="12"/>
  <c r="E159" i="16"/>
  <c r="E140" i="10"/>
  <c r="F135" i="13"/>
  <c r="F41" i="20"/>
  <c r="F129" i="13"/>
  <c r="E78" i="7"/>
  <c r="F61" i="16"/>
  <c r="E184" i="12"/>
  <c r="F294" i="19"/>
  <c r="F230" i="12"/>
  <c r="E103" i="13"/>
  <c r="E59" i="7"/>
  <c r="F11" i="15"/>
  <c r="E51" i="12"/>
  <c r="E128" i="10"/>
  <c r="E14" i="6"/>
  <c r="E129" i="16"/>
  <c r="E30" i="4"/>
  <c r="F174" i="14"/>
  <c r="E99" i="22"/>
  <c r="F121" i="5"/>
  <c r="F80" i="10"/>
  <c r="E5" i="11"/>
  <c r="F150" i="18"/>
  <c r="E42" i="16"/>
  <c r="E219" i="14"/>
  <c r="E185" i="20"/>
  <c r="E37" i="16"/>
  <c r="F27" i="12"/>
  <c r="E117" i="21"/>
  <c r="E178" i="25"/>
  <c r="E135" i="13"/>
  <c r="F95" i="18"/>
  <c r="F214" i="12"/>
  <c r="F118" i="10"/>
  <c r="E43" i="18"/>
  <c r="F148" i="12"/>
  <c r="E20" i="6"/>
  <c r="E37" i="11"/>
  <c r="E63" i="8"/>
  <c r="F147" i="15"/>
  <c r="E83" i="18"/>
  <c r="F118" i="19"/>
  <c r="E58" i="14"/>
  <c r="E176" i="12"/>
  <c r="F125" i="15"/>
  <c r="F132" i="5"/>
  <c r="F32" i="12"/>
  <c r="E384" i="17"/>
  <c r="F43" i="17"/>
  <c r="E179" i="16"/>
  <c r="E216" i="14"/>
  <c r="F360" i="17"/>
  <c r="E129" i="12"/>
  <c r="F204" i="16"/>
  <c r="E148" i="17"/>
  <c r="E119" i="15"/>
  <c r="F108" i="19"/>
  <c r="F15" i="5"/>
  <c r="F82" i="12"/>
  <c r="F48" i="10"/>
  <c r="F36" i="8"/>
  <c r="E123" i="9"/>
  <c r="E180" i="14"/>
  <c r="E169" i="19"/>
  <c r="E82" i="20"/>
  <c r="E152" i="5"/>
  <c r="F5" i="12"/>
  <c r="E91" i="15"/>
  <c r="E146" i="15"/>
  <c r="F64" i="25"/>
  <c r="E101" i="10"/>
  <c r="F152" i="12"/>
  <c r="E144" i="5"/>
  <c r="F90" i="19"/>
  <c r="E44" i="13"/>
  <c r="E51" i="7"/>
  <c r="F7" i="15"/>
  <c r="F159" i="5"/>
  <c r="E361" i="16"/>
  <c r="E81" i="12"/>
  <c r="E181" i="19"/>
  <c r="F102" i="13"/>
  <c r="E77" i="17"/>
  <c r="E128" i="17"/>
  <c r="F80" i="8"/>
  <c r="F103" i="14"/>
  <c r="F158" i="21"/>
  <c r="E123" i="17"/>
  <c r="F24" i="8"/>
  <c r="E121" i="13"/>
  <c r="E110" i="9"/>
  <c r="F58" i="9"/>
  <c r="F195" i="19"/>
  <c r="F302" i="17"/>
  <c r="F286" i="17"/>
  <c r="F61" i="5"/>
  <c r="E108" i="17"/>
  <c r="F158" i="15"/>
  <c r="E28" i="5"/>
  <c r="F112" i="12"/>
  <c r="F106" i="12"/>
  <c r="F184" i="5"/>
  <c r="F58" i="5"/>
  <c r="F15" i="4"/>
  <c r="E202" i="17"/>
  <c r="E222" i="17"/>
  <c r="F104" i="20"/>
  <c r="E94" i="21"/>
  <c r="E78" i="5"/>
  <c r="F150" i="14"/>
  <c r="F5" i="16"/>
  <c r="E14" i="16"/>
  <c r="F83" i="10"/>
  <c r="E211" i="14"/>
  <c r="F128" i="9"/>
  <c r="E20" i="18"/>
  <c r="F32" i="8"/>
  <c r="F248" i="19"/>
  <c r="F8" i="16"/>
  <c r="E210" i="21"/>
  <c r="F26" i="5"/>
  <c r="F90" i="5"/>
  <c r="E16" i="13"/>
  <c r="E116" i="14"/>
  <c r="E214" i="15"/>
  <c r="F54" i="17"/>
  <c r="E89" i="10"/>
  <c r="F31" i="11"/>
  <c r="F126" i="10"/>
  <c r="E183" i="5"/>
  <c r="F176" i="12"/>
  <c r="F159" i="16"/>
  <c r="E194" i="12"/>
  <c r="E39" i="8"/>
  <c r="F50" i="9"/>
  <c r="E3" i="16"/>
  <c r="F81" i="5"/>
  <c r="E75" i="16"/>
  <c r="F78" i="12"/>
  <c r="E40" i="13"/>
  <c r="F188" i="5"/>
  <c r="E54" i="12"/>
  <c r="E95" i="16"/>
  <c r="E5" i="9"/>
  <c r="F38" i="15"/>
  <c r="F12" i="9"/>
  <c r="E132" i="10"/>
  <c r="E2" i="2"/>
  <c r="F86" i="10"/>
  <c r="F157" i="5"/>
  <c r="E61" i="9"/>
  <c r="F109" i="19"/>
  <c r="E50" i="15"/>
  <c r="E189" i="12"/>
  <c r="F215" i="18"/>
  <c r="E154" i="5"/>
  <c r="F242" i="23"/>
  <c r="F105" i="13"/>
  <c r="F84" i="12"/>
  <c r="E103" i="17"/>
  <c r="E95" i="24"/>
  <c r="F158" i="12"/>
  <c r="E176" i="14"/>
  <c r="E121" i="10"/>
  <c r="E108" i="15"/>
  <c r="E134" i="10"/>
  <c r="E48" i="25"/>
  <c r="F71" i="7"/>
  <c r="E232" i="24"/>
  <c r="F53" i="17"/>
  <c r="E56" i="12"/>
  <c r="E72" i="24"/>
  <c r="E93" i="7"/>
  <c r="F12" i="2"/>
  <c r="E202" i="5"/>
  <c r="F90" i="8"/>
  <c r="E107" i="12"/>
  <c r="E69" i="7"/>
  <c r="F99" i="15"/>
  <c r="F25" i="6"/>
  <c r="E74" i="8"/>
  <c r="F184" i="16"/>
  <c r="F315" i="17"/>
  <c r="F36" i="22"/>
  <c r="E53" i="12"/>
  <c r="E21" i="22"/>
  <c r="E43" i="4"/>
  <c r="E195" i="20"/>
  <c r="E12" i="14"/>
  <c r="F106" i="5"/>
  <c r="E21" i="5"/>
  <c r="E129" i="13"/>
  <c r="E4" i="7"/>
  <c r="E28" i="20"/>
  <c r="F15" i="8"/>
  <c r="E172" i="17"/>
  <c r="E102" i="15"/>
  <c r="E63" i="16"/>
  <c r="F196" i="13"/>
  <c r="E216" i="23"/>
  <c r="F116" i="13"/>
  <c r="F114" i="14"/>
  <c r="E275" i="21"/>
  <c r="F121" i="13"/>
  <c r="E93" i="13"/>
  <c r="F8" i="8"/>
  <c r="E120" i="18"/>
  <c r="E296" i="19"/>
  <c r="F210" i="14"/>
  <c r="F66" i="9"/>
  <c r="F89" i="12"/>
  <c r="F194" i="18"/>
  <c r="E57" i="8"/>
  <c r="E40" i="16"/>
  <c r="F72" i="13"/>
  <c r="E40" i="7"/>
  <c r="F100" i="9"/>
  <c r="E343" i="16"/>
  <c r="E66" i="20"/>
  <c r="F114" i="10"/>
  <c r="F39" i="8"/>
  <c r="E105" i="16"/>
  <c r="F36" i="9"/>
  <c r="F98" i="9"/>
  <c r="F318" i="19"/>
  <c r="E9" i="12"/>
  <c r="E328" i="16"/>
  <c r="F127" i="9"/>
  <c r="F193" i="24"/>
  <c r="E190" i="14"/>
  <c r="F123" i="17"/>
  <c r="F41" i="13"/>
  <c r="E21" i="9"/>
  <c r="F340" i="21"/>
  <c r="F49" i="6"/>
  <c r="E108" i="10"/>
  <c r="F201" i="17"/>
  <c r="E2" i="3"/>
  <c r="F11" i="7"/>
  <c r="F98" i="14"/>
  <c r="E207" i="12"/>
  <c r="F71" i="4"/>
  <c r="F88" i="21"/>
  <c r="F23" i="5"/>
  <c r="E66" i="17"/>
  <c r="E91" i="6"/>
  <c r="E199" i="5"/>
  <c r="E102" i="7"/>
  <c r="F227" i="18"/>
  <c r="F151" i="14"/>
  <c r="F83" i="26"/>
  <c r="E51" i="6"/>
  <c r="F281" i="16"/>
  <c r="E183" i="16"/>
  <c r="E61" i="10"/>
  <c r="F177" i="17"/>
  <c r="E95" i="10"/>
  <c r="F174" i="18"/>
  <c r="F122" i="5"/>
  <c r="F342" i="17"/>
  <c r="E103" i="16"/>
  <c r="E60" i="5"/>
  <c r="E194" i="5"/>
  <c r="F28" i="7"/>
  <c r="E8" i="7"/>
  <c r="F181" i="19"/>
  <c r="F91" i="23"/>
  <c r="F12" i="23"/>
  <c r="E14" i="13"/>
  <c r="F33" i="4"/>
  <c r="E99" i="5"/>
  <c r="F63" i="4"/>
  <c r="E8" i="13"/>
  <c r="F99" i="7"/>
  <c r="E205" i="12"/>
  <c r="F56" i="4"/>
  <c r="F2" i="11"/>
  <c r="F44" i="9"/>
  <c r="E150" i="15"/>
  <c r="E74" i="7"/>
  <c r="F222" i="15"/>
  <c r="E74" i="4"/>
  <c r="E209" i="14"/>
  <c r="F166" i="13"/>
  <c r="F2" i="10"/>
  <c r="E319" i="19"/>
  <c r="E16" i="21"/>
  <c r="F70" i="23"/>
  <c r="E99" i="9"/>
  <c r="E2" i="14"/>
  <c r="F174" i="21"/>
  <c r="E149" i="19"/>
  <c r="E107" i="5"/>
  <c r="F20" i="20"/>
  <c r="E5" i="15"/>
  <c r="E190" i="16"/>
  <c r="E38" i="12"/>
  <c r="E46" i="6"/>
  <c r="E10" i="5"/>
  <c r="E131" i="15"/>
  <c r="E169" i="5"/>
  <c r="E119" i="17"/>
  <c r="F83" i="9"/>
  <c r="E118" i="5"/>
  <c r="F71" i="8"/>
  <c r="F191" i="15"/>
  <c r="E98" i="9"/>
  <c r="E167" i="15"/>
  <c r="F47" i="4"/>
  <c r="F12" i="7"/>
  <c r="E107" i="17"/>
  <c r="E48" i="15"/>
  <c r="F56" i="13"/>
  <c r="F138" i="20"/>
  <c r="F65" i="18"/>
  <c r="E111" i="16"/>
  <c r="E153" i="15"/>
  <c r="E105" i="14"/>
  <c r="E86" i="9"/>
  <c r="F13" i="20"/>
  <c r="E91" i="8"/>
  <c r="F92" i="21"/>
  <c r="F146" i="13"/>
  <c r="F170" i="23"/>
  <c r="F259" i="16"/>
  <c r="F7" i="18"/>
  <c r="E23" i="15"/>
  <c r="E77" i="15"/>
  <c r="F195" i="13"/>
  <c r="E101" i="5"/>
  <c r="F3" i="2"/>
  <c r="F190" i="15"/>
  <c r="E31" i="11"/>
  <c r="E213" i="13"/>
  <c r="E116" i="13"/>
  <c r="E188" i="18"/>
  <c r="F79" i="7"/>
  <c r="E3" i="6"/>
  <c r="E61" i="17"/>
  <c r="F202" i="17"/>
  <c r="F14" i="6"/>
  <c r="F73" i="10"/>
  <c r="F130" i="14"/>
  <c r="F183" i="13"/>
  <c r="E108" i="14"/>
  <c r="E297" i="17"/>
  <c r="E75" i="7"/>
  <c r="E9" i="15"/>
  <c r="E233" i="17"/>
  <c r="E199" i="16"/>
  <c r="E340" i="16"/>
  <c r="F4" i="14"/>
  <c r="E126" i="13"/>
  <c r="E36" i="10"/>
  <c r="F154" i="14"/>
  <c r="F286" i="21"/>
  <c r="F4" i="16"/>
  <c r="E247" i="21"/>
  <c r="E92" i="5"/>
  <c r="E84" i="13"/>
  <c r="E348" i="16"/>
  <c r="F23" i="13"/>
  <c r="F77" i="9"/>
  <c r="E68" i="7"/>
  <c r="E27" i="5"/>
  <c r="F116" i="9"/>
  <c r="G2" i="2" l="1"/>
  <c r="G27" i="5"/>
  <c r="G68" i="7"/>
  <c r="G348" i="16"/>
  <c r="G84" i="13"/>
  <c r="G92" i="5"/>
  <c r="G247" i="21"/>
  <c r="G36" i="10"/>
  <c r="G126" i="13"/>
  <c r="G340" i="16"/>
  <c r="G199" i="16"/>
  <c r="G233" i="17"/>
  <c r="G9" i="15"/>
  <c r="G75" i="7"/>
  <c r="G297" i="17"/>
  <c r="G108" i="14"/>
  <c r="G61" i="17"/>
  <c r="G3" i="6"/>
  <c r="G188" i="18"/>
  <c r="G116" i="13"/>
  <c r="G213" i="13"/>
  <c r="G31" i="11"/>
  <c r="G101" i="5"/>
  <c r="G77" i="15"/>
  <c r="G23" i="15"/>
  <c r="G91" i="8"/>
  <c r="G86" i="9"/>
  <c r="G105" i="14"/>
  <c r="G153" i="15"/>
  <c r="G111" i="16"/>
  <c r="G48" i="15"/>
  <c r="G107" i="17"/>
  <c r="G167" i="15"/>
  <c r="G98" i="9"/>
  <c r="G118" i="5"/>
  <c r="G119" i="17"/>
  <c r="G169" i="5"/>
  <c r="G131" i="15"/>
  <c r="G10" i="5"/>
  <c r="G46" i="6"/>
  <c r="G38" i="12"/>
  <c r="G190" i="16"/>
  <c r="G5" i="15"/>
  <c r="G107" i="5"/>
  <c r="G149" i="19"/>
  <c r="G2" i="14"/>
  <c r="G99" i="9"/>
  <c r="G16" i="21"/>
  <c r="G319" i="19"/>
  <c r="G209" i="14"/>
  <c r="G74" i="4"/>
  <c r="G74" i="7"/>
  <c r="G150" i="15"/>
  <c r="G205" i="12"/>
  <c r="G8" i="13"/>
  <c r="G99" i="5"/>
  <c r="G14" i="13"/>
  <c r="G8" i="7"/>
  <c r="G194" i="5"/>
  <c r="G60" i="5"/>
  <c r="G103" i="16"/>
  <c r="G95" i="10"/>
  <c r="G61" i="10"/>
  <c r="G183" i="16"/>
  <c r="G51" i="6"/>
  <c r="G102" i="7"/>
  <c r="G199" i="5"/>
  <c r="G91" i="6"/>
  <c r="G66" i="17"/>
  <c r="G207" i="12"/>
  <c r="G2" i="3"/>
  <c r="G108" i="10"/>
  <c r="G21" i="9"/>
  <c r="G190" i="14"/>
  <c r="G328" i="16"/>
  <c r="G9" i="12"/>
  <c r="G105" i="16"/>
  <c r="G66" i="20"/>
  <c r="G343" i="16"/>
  <c r="G40" i="7"/>
  <c r="G40" i="16"/>
  <c r="G57" i="8"/>
  <c r="G296" i="19"/>
  <c r="G120" i="18"/>
  <c r="G93" i="13"/>
  <c r="G275" i="21"/>
  <c r="G216" i="23"/>
  <c r="G63" i="16"/>
  <c r="G102" i="15"/>
  <c r="G172" i="17"/>
  <c r="G28" i="20"/>
  <c r="G4" i="7"/>
  <c r="G129" i="13"/>
  <c r="G21" i="5"/>
  <c r="G12" i="14"/>
  <c r="G195" i="20"/>
  <c r="G43" i="4"/>
  <c r="G21" i="22"/>
  <c r="G53" i="12"/>
  <c r="G74" i="8"/>
  <c r="G69" i="7"/>
  <c r="G107" i="12"/>
  <c r="G202" i="5"/>
  <c r="G93" i="7"/>
  <c r="G72" i="24"/>
  <c r="G56" i="12"/>
  <c r="G232" i="24"/>
  <c r="H48" i="25"/>
  <c r="G134" i="10"/>
  <c r="G108" i="15"/>
  <c r="G121" i="10"/>
  <c r="G176" i="14"/>
  <c r="G95" i="24"/>
  <c r="G103" i="17"/>
  <c r="G154" i="5"/>
  <c r="G189" i="12"/>
  <c r="G50" i="15"/>
  <c r="G61" i="9"/>
  <c r="G132" i="10"/>
  <c r="G5" i="9"/>
  <c r="G95" i="16"/>
  <c r="G54" i="12"/>
  <c r="G40" i="13"/>
  <c r="G75" i="16"/>
  <c r="G3" i="16"/>
  <c r="G39" i="8"/>
  <c r="G194" i="12"/>
  <c r="G183" i="5"/>
  <c r="G89" i="10"/>
  <c r="G214" i="15"/>
  <c r="G116" i="14"/>
  <c r="G16" i="13"/>
  <c r="G210" i="21"/>
  <c r="G20" i="18"/>
  <c r="G211" i="14"/>
  <c r="G14" i="16"/>
  <c r="G78" i="5"/>
  <c r="G94" i="21"/>
  <c r="G222" i="17"/>
  <c r="G202" i="17"/>
  <c r="G28" i="5"/>
  <c r="G108" i="17"/>
  <c r="G110" i="9"/>
  <c r="G121" i="13"/>
  <c r="G123" i="17"/>
  <c r="G128" i="17"/>
  <c r="G77" i="17"/>
  <c r="G181" i="19"/>
  <c r="G81" i="12"/>
  <c r="G361" i="16"/>
  <c r="G51" i="7"/>
  <c r="G44" i="13"/>
  <c r="G144" i="5"/>
  <c r="G101" i="10"/>
  <c r="G146" i="15"/>
  <c r="G91" i="15"/>
  <c r="G152" i="5"/>
  <c r="G82" i="20"/>
  <c r="G169" i="19"/>
  <c r="G180" i="14"/>
  <c r="G123" i="9"/>
  <c r="G119" i="15"/>
  <c r="G148" i="17"/>
  <c r="G129" i="12"/>
  <c r="G216" i="14"/>
  <c r="G179" i="16"/>
  <c r="G384" i="17"/>
  <c r="G176" i="12"/>
  <c r="G58" i="14"/>
  <c r="G83" i="18"/>
  <c r="G63" i="8"/>
  <c r="G37" i="11"/>
  <c r="G20" i="6"/>
  <c r="G43" i="18"/>
  <c r="G135" i="13"/>
  <c r="H178" i="25"/>
  <c r="G117" i="21"/>
  <c r="G37" i="16"/>
  <c r="G185" i="20"/>
  <c r="G219" i="14"/>
  <c r="G42" i="16"/>
  <c r="G5" i="11"/>
  <c r="G99" i="22"/>
  <c r="G30" i="4"/>
  <c r="G129" i="16"/>
  <c r="G14" i="6"/>
  <c r="G128" i="10"/>
  <c r="G51" i="12"/>
  <c r="G59" i="7"/>
  <c r="G103" i="13"/>
  <c r="G184" i="12"/>
  <c r="G78" i="7"/>
  <c r="G140" i="10"/>
  <c r="G159" i="16"/>
  <c r="G140" i="5"/>
  <c r="G19" i="13"/>
  <c r="G11" i="16"/>
  <c r="G221" i="19"/>
  <c r="G55" i="5"/>
  <c r="G181" i="21"/>
  <c r="G147" i="23"/>
  <c r="G94" i="19"/>
  <c r="G73" i="18"/>
  <c r="G44" i="17"/>
  <c r="G160" i="20"/>
  <c r="G213" i="14"/>
  <c r="G58" i="12"/>
  <c r="G89" i="16"/>
  <c r="G66" i="4"/>
  <c r="G20" i="14"/>
  <c r="G22" i="7"/>
  <c r="G42" i="17"/>
  <c r="G64" i="8"/>
  <c r="G336" i="24"/>
  <c r="G327" i="21"/>
  <c r="G88" i="7"/>
  <c r="G37" i="12"/>
  <c r="G11" i="9"/>
  <c r="G154" i="15"/>
  <c r="G138" i="10"/>
  <c r="G98" i="5"/>
  <c r="G33" i="22"/>
  <c r="G126" i="19"/>
  <c r="G155" i="13"/>
  <c r="G72" i="14"/>
  <c r="G116" i="5"/>
  <c r="G20" i="7"/>
  <c r="G18" i="2"/>
  <c r="G110" i="23"/>
  <c r="G184" i="15"/>
  <c r="G12" i="5"/>
  <c r="G138" i="17"/>
  <c r="G75" i="12"/>
  <c r="G10" i="16"/>
  <c r="G30" i="21"/>
  <c r="G131" i="20"/>
  <c r="G136" i="10"/>
  <c r="G17" i="2"/>
  <c r="G238" i="17"/>
  <c r="G11" i="12"/>
  <c r="G61" i="8"/>
  <c r="G127" i="16"/>
  <c r="G97" i="13"/>
  <c r="G384" i="24"/>
  <c r="G141" i="17"/>
  <c r="G48" i="10"/>
  <c r="G110" i="18"/>
  <c r="G92" i="9"/>
  <c r="G25" i="2"/>
  <c r="G61" i="15"/>
  <c r="G67" i="8"/>
  <c r="G148" i="16"/>
  <c r="G53" i="15"/>
  <c r="G103" i="21"/>
  <c r="G221" i="12"/>
  <c r="G53" i="24"/>
  <c r="G47" i="4"/>
  <c r="G140" i="12"/>
  <c r="G106" i="5"/>
  <c r="G23" i="17"/>
  <c r="G72" i="10"/>
  <c r="G247" i="17"/>
  <c r="G48" i="19"/>
  <c r="G173" i="21"/>
  <c r="G14" i="2"/>
  <c r="G298" i="17"/>
  <c r="G20" i="5"/>
  <c r="G87" i="14"/>
  <c r="G27" i="13"/>
  <c r="G296" i="17"/>
  <c r="G56" i="8"/>
  <c r="G192" i="17"/>
  <c r="G40" i="11"/>
  <c r="G143" i="14"/>
  <c r="G110" i="7"/>
  <c r="G191" i="13"/>
  <c r="G165" i="12"/>
  <c r="G112" i="7"/>
  <c r="G194" i="17"/>
  <c r="G220" i="14"/>
  <c r="G93" i="6"/>
  <c r="G67" i="15"/>
  <c r="G52" i="12"/>
  <c r="G2" i="13"/>
  <c r="G82" i="16"/>
  <c r="G77" i="8"/>
  <c r="G65" i="6"/>
  <c r="G97" i="14"/>
  <c r="G40" i="5"/>
  <c r="G6" i="7"/>
  <c r="G42" i="7"/>
  <c r="G6" i="16"/>
  <c r="G59" i="14"/>
  <c r="G290" i="19"/>
  <c r="G26" i="20"/>
  <c r="G11" i="18"/>
  <c r="G28" i="22"/>
  <c r="G74" i="17"/>
  <c r="G7" i="7"/>
  <c r="G87" i="6"/>
  <c r="G18" i="4"/>
  <c r="G120" i="14"/>
  <c r="G90" i="10"/>
  <c r="G229" i="23"/>
  <c r="G109" i="7"/>
  <c r="G26" i="6"/>
  <c r="G18" i="1"/>
  <c r="G99" i="15"/>
  <c r="G32" i="4"/>
  <c r="G219" i="17"/>
  <c r="G96" i="6"/>
  <c r="G160" i="15"/>
  <c r="G4" i="13"/>
  <c r="G159" i="5"/>
  <c r="G40" i="14"/>
  <c r="G209" i="15"/>
  <c r="G152" i="20"/>
  <c r="G96" i="7"/>
  <c r="G24" i="14"/>
  <c r="G202" i="14"/>
  <c r="G197" i="15"/>
  <c r="G64" i="4"/>
  <c r="G218" i="14"/>
  <c r="G253" i="23"/>
  <c r="G337" i="17"/>
  <c r="G116" i="12"/>
  <c r="G58" i="15"/>
  <c r="G155" i="19"/>
  <c r="G19" i="21"/>
  <c r="G222" i="19"/>
  <c r="G6" i="6"/>
  <c r="G18" i="9"/>
  <c r="G50" i="19"/>
  <c r="G58" i="9"/>
  <c r="G35" i="19"/>
  <c r="G6" i="8"/>
  <c r="G70" i="13"/>
  <c r="G109" i="20"/>
  <c r="G15" i="10"/>
  <c r="G130" i="12"/>
  <c r="G202" i="20"/>
  <c r="G60" i="4"/>
  <c r="G124" i="18"/>
  <c r="G286" i="16"/>
  <c r="G113" i="5"/>
  <c r="G12" i="11"/>
  <c r="G144" i="12"/>
  <c r="G17" i="4"/>
  <c r="G66" i="9"/>
  <c r="G9" i="7"/>
  <c r="G106" i="17"/>
  <c r="G56" i="10"/>
  <c r="G70" i="7"/>
  <c r="G35" i="15"/>
  <c r="G46" i="7"/>
  <c r="G16" i="2"/>
  <c r="G47" i="5"/>
  <c r="G88" i="8"/>
  <c r="G119" i="16"/>
  <c r="G97" i="10"/>
  <c r="G84" i="22"/>
  <c r="G12" i="2"/>
  <c r="G16" i="6"/>
  <c r="G49" i="21"/>
  <c r="G200" i="13"/>
  <c r="G43" i="15"/>
  <c r="G58" i="22"/>
  <c r="G144" i="21"/>
  <c r="G212" i="14"/>
  <c r="G299" i="17"/>
  <c r="G211" i="12"/>
  <c r="G32" i="8"/>
  <c r="G147" i="21"/>
  <c r="G142" i="14"/>
  <c r="G3" i="11"/>
  <c r="G6" i="1"/>
  <c r="G112" i="15"/>
  <c r="G48" i="5"/>
  <c r="G42" i="5"/>
  <c r="G315" i="19"/>
  <c r="G55" i="21"/>
  <c r="G14" i="11"/>
  <c r="G17" i="19"/>
  <c r="G168" i="15"/>
  <c r="G49" i="12"/>
  <c r="G3" i="4"/>
  <c r="G184" i="14"/>
  <c r="G45" i="5"/>
  <c r="G83" i="6"/>
  <c r="G10" i="18"/>
  <c r="G153" i="5"/>
  <c r="G10" i="8"/>
  <c r="G15" i="11"/>
  <c r="G221" i="14"/>
  <c r="G47" i="8"/>
  <c r="G103" i="20"/>
  <c r="G87" i="5"/>
  <c r="G34" i="7"/>
  <c r="G117" i="9"/>
  <c r="G245" i="19"/>
  <c r="G353" i="17"/>
  <c r="G17" i="13"/>
  <c r="G199" i="13"/>
  <c r="G272" i="21"/>
  <c r="G158" i="13"/>
  <c r="G161" i="12"/>
  <c r="G52" i="17"/>
  <c r="G41" i="14"/>
  <c r="G65" i="10"/>
  <c r="G59" i="18"/>
  <c r="G41" i="7"/>
  <c r="G154" i="14"/>
  <c r="G307" i="19"/>
  <c r="G42" i="10"/>
  <c r="G70" i="19"/>
  <c r="G188" i="20"/>
  <c r="G162" i="13"/>
  <c r="G83" i="12"/>
  <c r="G305" i="16"/>
  <c r="G156" i="21"/>
  <c r="G82" i="22"/>
  <c r="G148" i="14"/>
  <c r="G155" i="12"/>
  <c r="G118" i="20"/>
  <c r="G3" i="2"/>
  <c r="G142" i="21"/>
  <c r="G129" i="19"/>
  <c r="G94" i="10"/>
  <c r="G139" i="14"/>
  <c r="G123" i="5"/>
  <c r="G199" i="12"/>
  <c r="G83" i="15"/>
  <c r="G36" i="6"/>
  <c r="G61" i="5"/>
  <c r="G104" i="7"/>
  <c r="G39" i="13"/>
  <c r="G75" i="9"/>
  <c r="G201" i="5"/>
  <c r="G96" i="9"/>
  <c r="G41" i="4"/>
  <c r="G148" i="12"/>
  <c r="G36" i="9"/>
  <c r="G71" i="14"/>
  <c r="G70" i="17"/>
  <c r="G201" i="14"/>
  <c r="G26" i="11"/>
  <c r="G87" i="7"/>
  <c r="G36" i="14"/>
  <c r="G3" i="5"/>
  <c r="G25" i="10"/>
  <c r="G19" i="4"/>
  <c r="G97" i="12"/>
  <c r="G7" i="5"/>
  <c r="G35" i="12"/>
  <c r="G90" i="17"/>
  <c r="G144" i="10"/>
  <c r="G4" i="15"/>
  <c r="G18" i="6"/>
  <c r="G8" i="6"/>
  <c r="G44" i="6"/>
  <c r="G171" i="17"/>
  <c r="G41" i="13"/>
  <c r="G142" i="12"/>
  <c r="G158" i="17"/>
  <c r="G48" i="12"/>
  <c r="G275" i="19"/>
  <c r="G2" i="9"/>
  <c r="G69" i="5"/>
  <c r="G139" i="12"/>
  <c r="G107" i="10"/>
  <c r="G31" i="5"/>
  <c r="G315" i="17"/>
  <c r="G117" i="5"/>
  <c r="G50" i="16"/>
  <c r="G13" i="2"/>
  <c r="G10" i="10"/>
  <c r="G90" i="8"/>
  <c r="G170" i="17"/>
  <c r="G76" i="12"/>
  <c r="G217" i="16"/>
  <c r="G88" i="14"/>
  <c r="G291" i="16"/>
  <c r="G107" i="15"/>
  <c r="G310" i="19"/>
  <c r="G5" i="5"/>
  <c r="G16" i="15"/>
  <c r="G55" i="4"/>
  <c r="G220" i="13"/>
  <c r="G15" i="12"/>
  <c r="G69" i="10"/>
  <c r="G50" i="10"/>
  <c r="G98" i="12"/>
  <c r="G19" i="7"/>
  <c r="G210" i="16"/>
  <c r="G59" i="9"/>
  <c r="G35" i="9"/>
  <c r="G196" i="13"/>
  <c r="G28" i="13"/>
  <c r="G179" i="14"/>
  <c r="G67" i="7"/>
  <c r="G311" i="16"/>
  <c r="G26" i="12"/>
  <c r="G124" i="7"/>
  <c r="G247" i="16"/>
  <c r="G45" i="19"/>
  <c r="G59" i="5"/>
  <c r="G63" i="23"/>
  <c r="G152" i="12"/>
  <c r="G140" i="14"/>
  <c r="G3" i="3"/>
  <c r="G106" i="20"/>
  <c r="G123" i="7"/>
  <c r="G57" i="13"/>
  <c r="G113" i="9"/>
  <c r="G105" i="12"/>
  <c r="G114" i="21"/>
  <c r="G103" i="9"/>
  <c r="G84" i="7"/>
  <c r="G3" i="17"/>
  <c r="G254" i="21"/>
  <c r="G32" i="5"/>
  <c r="G12" i="16"/>
  <c r="G22" i="9"/>
  <c r="G55" i="6"/>
  <c r="G223" i="15"/>
  <c r="G55" i="16"/>
  <c r="G24" i="20"/>
  <c r="G30" i="8"/>
  <c r="G64" i="10"/>
  <c r="G71" i="19"/>
  <c r="G6" i="15"/>
  <c r="G29" i="12"/>
  <c r="G235" i="16"/>
  <c r="G91" i="13"/>
  <c r="G93" i="15"/>
  <c r="G60" i="15"/>
  <c r="G76" i="17"/>
  <c r="G122" i="15"/>
  <c r="G94" i="17"/>
  <c r="G93" i="14"/>
  <c r="G15" i="8"/>
  <c r="G7" i="20"/>
  <c r="G103" i="26"/>
  <c r="G77" i="16"/>
  <c r="G59" i="13"/>
  <c r="G31" i="7"/>
  <c r="G14" i="4"/>
  <c r="G22" i="1"/>
  <c r="G54" i="9"/>
  <c r="G96" i="12"/>
  <c r="G145" i="5"/>
  <c r="G180" i="19"/>
  <c r="G36" i="11"/>
  <c r="G91" i="9"/>
  <c r="G31" i="2"/>
  <c r="G68" i="8"/>
  <c r="G72" i="7"/>
  <c r="G182" i="12"/>
  <c r="G7" i="1"/>
  <c r="G75" i="17"/>
  <c r="G67" i="6"/>
  <c r="G43" i="9"/>
  <c r="G16" i="9"/>
  <c r="G83" i="8"/>
  <c r="G94" i="12"/>
  <c r="G131" i="14"/>
  <c r="G219" i="13"/>
  <c r="G200" i="5"/>
  <c r="G145" i="19"/>
  <c r="G179" i="15"/>
  <c r="G126" i="10"/>
  <c r="G120" i="17"/>
  <c r="G247" i="23"/>
  <c r="G137" i="16"/>
  <c r="G174" i="13"/>
  <c r="G35" i="11"/>
  <c r="G201" i="12"/>
  <c r="G191" i="16"/>
  <c r="G32" i="10"/>
  <c r="G102" i="10"/>
  <c r="G21" i="16"/>
  <c r="G37" i="8"/>
  <c r="G78" i="6"/>
  <c r="G198" i="5"/>
  <c r="G56" i="13"/>
  <c r="G46" i="20"/>
  <c r="G169" i="15"/>
  <c r="G118" i="14"/>
  <c r="G262" i="16"/>
  <c r="G55" i="10"/>
  <c r="G41" i="15"/>
  <c r="G141" i="5"/>
  <c r="G75" i="5"/>
  <c r="G194" i="16"/>
  <c r="G101" i="16"/>
  <c r="G201" i="21"/>
  <c r="G5" i="2"/>
  <c r="G128" i="5"/>
  <c r="G156" i="13"/>
  <c r="G149" i="16"/>
  <c r="G100" i="12"/>
  <c r="G18" i="5"/>
  <c r="G166" i="21"/>
  <c r="G12" i="13"/>
  <c r="G76" i="10"/>
  <c r="G63" i="22"/>
  <c r="G150" i="12"/>
  <c r="G147" i="13"/>
  <c r="G128" i="13"/>
  <c r="G103" i="10"/>
  <c r="G60" i="20"/>
  <c r="G172" i="12"/>
  <c r="G29" i="26"/>
  <c r="G184" i="5"/>
  <c r="G37" i="17"/>
  <c r="G47" i="10"/>
  <c r="G53" i="19"/>
  <c r="G74" i="5"/>
  <c r="G196" i="19"/>
  <c r="G60" i="10"/>
  <c r="G3" i="7"/>
  <c r="G166" i="17"/>
  <c r="G3" i="14"/>
  <c r="G56" i="14"/>
  <c r="G287" i="16"/>
  <c r="G205" i="16"/>
  <c r="G54" i="4"/>
  <c r="G26" i="17"/>
  <c r="G44" i="9"/>
  <c r="G7" i="4"/>
  <c r="G324" i="17"/>
  <c r="G161" i="21"/>
  <c r="G210" i="17"/>
  <c r="G41" i="11"/>
  <c r="G54" i="17"/>
  <c r="G137" i="10"/>
  <c r="G111" i="9"/>
  <c r="G13" i="15"/>
  <c r="G64" i="14"/>
  <c r="G60" i="13"/>
  <c r="G74" i="15"/>
  <c r="G38" i="17"/>
  <c r="G29" i="7"/>
  <c r="G103" i="5"/>
  <c r="G6" i="17"/>
  <c r="G147" i="16"/>
  <c r="G83" i="19"/>
  <c r="G34" i="10"/>
  <c r="G53" i="9"/>
  <c r="G125" i="7"/>
  <c r="G44" i="15"/>
  <c r="G127" i="10"/>
  <c r="G167" i="5"/>
  <c r="G176" i="17"/>
  <c r="G48" i="9"/>
  <c r="G151" i="5"/>
  <c r="G92" i="20"/>
  <c r="G23" i="7"/>
  <c r="G6" i="4"/>
  <c r="G327" i="16"/>
  <c r="G72" i="6"/>
  <c r="G129" i="21"/>
  <c r="G316" i="16"/>
  <c r="G350" i="17"/>
  <c r="G174" i="14"/>
  <c r="G58" i="5"/>
  <c r="G163" i="13"/>
  <c r="G28" i="8"/>
  <c r="G51" i="10"/>
  <c r="G38" i="5"/>
  <c r="G171" i="15"/>
  <c r="G62" i="16"/>
  <c r="G115" i="5"/>
  <c r="G301" i="17"/>
  <c r="G71" i="6"/>
  <c r="G145" i="10"/>
  <c r="G96" i="13"/>
  <c r="G57" i="12"/>
  <c r="G5" i="4"/>
  <c r="G32" i="12"/>
  <c r="G43" i="17"/>
  <c r="G98" i="13"/>
  <c r="G78" i="8"/>
  <c r="G204" i="17"/>
  <c r="G131" i="5"/>
  <c r="G65" i="8"/>
  <c r="G41" i="10"/>
  <c r="G164" i="13"/>
  <c r="G79" i="10"/>
  <c r="G192" i="21"/>
  <c r="G124" i="17"/>
  <c r="G193" i="5"/>
  <c r="G113" i="12"/>
  <c r="G239" i="16"/>
  <c r="G23" i="1"/>
  <c r="G138" i="13"/>
  <c r="G68" i="20"/>
  <c r="G172" i="13"/>
  <c r="G120" i="13"/>
  <c r="G135" i="5"/>
  <c r="G116" i="10"/>
  <c r="G189" i="5"/>
  <c r="G181" i="5"/>
  <c r="G257" i="19"/>
  <c r="G123" i="23"/>
  <c r="G133" i="5"/>
  <c r="G20" i="8"/>
  <c r="G128" i="12"/>
  <c r="G116" i="17"/>
  <c r="G54" i="7"/>
  <c r="G2" i="19"/>
  <c r="G14" i="10"/>
  <c r="G86" i="13"/>
  <c r="G8" i="16"/>
  <c r="G105" i="7"/>
  <c r="G166" i="16"/>
  <c r="G84" i="14"/>
  <c r="G86" i="8"/>
  <c r="G29" i="9"/>
  <c r="G68" i="9"/>
  <c r="G223" i="16"/>
  <c r="G176" i="15"/>
  <c r="G3" i="10"/>
  <c r="G70" i="5"/>
  <c r="G23" i="16"/>
  <c r="G115" i="10"/>
  <c r="G94" i="6"/>
  <c r="G55" i="12"/>
  <c r="G166" i="5"/>
  <c r="G47" i="9"/>
  <c r="G222" i="13"/>
  <c r="G200" i="15"/>
  <c r="G70" i="9"/>
  <c r="G249" i="17"/>
  <c r="G30" i="17"/>
  <c r="G106" i="9"/>
  <c r="G26" i="1"/>
  <c r="G89" i="8"/>
  <c r="G43" i="10"/>
  <c r="G307" i="24"/>
  <c r="G101" i="15"/>
  <c r="G194" i="15"/>
  <c r="G54" i="6"/>
  <c r="G192" i="13"/>
  <c r="G51" i="5"/>
  <c r="G130" i="5"/>
  <c r="G79" i="12"/>
  <c r="G118" i="9"/>
  <c r="G156" i="18"/>
  <c r="G222" i="14"/>
  <c r="G114" i="15"/>
  <c r="G104" i="14"/>
  <c r="G38" i="15"/>
  <c r="G173" i="16"/>
  <c r="G229" i="12"/>
  <c r="G257" i="17"/>
  <c r="G188" i="17"/>
  <c r="G201" i="23"/>
  <c r="G60" i="14"/>
  <c r="G44" i="4"/>
  <c r="G79" i="6"/>
  <c r="G25" i="9"/>
  <c r="G28" i="11"/>
  <c r="G345" i="16"/>
  <c r="G161" i="20"/>
  <c r="G226" i="12"/>
  <c r="G62" i="8"/>
  <c r="G284" i="17"/>
  <c r="G22" i="12"/>
  <c r="G41" i="12"/>
  <c r="G6" i="10"/>
  <c r="G39" i="23"/>
  <c r="G257" i="16"/>
  <c r="G130" i="14"/>
  <c r="G11" i="4"/>
  <c r="G182" i="13"/>
  <c r="G2" i="22"/>
  <c r="G347" i="16"/>
  <c r="G279" i="16"/>
  <c r="G201" i="16"/>
  <c r="G71" i="12"/>
  <c r="G260" i="16"/>
  <c r="G81" i="16"/>
  <c r="G23" i="2"/>
  <c r="G136" i="12"/>
  <c r="G102" i="19"/>
  <c r="G19" i="5"/>
  <c r="G173" i="13"/>
  <c r="G77" i="9"/>
  <c r="G36" i="4"/>
  <c r="G134" i="17"/>
  <c r="G63" i="6"/>
  <c r="G334" i="17"/>
  <c r="G12" i="17"/>
  <c r="G69" i="14"/>
  <c r="G82" i="19"/>
  <c r="G56" i="4"/>
  <c r="G60" i="7"/>
  <c r="G149" i="20"/>
  <c r="G122" i="16"/>
  <c r="G202" i="13"/>
  <c r="G195" i="5"/>
  <c r="G20" i="17"/>
  <c r="G48" i="8"/>
  <c r="G7" i="6"/>
  <c r="G16" i="14"/>
  <c r="G223" i="19"/>
  <c r="G73" i="5"/>
  <c r="G28" i="4"/>
  <c r="G42" i="13"/>
  <c r="G136" i="13"/>
  <c r="G93" i="18"/>
  <c r="G30" i="12"/>
  <c r="G50" i="7"/>
  <c r="G84" i="5"/>
  <c r="G331" i="16"/>
  <c r="G58" i="26"/>
  <c r="G184" i="13"/>
  <c r="G178" i="15"/>
  <c r="G67" i="13"/>
  <c r="G127" i="21"/>
  <c r="G81" i="7"/>
  <c r="G168" i="5"/>
  <c r="G25" i="12"/>
  <c r="H60" i="25"/>
  <c r="G79" i="8"/>
  <c r="G52" i="15"/>
  <c r="G235" i="18"/>
  <c r="G47" i="17"/>
  <c r="G46" i="5"/>
  <c r="G114" i="10"/>
  <c r="G278" i="16"/>
  <c r="G118" i="10"/>
  <c r="G119" i="9"/>
  <c r="G156" i="14"/>
  <c r="G7" i="2"/>
  <c r="G26" i="10"/>
  <c r="G34" i="11"/>
  <c r="G29" i="5"/>
  <c r="G8" i="12"/>
  <c r="G111" i="5"/>
  <c r="G4" i="4"/>
  <c r="G33" i="12"/>
  <c r="G147" i="18"/>
  <c r="G100" i="13"/>
  <c r="G69" i="4"/>
  <c r="G33" i="7"/>
  <c r="G134" i="12"/>
  <c r="G70" i="6"/>
  <c r="G186" i="14"/>
  <c r="G172" i="14"/>
  <c r="G99" i="7"/>
  <c r="G197" i="21"/>
  <c r="G153" i="12"/>
  <c r="G190" i="17"/>
  <c r="G26" i="9"/>
  <c r="G79" i="16"/>
  <c r="G273" i="19"/>
  <c r="G82" i="17"/>
  <c r="G65" i="12"/>
  <c r="G168" i="12"/>
  <c r="G177" i="21"/>
  <c r="G13" i="6"/>
  <c r="G46" i="4"/>
  <c r="G32" i="9"/>
  <c r="G6" i="3"/>
  <c r="G148" i="13"/>
  <c r="G245" i="16"/>
  <c r="G160" i="14"/>
  <c r="G210" i="15"/>
  <c r="G115" i="7"/>
  <c r="G57" i="16"/>
  <c r="G9" i="1"/>
  <c r="G57" i="21"/>
  <c r="G18" i="16"/>
  <c r="G83" i="5"/>
  <c r="G27" i="15"/>
  <c r="G62" i="20"/>
  <c r="G227" i="16"/>
  <c r="G70" i="16"/>
  <c r="G69" i="8"/>
  <c r="G14" i="20"/>
  <c r="G42" i="12"/>
  <c r="G97" i="7"/>
  <c r="G112" i="16"/>
  <c r="G2" i="4"/>
  <c r="G110" i="10"/>
  <c r="G153" i="16"/>
  <c r="G123" i="16"/>
  <c r="G144" i="13"/>
  <c r="G231" i="18"/>
  <c r="G82" i="10"/>
  <c r="G20" i="24"/>
  <c r="G36" i="18"/>
  <c r="G125" i="15"/>
  <c r="G271" i="16"/>
  <c r="G151" i="20"/>
  <c r="G161" i="17"/>
  <c r="G145" i="17"/>
  <c r="G13" i="7"/>
  <c r="G119" i="14"/>
  <c r="G105" i="5"/>
  <c r="G109" i="17"/>
  <c r="G125" i="20"/>
  <c r="G294" i="21"/>
  <c r="G84" i="9"/>
  <c r="G72" i="16"/>
  <c r="G89" i="12"/>
  <c r="G5" i="1"/>
  <c r="G25" i="11"/>
  <c r="G5" i="3"/>
  <c r="G69" i="15"/>
  <c r="G323" i="17"/>
  <c r="G52" i="13"/>
  <c r="G112" i="9"/>
  <c r="G78" i="21"/>
  <c r="G44" i="12"/>
  <c r="G23" i="8"/>
  <c r="G12" i="4"/>
  <c r="G111" i="7"/>
  <c r="G8" i="4"/>
  <c r="G76" i="13"/>
  <c r="G17" i="22"/>
  <c r="G8" i="14"/>
  <c r="G193" i="12"/>
  <c r="G314" i="17"/>
  <c r="G31" i="4"/>
  <c r="G3" i="9"/>
  <c r="G307" i="17"/>
  <c r="G13" i="21"/>
  <c r="G104" i="5"/>
  <c r="G80" i="12"/>
  <c r="G75" i="13"/>
  <c r="G111" i="15"/>
  <c r="G72" i="4"/>
  <c r="G80" i="14"/>
  <c r="G14" i="1"/>
  <c r="G172" i="15"/>
  <c r="G100" i="9"/>
  <c r="G192" i="23"/>
  <c r="G3" i="12"/>
  <c r="G52" i="16"/>
  <c r="G170" i="12"/>
  <c r="G87" i="12"/>
  <c r="G67" i="14"/>
  <c r="G156" i="5"/>
  <c r="G311" i="21"/>
  <c r="G29" i="13"/>
  <c r="G25" i="15"/>
  <c r="G101" i="19"/>
  <c r="G207" i="13"/>
  <c r="G138" i="19"/>
  <c r="G28" i="16"/>
  <c r="G92" i="13"/>
  <c r="G303" i="24"/>
  <c r="G68" i="14"/>
  <c r="G108" i="12"/>
  <c r="G91" i="19"/>
  <c r="G196" i="16"/>
  <c r="G127" i="19"/>
  <c r="G309" i="16"/>
  <c r="G111" i="13"/>
  <c r="G20" i="1"/>
  <c r="G244" i="16"/>
  <c r="G30" i="14"/>
  <c r="G130" i="18"/>
  <c r="G234" i="19"/>
  <c r="G92" i="6"/>
  <c r="G65" i="5"/>
  <c r="G255" i="17"/>
  <c r="G74" i="6"/>
  <c r="G46" i="16"/>
  <c r="G41" i="16"/>
  <c r="G170" i="5"/>
  <c r="G115" i="16"/>
  <c r="G26" i="15"/>
  <c r="G168" i="14"/>
  <c r="G131" i="21"/>
  <c r="G24" i="13"/>
  <c r="G15" i="2"/>
  <c r="G81" i="9"/>
  <c r="G179" i="13"/>
  <c r="G223" i="12"/>
  <c r="G190" i="13"/>
  <c r="G71" i="9"/>
  <c r="G22" i="13"/>
  <c r="G129" i="17"/>
  <c r="G14" i="8"/>
  <c r="G196" i="14"/>
  <c r="G188" i="16"/>
  <c r="G155" i="23"/>
  <c r="G288" i="16"/>
  <c r="G191" i="19"/>
  <c r="G88" i="17"/>
  <c r="G212" i="13"/>
  <c r="G245" i="17"/>
  <c r="G100" i="14"/>
  <c r="G195" i="14"/>
  <c r="G238" i="18"/>
  <c r="G93" i="10"/>
  <c r="G208" i="13"/>
  <c r="G162" i="15"/>
  <c r="G224" i="12"/>
  <c r="G193" i="17"/>
  <c r="G82" i="7"/>
  <c r="H105" i="25"/>
  <c r="G227" i="19"/>
  <c r="G355" i="24"/>
  <c r="G169" i="16"/>
  <c r="G336" i="21"/>
  <c r="G118" i="17"/>
  <c r="G112" i="13"/>
  <c r="G96" i="5"/>
  <c r="G99" i="13"/>
  <c r="G208" i="14"/>
  <c r="G309" i="19"/>
  <c r="G132" i="5"/>
  <c r="G126" i="9"/>
  <c r="G2" i="12"/>
  <c r="G164" i="17"/>
  <c r="G39" i="6"/>
  <c r="G188" i="13"/>
  <c r="G349" i="17"/>
  <c r="G117" i="16"/>
  <c r="G53" i="21"/>
  <c r="G122" i="5"/>
  <c r="G104" i="6"/>
  <c r="G49" i="13"/>
  <c r="G48" i="17"/>
  <c r="G162" i="5"/>
  <c r="G236" i="16"/>
  <c r="G108" i="13"/>
  <c r="G91" i="14"/>
  <c r="G80" i="7"/>
  <c r="G140" i="21"/>
  <c r="G112" i="10"/>
  <c r="G11" i="1"/>
  <c r="G145" i="12"/>
  <c r="G13" i="16"/>
  <c r="G95" i="9"/>
  <c r="G57" i="6"/>
  <c r="G33" i="16"/>
  <c r="G124" i="12"/>
  <c r="G22" i="5"/>
  <c r="G88" i="13"/>
  <c r="G9" i="8"/>
  <c r="G64" i="12"/>
  <c r="G21" i="15"/>
  <c r="G195" i="13"/>
  <c r="G12" i="10"/>
  <c r="G28" i="15"/>
  <c r="G33" i="9"/>
  <c r="G195" i="16"/>
  <c r="G108" i="20"/>
  <c r="G78" i="10"/>
  <c r="G219" i="16"/>
  <c r="G107" i="18"/>
  <c r="G113" i="15"/>
  <c r="G43" i="22"/>
  <c r="G80" i="13"/>
  <c r="G49" i="8"/>
  <c r="G146" i="14"/>
  <c r="G26" i="2"/>
  <c r="G74" i="9"/>
  <c r="G41" i="17"/>
  <c r="G86" i="5"/>
  <c r="G134" i="5"/>
  <c r="G295" i="16"/>
  <c r="G210" i="14"/>
  <c r="G143" i="15"/>
  <c r="G4" i="3"/>
  <c r="G80" i="17"/>
  <c r="G215" i="17"/>
  <c r="G241" i="17"/>
  <c r="G98" i="14"/>
  <c r="G89" i="9"/>
  <c r="G231" i="21"/>
  <c r="G84" i="18"/>
  <c r="G69" i="9"/>
  <c r="G99" i="14"/>
  <c r="G34" i="9"/>
  <c r="G74" i="20"/>
  <c r="G78" i="12"/>
  <c r="G84" i="6"/>
  <c r="G182" i="5"/>
  <c r="G82" i="15"/>
  <c r="G20" i="20"/>
  <c r="G3" i="1"/>
  <c r="G39" i="4"/>
  <c r="G203" i="14"/>
  <c r="G10" i="12"/>
  <c r="G33" i="2"/>
  <c r="G35" i="22"/>
  <c r="G100" i="6"/>
  <c r="G124" i="5"/>
  <c r="G62" i="12"/>
  <c r="G196" i="5"/>
  <c r="G58" i="7"/>
  <c r="G76" i="5"/>
  <c r="G36" i="13"/>
  <c r="G105" i="13"/>
  <c r="G152" i="13"/>
  <c r="G185" i="12"/>
  <c r="G319" i="16"/>
  <c r="G277" i="17"/>
  <c r="G158" i="5"/>
  <c r="G92" i="7"/>
  <c r="G10" i="6"/>
  <c r="G67" i="9"/>
  <c r="G32" i="11"/>
  <c r="G17" i="5"/>
  <c r="G6" i="12"/>
  <c r="G59" i="10"/>
  <c r="G77" i="19"/>
  <c r="G32" i="14"/>
  <c r="G151" i="16"/>
  <c r="G61" i="7"/>
  <c r="G52" i="14"/>
  <c r="G90" i="7"/>
  <c r="G56" i="20"/>
  <c r="G7" i="8"/>
  <c r="G100" i="10"/>
  <c r="G34" i="18"/>
  <c r="G102" i="6"/>
  <c r="G27" i="8"/>
  <c r="G35" i="13"/>
  <c r="G29" i="2"/>
  <c r="G93" i="5"/>
  <c r="G63" i="9"/>
  <c r="G204" i="14"/>
  <c r="G117" i="13"/>
  <c r="G20" i="4"/>
  <c r="G81" i="10"/>
  <c r="G130" i="13"/>
  <c r="G215" i="16"/>
  <c r="G43" i="8"/>
  <c r="G161" i="16"/>
  <c r="G73" i="19"/>
  <c r="G185" i="5"/>
  <c r="G11" i="8"/>
  <c r="G106" i="12"/>
  <c r="G10" i="9"/>
  <c r="G78" i="16"/>
  <c r="G102" i="17"/>
  <c r="G276" i="19"/>
  <c r="G77" i="10"/>
  <c r="G57" i="15"/>
  <c r="G27" i="4"/>
  <c r="G113" i="13"/>
  <c r="G243" i="16"/>
  <c r="G183" i="12"/>
  <c r="G196" i="18"/>
  <c r="G107" i="9"/>
  <c r="G40" i="6"/>
  <c r="G5" i="8"/>
  <c r="G36" i="12"/>
  <c r="G28" i="14"/>
  <c r="G301" i="19"/>
  <c r="G103" i="18"/>
  <c r="G168" i="16"/>
  <c r="G181" i="17"/>
  <c r="G64" i="23"/>
  <c r="G155" i="16"/>
  <c r="G48" i="14"/>
  <c r="G219" i="15"/>
  <c r="G55" i="9"/>
  <c r="G73" i="10"/>
  <c r="G18" i="7"/>
  <c r="G201" i="17"/>
  <c r="G51" i="15"/>
  <c r="G46" i="12"/>
  <c r="G104" i="12"/>
  <c r="G43" i="7"/>
  <c r="G2" i="17"/>
  <c r="G115" i="21"/>
  <c r="G76" i="7"/>
  <c r="G52" i="7"/>
  <c r="G100" i="7"/>
  <c r="G97" i="5"/>
  <c r="G338" i="17"/>
  <c r="G117" i="15"/>
  <c r="G261" i="16"/>
  <c r="G186" i="17"/>
  <c r="G4" i="8"/>
  <c r="G94" i="9"/>
  <c r="G38" i="14"/>
  <c r="G135" i="16"/>
  <c r="G33" i="15"/>
  <c r="G92" i="18"/>
  <c r="G36" i="8"/>
  <c r="G129" i="5"/>
  <c r="G26" i="13"/>
  <c r="G88" i="5"/>
  <c r="G47" i="16"/>
  <c r="G43" i="12"/>
  <c r="G52" i="20"/>
  <c r="G66" i="5"/>
  <c r="G13" i="18"/>
  <c r="G4" i="5"/>
  <c r="G211" i="15"/>
  <c r="G114" i="17"/>
  <c r="G91" i="5"/>
  <c r="G17" i="16"/>
  <c r="G89" i="5"/>
  <c r="G119" i="7"/>
  <c r="G25" i="6"/>
  <c r="G204" i="13"/>
  <c r="H173" i="25"/>
  <c r="G57" i="5"/>
  <c r="G255" i="16"/>
  <c r="G187" i="5"/>
  <c r="G63" i="12"/>
  <c r="G132" i="12"/>
  <c r="H84" i="25"/>
  <c r="G139" i="17"/>
  <c r="G38" i="11"/>
  <c r="G171" i="16"/>
  <c r="G166" i="13"/>
  <c r="G139" i="10"/>
  <c r="G28" i="10"/>
  <c r="G114" i="5"/>
  <c r="G29" i="8"/>
  <c r="G318" i="16"/>
  <c r="G22" i="10"/>
  <c r="G54" i="10"/>
  <c r="G120" i="12"/>
  <c r="G78" i="17"/>
  <c r="G124" i="14"/>
  <c r="G27" i="12"/>
  <c r="G149" i="5"/>
  <c r="G25" i="14"/>
  <c r="G116" i="9"/>
  <c r="G16" i="12"/>
  <c r="G2" i="8"/>
  <c r="G73" i="13"/>
  <c r="G125" i="13"/>
  <c r="G82" i="8"/>
  <c r="G44" i="8"/>
  <c r="G16" i="5"/>
  <c r="G221" i="13"/>
  <c r="G238" i="16"/>
  <c r="G137" i="15"/>
  <c r="G11" i="6"/>
  <c r="G17" i="1"/>
  <c r="G106" i="19"/>
  <c r="G32" i="13"/>
  <c r="G145" i="21"/>
  <c r="G89" i="15"/>
  <c r="G70" i="4"/>
  <c r="G93" i="9"/>
  <c r="G191" i="17"/>
  <c r="G307" i="16"/>
  <c r="G43" i="5"/>
  <c r="G383" i="17"/>
  <c r="G234" i="16"/>
  <c r="G85" i="21"/>
  <c r="G158" i="14"/>
  <c r="G258" i="18"/>
  <c r="G310" i="16"/>
  <c r="G151" i="12"/>
  <c r="G313" i="17"/>
  <c r="G296" i="21"/>
  <c r="G122" i="10"/>
  <c r="G130" i="9"/>
  <c r="G146" i="12"/>
  <c r="G77" i="13"/>
  <c r="G153" i="13"/>
  <c r="G219" i="21"/>
  <c r="G22" i="14"/>
  <c r="G95" i="17"/>
  <c r="G31" i="16"/>
  <c r="G62" i="13"/>
  <c r="G235" i="12"/>
  <c r="G27" i="6"/>
  <c r="G19" i="8"/>
  <c r="G30" i="6"/>
  <c r="G23" i="5"/>
  <c r="G59" i="17"/>
  <c r="G71" i="4"/>
  <c r="G305" i="17"/>
  <c r="G149" i="13"/>
  <c r="G180" i="13"/>
  <c r="G73" i="9"/>
  <c r="G192" i="12"/>
  <c r="G300" i="19"/>
  <c r="G120" i="7"/>
  <c r="G225" i="12"/>
  <c r="G50" i="4"/>
  <c r="G204" i="24"/>
  <c r="G165" i="14"/>
  <c r="G66" i="19"/>
  <c r="G275" i="17"/>
  <c r="G114" i="13"/>
  <c r="G27" i="11"/>
  <c r="G31" i="17"/>
  <c r="G188" i="14"/>
  <c r="G11" i="13"/>
  <c r="G177" i="16"/>
  <c r="G94" i="16"/>
  <c r="G162" i="12"/>
  <c r="G144" i="14"/>
  <c r="G52" i="24"/>
  <c r="G200" i="14"/>
  <c r="G171" i="19"/>
  <c r="G33" i="11"/>
  <c r="G34" i="4"/>
  <c r="G66" i="12"/>
  <c r="G49" i="15"/>
  <c r="G233" i="21"/>
  <c r="G42" i="4"/>
  <c r="G269" i="16"/>
  <c r="G33" i="10"/>
  <c r="G66" i="7"/>
  <c r="G90" i="9"/>
  <c r="G31" i="15"/>
  <c r="G25" i="1"/>
  <c r="G85" i="18"/>
  <c r="G131" i="19"/>
  <c r="G293" i="16"/>
  <c r="G223" i="13"/>
  <c r="G180" i="16"/>
  <c r="G108" i="16"/>
  <c r="G79" i="21"/>
  <c r="G110" i="16"/>
  <c r="G72" i="18"/>
  <c r="G3" i="13"/>
  <c r="G83" i="10"/>
  <c r="G106" i="6"/>
  <c r="G80" i="8"/>
  <c r="G107" i="13"/>
  <c r="G149" i="14"/>
  <c r="G103" i="6"/>
  <c r="G55" i="19"/>
  <c r="G9" i="5"/>
  <c r="G187" i="12"/>
  <c r="G18" i="8"/>
  <c r="G92" i="10"/>
  <c r="G195" i="17"/>
  <c r="G179" i="12"/>
  <c r="G39" i="5"/>
  <c r="G117" i="10"/>
  <c r="G71" i="16"/>
  <c r="G140" i="13"/>
  <c r="G94" i="15"/>
  <c r="G30" i="13"/>
  <c r="G71" i="5"/>
  <c r="G37" i="9"/>
  <c r="G93" i="12"/>
  <c r="G65" i="16"/>
  <c r="G12" i="21"/>
  <c r="G28" i="23"/>
  <c r="G53" i="7"/>
  <c r="G164" i="12"/>
  <c r="G104" i="10"/>
  <c r="G45" i="22"/>
  <c r="G190" i="15"/>
  <c r="G157" i="13"/>
  <c r="G111" i="19"/>
  <c r="G71" i="8"/>
  <c r="G84" i="20"/>
  <c r="G24" i="17"/>
  <c r="G142" i="16"/>
  <c r="G102" i="16"/>
  <c r="G167" i="18"/>
  <c r="G25" i="4"/>
  <c r="G18" i="12"/>
  <c r="G130" i="20"/>
  <c r="G56" i="5"/>
  <c r="G76" i="14"/>
  <c r="G156" i="23"/>
  <c r="G93" i="16"/>
  <c r="G62" i="17"/>
  <c r="G103" i="7"/>
  <c r="G183" i="19"/>
  <c r="G265" i="21"/>
  <c r="G341" i="17"/>
  <c r="G88" i="15"/>
  <c r="G142" i="17"/>
  <c r="G123" i="13"/>
  <c r="G160" i="12"/>
  <c r="G39" i="9"/>
  <c r="G197" i="13"/>
  <c r="G202" i="19"/>
  <c r="G59" i="15"/>
  <c r="G342" i="16"/>
  <c r="G85" i="13"/>
  <c r="G113" i="18"/>
  <c r="G70" i="8"/>
  <c r="G226" i="17"/>
  <c r="G123" i="12"/>
  <c r="G308" i="19"/>
  <c r="G49" i="18"/>
  <c r="G41" i="19"/>
  <c r="G47" i="6"/>
  <c r="G186" i="13"/>
  <c r="G180" i="12"/>
  <c r="G13" i="4"/>
  <c r="G354" i="17"/>
  <c r="G141" i="16"/>
  <c r="G104" i="13"/>
  <c r="G133" i="13"/>
  <c r="G181" i="14"/>
  <c r="G155" i="18"/>
  <c r="G46" i="15"/>
  <c r="G148" i="19"/>
  <c r="G75" i="14"/>
  <c r="G167" i="13"/>
  <c r="G21" i="7"/>
  <c r="G59" i="4"/>
  <c r="G125" i="12"/>
  <c r="G89" i="17"/>
  <c r="G116" i="7"/>
  <c r="G274" i="21"/>
  <c r="G92" i="8"/>
  <c r="G136" i="5"/>
  <c r="G351" i="16"/>
  <c r="G127" i="5"/>
  <c r="G56" i="6"/>
  <c r="G24" i="7"/>
  <c r="G118" i="7"/>
  <c r="G299" i="24"/>
  <c r="G23" i="6"/>
  <c r="G326" i="16"/>
  <c r="G138" i="18"/>
  <c r="G7" i="15"/>
  <c r="G57" i="10"/>
  <c r="G48" i="7"/>
  <c r="G9" i="6"/>
  <c r="G132" i="15"/>
  <c r="G119" i="12"/>
  <c r="G159" i="17"/>
  <c r="G157" i="23"/>
  <c r="G25" i="22"/>
  <c r="G180" i="21"/>
  <c r="G45" i="4"/>
  <c r="G67" i="16"/>
  <c r="G268" i="16"/>
  <c r="G37" i="18"/>
  <c r="G111" i="14"/>
  <c r="G8" i="18"/>
  <c r="G344" i="21"/>
  <c r="G218" i="13"/>
  <c r="G166" i="19"/>
  <c r="G79" i="17"/>
  <c r="G39" i="7"/>
  <c r="G4" i="11"/>
  <c r="G50" i="9"/>
  <c r="G74" i="14"/>
  <c r="G30" i="7"/>
  <c r="G189" i="14"/>
  <c r="G105" i="6"/>
  <c r="G224" i="14"/>
  <c r="G113" i="10"/>
  <c r="G14" i="21"/>
  <c r="G181" i="16"/>
  <c r="G30" i="10"/>
  <c r="G62" i="10"/>
  <c r="G12" i="7"/>
  <c r="G98" i="7"/>
  <c r="G172" i="5"/>
  <c r="G35" i="20"/>
  <c r="G296" i="16"/>
  <c r="G76" i="22"/>
  <c r="G164" i="23"/>
  <c r="G85" i="12"/>
  <c r="G69" i="12"/>
  <c r="G215" i="12"/>
  <c r="G216" i="13"/>
  <c r="G21" i="1"/>
  <c r="G35" i="14"/>
  <c r="G91" i="12"/>
  <c r="G83" i="17"/>
  <c r="G379" i="17"/>
  <c r="G134" i="14"/>
  <c r="G167" i="14"/>
  <c r="G115" i="13"/>
  <c r="G22" i="2"/>
  <c r="G232" i="23"/>
  <c r="G8" i="1"/>
  <c r="G109" i="12"/>
  <c r="G109" i="21"/>
  <c r="G157" i="20"/>
  <c r="G216" i="17"/>
  <c r="G22" i="4"/>
  <c r="G8" i="8"/>
  <c r="G63" i="18"/>
  <c r="G45" i="15"/>
  <c r="G62" i="14"/>
  <c r="G157" i="14"/>
  <c r="G45" i="8"/>
  <c r="G208" i="16"/>
  <c r="G217" i="14"/>
  <c r="G49" i="16"/>
  <c r="G113" i="16"/>
  <c r="G69" i="17"/>
  <c r="G195" i="19"/>
  <c r="G133" i="20"/>
  <c r="G210" i="19"/>
  <c r="G125" i="14"/>
  <c r="G299" i="21"/>
  <c r="G26" i="4"/>
  <c r="G170" i="14"/>
  <c r="G62" i="9"/>
  <c r="G11" i="11"/>
  <c r="G2" i="6"/>
  <c r="G4" i="6"/>
  <c r="G133" i="15"/>
  <c r="G60" i="17"/>
  <c r="G340" i="17"/>
  <c r="G58" i="17"/>
  <c r="G15" i="13"/>
  <c r="G129" i="15"/>
  <c r="G227" i="18"/>
  <c r="G107" i="21"/>
  <c r="G92" i="14"/>
  <c r="G5" i="16"/>
  <c r="G249" i="19"/>
  <c r="G155" i="5"/>
  <c r="G43" i="13"/>
  <c r="G17" i="12"/>
  <c r="G93" i="8"/>
  <c r="G107" i="6"/>
  <c r="G88" i="12"/>
  <c r="G330" i="17"/>
  <c r="G2" i="15"/>
  <c r="G304" i="17"/>
  <c r="G79" i="7"/>
  <c r="G51" i="14"/>
  <c r="G87" i="16"/>
  <c r="G38" i="9"/>
  <c r="G6" i="5"/>
  <c r="G348" i="17"/>
  <c r="G97" i="9"/>
  <c r="G356" i="21"/>
  <c r="G172" i="18"/>
  <c r="G66" i="8"/>
  <c r="G80" i="23"/>
  <c r="G108" i="7"/>
  <c r="G74" i="16"/>
  <c r="G204" i="20"/>
  <c r="G205" i="14"/>
  <c r="G68" i="17"/>
  <c r="G153" i="17"/>
  <c r="G308" i="17"/>
  <c r="G36" i="5"/>
  <c r="H37" i="25"/>
  <c r="G70" i="14"/>
  <c r="G185" i="18"/>
  <c r="G49" i="9"/>
  <c r="G186" i="12"/>
  <c r="G2" i="10"/>
  <c r="G105" i="10"/>
  <c r="G109" i="15"/>
  <c r="G35" i="5"/>
  <c r="G47" i="7"/>
  <c r="G5" i="24"/>
  <c r="G104" i="9"/>
  <c r="G83" i="9"/>
  <c r="G30" i="2"/>
  <c r="G112" i="5"/>
  <c r="G15" i="9"/>
  <c r="G40" i="8"/>
  <c r="G38" i="7"/>
  <c r="G158" i="12"/>
  <c r="G236" i="17"/>
  <c r="G65" i="9"/>
  <c r="G107" i="16"/>
  <c r="G176" i="23"/>
  <c r="G81" i="5"/>
  <c r="G6" i="9"/>
  <c r="G15" i="14"/>
  <c r="G9" i="19"/>
  <c r="G153" i="19"/>
  <c r="G120" i="20"/>
  <c r="G304" i="19"/>
  <c r="G58" i="18"/>
  <c r="G38" i="8"/>
  <c r="G5" i="7"/>
  <c r="G224" i="17"/>
  <c r="G100" i="17"/>
  <c r="G4" i="2"/>
  <c r="G11" i="7"/>
  <c r="G217" i="18"/>
  <c r="G151" i="15"/>
  <c r="G151" i="19"/>
  <c r="G43" i="6"/>
  <c r="G50" i="6"/>
  <c r="G308" i="16"/>
  <c r="G11" i="5"/>
  <c r="G140" i="16"/>
  <c r="G115" i="19"/>
  <c r="G53" i="8"/>
  <c r="G149" i="15"/>
  <c r="G233" i="16"/>
  <c r="G191" i="12"/>
  <c r="G4" i="18"/>
  <c r="G178" i="14"/>
  <c r="G64" i="9"/>
  <c r="G359" i="16"/>
  <c r="G5" i="12"/>
  <c r="G85" i="5"/>
  <c r="G9" i="18"/>
  <c r="G133" i="16"/>
  <c r="G74" i="10"/>
  <c r="G13" i="11"/>
  <c r="G94" i="13"/>
  <c r="G19" i="10"/>
  <c r="G184" i="16"/>
  <c r="G268" i="21"/>
  <c r="G131" i="16"/>
  <c r="G147" i="14"/>
  <c r="G258" i="17"/>
  <c r="G35" i="16"/>
  <c r="G45" i="6"/>
  <c r="G287" i="17"/>
  <c r="G10" i="7"/>
  <c r="G101" i="6"/>
  <c r="G135" i="10"/>
  <c r="G52" i="6"/>
  <c r="G105" i="9"/>
  <c r="G12" i="6"/>
  <c r="G60" i="6"/>
  <c r="G189" i="13"/>
  <c r="G20" i="16"/>
  <c r="G178" i="19"/>
  <c r="G214" i="17"/>
  <c r="G305" i="19"/>
  <c r="G131" i="17"/>
  <c r="G82" i="9"/>
  <c r="G188" i="5"/>
  <c r="G89" i="19"/>
  <c r="G130" i="17"/>
  <c r="G4" i="16"/>
  <c r="G10" i="2"/>
  <c r="G109" i="5"/>
  <c r="G74" i="12"/>
  <c r="G40" i="17"/>
  <c r="G122" i="9"/>
  <c r="G178" i="18"/>
  <c r="G185" i="16"/>
  <c r="G12" i="1"/>
  <c r="G59" i="12"/>
  <c r="G72" i="9"/>
  <c r="G265" i="17"/>
  <c r="G283" i="17"/>
  <c r="G4" i="9"/>
  <c r="G212" i="21"/>
  <c r="G104" i="16"/>
  <c r="G218" i="17"/>
  <c r="G31" i="8"/>
  <c r="G251" i="21"/>
  <c r="G58" i="8"/>
  <c r="G319" i="17"/>
  <c r="G5" i="17"/>
  <c r="G30" i="5"/>
  <c r="G174" i="23"/>
  <c r="G134" i="13"/>
  <c r="G63" i="4"/>
  <c r="G187" i="16"/>
  <c r="G60" i="9"/>
  <c r="G23" i="13"/>
  <c r="G22" i="16"/>
  <c r="G130" i="15"/>
  <c r="G204" i="18"/>
  <c r="G99" i="6"/>
  <c r="G126" i="12"/>
  <c r="G18" i="17"/>
  <c r="G224" i="16"/>
  <c r="G294" i="16"/>
  <c r="G351" i="17"/>
  <c r="G291" i="24"/>
  <c r="G8" i="17"/>
  <c r="G90" i="24"/>
  <c r="G310" i="21"/>
  <c r="G352" i="16"/>
  <c r="G165" i="5"/>
  <c r="G85" i="16"/>
  <c r="G15" i="1"/>
  <c r="G145" i="14"/>
  <c r="G20" i="11"/>
  <c r="G131" i="12"/>
  <c r="G115" i="14"/>
  <c r="G83" i="13"/>
  <c r="G277" i="16"/>
  <c r="G377" i="17"/>
  <c r="G35" i="6"/>
  <c r="G156" i="19"/>
  <c r="G165" i="13"/>
  <c r="G72" i="19"/>
  <c r="G8" i="10"/>
  <c r="G170" i="19"/>
  <c r="G10" i="24"/>
  <c r="G192" i="18"/>
  <c r="G155" i="14"/>
  <c r="G76" i="19"/>
  <c r="G131" i="10"/>
  <c r="G128" i="21"/>
  <c r="G174" i="17"/>
  <c r="G72" i="13"/>
  <c r="G115" i="15"/>
  <c r="G214" i="13"/>
  <c r="G41" i="20"/>
  <c r="G195" i="18"/>
  <c r="G154" i="13"/>
  <c r="G199" i="20"/>
  <c r="G21" i="10"/>
  <c r="G107" i="20"/>
  <c r="G187" i="14"/>
  <c r="G186" i="5"/>
  <c r="G48" i="6"/>
  <c r="G33" i="17"/>
  <c r="G61" i="19"/>
  <c r="G29" i="4"/>
  <c r="G19" i="19"/>
  <c r="G19" i="1"/>
  <c r="G292" i="16"/>
  <c r="G199" i="18"/>
  <c r="G79" i="13"/>
  <c r="G148" i="15"/>
  <c r="G34" i="12"/>
  <c r="G364" i="17"/>
  <c r="G15" i="6"/>
  <c r="G204" i="15"/>
  <c r="G269" i="17"/>
  <c r="G65" i="7"/>
  <c r="G276" i="16"/>
  <c r="G146" i="16"/>
  <c r="G67" i="19"/>
  <c r="G65" i="4"/>
  <c r="G135" i="14"/>
  <c r="G335" i="16"/>
  <c r="G74" i="13"/>
  <c r="G102" i="13"/>
  <c r="G45" i="13"/>
  <c r="G317" i="16"/>
  <c r="G88" i="10"/>
  <c r="G54" i="20"/>
  <c r="G108" i="24"/>
  <c r="G206" i="12"/>
  <c r="G160" i="5"/>
  <c r="G85" i="9"/>
  <c r="G127" i="9"/>
  <c r="G91" i="17"/>
  <c r="G183" i="15"/>
  <c r="G91" i="7"/>
  <c r="G157" i="17"/>
  <c r="G19" i="14"/>
  <c r="G77" i="7"/>
  <c r="G211" i="21"/>
  <c r="G16" i="4"/>
  <c r="G152" i="19"/>
  <c r="G73" i="24"/>
  <c r="G56" i="17"/>
  <c r="G180" i="15"/>
  <c r="G201" i="24"/>
  <c r="G58" i="19"/>
  <c r="G158" i="19"/>
  <c r="G15" i="16"/>
  <c r="G65" i="15"/>
  <c r="G199" i="15"/>
  <c r="G388" i="21"/>
  <c r="G375" i="21"/>
  <c r="G77" i="21"/>
  <c r="G198" i="17"/>
  <c r="G161" i="15"/>
  <c r="G143" i="17"/>
  <c r="G154" i="23"/>
  <c r="G24" i="8"/>
  <c r="G18" i="22"/>
  <c r="G58" i="13"/>
  <c r="G152" i="14"/>
  <c r="G119" i="5"/>
  <c r="G2" i="16"/>
  <c r="G38" i="16"/>
  <c r="G323" i="24"/>
  <c r="G2" i="18"/>
  <c r="G351" i="21"/>
  <c r="G42" i="26"/>
  <c r="G167" i="12"/>
  <c r="G171" i="5"/>
  <c r="G189" i="16"/>
  <c r="G191" i="15"/>
  <c r="H109" i="25"/>
  <c r="G232" i="21"/>
  <c r="G51" i="16"/>
  <c r="G80" i="15"/>
  <c r="G188" i="23"/>
  <c r="G75" i="10"/>
  <c r="G196" i="17"/>
  <c r="G17" i="18"/>
  <c r="G261" i="24"/>
  <c r="G61" i="18"/>
  <c r="G16" i="1"/>
  <c r="H53" i="25"/>
  <c r="G202" i="21"/>
  <c r="G135" i="23"/>
  <c r="G49" i="17"/>
  <c r="G48" i="13"/>
  <c r="G27" i="9"/>
  <c r="G117" i="19"/>
  <c r="G132" i="14"/>
  <c r="G341" i="16"/>
  <c r="G203" i="19"/>
  <c r="G4" i="23"/>
  <c r="G95" i="13"/>
  <c r="G90" i="14"/>
  <c r="G281" i="16"/>
  <c r="G146" i="18"/>
  <c r="G44" i="18"/>
  <c r="G26" i="14"/>
  <c r="G37" i="7"/>
  <c r="G100" i="15"/>
  <c r="G267" i="16"/>
  <c r="G169" i="14"/>
  <c r="G156" i="16"/>
  <c r="G168" i="17"/>
  <c r="G47" i="12"/>
  <c r="G173" i="20"/>
  <c r="G10" i="26"/>
  <c r="G115" i="17"/>
  <c r="G168" i="19"/>
  <c r="G121" i="19"/>
  <c r="G13" i="1"/>
  <c r="G202" i="16"/>
  <c r="G160" i="21"/>
  <c r="G166" i="12"/>
  <c r="G299" i="19"/>
  <c r="G10" i="14"/>
  <c r="G241" i="21"/>
  <c r="G20" i="22"/>
  <c r="G35" i="17"/>
  <c r="G301" i="21"/>
  <c r="G110" i="5"/>
  <c r="G79" i="15"/>
  <c r="G39" i="17"/>
  <c r="G198" i="15"/>
  <c r="G188" i="15"/>
  <c r="G225" i="21"/>
  <c r="G54" i="19"/>
  <c r="G27" i="16"/>
  <c r="G139" i="16"/>
  <c r="G174" i="16"/>
  <c r="G332" i="21"/>
  <c r="G67" i="4"/>
  <c r="G221" i="15"/>
  <c r="G3" i="8"/>
  <c r="G68" i="4"/>
  <c r="G2" i="7"/>
  <c r="G136" i="21"/>
  <c r="G171" i="12"/>
  <c r="G4" i="12"/>
  <c r="G164" i="14"/>
  <c r="G68" i="13"/>
  <c r="G28" i="7"/>
  <c r="G142" i="20"/>
  <c r="G8" i="15"/>
  <c r="G115" i="20"/>
  <c r="G161" i="5"/>
  <c r="G176" i="19"/>
  <c r="G350" i="16"/>
  <c r="G94" i="14"/>
  <c r="G92" i="12"/>
  <c r="G86" i="10"/>
  <c r="G59" i="6"/>
  <c r="G121" i="9"/>
  <c r="G256" i="18"/>
  <c r="G19" i="11"/>
  <c r="G14" i="12"/>
  <c r="G89" i="14"/>
  <c r="G24" i="2"/>
  <c r="G91" i="16"/>
  <c r="G201" i="13"/>
  <c r="G12" i="12"/>
  <c r="G31" i="18"/>
  <c r="G217" i="12"/>
  <c r="G147" i="15"/>
  <c r="G52" i="8"/>
  <c r="G130" i="21"/>
  <c r="G24" i="9"/>
  <c r="G124" i="13"/>
  <c r="G120" i="5"/>
  <c r="G97" i="22"/>
  <c r="G177" i="15"/>
  <c r="G23" i="12"/>
  <c r="G61" i="14"/>
  <c r="G213" i="19"/>
  <c r="G86" i="16"/>
  <c r="G19" i="18"/>
  <c r="G202" i="18"/>
  <c r="G123" i="14"/>
  <c r="G38" i="18"/>
  <c r="G282" i="17"/>
  <c r="G109" i="24"/>
  <c r="G82" i="12"/>
  <c r="G76" i="9"/>
  <c r="G40" i="4"/>
  <c r="G183" i="13"/>
  <c r="G144" i="23"/>
  <c r="G226" i="18"/>
  <c r="G211" i="18"/>
  <c r="G76" i="8"/>
  <c r="G150" i="18"/>
  <c r="G216" i="12"/>
  <c r="G139" i="15"/>
  <c r="G24" i="12"/>
  <c r="G32" i="2"/>
  <c r="G19" i="20"/>
  <c r="G95" i="6"/>
  <c r="G17" i="6"/>
  <c r="G21" i="6"/>
  <c r="G231" i="12"/>
  <c r="G161" i="14"/>
  <c r="G20" i="19"/>
  <c r="G65" i="21"/>
  <c r="G193" i="15"/>
  <c r="G110" i="17"/>
  <c r="G194" i="18"/>
  <c r="G198" i="13"/>
  <c r="G128" i="20"/>
  <c r="G8" i="11"/>
  <c r="G102" i="5"/>
  <c r="G286" i="19"/>
  <c r="G71" i="18"/>
  <c r="G167" i="20"/>
  <c r="G237" i="19"/>
  <c r="G289" i="24"/>
  <c r="G34" i="20"/>
  <c r="G33" i="14"/>
  <c r="G29" i="15"/>
  <c r="G15" i="26"/>
  <c r="G15" i="19"/>
  <c r="G141" i="12"/>
  <c r="G194" i="21"/>
  <c r="G135" i="18"/>
  <c r="G6" i="20"/>
  <c r="G117" i="18"/>
  <c r="G275" i="16"/>
  <c r="G67" i="12"/>
  <c r="G27" i="7"/>
  <c r="G182" i="17"/>
  <c r="G147" i="12"/>
  <c r="G87" i="17"/>
  <c r="G370" i="17"/>
  <c r="G39" i="15"/>
  <c r="G37" i="10"/>
  <c r="G72" i="5"/>
  <c r="G50" i="17"/>
  <c r="G9" i="9"/>
  <c r="G82" i="24"/>
  <c r="G51" i="22"/>
  <c r="G158" i="15"/>
  <c r="G177" i="5"/>
  <c r="G190" i="5"/>
  <c r="G61" i="16"/>
  <c r="G143" i="12"/>
  <c r="G110" i="12"/>
  <c r="H31" i="25"/>
  <c r="G207" i="15"/>
  <c r="G76" i="18"/>
  <c r="G81" i="13"/>
  <c r="G16" i="8"/>
  <c r="G114" i="20"/>
  <c r="G140" i="17"/>
  <c r="G70" i="10"/>
  <c r="G286" i="17"/>
  <c r="G23" i="22"/>
  <c r="G50" i="12"/>
  <c r="G178" i="5"/>
  <c r="G84" i="12"/>
  <c r="G60" i="24"/>
  <c r="G182" i="20"/>
  <c r="G194" i="19"/>
  <c r="G44" i="23"/>
  <c r="G18" i="21"/>
  <c r="G159" i="20"/>
  <c r="G316" i="24"/>
  <c r="G10" i="22"/>
  <c r="G140" i="24"/>
  <c r="G361" i="24"/>
  <c r="G359" i="21"/>
  <c r="G14" i="23"/>
  <c r="G50" i="8"/>
  <c r="G58" i="6"/>
  <c r="G20" i="10"/>
  <c r="G68" i="12"/>
  <c r="G185" i="13"/>
  <c r="G35" i="10"/>
  <c r="G73" i="6"/>
  <c r="G227" i="12"/>
  <c r="G9" i="10"/>
  <c r="G95" i="15"/>
  <c r="G146" i="20"/>
  <c r="G34" i="15"/>
  <c r="G321" i="17"/>
  <c r="G19" i="17"/>
  <c r="G246" i="21"/>
  <c r="G147" i="19"/>
  <c r="G72" i="20"/>
  <c r="G65" i="24"/>
  <c r="G325" i="16"/>
  <c r="G23" i="9"/>
  <c r="G154" i="16"/>
  <c r="G143" i="13"/>
  <c r="G138" i="15"/>
  <c r="G109" i="19"/>
  <c r="G113" i="17"/>
  <c r="G148" i="18"/>
  <c r="G6" i="2"/>
  <c r="G211" i="16"/>
  <c r="G24" i="1"/>
  <c r="G25" i="5"/>
  <c r="G121" i="12"/>
  <c r="G39" i="16"/>
  <c r="G90" i="15"/>
  <c r="G289" i="16"/>
  <c r="G4" i="14"/>
  <c r="G150" i="17"/>
  <c r="G54" i="5"/>
  <c r="G31" i="6"/>
  <c r="G78" i="13"/>
  <c r="G53" i="13"/>
  <c r="G177" i="18"/>
  <c r="G36" i="15"/>
  <c r="G204" i="12"/>
  <c r="G217" i="23"/>
  <c r="G22" i="17"/>
  <c r="G256" i="16"/>
  <c r="G153" i="14"/>
  <c r="G145" i="16"/>
  <c r="G169" i="17"/>
  <c r="G38" i="10"/>
  <c r="G194" i="23"/>
  <c r="G297" i="16"/>
  <c r="G13" i="12"/>
  <c r="G133" i="12"/>
  <c r="G18" i="20"/>
  <c r="G64" i="7"/>
  <c r="G225" i="17"/>
  <c r="G133" i="17"/>
  <c r="G5" i="6"/>
  <c r="G99" i="12"/>
  <c r="G171" i="13"/>
  <c r="G270" i="19"/>
  <c r="G3" i="19"/>
  <c r="G10" i="15"/>
  <c r="G346" i="16"/>
  <c r="G209" i="19"/>
  <c r="G76" i="20"/>
  <c r="G252" i="18"/>
  <c r="G149" i="18"/>
  <c r="G14" i="14"/>
  <c r="G128" i="16"/>
  <c r="G80" i="20"/>
  <c r="G203" i="18"/>
  <c r="G52" i="21"/>
  <c r="G272" i="24"/>
  <c r="G7" i="12"/>
  <c r="G44" i="5"/>
  <c r="G221" i="17"/>
  <c r="G221" i="24"/>
  <c r="G298" i="24"/>
  <c r="G226" i="16"/>
  <c r="G73" i="15"/>
  <c r="G83" i="7"/>
  <c r="G14" i="15"/>
  <c r="G24" i="6"/>
  <c r="G53" i="16"/>
  <c r="G159" i="19"/>
  <c r="G106" i="10"/>
  <c r="G116" i="26"/>
  <c r="G187" i="18"/>
  <c r="G221" i="16"/>
  <c r="G170" i="13"/>
  <c r="G65" i="13"/>
  <c r="G299" i="16"/>
  <c r="G76" i="16"/>
  <c r="G50" i="18"/>
  <c r="G243" i="17"/>
  <c r="G49" i="4"/>
  <c r="G169" i="12"/>
  <c r="G222" i="15"/>
  <c r="G10" i="1"/>
  <c r="G114" i="16"/>
  <c r="G81" i="19"/>
  <c r="G28" i="12"/>
  <c r="G345" i="17"/>
  <c r="G270" i="16"/>
  <c r="G182" i="16"/>
  <c r="G132" i="16"/>
  <c r="G64" i="17"/>
  <c r="G73" i="22"/>
  <c r="G220" i="16"/>
  <c r="G285" i="21"/>
  <c r="G288" i="21"/>
  <c r="G3" i="23"/>
  <c r="G32" i="24"/>
  <c r="G118" i="18"/>
  <c r="G109" i="22"/>
  <c r="H22" i="25"/>
  <c r="G59" i="24"/>
  <c r="G328" i="17"/>
  <c r="G97" i="6"/>
  <c r="G6" i="13"/>
  <c r="G30" i="22"/>
  <c r="G237" i="24"/>
  <c r="G98" i="24"/>
  <c r="G242" i="17"/>
  <c r="G41" i="5"/>
  <c r="G15" i="7"/>
  <c r="G14" i="9"/>
  <c r="G98" i="6"/>
  <c r="G21" i="24"/>
  <c r="G246" i="18"/>
  <c r="G9" i="14"/>
  <c r="G40" i="23"/>
  <c r="G165" i="23"/>
  <c r="G122" i="12"/>
  <c r="G37" i="15"/>
  <c r="G3" i="20"/>
  <c r="G71" i="7"/>
  <c r="G203" i="15"/>
  <c r="G43" i="16"/>
  <c r="G29" i="17"/>
  <c r="G126" i="18"/>
  <c r="G40" i="15"/>
  <c r="G42" i="9"/>
  <c r="G49" i="7"/>
  <c r="G146" i="13"/>
  <c r="G133" i="10"/>
  <c r="G116" i="20"/>
  <c r="G99" i="24"/>
  <c r="G36" i="21"/>
  <c r="G44" i="16"/>
  <c r="G11" i="2"/>
  <c r="G93" i="19"/>
  <c r="G15" i="4"/>
  <c r="G46" i="8"/>
  <c r="G32" i="7"/>
  <c r="G13" i="9"/>
  <c r="G173" i="5"/>
  <c r="G100" i="20"/>
  <c r="G29" i="22"/>
  <c r="G206" i="16"/>
  <c r="G57" i="14"/>
  <c r="G106" i="14"/>
  <c r="G225" i="13"/>
  <c r="G95" i="18"/>
  <c r="G4" i="10"/>
  <c r="G22" i="8"/>
  <c r="G163" i="15"/>
  <c r="G31" i="24"/>
  <c r="G114" i="19"/>
  <c r="G225" i="19"/>
  <c r="G47" i="14"/>
  <c r="G13" i="10"/>
  <c r="G331" i="17"/>
  <c r="G10" i="13"/>
  <c r="G89" i="13"/>
  <c r="G203" i="12"/>
  <c r="G25" i="13"/>
  <c r="G125" i="17"/>
  <c r="G289" i="17"/>
  <c r="G211" i="17"/>
  <c r="G168" i="20"/>
  <c r="G46" i="10"/>
  <c r="H107" i="25"/>
  <c r="G237" i="16"/>
  <c r="G13" i="5"/>
  <c r="G273" i="17"/>
  <c r="G229" i="16"/>
  <c r="G77" i="12"/>
  <c r="G16" i="17"/>
  <c r="G189" i="17"/>
  <c r="G218" i="21"/>
  <c r="G36" i="17"/>
  <c r="G24" i="5"/>
  <c r="G17" i="9"/>
  <c r="G75" i="19"/>
  <c r="G42" i="22"/>
  <c r="G38" i="22"/>
  <c r="G49" i="22"/>
  <c r="G92" i="19"/>
  <c r="G197" i="17"/>
  <c r="G19" i="26"/>
  <c r="G191" i="21"/>
  <c r="G62" i="19"/>
  <c r="G79" i="14"/>
  <c r="G218" i="24"/>
  <c r="G65" i="19"/>
  <c r="G12" i="9"/>
  <c r="G9" i="11"/>
  <c r="G39" i="14"/>
  <c r="G306" i="16"/>
  <c r="G5" i="10"/>
  <c r="G33" i="19"/>
  <c r="G59" i="23"/>
  <c r="G70" i="12"/>
  <c r="G117" i="7"/>
  <c r="G135" i="17"/>
  <c r="G7" i="9"/>
  <c r="G244" i="18"/>
  <c r="G219" i="18"/>
  <c r="G159" i="15"/>
  <c r="G151" i="17"/>
  <c r="G71" i="10"/>
  <c r="G137" i="13"/>
  <c r="G76" i="15"/>
  <c r="G337" i="16"/>
  <c r="G64" i="16"/>
  <c r="G200" i="19"/>
  <c r="G23" i="10"/>
  <c r="G68" i="19"/>
  <c r="G8" i="22"/>
  <c r="G6" i="21"/>
  <c r="G353" i="16"/>
  <c r="G152" i="17"/>
  <c r="G69" i="23"/>
  <c r="G36" i="20"/>
  <c r="G26" i="16"/>
  <c r="G246" i="19"/>
  <c r="G216" i="21"/>
  <c r="G228" i="23"/>
  <c r="G8" i="5"/>
  <c r="G213" i="21"/>
  <c r="G29" i="16"/>
  <c r="G4" i="21"/>
  <c r="G154" i="21"/>
  <c r="G49" i="5"/>
  <c r="G10" i="20"/>
  <c r="G46" i="14"/>
  <c r="G17" i="21"/>
  <c r="G77" i="5"/>
  <c r="G72" i="17"/>
  <c r="G86" i="12"/>
  <c r="G8" i="9"/>
  <c r="G220" i="18"/>
  <c r="G180" i="18"/>
  <c r="G81" i="8"/>
  <c r="G159" i="12"/>
  <c r="G240" i="24"/>
  <c r="G300" i="17"/>
  <c r="G47" i="19"/>
  <c r="G19" i="6"/>
  <c r="G88" i="18"/>
  <c r="G11" i="14"/>
  <c r="G21" i="8"/>
  <c r="G254" i="19"/>
  <c r="G192" i="20"/>
  <c r="G122" i="13"/>
  <c r="G253" i="19"/>
  <c r="G218" i="18"/>
  <c r="G360" i="21"/>
  <c r="G217" i="19"/>
  <c r="G29" i="10"/>
  <c r="G119" i="20"/>
  <c r="G95" i="21"/>
  <c r="G157" i="5"/>
  <c r="G181" i="13"/>
  <c r="G163" i="14"/>
  <c r="G124" i="20"/>
  <c r="G200" i="16"/>
  <c r="G32" i="17"/>
  <c r="G163" i="12"/>
  <c r="G71" i="15"/>
  <c r="G51" i="18"/>
  <c r="G282" i="21"/>
  <c r="G101" i="17"/>
  <c r="G223" i="14"/>
  <c r="G204" i="16"/>
  <c r="G347" i="17"/>
  <c r="G58" i="21"/>
  <c r="G49" i="10"/>
  <c r="G58" i="23"/>
  <c r="G348" i="24"/>
  <c r="G4" i="20"/>
  <c r="G189" i="19"/>
  <c r="G57" i="7"/>
  <c r="G116" i="16"/>
  <c r="G78" i="23"/>
  <c r="G184" i="18"/>
  <c r="G2" i="20"/>
  <c r="G320" i="19"/>
  <c r="G7" i="13"/>
  <c r="G72" i="26"/>
  <c r="G72" i="15"/>
  <c r="G141" i="21"/>
  <c r="G55" i="23"/>
  <c r="G222" i="18"/>
  <c r="G166" i="23"/>
  <c r="G232" i="19"/>
  <c r="G90" i="19"/>
  <c r="G289" i="21"/>
  <c r="G68" i="16"/>
  <c r="G208" i="17"/>
  <c r="G141" i="14"/>
  <c r="G151" i="14"/>
  <c r="G260" i="17"/>
  <c r="G36" i="24"/>
  <c r="G173" i="14"/>
  <c r="H30" i="25"/>
  <c r="G326" i="21"/>
  <c r="G172" i="16"/>
  <c r="G399" i="21"/>
  <c r="G71" i="13"/>
  <c r="G99" i="19"/>
  <c r="G89" i="7"/>
  <c r="G106" i="18"/>
  <c r="G259" i="16"/>
  <c r="G165" i="17"/>
  <c r="G52" i="18"/>
  <c r="G31" i="12"/>
  <c r="G38" i="19"/>
  <c r="G349" i="21"/>
  <c r="G27" i="24"/>
  <c r="G306" i="24"/>
  <c r="G98" i="17"/>
  <c r="G63" i="19"/>
  <c r="G31" i="14"/>
  <c r="G220" i="15"/>
  <c r="G44" i="21"/>
  <c r="G23" i="20"/>
  <c r="G163" i="24"/>
  <c r="G135" i="12"/>
  <c r="G318" i="17"/>
  <c r="G89" i="18"/>
  <c r="G94" i="20"/>
  <c r="G26" i="26"/>
  <c r="G18" i="10"/>
  <c r="G260" i="21"/>
  <c r="G283" i="19"/>
  <c r="G37" i="19"/>
  <c r="G5" i="18"/>
  <c r="G127" i="23"/>
  <c r="G41" i="18"/>
  <c r="G17" i="8"/>
  <c r="G162" i="20"/>
  <c r="G199" i="14"/>
  <c r="G112" i="17"/>
  <c r="G15" i="5"/>
  <c r="G231" i="23"/>
  <c r="G11" i="17"/>
  <c r="G82" i="21"/>
  <c r="G28" i="19"/>
  <c r="G36" i="16"/>
  <c r="G14" i="17"/>
  <c r="G48" i="4"/>
  <c r="G306" i="19"/>
  <c r="G95" i="12"/>
  <c r="G103" i="19"/>
  <c r="G192" i="14"/>
  <c r="G47" i="20"/>
  <c r="G77" i="14"/>
  <c r="G9" i="21"/>
  <c r="G330" i="16"/>
  <c r="G43" i="19"/>
  <c r="G118" i="23"/>
  <c r="G121" i="16"/>
  <c r="G183" i="23"/>
  <c r="G186" i="18"/>
  <c r="G154" i="17"/>
  <c r="G55" i="14"/>
  <c r="G326" i="17"/>
  <c r="G35" i="4"/>
  <c r="G22" i="22"/>
  <c r="G97" i="16"/>
  <c r="G82" i="13"/>
  <c r="G134" i="18"/>
  <c r="G258" i="24"/>
  <c r="G286" i="21"/>
  <c r="G103" i="14"/>
  <c r="G263" i="24"/>
  <c r="G227" i="17"/>
  <c r="G53" i="22"/>
  <c r="G10" i="11"/>
  <c r="G382" i="17"/>
  <c r="G137" i="19"/>
  <c r="G24" i="22"/>
  <c r="G3" i="18"/>
  <c r="G318" i="21"/>
  <c r="G273" i="21"/>
  <c r="G395" i="21"/>
  <c r="G80" i="10"/>
  <c r="G203" i="20"/>
  <c r="G56" i="18"/>
  <c r="G100" i="5"/>
  <c r="G122" i="18"/>
  <c r="G49" i="14"/>
  <c r="G230" i="12"/>
  <c r="G136" i="16"/>
  <c r="G85" i="17"/>
  <c r="G118" i="12"/>
  <c r="G102" i="23"/>
  <c r="G255" i="23"/>
  <c r="G100" i="16"/>
  <c r="G207" i="16"/>
  <c r="G45" i="21"/>
  <c r="H11" i="25"/>
  <c r="G111" i="12"/>
  <c r="G158" i="21"/>
  <c r="G90" i="13"/>
  <c r="G26" i="21"/>
  <c r="G106" i="16"/>
  <c r="G64" i="6"/>
  <c r="G144" i="17"/>
  <c r="G253" i="16"/>
  <c r="G85" i="14"/>
  <c r="G139" i="13"/>
  <c r="G92" i="16"/>
  <c r="G363" i="21"/>
  <c r="G281" i="17"/>
  <c r="G86" i="14"/>
  <c r="G217" i="17"/>
  <c r="G21" i="11"/>
  <c r="G167" i="16"/>
  <c r="G249" i="16"/>
  <c r="G96" i="22"/>
  <c r="G311" i="24"/>
  <c r="G75" i="15"/>
  <c r="G231" i="17"/>
  <c r="G312" i="19"/>
  <c r="G355" i="17"/>
  <c r="G87" i="10"/>
  <c r="G78" i="15"/>
  <c r="G32" i="18"/>
  <c r="G171" i="14"/>
  <c r="G129" i="14"/>
  <c r="G120" i="9"/>
  <c r="G116" i="19"/>
  <c r="H185" i="25"/>
  <c r="G141" i="24"/>
  <c r="G84" i="16"/>
  <c r="G15" i="15"/>
  <c r="G257" i="18"/>
  <c r="G11" i="19"/>
  <c r="G53" i="18"/>
  <c r="G252" i="19"/>
  <c r="G208" i="23"/>
  <c r="G4" i="24"/>
  <c r="G306" i="17"/>
  <c r="G103" i="15"/>
  <c r="G91" i="10"/>
  <c r="G138" i="14"/>
  <c r="G27" i="14"/>
  <c r="G139" i="20"/>
  <c r="G35" i="8"/>
  <c r="G107" i="14"/>
  <c r="G190" i="18"/>
  <c r="G21" i="19"/>
  <c r="G72" i="21"/>
  <c r="G13" i="13"/>
  <c r="G64" i="19"/>
  <c r="G190" i="12"/>
  <c r="G57" i="24"/>
  <c r="G24" i="15"/>
  <c r="G60" i="18"/>
  <c r="G64" i="18"/>
  <c r="G360" i="17"/>
  <c r="G211" i="19"/>
  <c r="G235" i="19"/>
  <c r="G100" i="18"/>
  <c r="G264" i="21"/>
  <c r="G205" i="20"/>
  <c r="G152" i="16"/>
  <c r="G83" i="14"/>
  <c r="G84" i="19"/>
  <c r="G2" i="1"/>
  <c r="G311" i="17"/>
  <c r="G75" i="6"/>
  <c r="G255" i="19"/>
  <c r="G281" i="19"/>
  <c r="G79" i="18"/>
  <c r="G11" i="15"/>
  <c r="G96" i="10"/>
  <c r="G83" i="22"/>
  <c r="G157" i="16"/>
  <c r="G102" i="18"/>
  <c r="G87" i="8"/>
  <c r="G22" i="6"/>
  <c r="G46" i="17"/>
  <c r="G19" i="2"/>
  <c r="G90" i="5"/>
  <c r="G197" i="5"/>
  <c r="G74" i="19"/>
  <c r="G106" i="13"/>
  <c r="G14" i="5"/>
  <c r="G222" i="16"/>
  <c r="G178" i="20"/>
  <c r="G42" i="18"/>
  <c r="G173" i="15"/>
  <c r="G181" i="12"/>
  <c r="G210" i="18"/>
  <c r="G7" i="10"/>
  <c r="G18" i="11"/>
  <c r="G150" i="16"/>
  <c r="G21" i="14"/>
  <c r="G243" i="21"/>
  <c r="G265" i="16"/>
  <c r="G392" i="21"/>
  <c r="G42" i="14"/>
  <c r="G205" i="17"/>
  <c r="G183" i="17"/>
  <c r="G187" i="13"/>
  <c r="G206" i="17"/>
  <c r="G205" i="15"/>
  <c r="G87" i="13"/>
  <c r="G361" i="17"/>
  <c r="G344" i="17"/>
  <c r="G104" i="21"/>
  <c r="G39" i="22"/>
  <c r="G66" i="16"/>
  <c r="G248" i="16"/>
  <c r="G325" i="17"/>
  <c r="G355" i="16"/>
  <c r="G205" i="24"/>
  <c r="G44" i="19"/>
  <c r="G125" i="21"/>
  <c r="G69" i="18"/>
  <c r="H26" i="25"/>
  <c r="G72" i="22"/>
  <c r="G77" i="20"/>
  <c r="G291" i="19"/>
  <c r="G109" i="16"/>
  <c r="G86" i="24"/>
  <c r="G371" i="17"/>
  <c r="G159" i="14"/>
  <c r="G38" i="13"/>
  <c r="H96" i="25"/>
  <c r="G153" i="23"/>
  <c r="G187" i="15"/>
  <c r="G311" i="19"/>
  <c r="G231" i="19"/>
  <c r="G164" i="18"/>
  <c r="G128" i="9"/>
  <c r="G48" i="18"/>
  <c r="G66" i="13"/>
  <c r="G5" i="13"/>
  <c r="G66" i="6"/>
  <c r="G293" i="19"/>
  <c r="G374" i="24"/>
  <c r="G295" i="21"/>
  <c r="G6" i="14"/>
  <c r="G362" i="17"/>
  <c r="G101" i="23"/>
  <c r="G256" i="21"/>
  <c r="G146" i="23"/>
  <c r="G241" i="19"/>
  <c r="G189" i="15"/>
  <c r="G198" i="18"/>
  <c r="G216" i="15"/>
  <c r="G20" i="23"/>
  <c r="G22" i="11"/>
  <c r="G63" i="10"/>
  <c r="G291" i="17"/>
  <c r="G165" i="21"/>
  <c r="G256" i="17"/>
  <c r="G253" i="18"/>
  <c r="G222" i="12"/>
  <c r="G175" i="16"/>
  <c r="G131" i="23"/>
  <c r="G228" i="17"/>
  <c r="G27" i="21"/>
  <c r="G82" i="18"/>
  <c r="G77" i="22"/>
  <c r="G378" i="17"/>
  <c r="G175" i="19"/>
  <c r="H144" i="25"/>
  <c r="G88" i="20"/>
  <c r="G124" i="16"/>
  <c r="G170" i="15"/>
  <c r="G134" i="19"/>
  <c r="G285" i="16"/>
  <c r="G29" i="19"/>
  <c r="G8" i="26"/>
  <c r="G134" i="16"/>
  <c r="G136" i="15"/>
  <c r="G188" i="12"/>
  <c r="G50" i="14"/>
  <c r="G77" i="23"/>
  <c r="G200" i="20"/>
  <c r="G269" i="19"/>
  <c r="G111" i="17"/>
  <c r="G290" i="24"/>
  <c r="G73" i="26"/>
  <c r="G25" i="18"/>
  <c r="G197" i="18"/>
  <c r="G267" i="19"/>
  <c r="G228" i="12"/>
  <c r="G78" i="18"/>
  <c r="G365" i="17"/>
  <c r="G77" i="26"/>
  <c r="G47" i="15"/>
  <c r="G157" i="15"/>
  <c r="G146" i="21"/>
  <c r="G45" i="14"/>
  <c r="G2" i="11"/>
  <c r="G142" i="19"/>
  <c r="G254" i="16"/>
  <c r="G175" i="20"/>
  <c r="G69" i="20"/>
  <c r="G143" i="24"/>
  <c r="G266" i="21"/>
  <c r="G115" i="26"/>
  <c r="G21" i="4"/>
  <c r="G86" i="17"/>
  <c r="G12" i="24"/>
  <c r="G178" i="13"/>
  <c r="G202" i="12"/>
  <c r="G56" i="15"/>
  <c r="G157" i="18"/>
  <c r="G111" i="21"/>
  <c r="G32" i="16"/>
  <c r="G314" i="19"/>
  <c r="G59" i="20"/>
  <c r="G170" i="23"/>
  <c r="G11" i="10"/>
  <c r="G37" i="5"/>
  <c r="G266" i="16"/>
  <c r="G29" i="14"/>
  <c r="G90" i="21"/>
  <c r="G78" i="14"/>
  <c r="G49" i="6"/>
  <c r="G81" i="21"/>
  <c r="G234" i="17"/>
  <c r="G259" i="24"/>
  <c r="G121" i="5"/>
  <c r="G237" i="17"/>
  <c r="G339" i="17"/>
  <c r="G53" i="4"/>
  <c r="G25" i="26"/>
  <c r="G30" i="15"/>
  <c r="G177" i="13"/>
  <c r="G12" i="20"/>
  <c r="G117" i="17"/>
  <c r="G174" i="18"/>
  <c r="G197" i="16"/>
  <c r="G117" i="14"/>
  <c r="G53" i="26"/>
  <c r="G175" i="12"/>
  <c r="G34" i="14"/>
  <c r="G44" i="10"/>
  <c r="G26" i="23"/>
  <c r="G15" i="20"/>
  <c r="G209" i="17"/>
  <c r="G141" i="13"/>
  <c r="G10" i="19"/>
  <c r="G214" i="12"/>
  <c r="G30" i="20"/>
  <c r="G92" i="15"/>
  <c r="G111" i="23"/>
  <c r="G51" i="20"/>
  <c r="G216" i="18"/>
  <c r="H45" i="25"/>
  <c r="G83" i="16"/>
  <c r="G13" i="14"/>
  <c r="H46" i="25"/>
  <c r="G280" i="19"/>
  <c r="G52" i="26"/>
  <c r="G51" i="8"/>
  <c r="G173" i="17"/>
  <c r="G66" i="15"/>
  <c r="G4" i="1"/>
  <c r="G24" i="10"/>
  <c r="G193" i="21"/>
  <c r="G28" i="9"/>
  <c r="G322" i="17"/>
  <c r="G69" i="13"/>
  <c r="G37" i="13"/>
  <c r="G101" i="7"/>
  <c r="G97" i="17"/>
  <c r="G27" i="10"/>
  <c r="G336" i="16"/>
  <c r="G28" i="18"/>
  <c r="G4" i="17"/>
  <c r="G349" i="16"/>
  <c r="G313" i="19"/>
  <c r="G114" i="18"/>
  <c r="G218" i="16"/>
  <c r="G220" i="17"/>
  <c r="G42" i="21"/>
  <c r="G9" i="24"/>
  <c r="G98" i="15"/>
  <c r="G161" i="24"/>
  <c r="G186" i="19"/>
  <c r="G59" i="26"/>
  <c r="G96" i="17"/>
  <c r="G128" i="19"/>
  <c r="G375" i="17"/>
  <c r="G11" i="20"/>
  <c r="G226" i="19"/>
  <c r="G263" i="19"/>
  <c r="G343" i="17"/>
  <c r="G112" i="18"/>
  <c r="G356" i="16"/>
  <c r="G46" i="21"/>
  <c r="G279" i="24"/>
  <c r="G316" i="17"/>
  <c r="G42" i="19"/>
  <c r="G223" i="24"/>
  <c r="G268" i="17"/>
  <c r="G194" i="24"/>
  <c r="G205" i="23"/>
  <c r="G225" i="16"/>
  <c r="G52" i="22"/>
  <c r="H167" i="25"/>
  <c r="G168" i="24"/>
  <c r="G121" i="14"/>
  <c r="G27" i="19"/>
  <c r="G35" i="26"/>
  <c r="G78" i="9"/>
  <c r="G4" i="22"/>
  <c r="G67" i="26"/>
  <c r="G113" i="19"/>
  <c r="G203" i="17"/>
  <c r="G209" i="23"/>
  <c r="G230" i="23"/>
  <c r="G163" i="19"/>
  <c r="G96" i="19"/>
  <c r="G320" i="21"/>
  <c r="G17" i="20"/>
  <c r="G368" i="21"/>
  <c r="G87" i="21"/>
  <c r="G19" i="16"/>
  <c r="G228" i="21"/>
  <c r="G138" i="20"/>
  <c r="G39" i="11"/>
  <c r="G213" i="12"/>
  <c r="G3" i="15"/>
  <c r="G127" i="12"/>
  <c r="G282" i="16"/>
  <c r="G224" i="13"/>
  <c r="G179" i="19"/>
  <c r="G73" i="7"/>
  <c r="G148" i="23"/>
  <c r="G131" i="9"/>
  <c r="G49" i="19"/>
  <c r="G81" i="22"/>
  <c r="G117" i="12"/>
  <c r="G137" i="5"/>
  <c r="G32" i="6"/>
  <c r="G126" i="17"/>
  <c r="G62" i="5"/>
  <c r="G10" i="17"/>
  <c r="G106" i="15"/>
  <c r="G193" i="19"/>
  <c r="G105" i="21"/>
  <c r="G112" i="12"/>
  <c r="G97" i="19"/>
  <c r="G223" i="18"/>
  <c r="G30" i="19"/>
  <c r="G17" i="15"/>
  <c r="G298" i="16"/>
  <c r="G109" i="10"/>
  <c r="G68" i="15"/>
  <c r="G62" i="15"/>
  <c r="G343" i="21"/>
  <c r="G294" i="19"/>
  <c r="G57" i="17"/>
  <c r="G26" i="5"/>
  <c r="G109" i="14"/>
  <c r="G48" i="20"/>
  <c r="G16" i="22"/>
  <c r="G136" i="24"/>
  <c r="G21" i="12"/>
  <c r="G35" i="21"/>
  <c r="G113" i="20"/>
  <c r="G201" i="19"/>
  <c r="G185" i="19"/>
  <c r="G38" i="20"/>
  <c r="G236" i="21"/>
  <c r="G222" i="24"/>
  <c r="G142" i="13"/>
  <c r="G89" i="23"/>
  <c r="G101" i="13"/>
  <c r="G318" i="19"/>
  <c r="G8" i="19"/>
  <c r="G132" i="23"/>
  <c r="H69" i="25"/>
  <c r="G267" i="17"/>
  <c r="G52" i="19"/>
  <c r="G277" i="21"/>
  <c r="G108" i="19"/>
  <c r="G186" i="20"/>
  <c r="G12" i="15"/>
  <c r="G203" i="21"/>
  <c r="G356" i="17"/>
  <c r="G184" i="20"/>
  <c r="G104" i="19"/>
  <c r="G201" i="18"/>
  <c r="G93" i="21"/>
  <c r="G9" i="16"/>
  <c r="G56" i="21"/>
  <c r="G241" i="24"/>
  <c r="G284" i="24"/>
  <c r="G258" i="16"/>
  <c r="G264" i="19"/>
  <c r="G290" i="16"/>
  <c r="G16" i="16"/>
  <c r="G118" i="16"/>
  <c r="G232" i="16"/>
  <c r="G191" i="14"/>
  <c r="G84" i="15"/>
  <c r="G31" i="21"/>
  <c r="G386" i="21"/>
  <c r="G85" i="22"/>
  <c r="G90" i="18"/>
  <c r="G207" i="24"/>
  <c r="G187" i="17"/>
  <c r="G61" i="24"/>
  <c r="G63" i="15"/>
  <c r="G63" i="21"/>
  <c r="G53" i="17"/>
  <c r="G32" i="20"/>
  <c r="G104" i="18"/>
  <c r="G159" i="21"/>
  <c r="G88" i="24"/>
  <c r="G89" i="20"/>
  <c r="G240" i="21"/>
  <c r="G9" i="22"/>
  <c r="G107" i="24"/>
  <c r="G288" i="17"/>
  <c r="G33" i="23"/>
  <c r="G46" i="22"/>
  <c r="G239" i="24"/>
  <c r="G66" i="23"/>
  <c r="G66" i="21"/>
  <c r="G245" i="21"/>
  <c r="G151" i="26"/>
  <c r="G105" i="22"/>
  <c r="G83" i="20"/>
  <c r="G145" i="18"/>
  <c r="G36" i="22"/>
  <c r="G174" i="5"/>
  <c r="G360" i="16"/>
  <c r="G287" i="19"/>
  <c r="G251" i="18"/>
  <c r="G107" i="19"/>
  <c r="G74" i="22"/>
  <c r="G252" i="23"/>
  <c r="G278" i="17"/>
  <c r="G125" i="26"/>
  <c r="G22" i="21"/>
  <c r="G177" i="19"/>
  <c r="G212" i="12"/>
  <c r="G4" i="19"/>
  <c r="G111" i="10"/>
  <c r="G29" i="23"/>
  <c r="G11" i="21"/>
  <c r="G70" i="15"/>
  <c r="G3" i="21"/>
  <c r="G197" i="14"/>
  <c r="G303" i="17"/>
  <c r="G42" i="20"/>
  <c r="G31" i="20"/>
  <c r="G394" i="21"/>
  <c r="G127" i="13"/>
  <c r="G160" i="16"/>
  <c r="G47" i="22"/>
  <c r="G244" i="19"/>
  <c r="H117" i="25"/>
  <c r="G64" i="21"/>
  <c r="G31" i="22"/>
  <c r="G301" i="16"/>
  <c r="G179" i="18"/>
  <c r="G34" i="17"/>
  <c r="G35" i="18"/>
  <c r="G90" i="12"/>
  <c r="G108" i="5"/>
  <c r="G87" i="15"/>
  <c r="G210" i="12"/>
  <c r="G79" i="23"/>
  <c r="G226" i="21"/>
  <c r="G6" i="19"/>
  <c r="G71" i="26"/>
  <c r="G20" i="21"/>
  <c r="G197" i="19"/>
  <c r="G73" i="20"/>
  <c r="H155" i="25"/>
  <c r="G160" i="24"/>
  <c r="G75" i="22"/>
  <c r="G241" i="18"/>
  <c r="G200" i="21"/>
  <c r="G36" i="26"/>
  <c r="G120" i="21"/>
  <c r="G176" i="16"/>
  <c r="G208" i="19"/>
  <c r="H12" i="25"/>
  <c r="G183" i="24"/>
  <c r="G184" i="19"/>
  <c r="G320" i="16"/>
  <c r="G55" i="15"/>
  <c r="G37" i="14"/>
  <c r="G16" i="19"/>
  <c r="G46" i="23"/>
  <c r="G125" i="10"/>
  <c r="G91" i="22"/>
  <c r="G144" i="20"/>
  <c r="G218" i="12"/>
  <c r="G322" i="16"/>
  <c r="G2" i="23"/>
  <c r="G239" i="19"/>
  <c r="G17" i="17"/>
  <c r="G203" i="13"/>
  <c r="G276" i="17"/>
  <c r="G143" i="23"/>
  <c r="G167" i="23"/>
  <c r="G59" i="19"/>
  <c r="G358" i="24"/>
  <c r="G56" i="16"/>
  <c r="G184" i="17"/>
  <c r="G191" i="24"/>
  <c r="G143" i="21"/>
  <c r="G9" i="13"/>
  <c r="G9" i="17"/>
  <c r="G236" i="18"/>
  <c r="G339" i="24"/>
  <c r="G140" i="18"/>
  <c r="G149" i="17"/>
  <c r="G243" i="18"/>
  <c r="G14" i="18"/>
  <c r="H135" i="25"/>
  <c r="G154" i="20"/>
  <c r="G18" i="24"/>
  <c r="G100" i="22"/>
  <c r="G122" i="23"/>
  <c r="G13" i="24"/>
  <c r="G259" i="23"/>
  <c r="G128" i="15"/>
  <c r="G117" i="24"/>
  <c r="G133" i="21"/>
  <c r="G167" i="19"/>
  <c r="G51" i="24"/>
  <c r="G132" i="20"/>
  <c r="G352" i="21"/>
  <c r="G214" i="24"/>
  <c r="G51" i="21"/>
  <c r="G47" i="18"/>
  <c r="G154" i="19"/>
  <c r="G200" i="12"/>
  <c r="G178" i="16"/>
  <c r="G387" i="24"/>
  <c r="G332" i="16"/>
  <c r="G235" i="17"/>
  <c r="G43" i="23"/>
  <c r="G134" i="20"/>
  <c r="G58" i="16"/>
  <c r="G254" i="17"/>
  <c r="G29" i="18"/>
  <c r="G18" i="15"/>
  <c r="G150" i="14"/>
  <c r="G255" i="24"/>
  <c r="G119" i="19"/>
  <c r="G259" i="17"/>
  <c r="G102" i="22"/>
  <c r="G164" i="15"/>
  <c r="G80" i="26"/>
  <c r="G135" i="19"/>
  <c r="G212" i="19"/>
  <c r="G137" i="21"/>
  <c r="G180" i="17"/>
  <c r="G25" i="23"/>
  <c r="G45" i="10"/>
  <c r="G55" i="24"/>
  <c r="G79" i="20"/>
  <c r="G7" i="17"/>
  <c r="G98" i="20"/>
  <c r="G214" i="23"/>
  <c r="G131" i="26"/>
  <c r="G283" i="21"/>
  <c r="G282" i="19"/>
  <c r="G203" i="16"/>
  <c r="G61" i="13"/>
  <c r="G31" i="23"/>
  <c r="G127" i="18"/>
  <c r="G65" i="20"/>
  <c r="G158" i="20"/>
  <c r="H17" i="25"/>
  <c r="G154" i="18"/>
  <c r="G162" i="21"/>
  <c r="G152" i="15"/>
  <c r="G67" i="21"/>
  <c r="G314" i="16"/>
  <c r="G270" i="21"/>
  <c r="G142" i="15"/>
  <c r="G60" i="21"/>
  <c r="G18" i="23"/>
  <c r="G350" i="24"/>
  <c r="G107" i="23"/>
  <c r="G148" i="21"/>
  <c r="G389" i="21"/>
  <c r="G21" i="18"/>
  <c r="G315" i="21"/>
  <c r="G250" i="24"/>
  <c r="G15" i="23"/>
  <c r="G246" i="24"/>
  <c r="G305" i="24"/>
  <c r="G387" i="21"/>
  <c r="G62" i="18"/>
  <c r="G142" i="18"/>
  <c r="G193" i="20"/>
  <c r="G132" i="17"/>
  <c r="G18" i="13"/>
  <c r="G199" i="19"/>
  <c r="G56" i="24"/>
  <c r="G252" i="16"/>
  <c r="G308" i="24"/>
  <c r="G80" i="19"/>
  <c r="G198" i="19"/>
  <c r="G125" i="24"/>
  <c r="G88" i="6"/>
  <c r="G303" i="19"/>
  <c r="G82" i="5"/>
  <c r="G168" i="21"/>
  <c r="G166" i="20"/>
  <c r="G53" i="20"/>
  <c r="G319" i="21"/>
  <c r="G217" i="13"/>
  <c r="G209" i="13"/>
  <c r="G48" i="21"/>
  <c r="G266" i="24"/>
  <c r="G101" i="18"/>
  <c r="G385" i="21"/>
  <c r="G93" i="20"/>
  <c r="G128" i="26"/>
  <c r="G123" i="15"/>
  <c r="G170" i="16"/>
  <c r="G292" i="19"/>
  <c r="G40" i="19"/>
  <c r="G51" i="26"/>
  <c r="G54" i="16"/>
  <c r="G177" i="17"/>
  <c r="G233" i="19"/>
  <c r="G69" i="16"/>
  <c r="G53" i="6"/>
  <c r="G99" i="17"/>
  <c r="G367" i="17"/>
  <c r="G315" i="24"/>
  <c r="G207" i="18"/>
  <c r="G217" i="21"/>
  <c r="G66" i="10"/>
  <c r="G55" i="17"/>
  <c r="G273" i="24"/>
  <c r="G100" i="21"/>
  <c r="G58" i="10"/>
  <c r="G7" i="14"/>
  <c r="G162" i="14"/>
  <c r="G119" i="21"/>
  <c r="G29" i="21"/>
  <c r="G315" i="16"/>
  <c r="G129" i="9"/>
  <c r="G195" i="12"/>
  <c r="G141" i="15"/>
  <c r="G130" i="19"/>
  <c r="G167" i="17"/>
  <c r="G90" i="20"/>
  <c r="G240" i="16"/>
  <c r="G31" i="19"/>
  <c r="G279" i="19"/>
  <c r="G192" i="19"/>
  <c r="G169" i="21"/>
  <c r="G233" i="24"/>
  <c r="G207" i="17"/>
  <c r="G187" i="21"/>
  <c r="G15" i="18"/>
  <c r="G60" i="23"/>
  <c r="H76" i="25"/>
  <c r="G150" i="5"/>
  <c r="G106" i="21"/>
  <c r="G244" i="17"/>
  <c r="G121" i="21"/>
  <c r="G39" i="21"/>
  <c r="G261" i="21"/>
  <c r="H153" i="25"/>
  <c r="G123" i="26"/>
  <c r="G40" i="20"/>
  <c r="G214" i="16"/>
  <c r="G105" i="20"/>
  <c r="G329" i="17"/>
  <c r="G367" i="21"/>
  <c r="G44" i="22"/>
  <c r="G50" i="21"/>
  <c r="G175" i="24"/>
  <c r="G171" i="21"/>
  <c r="G362" i="16"/>
  <c r="G133" i="14"/>
  <c r="G279" i="21"/>
  <c r="G159" i="13"/>
  <c r="G75" i="8"/>
  <c r="G105" i="18"/>
  <c r="G158" i="26"/>
  <c r="H184" i="25"/>
  <c r="G50" i="5"/>
  <c r="G45" i="12"/>
  <c r="G45" i="17"/>
  <c r="G333" i="17"/>
  <c r="G398" i="21"/>
  <c r="G157" i="21"/>
  <c r="G66" i="18"/>
  <c r="G65" i="17"/>
  <c r="G232" i="17"/>
  <c r="G2" i="21"/>
  <c r="G110" i="21"/>
  <c r="G32" i="15"/>
  <c r="G31" i="13"/>
  <c r="G289" i="19"/>
  <c r="G248" i="23"/>
  <c r="G212" i="18"/>
  <c r="G198" i="14"/>
  <c r="G139" i="18"/>
  <c r="G116" i="23"/>
  <c r="G145" i="13"/>
  <c r="G81" i="15"/>
  <c r="G92" i="22"/>
  <c r="G83" i="21"/>
  <c r="G112" i="19"/>
  <c r="G93" i="24"/>
  <c r="G70" i="18"/>
  <c r="G246" i="23"/>
  <c r="G204" i="19"/>
  <c r="G269" i="21"/>
  <c r="G261" i="19"/>
  <c r="G171" i="24"/>
  <c r="G79" i="19"/>
  <c r="G130" i="23"/>
  <c r="G338" i="24"/>
  <c r="G312" i="17"/>
  <c r="G237" i="21"/>
  <c r="G80" i="21"/>
  <c r="G155" i="21"/>
  <c r="G105" i="19"/>
  <c r="G162" i="18"/>
  <c r="G200" i="18"/>
  <c r="G319" i="24"/>
  <c r="G372" i="17"/>
  <c r="G73" i="17"/>
  <c r="G124" i="15"/>
  <c r="G122" i="14"/>
  <c r="G96" i="15"/>
  <c r="G48" i="16"/>
  <c r="G51" i="17"/>
  <c r="G84" i="17"/>
  <c r="G154" i="12"/>
  <c r="G185" i="14"/>
  <c r="G278" i="21"/>
  <c r="G78" i="20"/>
  <c r="G92" i="23"/>
  <c r="G176" i="18"/>
  <c r="G329" i="16"/>
  <c r="G8" i="20"/>
  <c r="G146" i="19"/>
  <c r="G106" i="23"/>
  <c r="G90" i="16"/>
  <c r="G132" i="21"/>
  <c r="G97" i="24"/>
  <c r="G99" i="21"/>
  <c r="G157" i="19"/>
  <c r="G7" i="26"/>
  <c r="G64" i="15"/>
  <c r="H83" i="25"/>
  <c r="G42" i="15"/>
  <c r="G318" i="24"/>
  <c r="G194" i="20"/>
  <c r="G14" i="7"/>
  <c r="G212" i="17"/>
  <c r="G266" i="17"/>
  <c r="G51" i="19"/>
  <c r="G165" i="19"/>
  <c r="G366" i="17"/>
  <c r="G18" i="18"/>
  <c r="G128" i="18"/>
  <c r="G163" i="16"/>
  <c r="G274" i="17"/>
  <c r="G96" i="18"/>
  <c r="G329" i="24"/>
  <c r="G61" i="21"/>
  <c r="G253" i="21"/>
  <c r="G21" i="17"/>
  <c r="G221" i="18"/>
  <c r="G225" i="18"/>
  <c r="G10" i="21"/>
  <c r="G166" i="14"/>
  <c r="G73" i="14"/>
  <c r="G140" i="15"/>
  <c r="G174" i="21"/>
  <c r="G309" i="21"/>
  <c r="G321" i="16"/>
  <c r="G334" i="21"/>
  <c r="G23" i="19"/>
  <c r="G162" i="24"/>
  <c r="G255" i="18"/>
  <c r="G209" i="16"/>
  <c r="G98" i="21"/>
  <c r="G345" i="24"/>
  <c r="G36" i="19"/>
  <c r="G287" i="24"/>
  <c r="G287" i="21"/>
  <c r="G158" i="18"/>
  <c r="G111" i="24"/>
  <c r="G17" i="23"/>
  <c r="G113" i="24"/>
  <c r="G70" i="20"/>
  <c r="G149" i="24"/>
  <c r="G14" i="26"/>
  <c r="G337" i="24"/>
  <c r="G19" i="23"/>
  <c r="G137" i="24"/>
  <c r="G224" i="18"/>
  <c r="G96" i="16"/>
  <c r="G91" i="20"/>
  <c r="G49" i="23"/>
  <c r="G93" i="17"/>
  <c r="G136" i="17"/>
  <c r="G234" i="12"/>
  <c r="G213" i="17"/>
  <c r="G160" i="17"/>
  <c r="G113" i="21"/>
  <c r="G2" i="5"/>
  <c r="G5" i="19"/>
  <c r="G16" i="23"/>
  <c r="G97" i="15"/>
  <c r="G28" i="21"/>
  <c r="G236" i="19"/>
  <c r="G274" i="19"/>
  <c r="G73" i="21"/>
  <c r="G175" i="14"/>
  <c r="G198" i="16"/>
  <c r="G33" i="4"/>
  <c r="G80" i="6"/>
  <c r="G206" i="15"/>
  <c r="G22" i="18"/>
  <c r="G63" i="17"/>
  <c r="G317" i="17"/>
  <c r="G85" i="19"/>
  <c r="G207" i="23"/>
  <c r="G215" i="13"/>
  <c r="G274" i="16"/>
  <c r="G116" i="15"/>
  <c r="G246" i="16"/>
  <c r="G280" i="16"/>
  <c r="G166" i="18"/>
  <c r="G253" i="17"/>
  <c r="G158" i="16"/>
  <c r="G175" i="23"/>
  <c r="G70" i="24"/>
  <c r="G37" i="22"/>
  <c r="G201" i="20"/>
  <c r="G104" i="20"/>
  <c r="H68" i="25"/>
  <c r="G22" i="24"/>
  <c r="G90" i="23"/>
  <c r="G196" i="21"/>
  <c r="G320" i="17"/>
  <c r="G105" i="23"/>
  <c r="G12" i="23"/>
  <c r="G19" i="24"/>
  <c r="G145" i="24"/>
  <c r="G33" i="26"/>
  <c r="G176" i="20"/>
  <c r="G322" i="21"/>
  <c r="G33" i="20"/>
  <c r="G363" i="17"/>
  <c r="G138" i="16"/>
  <c r="H100" i="25"/>
  <c r="G104" i="22"/>
  <c r="G215" i="15"/>
  <c r="G73" i="16"/>
  <c r="G232" i="18"/>
  <c r="G139" i="19"/>
  <c r="G24" i="18"/>
  <c r="G54" i="22"/>
  <c r="G98" i="19"/>
  <c r="G91" i="21"/>
  <c r="G247" i="19"/>
  <c r="G67" i="17"/>
  <c r="G8" i="21"/>
  <c r="G239" i="18"/>
  <c r="G255" i="21"/>
  <c r="G103" i="12"/>
  <c r="G18" i="19"/>
  <c r="G92" i="17"/>
  <c r="G125" i="18"/>
  <c r="G37" i="24"/>
  <c r="G234" i="23"/>
  <c r="G71" i="20"/>
  <c r="G162" i="23"/>
  <c r="G70" i="21"/>
  <c r="H65" i="25"/>
  <c r="G300" i="21"/>
  <c r="G123" i="24"/>
  <c r="G86" i="21"/>
  <c r="G48" i="22"/>
  <c r="G109" i="23"/>
  <c r="G337" i="21"/>
  <c r="G142" i="23"/>
  <c r="G223" i="17"/>
  <c r="G228" i="18"/>
  <c r="G116" i="21"/>
  <c r="H27" i="25"/>
  <c r="H177" i="25"/>
  <c r="G275" i="24"/>
  <c r="G133" i="19"/>
  <c r="H88" i="25"/>
  <c r="G78" i="19"/>
  <c r="G292" i="21"/>
  <c r="G54" i="15"/>
  <c r="G221" i="23"/>
  <c r="G228" i="16"/>
  <c r="G164" i="19"/>
  <c r="G60" i="19"/>
  <c r="G189" i="18"/>
  <c r="G372" i="21"/>
  <c r="G97" i="21"/>
  <c r="G81" i="20"/>
  <c r="G76" i="23"/>
  <c r="G196" i="23"/>
  <c r="G282" i="24"/>
  <c r="G25" i="24"/>
  <c r="G179" i="21"/>
  <c r="G134" i="21"/>
  <c r="G122" i="26"/>
  <c r="G330" i="21"/>
  <c r="G11" i="24"/>
  <c r="G111" i="18"/>
  <c r="G240" i="19"/>
  <c r="G238" i="24"/>
  <c r="G88" i="21"/>
  <c r="G47" i="24"/>
  <c r="G324" i="24"/>
  <c r="G63" i="24"/>
  <c r="G135" i="21"/>
  <c r="G11" i="23"/>
  <c r="G7" i="18"/>
  <c r="G172" i="21"/>
  <c r="G125" i="23"/>
  <c r="G9" i="23"/>
  <c r="G93" i="26"/>
  <c r="G102" i="20"/>
  <c r="G64" i="22"/>
  <c r="G24" i="24"/>
  <c r="G340" i="21"/>
  <c r="G30" i="23"/>
  <c r="G296" i="24"/>
  <c r="G133" i="18"/>
  <c r="H166" i="25"/>
  <c r="H91" i="25"/>
  <c r="G238" i="23"/>
  <c r="G106" i="26"/>
  <c r="H79" i="25"/>
  <c r="G105" i="26"/>
  <c r="G132" i="19"/>
  <c r="G104" i="24"/>
  <c r="G49" i="20"/>
  <c r="G196" i="12"/>
  <c r="G211" i="23"/>
  <c r="G204" i="21"/>
  <c r="G73" i="4"/>
  <c r="G34" i="24"/>
  <c r="H33" i="25"/>
  <c r="G79" i="26"/>
  <c r="G17" i="26"/>
  <c r="G249" i="24"/>
  <c r="G169" i="23"/>
  <c r="G95" i="19"/>
  <c r="G136" i="19"/>
  <c r="G321" i="21"/>
  <c r="G336" i="17"/>
  <c r="H63" i="25"/>
  <c r="G105" i="24"/>
  <c r="G349" i="24"/>
  <c r="G300" i="24"/>
  <c r="G149" i="12"/>
  <c r="G117" i="20"/>
  <c r="G88" i="16"/>
  <c r="G84" i="24"/>
  <c r="H89" i="25"/>
  <c r="G284" i="21"/>
  <c r="G160" i="26"/>
  <c r="G290" i="17"/>
  <c r="G262" i="24"/>
  <c r="G377" i="24"/>
  <c r="H43" i="25"/>
  <c r="G148" i="26"/>
  <c r="G257" i="24"/>
  <c r="G173" i="24"/>
  <c r="G178" i="24"/>
  <c r="G163" i="18"/>
  <c r="G143" i="19"/>
  <c r="G103" i="23"/>
  <c r="G5" i="23"/>
  <c r="G10" i="23"/>
  <c r="G24" i="21"/>
  <c r="H42" i="25"/>
  <c r="G213" i="24"/>
  <c r="G75" i="20"/>
  <c r="G346" i="17"/>
  <c r="G94" i="26"/>
  <c r="G354" i="16"/>
  <c r="G108" i="21"/>
  <c r="G23" i="14"/>
  <c r="G124" i="24"/>
  <c r="G209" i="18"/>
  <c r="G81" i="18"/>
  <c r="G164" i="26"/>
  <c r="G340" i="24"/>
  <c r="G45" i="26"/>
  <c r="G69" i="26"/>
  <c r="G122" i="21"/>
  <c r="G14" i="19"/>
  <c r="H101" i="25"/>
  <c r="G124" i="26"/>
  <c r="H35" i="25"/>
  <c r="H55" i="25"/>
  <c r="G388" i="24"/>
  <c r="G127" i="17"/>
  <c r="G120" i="15"/>
  <c r="G104" i="23"/>
  <c r="G6" i="18"/>
  <c r="G66" i="24"/>
  <c r="G174" i="24"/>
  <c r="G89" i="24"/>
  <c r="H64" i="25"/>
  <c r="G13" i="19"/>
  <c r="G41" i="24"/>
  <c r="G22" i="15"/>
  <c r="G185" i="17"/>
  <c r="G217" i="24"/>
  <c r="G30" i="18"/>
  <c r="G25" i="17"/>
  <c r="G100" i="23"/>
  <c r="G23" i="21"/>
  <c r="G54" i="21"/>
  <c r="G270" i="24"/>
  <c r="G222" i="23"/>
  <c r="G357" i="21"/>
  <c r="G15" i="21"/>
  <c r="G307" i="21"/>
  <c r="G254" i="18"/>
  <c r="G161" i="26"/>
  <c r="G227" i="21"/>
  <c r="H93" i="25"/>
  <c r="G171" i="20"/>
  <c r="G57" i="19"/>
  <c r="G33" i="21"/>
  <c r="G332" i="17"/>
  <c r="G189" i="24"/>
  <c r="G48" i="23"/>
  <c r="G77" i="24"/>
  <c r="G58" i="24"/>
  <c r="G97" i="26"/>
  <c r="G14" i="22"/>
  <c r="G229" i="18"/>
  <c r="G115" i="23"/>
  <c r="H47" i="25"/>
  <c r="G133" i="26"/>
  <c r="G233" i="23"/>
  <c r="G332" i="24"/>
  <c r="G260" i="23"/>
  <c r="G271" i="24"/>
  <c r="G134" i="26"/>
  <c r="G264" i="24"/>
  <c r="G39" i="19"/>
  <c r="G68" i="22"/>
  <c r="G80" i="16"/>
  <c r="G151" i="24"/>
  <c r="G82" i="26"/>
  <c r="H142" i="25"/>
  <c r="G320" i="24"/>
  <c r="H108" i="25"/>
  <c r="G65" i="18"/>
  <c r="H145" i="25"/>
  <c r="G143" i="10"/>
  <c r="G71" i="17"/>
  <c r="G75" i="23"/>
  <c r="G376" i="17"/>
  <c r="G169" i="24"/>
  <c r="G41" i="26"/>
  <c r="G37" i="21"/>
  <c r="G306" i="21"/>
  <c r="H98" i="25"/>
  <c r="G85" i="24"/>
  <c r="G93" i="22"/>
  <c r="G168" i="18"/>
  <c r="G239" i="23"/>
  <c r="G97" i="23"/>
  <c r="G150" i="24"/>
  <c r="G191" i="20"/>
  <c r="G148" i="5"/>
  <c r="G34" i="19"/>
  <c r="G63" i="14"/>
  <c r="G7" i="16"/>
  <c r="G91" i="24"/>
  <c r="G292" i="24"/>
  <c r="G80" i="18"/>
  <c r="G162" i="16"/>
  <c r="G227" i="24"/>
  <c r="G21" i="21"/>
  <c r="G335" i="17"/>
  <c r="G120" i="16"/>
  <c r="G271" i="19"/>
  <c r="G68" i="24"/>
  <c r="G65" i="22"/>
  <c r="G71" i="21"/>
  <c r="G186" i="21"/>
  <c r="G96" i="24"/>
  <c r="H128" i="25"/>
  <c r="G272" i="19"/>
  <c r="G119" i="18"/>
  <c r="G203" i="23"/>
  <c r="G303" i="21"/>
  <c r="G380" i="24"/>
  <c r="G245" i="18"/>
  <c r="G208" i="21"/>
  <c r="G369" i="24"/>
  <c r="H44" i="25"/>
  <c r="G208" i="24"/>
  <c r="G258" i="19"/>
  <c r="G68" i="21"/>
  <c r="G98" i="22"/>
  <c r="G86" i="23"/>
  <c r="G69" i="19"/>
  <c r="G172" i="24"/>
  <c r="G91" i="18"/>
  <c r="G191" i="18"/>
  <c r="G153" i="18"/>
  <c r="G160" i="19"/>
  <c r="G57" i="22"/>
  <c r="G202" i="23"/>
  <c r="G256" i="23"/>
  <c r="H71" i="25"/>
  <c r="G12" i="18"/>
  <c r="G366" i="24"/>
  <c r="G54" i="23"/>
  <c r="G68" i="26"/>
  <c r="G379" i="24"/>
  <c r="G248" i="24"/>
  <c r="G271" i="21"/>
  <c r="G357" i="24"/>
  <c r="G174" i="19"/>
  <c r="G61" i="22"/>
  <c r="G177" i="24"/>
  <c r="G30" i="16"/>
  <c r="G110" i="14"/>
  <c r="G112" i="20"/>
  <c r="G31" i="10"/>
  <c r="G362" i="21"/>
  <c r="G262" i="17"/>
  <c r="G96" i="21"/>
  <c r="G39" i="20"/>
  <c r="H114" i="25"/>
  <c r="G165" i="18"/>
  <c r="G40" i="26"/>
  <c r="G61" i="23"/>
  <c r="G190" i="24"/>
  <c r="G69" i="22"/>
  <c r="G304" i="16"/>
  <c r="H136" i="25"/>
  <c r="G33" i="24"/>
  <c r="G96" i="26"/>
  <c r="G301" i="24"/>
  <c r="G100" i="19"/>
  <c r="G138" i="24"/>
  <c r="G106" i="24"/>
  <c r="G242" i="23"/>
  <c r="H140" i="25"/>
  <c r="G327" i="17"/>
  <c r="H127" i="25"/>
  <c r="G193" i="23"/>
  <c r="G123" i="20"/>
  <c r="G144" i="24"/>
  <c r="G121" i="18"/>
  <c r="G24" i="23"/>
  <c r="G141" i="18"/>
  <c r="G252" i="17"/>
  <c r="H156" i="25"/>
  <c r="G45" i="16"/>
  <c r="G5" i="14"/>
  <c r="G121" i="15"/>
  <c r="H90" i="25"/>
  <c r="G182" i="21"/>
  <c r="G16" i="20"/>
  <c r="G220" i="21"/>
  <c r="G124" i="23"/>
  <c r="G295" i="24"/>
  <c r="G99" i="20"/>
  <c r="G74" i="21"/>
  <c r="H56" i="25"/>
  <c r="G237" i="23"/>
  <c r="G178" i="21"/>
  <c r="G87" i="23"/>
  <c r="G251" i="24"/>
  <c r="G342" i="17"/>
  <c r="H4" i="25"/>
  <c r="G302" i="21"/>
  <c r="G57" i="18"/>
  <c r="G142" i="26"/>
  <c r="G248" i="17"/>
  <c r="G377" i="21"/>
  <c r="G84" i="21"/>
  <c r="H120" i="25"/>
  <c r="G2" i="24"/>
  <c r="G168" i="23"/>
  <c r="G42" i="24"/>
  <c r="G130" i="26"/>
  <c r="G178" i="23"/>
  <c r="G256" i="24"/>
  <c r="H20" i="25"/>
  <c r="G50" i="20"/>
  <c r="G242" i="18"/>
  <c r="G153" i="20"/>
  <c r="H171" i="25"/>
  <c r="G9" i="20"/>
  <c r="G60" i="22"/>
  <c r="G122" i="19"/>
  <c r="G59" i="21"/>
  <c r="G185" i="21"/>
  <c r="G375" i="24"/>
  <c r="G326" i="24"/>
  <c r="G143" i="26"/>
  <c r="G137" i="17"/>
  <c r="G16" i="18"/>
  <c r="G78" i="22"/>
  <c r="G193" i="18"/>
  <c r="G176" i="24"/>
  <c r="G29" i="20"/>
  <c r="G80" i="22"/>
  <c r="G181" i="23"/>
  <c r="G117" i="23"/>
  <c r="G126" i="26"/>
  <c r="H34" i="25"/>
  <c r="G142" i="24"/>
  <c r="H180" i="25"/>
  <c r="G297" i="24"/>
  <c r="G355" i="21"/>
  <c r="G110" i="15"/>
  <c r="G186" i="16"/>
  <c r="G149" i="26"/>
  <c r="G352" i="17"/>
  <c r="G137" i="20"/>
  <c r="G129" i="20"/>
  <c r="G13" i="17"/>
  <c r="G208" i="15"/>
  <c r="G128" i="23"/>
  <c r="H174" i="25"/>
  <c r="G288" i="19"/>
  <c r="G294" i="17"/>
  <c r="G193" i="24"/>
  <c r="G78" i="26"/>
  <c r="H112" i="25"/>
  <c r="G45" i="23"/>
  <c r="G77" i="18"/>
  <c r="G245" i="24"/>
  <c r="H2" i="25"/>
  <c r="G191" i="23"/>
  <c r="G327" i="24"/>
  <c r="G359" i="24"/>
  <c r="H8" i="25"/>
  <c r="G304" i="24"/>
  <c r="H162" i="25"/>
  <c r="G270" i="17"/>
  <c r="H183" i="25"/>
  <c r="G15" i="22"/>
  <c r="G88" i="23"/>
  <c r="G206" i="23"/>
  <c r="G22" i="19"/>
  <c r="G163" i="20"/>
  <c r="G295" i="17"/>
  <c r="G180" i="24"/>
  <c r="G47" i="23"/>
  <c r="G15" i="17"/>
  <c r="G262" i="19"/>
  <c r="H41" i="25"/>
  <c r="G12" i="26"/>
  <c r="G267" i="21"/>
  <c r="G300" i="16"/>
  <c r="G192" i="15"/>
  <c r="G285" i="17"/>
  <c r="H82" i="25"/>
  <c r="G254" i="23"/>
  <c r="G344" i="16"/>
  <c r="G361" i="21"/>
  <c r="G330" i="24"/>
  <c r="G256" i="19"/>
  <c r="G100" i="24"/>
  <c r="G302" i="17"/>
  <c r="G221" i="21"/>
  <c r="G341" i="21"/>
  <c r="G7" i="19"/>
  <c r="G99" i="23"/>
  <c r="H152" i="25"/>
  <c r="G70" i="23"/>
  <c r="G347" i="21"/>
  <c r="G248" i="21"/>
  <c r="H150" i="25"/>
  <c r="G76" i="26"/>
  <c r="G24" i="19"/>
  <c r="H28" i="25"/>
  <c r="G207" i="19"/>
  <c r="G357" i="17"/>
  <c r="G354" i="24"/>
  <c r="G47" i="21"/>
  <c r="G325" i="24"/>
  <c r="G120" i="19"/>
  <c r="H163" i="25"/>
  <c r="G381" i="21"/>
  <c r="G118" i="21"/>
  <c r="G63" i="26"/>
  <c r="G393" i="21"/>
  <c r="G7" i="22"/>
  <c r="G130" i="16"/>
  <c r="G90" i="22"/>
  <c r="G342" i="21"/>
  <c r="H62" i="25"/>
  <c r="H52" i="25"/>
  <c r="G293" i="21"/>
  <c r="G183" i="18"/>
  <c r="G389" i="24"/>
  <c r="G397" i="21"/>
  <c r="G112" i="21"/>
  <c r="G87" i="20"/>
  <c r="H143" i="25"/>
  <c r="G92" i="24"/>
  <c r="G184" i="23"/>
  <c r="G2" i="26"/>
  <c r="H50" i="25"/>
  <c r="H110" i="25"/>
  <c r="G38" i="24"/>
  <c r="G158" i="24"/>
  <c r="G167" i="21"/>
  <c r="G365" i="24"/>
  <c r="G34" i="26"/>
  <c r="G177" i="23"/>
  <c r="G94" i="24"/>
  <c r="G196" i="20"/>
  <c r="G123" i="18"/>
  <c r="G110" i="24"/>
  <c r="G188" i="21"/>
  <c r="H179" i="25"/>
  <c r="G114" i="14"/>
  <c r="G43" i="21"/>
  <c r="G43" i="24"/>
  <c r="G205" i="21"/>
  <c r="G9" i="26"/>
  <c r="G44" i="24"/>
  <c r="G7" i="23"/>
  <c r="G230" i="18"/>
  <c r="G129" i="23"/>
  <c r="G34" i="22"/>
  <c r="G195" i="23"/>
  <c r="G102" i="21"/>
  <c r="G50" i="23"/>
  <c r="G276" i="21"/>
  <c r="G13" i="26"/>
  <c r="G54" i="26"/>
  <c r="G261" i="17"/>
  <c r="G83" i="26"/>
  <c r="H182" i="25"/>
  <c r="G150" i="21"/>
  <c r="G348" i="21"/>
  <c r="G215" i="23"/>
  <c r="H97" i="25"/>
  <c r="G46" i="24"/>
  <c r="G118" i="24"/>
  <c r="G74" i="24"/>
  <c r="G8" i="23"/>
  <c r="G27" i="23"/>
  <c r="G350" i="21"/>
  <c r="G224" i="23"/>
  <c r="G343" i="24"/>
  <c r="G136" i="26"/>
  <c r="G241" i="23"/>
  <c r="G135" i="24"/>
  <c r="G70" i="22"/>
  <c r="G167" i="24"/>
  <c r="G385" i="24"/>
  <c r="G183" i="20"/>
  <c r="G83" i="24"/>
  <c r="G37" i="20"/>
  <c r="G177" i="14"/>
  <c r="G144" i="19"/>
  <c r="G118" i="15"/>
  <c r="G81" i="17"/>
  <c r="G55" i="20"/>
  <c r="G190" i="19"/>
  <c r="G6" i="22"/>
  <c r="G15" i="24"/>
  <c r="G224" i="21"/>
  <c r="H3" i="25"/>
  <c r="G26" i="24"/>
  <c r="G6" i="24"/>
  <c r="G257" i="23"/>
  <c r="G46" i="26"/>
  <c r="G132" i="24"/>
  <c r="G89" i="22"/>
  <c r="G101" i="22"/>
  <c r="G153" i="26"/>
  <c r="G173" i="18"/>
  <c r="G71" i="22"/>
  <c r="G98" i="23"/>
  <c r="G56" i="26"/>
  <c r="G214" i="19"/>
  <c r="H66" i="25"/>
  <c r="G79" i="22"/>
  <c r="G259" i="21"/>
  <c r="G42" i="23"/>
  <c r="G208" i="18"/>
  <c r="G67" i="20"/>
  <c r="G126" i="23"/>
  <c r="G294" i="24"/>
  <c r="G18" i="26"/>
  <c r="G67" i="23"/>
  <c r="G112" i="23"/>
  <c r="G175" i="18"/>
  <c r="G95" i="26"/>
  <c r="G265" i="24"/>
  <c r="G396" i="21"/>
  <c r="G382" i="21"/>
  <c r="G268" i="19"/>
  <c r="G50" i="22"/>
  <c r="G177" i="20"/>
  <c r="G195" i="24"/>
  <c r="G140" i="20"/>
  <c r="G210" i="23"/>
  <c r="H130" i="25"/>
  <c r="G293" i="24"/>
  <c r="G119" i="24"/>
  <c r="G81" i="26"/>
  <c r="G110" i="19"/>
  <c r="G127" i="24"/>
  <c r="G69" i="21"/>
  <c r="G317" i="24"/>
  <c r="G8" i="24"/>
  <c r="G197" i="24"/>
  <c r="G110" i="22"/>
  <c r="G195" i="21"/>
  <c r="G75" i="26"/>
  <c r="H70" i="25"/>
  <c r="H78" i="25"/>
  <c r="G197" i="23"/>
  <c r="G189" i="23"/>
  <c r="H111" i="25"/>
  <c r="G247" i="18"/>
  <c r="H29" i="25"/>
  <c r="G219" i="24"/>
  <c r="G118" i="19"/>
  <c r="G96" i="23"/>
  <c r="G386" i="24"/>
  <c r="G145" i="20"/>
  <c r="G161" i="18"/>
  <c r="G274" i="24"/>
  <c r="H138" i="25"/>
  <c r="G170" i="21"/>
  <c r="G159" i="26"/>
  <c r="G57" i="26"/>
  <c r="G309" i="24"/>
  <c r="G305" i="21"/>
  <c r="G56" i="19"/>
  <c r="G175" i="17"/>
  <c r="G218" i="19"/>
  <c r="G190" i="23"/>
  <c r="G240" i="18"/>
  <c r="G5" i="20"/>
  <c r="G152" i="26"/>
  <c r="G108" i="22"/>
  <c r="G150" i="19"/>
  <c r="G246" i="17"/>
  <c r="G34" i="16"/>
  <c r="G295" i="19"/>
  <c r="G59" i="22"/>
  <c r="H134" i="25"/>
  <c r="G228" i="24"/>
  <c r="G32" i="23"/>
  <c r="G378" i="21"/>
  <c r="G3" i="24"/>
  <c r="G75" i="24"/>
  <c r="G92" i="21"/>
  <c r="H95" i="25"/>
  <c r="G358" i="21"/>
  <c r="H139" i="25"/>
  <c r="G74" i="23"/>
  <c r="G151" i="21"/>
  <c r="H176" i="25"/>
  <c r="G314" i="21"/>
  <c r="G161" i="23"/>
  <c r="H113" i="25"/>
  <c r="H25" i="25"/>
  <c r="H131" i="25"/>
  <c r="H92" i="25"/>
  <c r="G27" i="20"/>
  <c r="G360" i="24"/>
  <c r="G32" i="21"/>
  <c r="H67" i="25"/>
  <c r="G133" i="24"/>
  <c r="G117" i="26"/>
  <c r="G5" i="26"/>
  <c r="G6" i="23"/>
  <c r="H115" i="25"/>
  <c r="G14" i="24"/>
  <c r="G86" i="22"/>
  <c r="G11" i="26"/>
  <c r="G235" i="23"/>
  <c r="G285" i="24"/>
  <c r="G248" i="19"/>
  <c r="H186" i="25"/>
  <c r="G180" i="23"/>
  <c r="G61" i="20"/>
  <c r="H126" i="25"/>
  <c r="G127" i="20"/>
  <c r="G364" i="21"/>
  <c r="G3" i="22"/>
  <c r="G242" i="21"/>
  <c r="G239" i="21"/>
  <c r="G363" i="24"/>
  <c r="G231" i="24"/>
  <c r="G64" i="26"/>
  <c r="G5" i="22"/>
  <c r="G81" i="23"/>
  <c r="G121" i="26"/>
  <c r="G154" i="24"/>
  <c r="G322" i="24"/>
  <c r="G163" i="26"/>
  <c r="G126" i="20"/>
  <c r="G55" i="26"/>
  <c r="G62" i="24"/>
  <c r="G94" i="18"/>
  <c r="G149" i="21"/>
  <c r="G152" i="23"/>
  <c r="G209" i="21"/>
  <c r="G16" i="24"/>
  <c r="G62" i="21"/>
  <c r="G302" i="24"/>
  <c r="G371" i="21"/>
  <c r="G216" i="16"/>
  <c r="H24" i="25"/>
  <c r="G13" i="23"/>
  <c r="G129" i="18"/>
  <c r="G7" i="24"/>
  <c r="G378" i="24"/>
  <c r="G91" i="23"/>
  <c r="G128" i="24"/>
  <c r="G62" i="22"/>
  <c r="H175" i="25"/>
  <c r="G215" i="24"/>
  <c r="G328" i="24"/>
  <c r="G5" i="21"/>
  <c r="G370" i="21"/>
  <c r="G174" i="20"/>
  <c r="G182" i="23"/>
  <c r="G40" i="24"/>
  <c r="G76" i="24"/>
  <c r="G304" i="21"/>
  <c r="G280" i="24"/>
  <c r="H154" i="25"/>
  <c r="G268" i="24"/>
  <c r="H99" i="25"/>
  <c r="G145" i="23"/>
  <c r="G28" i="26"/>
  <c r="G126" i="21"/>
  <c r="G101" i="20"/>
  <c r="G237" i="18"/>
  <c r="G182" i="19"/>
  <c r="G224" i="19"/>
  <c r="H158" i="25"/>
  <c r="G159" i="24"/>
  <c r="G17" i="24"/>
  <c r="G88" i="26"/>
  <c r="H132" i="25"/>
  <c r="G230" i="24"/>
  <c r="G228" i="19"/>
  <c r="G333" i="21"/>
  <c r="G114" i="23"/>
  <c r="G283" i="24"/>
  <c r="H165" i="25"/>
  <c r="G153" i="24"/>
  <c r="H164" i="25"/>
  <c r="H5" i="25"/>
  <c r="G86" i="19"/>
  <c r="G109" i="26"/>
  <c r="G54" i="24"/>
  <c r="G32" i="19"/>
  <c r="G139" i="24"/>
  <c r="G179" i="23"/>
  <c r="G252" i="21"/>
  <c r="G247" i="24"/>
  <c r="G110" i="26"/>
  <c r="H6" i="25"/>
  <c r="G71" i="24"/>
  <c r="G7" i="21"/>
  <c r="G92" i="26"/>
  <c r="G101" i="21"/>
  <c r="G162" i="26"/>
  <c r="H151" i="25"/>
  <c r="G260" i="24"/>
  <c r="H121" i="25"/>
  <c r="G286" i="24"/>
  <c r="G6" i="26"/>
  <c r="G143" i="20"/>
  <c r="G34" i="21"/>
  <c r="G135" i="26"/>
  <c r="G3" i="26"/>
  <c r="G141" i="23"/>
  <c r="H7" i="25"/>
  <c r="G342" i="24"/>
  <c r="G70" i="26"/>
  <c r="G150" i="20"/>
  <c r="H40" i="25"/>
  <c r="G244" i="21"/>
  <c r="G134" i="24"/>
  <c r="G33" i="18"/>
  <c r="G209" i="24"/>
  <c r="G65" i="26"/>
  <c r="H122" i="25"/>
  <c r="G97" i="20"/>
  <c r="G98" i="26"/>
  <c r="G220" i="24"/>
  <c r="G187" i="20"/>
  <c r="G66" i="26"/>
  <c r="H51" i="25"/>
  <c r="G126" i="24"/>
  <c r="G258" i="23"/>
  <c r="G141" i="26"/>
  <c r="H157" i="25"/>
  <c r="H72" i="25"/>
  <c r="H59" i="25"/>
  <c r="G362" i="24"/>
  <c r="G261" i="23"/>
  <c r="G157" i="26"/>
  <c r="G39" i="24"/>
  <c r="G229" i="24"/>
  <c r="H116" i="25"/>
  <c r="G25" i="21"/>
  <c r="G152" i="24"/>
  <c r="G367" i="24"/>
  <c r="H129" i="25"/>
  <c r="G323" i="21"/>
  <c r="G238" i="19"/>
  <c r="G212" i="23"/>
  <c r="H14" i="25"/>
  <c r="G65" i="23"/>
  <c r="G34" i="23"/>
  <c r="G46" i="19"/>
  <c r="G113" i="23"/>
  <c r="G310" i="24"/>
  <c r="G196" i="24"/>
  <c r="H141" i="25"/>
  <c r="H54" i="25"/>
  <c r="G140" i="26"/>
  <c r="G376" i="21"/>
  <c r="G134" i="23"/>
  <c r="G288" i="24"/>
  <c r="G43" i="26"/>
  <c r="G163" i="23"/>
  <c r="G87" i="26"/>
  <c r="G107" i="26"/>
  <c r="H36" i="25"/>
  <c r="G44" i="26"/>
  <c r="H77" i="25"/>
  <c r="G281" i="24"/>
  <c r="G347" i="24"/>
  <c r="G203" i="24"/>
  <c r="G373" i="24"/>
  <c r="G165" i="26"/>
  <c r="G89" i="21"/>
  <c r="G172" i="20"/>
  <c r="G179" i="24"/>
  <c r="G103" i="22"/>
  <c r="G57" i="23"/>
  <c r="H146" i="25"/>
  <c r="G132" i="26"/>
  <c r="G56" i="23"/>
  <c r="G188" i="24"/>
  <c r="G24" i="26"/>
  <c r="H19" i="25"/>
  <c r="H10" i="25"/>
  <c r="G202" i="24"/>
  <c r="G62" i="23"/>
  <c r="G223" i="23"/>
  <c r="H133" i="25"/>
  <c r="H49" i="25"/>
  <c r="H172" i="25"/>
  <c r="G369" i="21"/>
  <c r="G23" i="24"/>
  <c r="G82" i="23"/>
  <c r="G130" i="24"/>
  <c r="G129" i="24"/>
  <c r="G43" i="20"/>
  <c r="H18" i="25"/>
  <c r="H104" i="25"/>
  <c r="G192" i="24"/>
  <c r="G137" i="23"/>
  <c r="G112" i="24"/>
  <c r="G27" i="26"/>
  <c r="G364" i="24"/>
  <c r="H61" i="25"/>
  <c r="G78" i="24"/>
  <c r="H32" i="25"/>
  <c r="G32" i="22"/>
  <c r="G102" i="26"/>
  <c r="G13" i="20"/>
  <c r="G213" i="23"/>
  <c r="G25" i="20"/>
  <c r="G111" i="26"/>
  <c r="G38" i="21"/>
  <c r="G69" i="24"/>
  <c r="H181" i="25"/>
  <c r="H23" i="25"/>
  <c r="G321" i="24"/>
  <c r="G38" i="23"/>
  <c r="G170" i="24"/>
  <c r="G267" i="24"/>
  <c r="H106" i="25"/>
  <c r="H75" i="25"/>
  <c r="G127" i="26"/>
  <c r="G166" i="26"/>
  <c r="G19" i="22"/>
  <c r="G23" i="18"/>
  <c r="G41" i="23"/>
  <c r="G206" i="24"/>
  <c r="G131" i="24"/>
  <c r="G150" i="26"/>
  <c r="G368" i="24"/>
  <c r="G179" i="20"/>
  <c r="G4" i="26"/>
  <c r="G216" i="24"/>
  <c r="G331" i="21"/>
  <c r="H94" i="25"/>
  <c r="G108" i="26"/>
  <c r="G238" i="21"/>
  <c r="G335" i="21"/>
  <c r="G68" i="23"/>
  <c r="H13" i="25"/>
  <c r="G346" i="24"/>
  <c r="G45" i="24"/>
  <c r="G236" i="23"/>
  <c r="G215" i="18"/>
  <c r="G204" i="23"/>
  <c r="G35" i="24"/>
  <c r="G341" i="24"/>
  <c r="G108" i="23"/>
  <c r="G141" i="20"/>
  <c r="G12" i="19"/>
  <c r="G184" i="24"/>
  <c r="G356" i="24"/>
  <c r="H137" i="25"/>
  <c r="G376" i="24"/>
  <c r="G240" i="23"/>
  <c r="G133" i="23"/>
  <c r="G50" i="26"/>
  <c r="G87" i="24"/>
  <c r="G104" i="26"/>
  <c r="G331" i="24"/>
  <c r="G302" i="19"/>
  <c r="G344" i="24"/>
  <c r="H187" i="25"/>
  <c r="G181" i="24"/>
  <c r="H21" i="25"/>
  <c r="G308" i="21"/>
  <c r="H9" i="25"/>
  <c r="G16" i="26"/>
  <c r="G136" i="23"/>
  <c r="G269" i="24"/>
  <c r="G182" i="24"/>
  <c r="G64" i="24"/>
  <c r="G67" i="24"/>
  <c r="G74" i="26"/>
  <c r="G23" i="26"/>
</calcChain>
</file>

<file path=xl/sharedStrings.xml><?xml version="1.0" encoding="utf-8"?>
<sst xmlns="http://schemas.openxmlformats.org/spreadsheetml/2006/main" count="11472" uniqueCount="9068">
  <si>
    <t>CategoryId</t>
  </si>
  <si>
    <t>CategoryName</t>
  </si>
  <si>
    <t>CategoryPath</t>
  </si>
  <si>
    <t>CategoryIdPath</t>
  </si>
  <si>
    <t>被災地支援チャリティー</t>
  </si>
  <si>
    <t>オークション &gt; チャリティー &gt; 被災地支援チャリティー</t>
  </si>
  <si>
    <t>0,2084217893,2084292253</t>
  </si>
  <si>
    <t>スポーツ選手</t>
  </si>
  <si>
    <t>オークション &gt; チャリティー &gt; スポーツ選手</t>
  </si>
  <si>
    <t>0,2084217893,2084217894</t>
  </si>
  <si>
    <t>タレント</t>
  </si>
  <si>
    <t>オークション &gt; チャリティー &gt; タレント</t>
  </si>
  <si>
    <t>0,2084217893,2084217895</t>
  </si>
  <si>
    <t>ミュージシャン</t>
  </si>
  <si>
    <t>オークション &gt; チャリティー &gt; ミュージシャン</t>
  </si>
  <si>
    <t>0,2084217893,2084217896</t>
  </si>
  <si>
    <t>その他</t>
  </si>
  <si>
    <t>オークション &gt; チャリティー &gt; その他</t>
  </si>
  <si>
    <t>0,2084217893,2084217897</t>
  </si>
  <si>
    <t>マンション</t>
  </si>
  <si>
    <t>オークション &gt; 不動産 &gt; マンション</t>
  </si>
  <si>
    <t>0,2084060731,2084060732</t>
  </si>
  <si>
    <t>一戸建て</t>
  </si>
  <si>
    <t>オークション &gt; 不動産 &gt; 一戸建て</t>
  </si>
  <si>
    <t>0,2084060731,2084060733</t>
  </si>
  <si>
    <t>土地</t>
  </si>
  <si>
    <t>オークション &gt; 不動産 &gt; 土地</t>
  </si>
  <si>
    <t>0,2084060731,2084060734</t>
  </si>
  <si>
    <t>投資向け不動産</t>
  </si>
  <si>
    <t>オークション &gt; 不動産 &gt; 投資向け不動産</t>
  </si>
  <si>
    <t>0,2084060731,2084063926</t>
  </si>
  <si>
    <t>スペースレンタル</t>
  </si>
  <si>
    <t>オークション &gt; 不動産 &gt; スペースレンタル</t>
  </si>
  <si>
    <t>0,2084060731,2084307775</t>
  </si>
  <si>
    <t>レンタル</t>
  </si>
  <si>
    <t>オークション &gt; 不動産 &gt; レンタル</t>
  </si>
  <si>
    <t>0,2084060731,2084307780</t>
  </si>
  <si>
    <t>オークション &gt; 不動産 &gt; その他</t>
  </si>
  <si>
    <t>0,2084060731,2084060735</t>
  </si>
  <si>
    <t>北海道</t>
  </si>
  <si>
    <t>オークション &gt; 不動産 &gt; マンション &gt; 北海道</t>
  </si>
  <si>
    <t>0,2084060731,2084060732,2084060736</t>
  </si>
  <si>
    <t>東北</t>
  </si>
  <si>
    <t>オークション &gt; 不動産 &gt; マンション &gt; 東北</t>
  </si>
  <si>
    <t>0,2084060731,2084060732,2084060737</t>
  </si>
  <si>
    <t>関東</t>
  </si>
  <si>
    <t>オークション &gt; 不動産 &gt; マンション &gt; 関東</t>
  </si>
  <si>
    <t>0,2084060731,2084060732,2084060738</t>
  </si>
  <si>
    <t>信越</t>
  </si>
  <si>
    <t>オークション &gt; 不動産 &gt; マンション &gt; 信越</t>
  </si>
  <si>
    <t>0,2084060731,2084060732,2084060739</t>
  </si>
  <si>
    <t>北陸</t>
  </si>
  <si>
    <t>オークション &gt; 不動産 &gt; マンション &gt; 北陸</t>
  </si>
  <si>
    <t>0,2084060731,2084060732,2084060740</t>
  </si>
  <si>
    <t>東海</t>
  </si>
  <si>
    <t>オークション &gt; 不動産 &gt; マンション &gt; 東海</t>
  </si>
  <si>
    <t>0,2084060731,2084060732,2084060741</t>
  </si>
  <si>
    <t>近畿</t>
  </si>
  <si>
    <t>オークション &gt; 不動産 &gt; マンション &gt; 近畿</t>
  </si>
  <si>
    <t>0,2084060731,2084060732,2084060742</t>
  </si>
  <si>
    <t>中国</t>
  </si>
  <si>
    <t>オークション &gt; 不動産 &gt; マンション &gt; 中国</t>
  </si>
  <si>
    <t>0,2084060731,2084060732,2084060743</t>
  </si>
  <si>
    <t>四国</t>
  </si>
  <si>
    <t>オークション &gt; 不動産 &gt; マンション &gt; 四国</t>
  </si>
  <si>
    <t>0,2084060731,2084060732,2084060744</t>
  </si>
  <si>
    <t>九州</t>
  </si>
  <si>
    <t>オークション &gt; 不動産 &gt; マンション &gt; 九州</t>
  </si>
  <si>
    <t>0,2084060731,2084060732,2084060745</t>
  </si>
  <si>
    <t>沖縄県</t>
  </si>
  <si>
    <t>オークション &gt; 不動産 &gt; マンション &gt; 沖縄県</t>
  </si>
  <si>
    <t>0,2084060731,2084060732,2084060746</t>
  </si>
  <si>
    <t>海外</t>
  </si>
  <si>
    <t>オークション &gt; 不動産 &gt; マンション &gt; 海外</t>
  </si>
  <si>
    <t>0,2084060731,2084060732,2084060747</t>
  </si>
  <si>
    <t>オークション &gt; 不動産 &gt; 一戸建て &gt; 北海道</t>
  </si>
  <si>
    <t>0,2084060731,2084060733,2084060748</t>
  </si>
  <si>
    <t>オークション &gt; 不動産 &gt; 一戸建て &gt; 東北</t>
  </si>
  <si>
    <t>0,2084060731,2084060733,2084060749</t>
  </si>
  <si>
    <t>オークション &gt; 不動産 &gt; 一戸建て &gt; 関東</t>
  </si>
  <si>
    <t>0,2084060731,2084060733,2084060750</t>
  </si>
  <si>
    <t>オークション &gt; 不動産 &gt; 一戸建て &gt; 信越</t>
  </si>
  <si>
    <t>0,2084060731,2084060733,2084060751</t>
  </si>
  <si>
    <t>オークション &gt; 不動産 &gt; 一戸建て &gt; 北陸</t>
  </si>
  <si>
    <t>0,2084060731,2084060733,2084060752</t>
  </si>
  <si>
    <t>オークション &gt; 不動産 &gt; 一戸建て &gt; 東海</t>
  </si>
  <si>
    <t>0,2084060731,2084060733,2084060753</t>
  </si>
  <si>
    <t>オークション &gt; 不動産 &gt; 一戸建て &gt; 近畿</t>
  </si>
  <si>
    <t>0,2084060731,2084060733,2084060754</t>
  </si>
  <si>
    <t>オークション &gt; 不動産 &gt; 一戸建て &gt; 中国</t>
  </si>
  <si>
    <t>0,2084060731,2084060733,2084060755</t>
  </si>
  <si>
    <t>オークション &gt; 不動産 &gt; 一戸建て &gt; 四国</t>
  </si>
  <si>
    <t>0,2084060731,2084060733,2084060756</t>
  </si>
  <si>
    <t>オークション &gt; 不動産 &gt; 一戸建て &gt; 九州</t>
  </si>
  <si>
    <t>0,2084060731,2084060733,2084060757</t>
  </si>
  <si>
    <t>オークション &gt; 不動産 &gt; 一戸建て &gt; 沖縄県</t>
  </si>
  <si>
    <t>0,2084060731,2084060733,2084060758</t>
  </si>
  <si>
    <t>オークション &gt; 不動産 &gt; 一戸建て &gt; 海外</t>
  </si>
  <si>
    <t>0,2084060731,2084060733,2084060759</t>
  </si>
  <si>
    <t>オークション &gt; 不動産 &gt; 土地 &gt; 北海道</t>
  </si>
  <si>
    <t>0,2084060731,2084060734,2084060760</t>
  </si>
  <si>
    <t>オークション &gt; 不動産 &gt; 土地 &gt; 東北</t>
  </si>
  <si>
    <t>0,2084060731,2084060734,2084060761</t>
  </si>
  <si>
    <t>オークション &gt; 不動産 &gt; 土地 &gt; 関東</t>
  </si>
  <si>
    <t>0,2084060731,2084060734,2084060762</t>
  </si>
  <si>
    <t>オークション &gt; 不動産 &gt; 土地 &gt; 信越</t>
  </si>
  <si>
    <t>0,2084060731,2084060734,2084060763</t>
  </si>
  <si>
    <t>オークション &gt; 不動産 &gt; 土地 &gt; 北陸</t>
  </si>
  <si>
    <t>0,2084060731,2084060734,2084060764</t>
  </si>
  <si>
    <t>オークション &gt; 不動産 &gt; 土地 &gt; 東海</t>
  </si>
  <si>
    <t>0,2084060731,2084060734,2084060765</t>
  </si>
  <si>
    <t>オークション &gt; 不動産 &gt; 土地 &gt; 近畿</t>
  </si>
  <si>
    <t>0,2084060731,2084060734,2084060766</t>
  </si>
  <si>
    <t>オークション &gt; 不動産 &gt; 土地 &gt; 中国</t>
  </si>
  <si>
    <t>0,2084060731,2084060734,2084060767</t>
  </si>
  <si>
    <t>オークション &gt; 不動産 &gt; 土地 &gt; 四国</t>
  </si>
  <si>
    <t>0,2084060731,2084060734,2084060768</t>
  </si>
  <si>
    <t>オークション &gt; その他 &gt; レンタル</t>
  </si>
  <si>
    <t>0,26084,2084307720</t>
  </si>
  <si>
    <t>B2</t>
  </si>
  <si>
    <t>オークション &gt; 不動産 &gt; 土地 &gt; 九州</t>
  </si>
  <si>
    <t>0,2084060731,2084060734,2084060769</t>
  </si>
  <si>
    <t>C2</t>
  </si>
  <si>
    <t>オークション &gt; 不動産 &gt; 土地 &gt; 沖縄県</t>
  </si>
  <si>
    <t>0,2084060731,2084060734,2084060770</t>
  </si>
  <si>
    <t>オークション &gt; 不動産 &gt; 土地 &gt; 海外</t>
  </si>
  <si>
    <t>0,2084060731,2084060734,2084060771</t>
  </si>
  <si>
    <t>コンピュータ</t>
  </si>
  <si>
    <t>スキル、知識</t>
  </si>
  <si>
    <t>オークション &gt; その他 &gt; スキル、知識</t>
  </si>
  <si>
    <t>0,26084,2084307721</t>
  </si>
  <si>
    <t>オークション &gt; コンピュータ</t>
  </si>
  <si>
    <t>0,23336</t>
  </si>
  <si>
    <t>修理、取り付け</t>
  </si>
  <si>
    <t>オークション &gt; その他 &gt; 修理、取り付け</t>
  </si>
  <si>
    <t>0,26084,2084214140</t>
  </si>
  <si>
    <t>オフィス、店舗</t>
  </si>
  <si>
    <t>オークション &gt; その他 &gt; レンタル &gt; スペース &gt; オフィス、店舗</t>
  </si>
  <si>
    <t>家電、AV、カメラ</t>
  </si>
  <si>
    <t>ネタ</t>
  </si>
  <si>
    <t>0,26084,2084307720,2084307775,2084307776</t>
  </si>
  <si>
    <t>オークション &gt; 家電、AV、カメ</t>
  </si>
  <si>
    <t>0,23632</t>
  </si>
  <si>
    <t>オークション &gt; その他 &gt; ネタ</t>
  </si>
  <si>
    <t>0,26084,2084241301</t>
  </si>
  <si>
    <t>会議室</t>
  </si>
  <si>
    <t>オークション &gt; その他 &gt; レンタル &gt; スペース &gt; 会議室</t>
  </si>
  <si>
    <t>情報</t>
  </si>
  <si>
    <t>0,26084,2084307720,2084307775,2084307777</t>
  </si>
  <si>
    <t>オークション &gt; その他 &gt; 情報</t>
  </si>
  <si>
    <t>音楽</t>
  </si>
  <si>
    <t>0,26084,2084053052</t>
  </si>
  <si>
    <t>オークション &gt; 音楽</t>
  </si>
  <si>
    <t>0,22152</t>
  </si>
  <si>
    <t>駐車場</t>
  </si>
  <si>
    <t>オークション &gt; その他 &gt; レンタル &gt; スペース &gt; 駐車場</t>
  </si>
  <si>
    <t>0,26084,2084307720,2084307775,2084307778</t>
  </si>
  <si>
    <t>倉庫</t>
  </si>
  <si>
    <t>オークション &gt; その他 &gt; レンタル &gt; スペース &gt; 倉庫</t>
  </si>
  <si>
    <t>0,26084,2084307720,2084307775,2084307779</t>
  </si>
  <si>
    <t>オークション &gt; その他 &gt; その他</t>
  </si>
  <si>
    <t>0,26084,26395</t>
  </si>
  <si>
    <t>本、雑誌</t>
  </si>
  <si>
    <t>オークション &gt; 本、雑誌</t>
  </si>
  <si>
    <t>0,21600</t>
  </si>
  <si>
    <t>スポーツ、レジャー</t>
  </si>
  <si>
    <t>オークション &gt; その他 &gt; レンタル &gt; スポーツ、レジャー</t>
  </si>
  <si>
    <t>別荘</t>
  </si>
  <si>
    <t>映画、ビデオ</t>
  </si>
  <si>
    <t>0,26084,2084307720,2084307762</t>
  </si>
  <si>
    <t>オークション &gt; その他 &gt; レンタル &gt; 不動産 &gt; 別荘</t>
  </si>
  <si>
    <t>0,26084,2084307720,2084307780,2084307781</t>
  </si>
  <si>
    <t>オークション &gt; 映画、ビデオ</t>
  </si>
  <si>
    <t>0,21964</t>
  </si>
  <si>
    <t>ファッション</t>
  </si>
  <si>
    <t>オークション &gt; その他 &gt; レンタル &gt; ファッション</t>
  </si>
  <si>
    <t>0,26084,2084307720,2084307769</t>
  </si>
  <si>
    <t>持ち家</t>
  </si>
  <si>
    <t>オークション &gt; その他 &gt; レンタル &gt; 不動産 &gt; 持ち家</t>
  </si>
  <si>
    <t>スペース</t>
  </si>
  <si>
    <t>0,26084,2084307720,2084307780,2084307782</t>
  </si>
  <si>
    <t>オークション &gt; その他 &gt; レンタル &gt; スペース</t>
  </si>
  <si>
    <t>0,26084,2084307720,2084307775</t>
  </si>
  <si>
    <t>不動産</t>
  </si>
  <si>
    <t>おもちゃ、ゲーム</t>
  </si>
  <si>
    <t>オークション &gt; その他 &gt; レンタル &gt; 不動産</t>
  </si>
  <si>
    <t>オークション &gt; おもちゃ、ゲーム</t>
  </si>
  <si>
    <t>0,26084,2084307720,2084307780</t>
  </si>
  <si>
    <t>0,25464</t>
  </si>
  <si>
    <t>カメラ</t>
  </si>
  <si>
    <t>オークション &gt; その他 &gt; レンタル &gt; カメラ</t>
  </si>
  <si>
    <t>0,26084,2084307720,2084307785</t>
  </si>
  <si>
    <t>おもちゃ、ゲーム、コスプレ</t>
  </si>
  <si>
    <t>オークション &gt; その他 &gt; レンタル &gt; おもちゃ、ゲーム、コスプレ</t>
  </si>
  <si>
    <t>0,26084,2084307720,2084310199</t>
  </si>
  <si>
    <t>ホビー、カルチャー</t>
  </si>
  <si>
    <t>オークション &gt; ホビー、カルチャー</t>
  </si>
  <si>
    <t>オークション &gt; 不動産 &gt; その他 &gt; 北海道</t>
  </si>
  <si>
    <t>絵画、工芸品</t>
  </si>
  <si>
    <t>0,24242</t>
  </si>
  <si>
    <t>0,2084060731,2084060735,2084060772</t>
  </si>
  <si>
    <t>オークション &gt; その他 &gt; レンタル &gt; 絵画、工芸品</t>
  </si>
  <si>
    <t>0,26084,2084307720,2084307788</t>
  </si>
  <si>
    <t>オークション &gt; 不動産 &gt; その他 &gt; 東北</t>
  </si>
  <si>
    <t>0,2084060731,2084060735,2084060773</t>
  </si>
  <si>
    <t>アンティーク、コレクション</t>
  </si>
  <si>
    <t>オークション &gt; アンティーク、コレクション</t>
  </si>
  <si>
    <t>0,20000</t>
  </si>
  <si>
    <t>オークション &gt; 不動産 &gt; その他 &gt; 関東</t>
  </si>
  <si>
    <t>楽器</t>
  </si>
  <si>
    <t>0,2084060731,2084060735,2084060774</t>
  </si>
  <si>
    <t>オークション &gt; その他 &gt; レンタル &gt; 楽器</t>
  </si>
  <si>
    <t>0,26084,2084307720,2084307790</t>
  </si>
  <si>
    <t>事務、店舗用品</t>
  </si>
  <si>
    <t>オークション &gt; その他 &gt; レンタル &gt; 事務、店舗用品</t>
  </si>
  <si>
    <t>オークション &gt; 不動産 &gt; その他 &gt; 信越</t>
  </si>
  <si>
    <t>0,26084,2084307720,2084307793</t>
  </si>
  <si>
    <t>0,2084060731,2084060735,2084060775</t>
  </si>
  <si>
    <t>オークション &gt; スポーツ、レジャー</t>
  </si>
  <si>
    <t>0,24698</t>
  </si>
  <si>
    <t>住まい、インテリア</t>
  </si>
  <si>
    <t>オークション &gt; 不動産 &gt; その他 &gt; 北陸</t>
  </si>
  <si>
    <t>0,2084060731,2084060735,2084060776</t>
  </si>
  <si>
    <t>オークション &gt; その他 &gt; レンタル &gt; 住まい、インテリア</t>
  </si>
  <si>
    <t>0,26084,2084307720,2084307797</t>
  </si>
  <si>
    <t>自動車、オートバイ</t>
  </si>
  <si>
    <t>オークション &gt; 不動産 &gt; その他 &gt; 東海</t>
  </si>
  <si>
    <t>0,2084060731,2084060735,2084060777</t>
  </si>
  <si>
    <r>
      <t>&gt;</t>
    </r>
    <r>
      <rPr>
        <sz val="8"/>
        <color rgb="FF000000"/>
        <rFont val="Courier New"/>
        <family val="3"/>
      </rPr>
      <t>オークション &gt; 自動車、オートバイ</t>
    </r>
  </si>
  <si>
    <t>コンテンツ制作</t>
  </si>
  <si>
    <t>オークション &gt; その他 &gt; スキル、知識 &gt; コンテンツ制作</t>
  </si>
  <si>
    <t>0,26084,2084307721,2084307729</t>
  </si>
  <si>
    <t>オークション &gt; 不動産 &gt; その他 &gt; 近畿</t>
  </si>
  <si>
    <t>0,2084060731,2084060735,2084060778</t>
  </si>
  <si>
    <t>学習、レッスン</t>
  </si>
  <si>
    <t>オークション &gt; その他 &gt; スキル、知識 &gt; 学習、レッスン</t>
  </si>
  <si>
    <t>0,26084,2084307721,2084307740</t>
  </si>
  <si>
    <t>オークション &gt; 不動産 &gt; その他 &gt; 中国</t>
  </si>
  <si>
    <t>0,2084060731,2084060735,2084060779</t>
  </si>
  <si>
    <t>エンタメ</t>
  </si>
  <si>
    <t>オークション &gt; その他 &gt; スキル、知識 &gt; エンタメ</t>
  </si>
  <si>
    <t>0,26084,2084307721,2084307746</t>
  </si>
  <si>
    <t>オークション &gt; 不動産 &gt; その他 &gt; 四国</t>
  </si>
  <si>
    <t>代行</t>
  </si>
  <si>
    <t>0,2084060731,2084060735,2084060780</t>
  </si>
  <si>
    <t>オークション &gt; その他 &gt; スキル、知識 &gt; 代行</t>
  </si>
  <si>
    <t>0,26084,2084307721,2084307757</t>
  </si>
  <si>
    <t>相談</t>
  </si>
  <si>
    <t>オークション &gt; その他 &gt; スキル、知識 &gt; 相談</t>
  </si>
  <si>
    <t>0,26084,2084307721,2084310205</t>
  </si>
  <si>
    <t>オークション &gt; 不動産 &gt; その他 &gt; 九州</t>
  </si>
  <si>
    <t>0,2084060731,2084060735,2084060781</t>
  </si>
  <si>
    <t>オークション &gt; ファッション</t>
  </si>
  <si>
    <t>オークション &gt; 不動産 &gt; その他 &gt; 沖縄県</t>
  </si>
  <si>
    <t>0,2084060731,2084060735,2084060783</t>
  </si>
  <si>
    <t>オークション &gt; 不動産 &gt; その他 &gt; 海外</t>
  </si>
  <si>
    <t>0,2084060731,2084060735,2084060784</t>
  </si>
  <si>
    <t>オークション &gt; その他 &gt; 修理、取り付け &gt; 自動車、オートバイ</t>
  </si>
  <si>
    <t>0,26084,2084214140,2084214141</t>
  </si>
  <si>
    <t>ファッション、時計</t>
  </si>
  <si>
    <t>オークション &gt; その他 &gt; 修理、取り付け &gt; ファッション、時計</t>
  </si>
  <si>
    <t>0,26084,2084214140,2084310213</t>
  </si>
  <si>
    <t>スポーツ</t>
  </si>
  <si>
    <t>オークション &gt; その他 &gt; 修理、取り付け &gt; スポーツ</t>
  </si>
  <si>
    <t>アクセサリー、時計</t>
  </si>
  <si>
    <t>0,26084,2084214140,2084307813</t>
  </si>
  <si>
    <t>オークション &gt; アクセサリー、時</t>
  </si>
  <si>
    <t>楽器リペア、改造</t>
  </si>
  <si>
    <t>オークション &gt; その他 &gt; 修理、取り付け &gt; 楽器リペア、改造</t>
  </si>
  <si>
    <t>0,26084,2084214140,2084307822</t>
  </si>
  <si>
    <t>オークション &gt; その他 &gt; 修理、取り付け &gt; おもちゃ、ゲーム</t>
  </si>
  <si>
    <t>0,26084,2084214140,2084310214</t>
  </si>
  <si>
    <t>ビューティー、ヘルスケア</t>
  </si>
  <si>
    <t>オークション &gt; ビューティー、ヘルスケア</t>
  </si>
  <si>
    <t>食品、飲料</t>
  </si>
  <si>
    <t>オークション &gt; 食品、飲料</t>
  </si>
  <si>
    <t>オークション &gt; 住まい、インテリア</t>
  </si>
  <si>
    <t>コスプレ衣装</t>
  </si>
  <si>
    <t>オークション &gt; コミック、アニメグッズ &gt; コスプレ衣装</t>
  </si>
  <si>
    <t>人、グループ別</t>
  </si>
  <si>
    <t>0,20060,2084062134</t>
  </si>
  <si>
    <t>オークション &gt; タレントグッズ &gt; 人、グループ別</t>
  </si>
  <si>
    <t>0,2084032594,2084047071</t>
  </si>
  <si>
    <t>うちわ</t>
  </si>
  <si>
    <t>オークション &gt; タレントグッズ &gt; うちわ</t>
  </si>
  <si>
    <t>ペット、生き物</t>
  </si>
  <si>
    <t>作品別</t>
  </si>
  <si>
    <t>0,2084032594,2084047082</t>
  </si>
  <si>
    <t>オークション &gt; ペット、生き物</t>
  </si>
  <si>
    <t>オークション &gt; コミック、アニメグッズ &gt; 作品別</t>
  </si>
  <si>
    <t>0,20060,2084000109</t>
  </si>
  <si>
    <t>アイドルDVD</t>
  </si>
  <si>
    <t>オークション &gt; タレントグッズ &gt; アイドルDVD</t>
  </si>
  <si>
    <t>0,2084032594,2084046976</t>
  </si>
  <si>
    <t>サイン、直筆画</t>
  </si>
  <si>
    <t>オークション &gt; コミック、アニメグッズ &gt; サイン、直筆画</t>
  </si>
  <si>
    <t>0,20060,2084050909</t>
  </si>
  <si>
    <t>アイドルビデオ</t>
  </si>
  <si>
    <t>オークション &gt; タレントグッズ &gt; アイドルビデオ</t>
  </si>
  <si>
    <t>0,2084032594,2084046984</t>
  </si>
  <si>
    <t>手描きイラスト</t>
  </si>
  <si>
    <t>オークション &gt; コミック、アニメグッズ &gt; 手描きイラスト</t>
  </si>
  <si>
    <t>0,20060,2084313425</t>
  </si>
  <si>
    <t>カレンダー</t>
  </si>
  <si>
    <t>オークション &gt; タレントグッズ &gt; カレンダー</t>
  </si>
  <si>
    <t>0,2084032594,2084006157</t>
  </si>
  <si>
    <t>キーホルダー</t>
  </si>
  <si>
    <t>オークション &gt; タレントグッズ &gt; キーホルダー</t>
  </si>
  <si>
    <t>0,2084032594,2084037536</t>
  </si>
  <si>
    <t>オークション &gt; 事務、店舗用品</t>
  </si>
  <si>
    <t>クリアファイル</t>
  </si>
  <si>
    <t>オークション &gt; タレントグッズ &gt; クリアファイル</t>
  </si>
  <si>
    <t>オークション &gt; コミック、アニメグッズ &gt; クリアファイル</t>
  </si>
  <si>
    <t>0,20060,2084313426</t>
  </si>
  <si>
    <t>0,2084032594,2084309464</t>
  </si>
  <si>
    <t>バッジ</t>
  </si>
  <si>
    <t>オークション &gt; コミック、アニメグッズ &gt; バッジ</t>
  </si>
  <si>
    <t>0,20060,2084313427</t>
  </si>
  <si>
    <t>花、園芸</t>
  </si>
  <si>
    <t>オークション &gt; 花、園芸</t>
  </si>
  <si>
    <t>タペストリー</t>
  </si>
  <si>
    <t>オークション &gt; コミック、アニメグッズ &gt; タペストリー</t>
  </si>
  <si>
    <t>0,20060,2084313428</t>
  </si>
  <si>
    <t>タオル</t>
  </si>
  <si>
    <t>携帯ストラップ</t>
  </si>
  <si>
    <t>オークション &gt; コミック、アニメグッズ &gt; タオル</t>
  </si>
  <si>
    <t>オークション &gt; タレントグッズ &gt; 携帯ストラップ</t>
  </si>
  <si>
    <t>0,20060,2084313429</t>
  </si>
  <si>
    <t>0,2084032594,2084040530</t>
  </si>
  <si>
    <t>ステッカー</t>
  </si>
  <si>
    <t>オークション &gt; コミック、アニメグッズ &gt; ステッカー</t>
  </si>
  <si>
    <t>切り抜き</t>
  </si>
  <si>
    <t>0,20060,2084006021</t>
  </si>
  <si>
    <t>オークション &gt; タレントグッズ &gt; 切り抜き</t>
  </si>
  <si>
    <t>0,2084032594,2084006160</t>
  </si>
  <si>
    <t>オークション &gt; コミック、アニメグッズ &gt; キーホルダー</t>
  </si>
  <si>
    <t>0,20060,2084037544</t>
  </si>
  <si>
    <t>チケット、金券、宿泊予約</t>
  </si>
  <si>
    <t>オークション &gt; チケット、金券、宿泊予約</t>
  </si>
  <si>
    <t>サイン</t>
  </si>
  <si>
    <t>オークション &gt; タレントグッズ &gt; サイン</t>
  </si>
  <si>
    <t>0,2084032594,2084047075</t>
  </si>
  <si>
    <t>セル画</t>
  </si>
  <si>
    <t>オークション &gt; コミック、アニメグッズ &gt; セル画</t>
  </si>
  <si>
    <t>0,20060,2084005356</t>
  </si>
  <si>
    <t>オークション &gt; タレントグッズ &gt; ステッカー</t>
  </si>
  <si>
    <t>0,2084032594,2084047076</t>
  </si>
  <si>
    <t>ベビー用品</t>
  </si>
  <si>
    <t>オークション &gt; ベビー用品</t>
  </si>
  <si>
    <t>抱き枕</t>
  </si>
  <si>
    <t>オークション &gt; コミック、アニメグッズ &gt; 抱き枕</t>
  </si>
  <si>
    <t>雑誌</t>
  </si>
  <si>
    <t>オークション &gt; タレントグッズ &gt; 雑誌</t>
  </si>
  <si>
    <t>0,20060,2084297891</t>
  </si>
  <si>
    <t>0,2084032594,2084008066</t>
  </si>
  <si>
    <t>写真</t>
  </si>
  <si>
    <t>オークション &gt; タレントグッズ &gt; 写真</t>
  </si>
  <si>
    <t>フィギュア</t>
  </si>
  <si>
    <t>0,2084032594,2084047081</t>
  </si>
  <si>
    <t>オークション &gt; コミック、アニメグッズ &gt; フィギュア</t>
  </si>
  <si>
    <t>0,20060,25888</t>
  </si>
  <si>
    <t>タレントグッズ</t>
  </si>
  <si>
    <t>オークション &gt; タレントグッズ</t>
  </si>
  <si>
    <t>Tシャツ、シャツ</t>
  </si>
  <si>
    <t>プラモデル</t>
  </si>
  <si>
    <t>オークション &gt; タレントグッズ &gt; Tシャツ、シャツ</t>
  </si>
  <si>
    <t>オークション &gt; コミック、アニメグッズ &gt; プラモデル</t>
  </si>
  <si>
    <t>0,2084032594,2084309463</t>
  </si>
  <si>
    <t>0,20060,2084250334</t>
  </si>
  <si>
    <t>コミック、アニメグッズ</t>
  </si>
  <si>
    <t>オークション &gt; コミック、アニメグッズ</t>
  </si>
  <si>
    <t>タレント本</t>
  </si>
  <si>
    <t>オークション &gt; タレントグッズ &gt; タレント本</t>
  </si>
  <si>
    <t>0,2084032594,2084009038</t>
  </si>
  <si>
    <t>オークション &gt; 不動産</t>
  </si>
  <si>
    <t>コミック本</t>
  </si>
  <si>
    <t>オークション &gt; コミック、アニメグッズ &gt; コミック本</t>
  </si>
  <si>
    <t>0,20060,21636</t>
  </si>
  <si>
    <t>チケット</t>
  </si>
  <si>
    <t>オークション &gt; タレントグッズ &gt; チケット</t>
  </si>
  <si>
    <t>DVD</t>
  </si>
  <si>
    <t>オークション &gt; コミック、アニメグッズ &gt; DVD</t>
  </si>
  <si>
    <t>チャリティー</t>
  </si>
  <si>
    <t>0,20060,21976</t>
  </si>
  <si>
    <t>オークション &gt; チャリティー</t>
  </si>
  <si>
    <t>0,2084032594,22748</t>
  </si>
  <si>
    <t>ビデオ</t>
  </si>
  <si>
    <t>オークション &gt; コミック、アニメグッズ &gt; ビデオ</t>
  </si>
  <si>
    <t>0,20060,22080</t>
  </si>
  <si>
    <t>テレホンカード</t>
  </si>
  <si>
    <t>オークション &gt; タレントグッズ &gt; テレホンカード</t>
  </si>
  <si>
    <t>0,2084032594,2084005109</t>
  </si>
  <si>
    <t>オークション &gt; その他</t>
  </si>
  <si>
    <t>レーザーディスク</t>
  </si>
  <si>
    <t>オークション &gt; コミック、アニメグッズ &gt; レーザーディスク</t>
  </si>
  <si>
    <t>0,20060,22028</t>
  </si>
  <si>
    <t>トレーディングカード</t>
  </si>
  <si>
    <t>オークション &gt; タレントグッズ &gt; トレーディングカード</t>
  </si>
  <si>
    <t>0,2084032594,2084006042</t>
  </si>
  <si>
    <t>VCD</t>
  </si>
  <si>
    <t>オークション &gt; コミック、アニメグッズ &gt; VCD</t>
  </si>
  <si>
    <t>0,20060,2084041458</t>
  </si>
  <si>
    <t>クオカード</t>
  </si>
  <si>
    <t>オークション &gt; タレントグッズ &gt; クオカード</t>
  </si>
  <si>
    <t>0,2084032594,2084046717</t>
  </si>
  <si>
    <t>音楽CD</t>
  </si>
  <si>
    <t>オークション &gt; コミック、アニメグッズ &gt; 音楽CD</t>
  </si>
  <si>
    <t>0,20060,2084005149</t>
  </si>
  <si>
    <t>ファンクラブ会報</t>
  </si>
  <si>
    <t>オークション &gt; タレントグッズ &gt; ファンクラブ会報</t>
  </si>
  <si>
    <t>レコード</t>
  </si>
  <si>
    <t>0,2084032594,2084047091</t>
  </si>
  <si>
    <t>オークション &gt; コミック、アニメグッズ &gt; レコード</t>
  </si>
  <si>
    <t>0,20060,2084007037</t>
  </si>
  <si>
    <t>カセットテープ</t>
  </si>
  <si>
    <t>オークション &gt; コミック、アニメグッズ &gt; カセットテープ</t>
  </si>
  <si>
    <t>0,20060,2084006987</t>
  </si>
  <si>
    <t>ヘアゴム</t>
  </si>
  <si>
    <t>オークション &gt; タレントグッズ &gt; ヘアゴム</t>
  </si>
  <si>
    <t>0,2084032594,2084309465</t>
  </si>
  <si>
    <t>オークション &gt; コミック、アニメグッズ &gt; カレンダー</t>
  </si>
  <si>
    <t>0,20060,2084006158</t>
  </si>
  <si>
    <t>ペンライト、コンサートライト</t>
  </si>
  <si>
    <t>オークション &gt; タレントグッズ &gt; ペンライト、コンサートライト</t>
  </si>
  <si>
    <t>0,2084032594,2084309466</t>
  </si>
  <si>
    <t>オークション &gt; コミック、アニメグッズ &gt; トレーディングカード</t>
  </si>
  <si>
    <t>0,20060,21020</t>
  </si>
  <si>
    <t>ポスター</t>
  </si>
  <si>
    <t>オークション &gt; タレントグッズ &gt; ポスター</t>
  </si>
  <si>
    <t>0,2084032594,2084006183</t>
  </si>
  <si>
    <t>オークション &gt; コミック、アニメグッズ &gt; クオカード</t>
  </si>
  <si>
    <t>0,20060,2084046717</t>
  </si>
  <si>
    <t>ポップ</t>
  </si>
  <si>
    <t>オークション &gt; タレントグッズ &gt; ポップ</t>
  </si>
  <si>
    <t>0,2084032594,2084047088</t>
  </si>
  <si>
    <t>オークション &gt; コミック、アニメグッズ &gt; テレホンカード</t>
  </si>
  <si>
    <t>0,20060,2084005120</t>
  </si>
  <si>
    <t>ミュージシャングッズ</t>
  </si>
  <si>
    <t>オークション &gt; タレントグッズ &gt; ミュージシャングッズ</t>
  </si>
  <si>
    <t>0,2084032594,22396</t>
  </si>
  <si>
    <t>オークション &gt; コミック、アニメグッズ &gt; ポスター</t>
  </si>
  <si>
    <t>0,20060,2084006184</t>
  </si>
  <si>
    <t>オークション &gt; コミック、アニメグッズ &gt; 切り抜き</t>
  </si>
  <si>
    <t>オークション &gt; タレントグッズ &gt; その他</t>
  </si>
  <si>
    <t>0,20060,2084006161</t>
  </si>
  <si>
    <t>0,2084032594,2084047089</t>
  </si>
  <si>
    <t>イラスト、アート制作</t>
  </si>
  <si>
    <t>オークション &gt; コミック、アニメグッズ &gt; イラスト、アート制作</t>
  </si>
  <si>
    <t>0,20060,2084307735</t>
  </si>
  <si>
    <t>オークション &gt; タレントグッズ &gt; 人、グループ別 &gt; ミュージシャン</t>
  </si>
  <si>
    <t>0,2084032594,2084047071,2084024931</t>
  </si>
  <si>
    <t>女性タレント</t>
  </si>
  <si>
    <t>制作（ナレーション、声優）</t>
  </si>
  <si>
    <t>オークション &gt; コミック、アニメグッズ &gt; 制作（ナレーション、声優）</t>
  </si>
  <si>
    <t>オークション &gt; タレントグッズ &gt; 人、グループ別 &gt; 女性タレント</t>
  </si>
  <si>
    <t>0,20060,2084307732</t>
  </si>
  <si>
    <t>0,2084032594,2084047071,2084032595</t>
  </si>
  <si>
    <t>おむつ、トイレ用品</t>
  </si>
  <si>
    <t>オークション &gt; ベビー用品 &gt; おむつ、トイレ用品</t>
  </si>
  <si>
    <t>0,24202,2084042546</t>
  </si>
  <si>
    <t>男性タレント</t>
  </si>
  <si>
    <t>オークション &gt; コミック、アニメグッズ &gt; その他</t>
  </si>
  <si>
    <t>0,20060,20068</t>
  </si>
  <si>
    <t>オークション &gt; タレントグッズ &gt; 人、グループ別 &gt; 男性タレント</t>
  </si>
  <si>
    <t>0,2084032594,2084047071,2084033347</t>
  </si>
  <si>
    <t>おもちゃ</t>
  </si>
  <si>
    <t>オークション &gt; ベビー用品 &gt; おもちゃ</t>
  </si>
  <si>
    <t>0,24202,2084007247</t>
  </si>
  <si>
    <t>セーフティグッズ</t>
  </si>
  <si>
    <t>オークション &gt; ベビー用品 &gt; セーフティグッズ</t>
  </si>
  <si>
    <t>0,24202,2084008387</t>
  </si>
  <si>
    <t>バス、沐浴用品</t>
  </si>
  <si>
    <t>オークション &gt; ベビー用品 &gt; バス、沐浴用品</t>
  </si>
  <si>
    <t>0,24202,2084008379</t>
  </si>
  <si>
    <t>コミック、アニメ、ゲームキャラクター</t>
  </si>
  <si>
    <t>ベビー家具</t>
  </si>
  <si>
    <t>オークション &gt; コミック、アニメグッズ &gt; コスプレ衣装 &gt; コミック、アニメ、ゲームキャラクター</t>
  </si>
  <si>
    <t>オークション &gt; ベビー用品 &gt; ベビー家具</t>
  </si>
  <si>
    <t>0,20060,2084062134,2084208670</t>
  </si>
  <si>
    <t>0,24202,2084008393</t>
  </si>
  <si>
    <t>女性アイドル</t>
  </si>
  <si>
    <t>オークション &gt; 映画、ビデオ &gt; DVD &gt; アイドル &gt; 女性アイドル</t>
  </si>
  <si>
    <t>0,21964,21968,2084046976,2084057161</t>
  </si>
  <si>
    <t>メイド服</t>
  </si>
  <si>
    <t>ベビー服、マタニティウエア</t>
  </si>
  <si>
    <t>オークション &gt; コミック、アニメグッズ &gt; コスプレ衣装 &gt; メイド服</t>
  </si>
  <si>
    <t>オークション &gt; ベビー用品 &gt; ベビー服、マタニティウエア</t>
  </si>
  <si>
    <t>0,20060,2084062134,2084208672</t>
  </si>
  <si>
    <t>0,24202,24210</t>
  </si>
  <si>
    <t>ベビー用寝具</t>
  </si>
  <si>
    <t>男性アイドル</t>
  </si>
  <si>
    <t>ゴスロリ</t>
  </si>
  <si>
    <t>オークション &gt; ベビー用品 &gt; ベビー用寝具</t>
  </si>
  <si>
    <t>オークション &gt; コミック、アニメグッズ &gt; コスプレ衣装 &gt; ゴスロリ</t>
  </si>
  <si>
    <t>オークション &gt; 映画、ビデオ &gt; DVD &gt; アイドル &gt; 男性アイドル</t>
  </si>
  <si>
    <t>0,24202,2084006356</t>
  </si>
  <si>
    <t>0,20060,2084062134,2084241336</t>
  </si>
  <si>
    <t>0,21964,21968,2084046976,2084057160</t>
  </si>
  <si>
    <t>外出、移動用品</t>
  </si>
  <si>
    <t>オークション &gt; ベビー用品 &gt; 外出、移動用品</t>
  </si>
  <si>
    <t>キャビンアテンダント</t>
  </si>
  <si>
    <t>0,24202,2084042548</t>
  </si>
  <si>
    <t>オークション &gt; コミック、アニメグッズ &gt; コスプレ衣装 &gt; キャビンアテンダント</t>
  </si>
  <si>
    <t>0,20060,2084062134,2084311910</t>
  </si>
  <si>
    <t>行事、記念品</t>
  </si>
  <si>
    <t>オークション &gt; ベビー用品 &gt; 行事、記念品</t>
  </si>
  <si>
    <t>チャイナドレス</t>
  </si>
  <si>
    <t>0,24202,2084216344</t>
  </si>
  <si>
    <t>オークション &gt; コミック、アニメグッズ &gt; コスプレ衣装 &gt; チャイナドレス</t>
  </si>
  <si>
    <t>0,20060,2084062134,2084241337</t>
  </si>
  <si>
    <t>児童書、絵本</t>
  </si>
  <si>
    <t>オークション &gt; ベビー用品 &gt; 児童書、絵本</t>
  </si>
  <si>
    <t>ナース服</t>
  </si>
  <si>
    <t>オークション &gt; コミック、アニメグッズ &gt; コスプレ衣装 &gt; ナース服</t>
  </si>
  <si>
    <t>0,20060,2084062134,2084241335</t>
  </si>
  <si>
    <t>0,24202,21624</t>
  </si>
  <si>
    <t>バニーガール</t>
  </si>
  <si>
    <t>オークション &gt; コミック、アニメグッズ &gt; コスプレ衣装 &gt; バニーガール</t>
  </si>
  <si>
    <t>0,20060,2084062134,2084241339</t>
  </si>
  <si>
    <t>授乳、食事用品</t>
  </si>
  <si>
    <t>オークション &gt; ベビー用品 &gt; 授乳、食事用品</t>
  </si>
  <si>
    <t>0,24202,2084042550</t>
  </si>
  <si>
    <t>ベビードール</t>
  </si>
  <si>
    <t>ハンドメイド</t>
  </si>
  <si>
    <t>オークション &gt; コミック、アニメグッズ &gt; コスプレ衣装 &gt; ベビードール</t>
  </si>
  <si>
    <t>0,20060,2084062134,2084311903</t>
  </si>
  <si>
    <t>オークション &gt; ベビー用品 &gt; ハンドメイド</t>
  </si>
  <si>
    <t>0,24202,2084240631</t>
  </si>
  <si>
    <t>レースクイーン</t>
  </si>
  <si>
    <t>オークション &gt; コミック、アニメグッズ &gt; コスプレ衣装 &gt; レースクイーン</t>
  </si>
  <si>
    <t>ベビー用品レンタル</t>
  </si>
  <si>
    <t>0,20060,2084062134,2084241338</t>
  </si>
  <si>
    <t>オークション &gt; ベビー用品 &gt; ベビー用品レンタル</t>
  </si>
  <si>
    <t>0,24202,2084307799</t>
  </si>
  <si>
    <t>学生服</t>
  </si>
  <si>
    <t>オークション &gt; ベビー用品 &gt; その他</t>
  </si>
  <si>
    <t>オークション &gt; コミック、アニメグッズ &gt; コスプレ衣装 &gt; 学生服</t>
  </si>
  <si>
    <t>0,24202,24226</t>
  </si>
  <si>
    <t>オークション &gt; 映画、ビデオ &gt; ビデオテープ &gt; アイドル &gt; 女性アイドル</t>
  </si>
  <si>
    <t>0,21964,22072,2084046984,2084216636</t>
  </si>
  <si>
    <t>0,20060,2084062134,2084311904</t>
  </si>
  <si>
    <t>教師</t>
  </si>
  <si>
    <t>オークション &gt; コミック、アニメグッズ &gt; コスプレ衣装 &gt; 教師</t>
  </si>
  <si>
    <t>おむつ</t>
  </si>
  <si>
    <t>0,20060,2084062134,2084311905</t>
  </si>
  <si>
    <t>オークション &gt; ベビー用品 &gt; おむつ、トイレ用品 &gt; おむつ</t>
  </si>
  <si>
    <t>0,24202,2084042546,2084008377</t>
  </si>
  <si>
    <t>オークション &gt; 映画、ビデオ &gt; ビデオテープ &gt; アイドル &gt; 男性アイドル</t>
  </si>
  <si>
    <t>水着</t>
  </si>
  <si>
    <t>0,21964,22072,2084046984,2084216637</t>
  </si>
  <si>
    <t>おむつカバー</t>
  </si>
  <si>
    <t>オークション &gt; コミック、アニメグッズ &gt; コスプレ衣装 &gt; 水着</t>
  </si>
  <si>
    <t>オークション &gt; ベビー用品 &gt; おむつ、トイレ用品 &gt; おむつカバー</t>
  </si>
  <si>
    <t>0,20060,2084062134,2084311906</t>
  </si>
  <si>
    <t>0,24202,2084042546,2084023868</t>
  </si>
  <si>
    <t>体操服</t>
  </si>
  <si>
    <t>オークション &gt; コミック、アニメグッズ &gt; コスプレ衣装 &gt; 体操服</t>
  </si>
  <si>
    <t>0,20060,2084062134,2084311907</t>
  </si>
  <si>
    <t>おむつ用ごみ箱</t>
  </si>
  <si>
    <t>オークション &gt; ベビー用品 &gt; おむつ、トイレ用品 &gt; おむつ用ごみ箱</t>
  </si>
  <si>
    <t>0,24202,2084042546,2084217931</t>
  </si>
  <si>
    <t>着物、和装</t>
  </si>
  <si>
    <t>オークション &gt; コミック、アニメグッズ &gt; コスプレ衣装 &gt; 着物、和装</t>
  </si>
  <si>
    <t>0,20060,2084062134,2084311908</t>
  </si>
  <si>
    <t>婦警</t>
  </si>
  <si>
    <t>おまる</t>
  </si>
  <si>
    <t>オークション &gt; コミック、アニメグッズ &gt; コスプレ衣装 &gt; 婦警</t>
  </si>
  <si>
    <t>0,20060,2084062134,2084311909</t>
  </si>
  <si>
    <t>オークション &gt; ベビー用品 &gt; おむつ、トイレ用品 &gt; おまる</t>
  </si>
  <si>
    <t>0,24202,2084042546,2084008376</t>
  </si>
  <si>
    <t>男性用</t>
  </si>
  <si>
    <t>オークション &gt; コミック、アニメグッズ &gt; コスプレ衣装 &gt; 男性用</t>
  </si>
  <si>
    <t>0,20060,2084062134,2084241340</t>
  </si>
  <si>
    <t>お尻ふき</t>
  </si>
  <si>
    <t>BOMB!</t>
  </si>
  <si>
    <t>オークション &gt; ベビー用品 &gt; おむつ、トイレ用品 &gt; お尻ふき</t>
  </si>
  <si>
    <t>オークション &gt; 本、雑誌 &gt; 雑誌 &gt; アート、エンターテインメント &gt; アイドル、芸能人 &gt; BOMB!</t>
  </si>
  <si>
    <t>0,24202,2084042546,2084193557</t>
  </si>
  <si>
    <t>0,21600,21884,2084008056,2084008066,2084034022</t>
  </si>
  <si>
    <t>オークション &gt; コミック、アニメグッズ &gt; コスプレ衣装 &gt; その他</t>
  </si>
  <si>
    <t>0,20060,2084062134,2084208673</t>
  </si>
  <si>
    <t>トレーニングパンツ</t>
  </si>
  <si>
    <t>オークション &gt; ベビー用品 &gt; おむつ、トイレ用品 &gt; トレーニングパンツ</t>
  </si>
  <si>
    <t>DUNK</t>
  </si>
  <si>
    <t>0,24202,2084042546,2084050472</t>
  </si>
  <si>
    <t>オークション &gt; 本、雑誌 &gt; 雑誌 &gt; アート、エンターテインメント &gt; アイドル、芸能人 &gt; DUNK</t>
  </si>
  <si>
    <t>0,21600,21884,2084008056,2084008066,2084040626</t>
  </si>
  <si>
    <t>オークション &gt; ベビー用品 &gt; おむつ、トイレ用品 &gt; その他</t>
  </si>
  <si>
    <t>0,24202,2084042546,2084042547</t>
  </si>
  <si>
    <t>Duet</t>
  </si>
  <si>
    <t>あ行</t>
  </si>
  <si>
    <t>オークション &gt; 本、雑誌 &gt; 雑誌 &gt; アート、エンターテインメント &gt; アイドル、芸能人 &gt; Duet</t>
  </si>
  <si>
    <t>0,21600,21884,2084008056,2084008066,2084034030</t>
  </si>
  <si>
    <t>オークション &gt; コミック、アニメグッズ &gt; 作品別 &gt; あ行</t>
  </si>
  <si>
    <t>0,20060,2084000109,2084034199</t>
  </si>
  <si>
    <t>おふろのおもちゃ</t>
  </si>
  <si>
    <t>オークション &gt; おもちゃ、ゲーム &gt; ベビー用 &gt; おふろのおもちゃ</t>
  </si>
  <si>
    <t>0,25464,2084007247,2084024150</t>
  </si>
  <si>
    <t>GiRL Pop</t>
  </si>
  <si>
    <t>か行</t>
  </si>
  <si>
    <t>オークション &gt; コミック、アニメグッズ &gt; 作品別 &gt; か行</t>
  </si>
  <si>
    <t>オークション &gt; 本、雑誌 &gt; 雑誌 &gt; アート、エンターテインメント &gt; アイドル、芸能人 &gt; GiRL Pop</t>
  </si>
  <si>
    <t>0,20060,2084000109,2084037042</t>
  </si>
  <si>
    <t>0,21600,21884,2084008056,2084008066,2084034004</t>
  </si>
  <si>
    <t>がらがら</t>
  </si>
  <si>
    <t>オークション &gt; おもちゃ、ゲーム &gt; ベビー用 &gt; がらがら</t>
  </si>
  <si>
    <t>0,25464,2084007247,2084024147</t>
  </si>
  <si>
    <t>オルゴールメリー</t>
  </si>
  <si>
    <t>オークション &gt; おもちゃ、ゲーム &gt; ベビー用 &gt; オルゴールメリー</t>
  </si>
  <si>
    <t>0,25464,2084007247,2084024161</t>
  </si>
  <si>
    <t>さ行</t>
  </si>
  <si>
    <t>オークション &gt; コミック、アニメグッズ &gt; 作品別 &gt; さ行</t>
  </si>
  <si>
    <t>0,20060,2084000109,2084034217</t>
  </si>
  <si>
    <t>Girls Hits</t>
  </si>
  <si>
    <t>オークション &gt; 本、雑誌 &gt; 雑誌 &gt; アート、エンターテインメント &gt; アイドル、芸能人 &gt; Girls Hits</t>
  </si>
  <si>
    <t>ベビージム</t>
  </si>
  <si>
    <t>0,21600,21884,2084008056,2084008066,2084034005</t>
  </si>
  <si>
    <t>オークション &gt; おもちゃ、ゲーム &gt; ベビー用 &gt; ベビージム</t>
  </si>
  <si>
    <t>0,25464,2084007247,2084024163</t>
  </si>
  <si>
    <t>た行</t>
  </si>
  <si>
    <t>オークション &gt; コミック、アニメグッズ &gt; 作品別 &gt; た行</t>
  </si>
  <si>
    <t>0,20060,2084000109,2084034226</t>
  </si>
  <si>
    <t>手押し車、カタカタ</t>
  </si>
  <si>
    <t>オークション &gt; おもちゃ、ゲーム &gt; ベビー用 &gt; 手押し車、カタカタ</t>
  </si>
  <si>
    <t>0,25464,2084007247,2084024162</t>
  </si>
  <si>
    <t>な行</t>
  </si>
  <si>
    <t>JUNON</t>
  </si>
  <si>
    <t>オークション &gt; コミック、アニメグッズ &gt; 作品別 &gt; な行</t>
  </si>
  <si>
    <t>オークション &gt; 本、雑誌 &gt; 雑誌 &gt; アート、エンターテインメント &gt; アイドル、芸能人 &gt; JUNON</t>
  </si>
  <si>
    <t>0,20060,2084000109,2084034235</t>
  </si>
  <si>
    <t>乗用玩具</t>
  </si>
  <si>
    <t>は行</t>
  </si>
  <si>
    <t>オークション &gt; おもちゃ、ゲーム &gt; ベビー用 &gt; 乗用玩具</t>
  </si>
  <si>
    <t>オークション &gt; コミック、アニメグッズ &gt; 作品別 &gt; は行</t>
  </si>
  <si>
    <t>0,25464,2084007247,2084047980</t>
  </si>
  <si>
    <t>0,20060,2084000109,2084037024</t>
  </si>
  <si>
    <t>0,21600,21884,2084008056,2084008066,2084034035</t>
  </si>
  <si>
    <t>知育玩具</t>
  </si>
  <si>
    <t>ま行</t>
  </si>
  <si>
    <t>オークション &gt; おもちゃ、ゲーム &gt; ベビー用 &gt; 知育玩具</t>
  </si>
  <si>
    <t>オークション &gt; コミック、アニメグッズ &gt; 作品別 &gt; ま行</t>
  </si>
  <si>
    <t>0,25464,2084007247,2084024146</t>
  </si>
  <si>
    <t>0,20060,2084000109,2084034253</t>
  </si>
  <si>
    <t>Kindai</t>
  </si>
  <si>
    <t>オークション &gt; 本、雑誌 &gt; 雑誌 &gt; アート、エンターテインメント &gt; アイドル、芸能人 &gt; Kindai</t>
  </si>
  <si>
    <t>0,21600,21884,2084008056,2084008066,2084034025</t>
  </si>
  <si>
    <t>や行</t>
  </si>
  <si>
    <t>オークション &gt; おもちゃ、ゲーム &gt; ベビー用 &gt; その他</t>
  </si>
  <si>
    <t>オークション &gt; コミック、アニメグッズ &gt; 作品別 &gt; や行</t>
  </si>
  <si>
    <t>0,25464,2084007247,2084047374</t>
  </si>
  <si>
    <t>0,20060,2084000109,2084034262</t>
  </si>
  <si>
    <t>ら/わ行</t>
  </si>
  <si>
    <t>オークション &gt; コミック、アニメグッズ &gt; 作品別 &gt; ら/わ行</t>
  </si>
  <si>
    <t>0,20060,2084000109,2084034270</t>
  </si>
  <si>
    <t>MOMOCO</t>
  </si>
  <si>
    <t>オークション &gt; 本、雑誌 &gt; 雑誌 &gt; アート、エンターテインメント &gt; アイドル、芸能人 &gt; MOMOCO</t>
  </si>
  <si>
    <t>0,21600,21884,2084008056,2084008066,2084034027</t>
  </si>
  <si>
    <t>チャイルドシート</t>
  </si>
  <si>
    <t>オークション &gt; ベビー用品 &gt; セーフティグッズ &gt; チャイルドシート</t>
  </si>
  <si>
    <t>0,24202,2084008387,2084005814</t>
  </si>
  <si>
    <t>Mannish</t>
  </si>
  <si>
    <t>ベビーシート</t>
  </si>
  <si>
    <t>オークション &gt; ベビー用品 &gt; セーフティグッズ &gt; ベビーシート</t>
  </si>
  <si>
    <t>オークション &gt; 本、雑誌 &gt; 雑誌 &gt; アート、エンターテインメント &gt; アイドル、芸能人 &gt; Mannish</t>
  </si>
  <si>
    <t>0,24202,2084008387,2084047108</t>
  </si>
  <si>
    <t>0,21600,21884,2084008056,2084008066,2084034028</t>
  </si>
  <si>
    <t>ベビーフェンス</t>
  </si>
  <si>
    <t>オークション &gt; ベビー用品 &gt; セーフティグッズ &gt; ベビーフェンス</t>
  </si>
  <si>
    <t>0,24202,2084008387,2084008388</t>
  </si>
  <si>
    <t>幻想魔伝 最遊記</t>
  </si>
  <si>
    <t>オークション &gt; アンティーク、コレクション &gt; 雑貨 &gt; ステッカー &gt; コミック、アニメーション &gt; 幻想魔伝 最遊記</t>
  </si>
  <si>
    <t>0,20000,21152,26066,2084006021,2084006022</t>
  </si>
  <si>
    <t>POTATO</t>
  </si>
  <si>
    <t>オークション &gt; 本、雑誌 &gt; 雑誌 &gt; アート、エンターテインメント &gt; アイドル、芸能人 &gt; POTATO</t>
  </si>
  <si>
    <t>ロック</t>
  </si>
  <si>
    <t>0,21600,21884,2084008056,2084008066,2084034023</t>
  </si>
  <si>
    <t>オークション &gt; ベビー用品 &gt; セーフティグッズ &gt; ロック</t>
  </si>
  <si>
    <t>0,24202,2084008387,2084008389</t>
  </si>
  <si>
    <t>オークション &gt; アンティーク、コレクション &gt; 雑貨 &gt; ステッカー &gt; コミック、アニメーション &gt; その他</t>
  </si>
  <si>
    <t>0,20000,21152,26066,2084006021,2084006023</t>
  </si>
  <si>
    <t>音声モニター</t>
  </si>
  <si>
    <t>オークション &gt; ベビー用品 &gt; セーフティグッズ &gt; 音声モニター</t>
  </si>
  <si>
    <t>0,24202,2084008387,2084211411</t>
  </si>
  <si>
    <t>WinkUp</t>
  </si>
  <si>
    <t>オークション &gt; 本、雑誌 &gt; 雑誌 &gt; アート、エンターテインメント &gt; アイドル、芸能人 &gt; WinkUp</t>
  </si>
  <si>
    <t>0,21600,21884,2084008056,2084008066,2084034029</t>
  </si>
  <si>
    <t>携帯用防犯アラーム</t>
  </si>
  <si>
    <t>オークション &gt; ベビー用品 &gt; セーフティグッズ &gt; 携帯用防犯アラーム</t>
  </si>
  <si>
    <t>0,24202,2084008387,2084055708</t>
  </si>
  <si>
    <t>アップトゥボーイ</t>
  </si>
  <si>
    <t>オークション &gt; 本、雑誌 &gt; 雑誌 &gt; アート、エンターテインメント &gt; アイドル、芸能人 &gt; アップトゥボーイ</t>
  </si>
  <si>
    <t>オークション &gt; ベビー用品 &gt; セーフティグッズ &gt; その他</t>
  </si>
  <si>
    <t>0,24202,2084008387,2084008390</t>
  </si>
  <si>
    <t>0,21600,21884,2084008056,2084008066,2084040625</t>
  </si>
  <si>
    <t>ポポロ</t>
  </si>
  <si>
    <t>オークション &gt; 本、雑誌 &gt; 雑誌 &gt; アート、エンターテインメント &gt; アイドル、芸能人 &gt; ポポロ</t>
  </si>
  <si>
    <t>0,21600,21884,2084008056,2084008066,2084045052</t>
  </si>
  <si>
    <t>オークション &gt; コミック、アニメグッズ &gt; セル画 &gt; あ行</t>
  </si>
  <si>
    <t>スポンジ</t>
  </si>
  <si>
    <t>0,20060,2084005356,2084034192</t>
  </si>
  <si>
    <t>オークション &gt; ベビー用品 &gt; バス、沐浴用品 &gt; スポンジ</t>
  </si>
  <si>
    <t>0,24202,2084008379,2084008384</t>
  </si>
  <si>
    <t>バスチェア</t>
  </si>
  <si>
    <t>月刊カドカワ</t>
  </si>
  <si>
    <t>オークション &gt; ベビー用品 &gt; バス、沐浴用品 &gt; バスチェア</t>
  </si>
  <si>
    <t>オークション &gt; コミック、アニメグッズ &gt; セル画 &gt; か行</t>
  </si>
  <si>
    <t>0,24202,2084008379,2084211412</t>
  </si>
  <si>
    <t>0,20060,2084005356,2084038485</t>
  </si>
  <si>
    <t>オークション &gt; 本、雑誌 &gt; 雑誌 &gt; アート、エンターテインメント &gt; アイドル、芸能人 &gt; 月刊カドカワ</t>
  </si>
  <si>
    <t>0,21600,21884,2084008056,2084008066,2084034031</t>
  </si>
  <si>
    <t>ベビーシャンプー</t>
  </si>
  <si>
    <t>オークション &gt; コミック、アニメグッズ &gt; セル画 &gt; さ行</t>
  </si>
  <si>
    <t>オークション &gt; ベビー用品 &gt; バス、沐浴用品 &gt; ベビーシャンプー</t>
  </si>
  <si>
    <t>0,20060,2084005356,2084034211</t>
  </si>
  <si>
    <t>0,24202,2084008379,2084008381</t>
  </si>
  <si>
    <t>月刊歌謡曲</t>
  </si>
  <si>
    <t>オークション &gt; 本、雑誌 &gt; 雑誌 &gt; アート、エンターテインメント &gt; アイドル、芸能人 &gt; 月刊歌謡曲</t>
  </si>
  <si>
    <t>ベビーソープ</t>
  </si>
  <si>
    <t>0,21600,21884,2084008056,2084008066,2084034024</t>
  </si>
  <si>
    <t>オークション &gt; ベビー用品 &gt; バス、沐浴用品 &gt; ベビーソープ</t>
  </si>
  <si>
    <t>0,24202,2084008379,2084008382</t>
  </si>
  <si>
    <t>オークション &gt; コミック、アニメグッズ &gt; セル画 &gt; た行</t>
  </si>
  <si>
    <t>ベビーバス</t>
  </si>
  <si>
    <t>0,20060,2084005356,2084034220</t>
  </si>
  <si>
    <t>オークション &gt; ベビー用品 &gt; バス、沐浴用品 &gt; ベビーバス</t>
  </si>
  <si>
    <t>0,24202,2084008379,2084008380</t>
  </si>
  <si>
    <t>平凡</t>
  </si>
  <si>
    <t>オークション &gt; 本、雑誌 &gt; 雑誌 &gt; アート、エンターテインメント &gt; アイドル、芸能人 &gt; 平凡</t>
  </si>
  <si>
    <t>0,21600,21884,2084008056,2084008066,2084045051</t>
  </si>
  <si>
    <t>ベビーパウダー</t>
  </si>
  <si>
    <t>オークション &gt; ベビー用品 &gt; バス、沐浴用品 &gt; ベビーパウダー</t>
  </si>
  <si>
    <t>オークション &gt; コミック、アニメグッズ &gt; セル画 &gt; な行</t>
  </si>
  <si>
    <t>0,24202,2084008379,2084008385</t>
  </si>
  <si>
    <t>0,20060,2084005356,2084034229</t>
  </si>
  <si>
    <t>ベビー用タオル</t>
  </si>
  <si>
    <t>明星、Myojo</t>
  </si>
  <si>
    <t>オークション &gt; ベビー用品 &gt; バス、沐浴用品 &gt; ベビー用タオル</t>
  </si>
  <si>
    <t>オークション &gt; コミック、アニメグッズ &gt; セル画 &gt; は行</t>
  </si>
  <si>
    <t>0,20060,2084005356,2084034238</t>
  </si>
  <si>
    <t>0,24202,2084008379,2084006326</t>
  </si>
  <si>
    <t>オークション &gt; 本、雑誌 &gt; 雑誌 &gt; アート、エンターテインメント &gt; アイドル、芸能人 &gt; 明星、Myojo</t>
  </si>
  <si>
    <t>0,21600,21884,2084008056,2084008066,2084034026</t>
  </si>
  <si>
    <t>オークション &gt; コミック、アニメグッズ &gt; セル画 &gt; ま行</t>
  </si>
  <si>
    <t>0,20060,2084005356,2084034247</t>
  </si>
  <si>
    <t>湯温計</t>
  </si>
  <si>
    <t>オークション &gt; ベビー用品 &gt; バス、沐浴用品 &gt; 湯温計</t>
  </si>
  <si>
    <t>0,24202,2084008379,2084008383</t>
  </si>
  <si>
    <t>オークション &gt; 本、雑誌 &gt; 雑誌 &gt; アート、エンターテインメント &gt; アイドル、芸能人 &gt; その他</t>
  </si>
  <si>
    <t>オークション &gt; コミック、アニメグッズ &gt; セル画 &gt; や行</t>
  </si>
  <si>
    <t>0,20060,2084005356,2084034256</t>
  </si>
  <si>
    <t>0,21600,21884,2084008056,2084008066,2084034075</t>
  </si>
  <si>
    <t>ら行</t>
  </si>
  <si>
    <t>オークション &gt; コミック、アニメグッズ &gt; セル画 &gt; ら行</t>
  </si>
  <si>
    <t>オークション &gt; ベビー用品 &gt; バス、沐浴用品 &gt; その他</t>
  </si>
  <si>
    <t>0,20060,2084005356,2084034265</t>
  </si>
  <si>
    <t>0,24202,2084008379,2084008386</t>
  </si>
  <si>
    <t>わ行</t>
  </si>
  <si>
    <t>オークション &gt; コミック、アニメグッズ &gt; セル画 &gt; わ行</t>
  </si>
  <si>
    <t>0,20060,2084005356,2084034273</t>
  </si>
  <si>
    <t>たんす</t>
  </si>
  <si>
    <t>コメディアンの本</t>
  </si>
  <si>
    <t>オークション &gt; ベビー用品 &gt; ベビー家具 &gt; たんす</t>
  </si>
  <si>
    <t>オークション &gt; 本、雑誌 &gt; アート、エンターテインメント &gt; 映画、テレビ &gt; タレント本 &gt; コメディアンの本</t>
  </si>
  <si>
    <t>0,24202,2084008393,2084008394</t>
  </si>
  <si>
    <t>0,21600,2084009036,21784,2084009038,2084009040</t>
  </si>
  <si>
    <t>ミュージシャンの本</t>
  </si>
  <si>
    <t>イス</t>
  </si>
  <si>
    <t>オークション &gt; 本、雑誌 &gt; アート、エンターテインメント &gt; 映画、テレビ &gt; タレント本 &gt; ミュージシャンの本</t>
  </si>
  <si>
    <t>オークション &gt; ベビー用品 &gt; ベビー家具 &gt; イス</t>
  </si>
  <si>
    <t>0,21600,2084009036,21784,2084009038,2084009110</t>
  </si>
  <si>
    <t>コミック、アニメ</t>
  </si>
  <si>
    <t>0,24202,2084008393,2084008395</t>
  </si>
  <si>
    <t>オークション &gt; おもちゃ、ゲーム &gt; フィギュア &gt; コミック、アニメ</t>
  </si>
  <si>
    <t>0,25464,25888,2084023782</t>
  </si>
  <si>
    <t>芸能人、タレントの本</t>
  </si>
  <si>
    <t>オークション &gt; 本、雑誌 &gt; アート、エンターテインメント &gt; 映画、テレビ &gt; タレント本 &gt; 芸能人、タレントの本</t>
  </si>
  <si>
    <t>特撮</t>
  </si>
  <si>
    <t>0,21600,2084009036,21784,2084009038,2084009039</t>
  </si>
  <si>
    <t>オークション &gt; おもちゃ、ゲーム &gt; フィギュア &gt; 特撮</t>
  </si>
  <si>
    <t>0,25464,25888,2084023622</t>
  </si>
  <si>
    <t>ベッド</t>
  </si>
  <si>
    <t>オークション &gt; ベビー用品 &gt; ベビー家具 &gt; ベッド</t>
  </si>
  <si>
    <t>0,24202,2084008393,24218</t>
  </si>
  <si>
    <t>ゲームキャラクター</t>
  </si>
  <si>
    <t>オークション &gt; おもちゃ、ゲーム &gt; フィギュア &gt; ゲームキャラクター</t>
  </si>
  <si>
    <t>0,25464,25888,2084040564</t>
  </si>
  <si>
    <t>オークション &gt; 本、雑誌 &gt; アート、エンターテインメント &gt; 映画、テレビ &gt; タレント本 &gt; 雑誌</t>
  </si>
  <si>
    <t>0,21600,2084009036,21784,2084009038,2084008066</t>
  </si>
  <si>
    <t>SF、ファンタジー、ホラー</t>
  </si>
  <si>
    <t>机、テーブル</t>
  </si>
  <si>
    <t>オークション &gt; おもちゃ、ゲーム &gt; フィギュア &gt; SF、ファンタジー、ホラー</t>
  </si>
  <si>
    <t>オークション &gt; ベビー用品 &gt; ベビー家具 &gt; 机、テーブル</t>
  </si>
  <si>
    <t>0,25464,25888,2084023799</t>
  </si>
  <si>
    <t>0,24202,2084008393,2084214855</t>
  </si>
  <si>
    <t>オークション &gt; 本、雑誌 &gt; アート、エンターテインメント &gt; 映画、テレビ &gt; タレント本 &gt; その他</t>
  </si>
  <si>
    <t>0,21600,2084009036,21784,2084009038,2084009041</t>
  </si>
  <si>
    <t>アメコミ</t>
  </si>
  <si>
    <t>オークション &gt; おもちゃ、ゲーム &gt; フィギュア &gt; アメコミ</t>
  </si>
  <si>
    <t>0,25464,25888,21688</t>
  </si>
  <si>
    <t>オークション &gt; ベビー用品 &gt; ベビー家具 &gt; その他</t>
  </si>
  <si>
    <t>0,24202,2084008393,2084008396</t>
  </si>
  <si>
    <t>オークション &gt; おもちゃ、ゲーム &gt; フィギュア &gt; スポーツ</t>
  </si>
  <si>
    <t>0,25464,25888,25892</t>
  </si>
  <si>
    <t>オークション &gt; チケット、金券、宿泊予約 &gt; 興行チケット &gt; 音楽</t>
  </si>
  <si>
    <t>0,2084043920,22748,50060</t>
  </si>
  <si>
    <t>ミリタリー</t>
  </si>
  <si>
    <t>オークション &gt; おもちゃ、ゲーム &gt; フィギュア &gt; ミリタリー</t>
  </si>
  <si>
    <t>0,25464,25888,25890</t>
  </si>
  <si>
    <t>セット、まとめ売り</t>
  </si>
  <si>
    <t>オークション &gt; ファッション &gt; キッズ、ベビーファッション &gt; ベビー服 &gt; セット、まとめ売り</t>
  </si>
  <si>
    <t>0,23000,2084293011,24210,2084313345</t>
  </si>
  <si>
    <t>パフォーミングアート</t>
  </si>
  <si>
    <t>生き物</t>
  </si>
  <si>
    <t>オークション &gt; チケット、金券、宿泊予約 &gt; 興行チケット &gt; パフォーミングアート</t>
  </si>
  <si>
    <t>オークション &gt; おもちゃ、ゲーム &gt; フィギュア &gt; 生き物</t>
  </si>
  <si>
    <t>0,2084043920,22748,2084044328</t>
  </si>
  <si>
    <t>0,25464,25888,2084063729</t>
  </si>
  <si>
    <t>オークション &gt; ファッション &gt; キッズ、ベビーファッション &gt; ベビー服 &gt; おむつカバー</t>
  </si>
  <si>
    <t>0,23000,2084293011,24210,2084023868</t>
  </si>
  <si>
    <t>芸能人、タレント</t>
  </si>
  <si>
    <t>オークション &gt; おもちゃ、ゲーム &gt; フィギュア &gt; 芸能人、タレント</t>
  </si>
  <si>
    <t>オークション &gt; チケット、金券、宿泊予約 &gt; 興行チケット &gt; スポーツ</t>
  </si>
  <si>
    <t>0,25464,25888,2084023795</t>
  </si>
  <si>
    <t>0,2084043920,22748,25430</t>
  </si>
  <si>
    <t>アフガン</t>
  </si>
  <si>
    <t>オークション &gt; ファッション &gt; キッズ、ベビーファッション &gt; ベビー服 &gt; アフガン</t>
  </si>
  <si>
    <t>0,23000,2084293011,24210,2084023849</t>
  </si>
  <si>
    <t>時代劇</t>
  </si>
  <si>
    <t>オークション &gt; おもちゃ、ゲーム &gt; フィギュア &gt; 時代劇</t>
  </si>
  <si>
    <t>イベント</t>
  </si>
  <si>
    <t>0,25464,25888,2084042426</t>
  </si>
  <si>
    <t>オークション &gt; チケット、金券、宿泊予約 &gt; 興行チケット &gt; イベント</t>
  </si>
  <si>
    <t>インナーウエア</t>
  </si>
  <si>
    <t>オークション &gt; ファッション &gt; キッズ、ベビーファッション &gt; ベビー服 &gt; インナーウエア</t>
  </si>
  <si>
    <t>0,2084043920,22748,2084044329</t>
  </si>
  <si>
    <t>0,23000,2084293011,24210,2084007276</t>
  </si>
  <si>
    <t>創作、オリジナル</t>
  </si>
  <si>
    <t>映画</t>
  </si>
  <si>
    <t>オークション &gt; おもちゃ、ゲーム &gt; フィギュア &gt; 創作、オリジナル</t>
  </si>
  <si>
    <t>カバーオール、つなぎ</t>
  </si>
  <si>
    <t>オークション &gt; チケット、金券、宿泊予約 &gt; 興行チケット &gt; 映画</t>
  </si>
  <si>
    <t>0,25464,25888,2084023831</t>
  </si>
  <si>
    <t>オークション &gt; ファッション &gt; キッズ、ベビーファッション &gt; ベビー服 &gt; カバーオール、つなぎ</t>
  </si>
  <si>
    <t>0,2084043920,22748,2084039789</t>
  </si>
  <si>
    <t>0,23000,2084293011,24210,2084007272</t>
  </si>
  <si>
    <t>コート、ジャンパー</t>
  </si>
  <si>
    <t>オークション &gt; ファッション &gt; キッズ、ベビーファッション &gt; ベビー服 &gt; コート、ジャンパー</t>
  </si>
  <si>
    <t>キャラクタードール</t>
  </si>
  <si>
    <t>0,23000,2084293011,24210,2084007275</t>
  </si>
  <si>
    <t>オークション &gt; チケット、金券、宿泊予約 &gt; 興行チケット &gt; その他</t>
  </si>
  <si>
    <t>オークション &gt; おもちゃ、ゲーム &gt; フィギュア &gt; キャラクタードール</t>
  </si>
  <si>
    <t>0,25464,25888,25870</t>
  </si>
  <si>
    <t>0,2084043920,22748,22828</t>
  </si>
  <si>
    <t>スーツ、セットアップ</t>
  </si>
  <si>
    <t>オークション &gt; ファッション &gt; キッズ、ベビーファッション &gt; ベビー服 &gt; スーツ、セットアップ</t>
  </si>
  <si>
    <t>0,23000,2084293011,24210,2084007274</t>
  </si>
  <si>
    <t>オークション &gt; おもちゃ、ゲーム &gt; フィギュア &gt; その他</t>
  </si>
  <si>
    <t>0,25464,25888,2084309436</t>
  </si>
  <si>
    <t>トップス</t>
  </si>
  <si>
    <t>オークション &gt; ファッション &gt; キッズ、ベビーファッション &gt; ベビー服 &gt; トップス</t>
  </si>
  <si>
    <t>0,23000,2084293011,24210,2084007259</t>
  </si>
  <si>
    <t>パーカ</t>
  </si>
  <si>
    <t>オークション &gt; ファッション &gt; キッズ、ベビーファッション &gt; ベビー服 &gt; パーカ</t>
  </si>
  <si>
    <t>0,23000,2084293011,24210,2084052820</t>
  </si>
  <si>
    <t>グループ</t>
  </si>
  <si>
    <t>オークション &gt; チケット、金券、宿泊予約 &gt; プリペイドカード &gt; テレホンカード &gt; 芸能人、タレント &gt; グループ</t>
  </si>
  <si>
    <t>0,2084043920,2084007688,23968,2084005109,2084005112</t>
  </si>
  <si>
    <t>パジャマ</t>
  </si>
  <si>
    <t>オークション &gt; ファッション &gt; キッズ、ベビーファッション &gt; ベビー服 &gt; パジャマ</t>
  </si>
  <si>
    <t>0,23000,2084293011,24210,2084007277</t>
  </si>
  <si>
    <t>アーマード・コア</t>
  </si>
  <si>
    <t>オークション &gt; おもちゃ、ゲーム &gt; プラモデル &gt; キャラクター &gt; アーマード・コア</t>
  </si>
  <si>
    <t>0,25464,2084250263,2084250334,2084250345</t>
  </si>
  <si>
    <t>オークション &gt; チケット、金券、宿泊予約 &gt; プリペイドカード &gt; テレホンカード &gt; 芸能人、タレント &gt; 女性タレント</t>
  </si>
  <si>
    <t>フォーマル</t>
  </si>
  <si>
    <t>0,2084043920,2084007688,23968,2084005109,2084005111</t>
  </si>
  <si>
    <t>オークション &gt; ファッション &gt; キッズ、ベビーファッション &gt; ベビー服 &gt; フォーマル</t>
  </si>
  <si>
    <t>0,23000,2084293011,24210,2084007317</t>
  </si>
  <si>
    <t>ウルトラマン</t>
  </si>
  <si>
    <t>オークション &gt; おもちゃ、ゲーム &gt; プラモデル &gt; キャラクター &gt; ウルトラマン</t>
  </si>
  <si>
    <t>0,25464,2084250263,2084250334,2084250346</t>
  </si>
  <si>
    <t>ボトムス</t>
  </si>
  <si>
    <t>オークション &gt; ファッション &gt; キッズ、ベビーファッション &gt; ベビー服 &gt; ボトムス</t>
  </si>
  <si>
    <t>0,23000,2084293011,24210,2084007265</t>
  </si>
  <si>
    <t>オークション &gt; チケット、金券、宿泊予約 &gt; プリペイドカード &gt; テレホンカード &gt; 芸能人、タレント &gt; 男性タレント</t>
  </si>
  <si>
    <t>0,2084043920,2084007688,23968,2084005109,2084005110</t>
  </si>
  <si>
    <t>ワンピース</t>
  </si>
  <si>
    <t>オークション &gt; ファッション &gt; キッズ、ベビーファッション &gt; ベビー服 &gt; ワンピース</t>
  </si>
  <si>
    <t>宇宙戦艦ヤマト</t>
  </si>
  <si>
    <t>0,23000,2084293011,24210,2084007271</t>
  </si>
  <si>
    <t>オークション &gt; おもちゃ、ゲーム &gt; プラモデル &gt; キャラクター &gt; 宇宙戦艦ヤマト</t>
  </si>
  <si>
    <t>0,25464,2084250263,2084250334,2084250360</t>
  </si>
  <si>
    <t>甚平</t>
  </si>
  <si>
    <t>オークション &gt; ファッション &gt; キッズ、ベビーファッション &gt; ベビー服 &gt; 甚平</t>
  </si>
  <si>
    <t>0,23000,2084293011,24210,2084051666</t>
  </si>
  <si>
    <t>ガンダム</t>
  </si>
  <si>
    <t>オークション &gt; おもちゃ、ゲーム &gt; プラモデル &gt; キャラクター &gt; ガンダム</t>
  </si>
  <si>
    <t>0,25464,2084250263,2084250334,2084250335</t>
  </si>
  <si>
    <t>浴衣</t>
  </si>
  <si>
    <t>オークション &gt; ファッション &gt; キッズ、ベビーファッション &gt; ベビー服 &gt; 浴衣</t>
  </si>
  <si>
    <t>オークション &gt; アンティーク、コレクション &gt; トレーディングカード &gt; タレント &gt; 女性タレント</t>
  </si>
  <si>
    <t>0,23000,2084293011,24210,2084051665</t>
  </si>
  <si>
    <t>0,20000,20992,2084006042,2084033790</t>
  </si>
  <si>
    <t>コードギアス</t>
  </si>
  <si>
    <t>オークション &gt; おもちゃ、ゲーム &gt; プラモデル &gt; キャラクター &gt; コードギアス</t>
  </si>
  <si>
    <t>0,25464,2084250263,2084250334,2084250348</t>
  </si>
  <si>
    <t>ベビー靴</t>
  </si>
  <si>
    <t>オークション &gt; アンティーク、コレクション &gt; トレーディングカード &gt; タレント &gt; 男性タレント</t>
  </si>
  <si>
    <t>オークション &gt; ファッション &gt; キッズ、ベビーファッション &gt; ベビー服 &gt; ベビー靴</t>
  </si>
  <si>
    <t>0,20000,20992,2084006042,2084033821</t>
  </si>
  <si>
    <t>ゴジラ</t>
  </si>
  <si>
    <t>0,23000,2084293011,24210,2084005310</t>
  </si>
  <si>
    <t>オークション &gt; おもちゃ、ゲーム &gt; プラモデル &gt; キャラクター &gt; ゴジラ</t>
  </si>
  <si>
    <t>0,25464,2084250263,2084250334,2084250349</t>
  </si>
  <si>
    <t>機動警察パトレイバー</t>
  </si>
  <si>
    <t>オークション &gt; ファッション &gt; キッズ、ベビーファッション &gt; ベビー服 &gt; 水着</t>
  </si>
  <si>
    <t>オークション &gt; おもちゃ、ゲーム &gt; プラモデル &gt; キャラクター &gt; 機動警察パトレイバー</t>
  </si>
  <si>
    <t>0,23000,2084293011,24210,2084051832</t>
  </si>
  <si>
    <t>0,25464,2084250263,2084250334,2084250361</t>
  </si>
  <si>
    <t>オークション &gt; ファッション &gt; キッズ、ベビーファッション &gt; ベビー服 &gt; ハンドメイド</t>
  </si>
  <si>
    <t>0,23000,2084293011,24210,2084240602</t>
  </si>
  <si>
    <t>銀河漂流バイファム</t>
  </si>
  <si>
    <t>オークション &gt; おもちゃ、ゲーム &gt; プラモデル &gt; キャラクター &gt; 銀河漂流バイファム</t>
  </si>
  <si>
    <t>0,25464,2084250263,2084250334,2084250362</t>
  </si>
  <si>
    <t>オークション &gt; ファッション &gt; キッズ、ベビーファッション &gt; ベビー服 &gt; ベビー用品</t>
  </si>
  <si>
    <t>0,23000,2084293011,24210,24202</t>
  </si>
  <si>
    <t>サンダーバード</t>
  </si>
  <si>
    <t>オークション &gt; おもちゃ、ゲーム &gt; プラモデル &gt; キャラクター &gt; サンダーバード</t>
  </si>
  <si>
    <t>0,25464,2084250263,2084250334,2084250350</t>
  </si>
  <si>
    <t>マタニティウエア</t>
  </si>
  <si>
    <t>オークション &gt; ファッション &gt; キッズ、ベビーファッション &gt; ベビー服 &gt; マタニティウエア</t>
  </si>
  <si>
    <t>0,23000,2084293011,24210,2084006309</t>
  </si>
  <si>
    <t>スーパーロボット大戦</t>
  </si>
  <si>
    <t>オークション &gt; おもちゃ、ゲーム &gt; プラモデル &gt; キャラクター &gt; スーパーロボット大戦</t>
  </si>
  <si>
    <t>0,25464,2084250263,2084250334,2084250351</t>
  </si>
  <si>
    <t>オークション &gt; アンティーク、コレクション &gt; 印刷物 &gt; ポスター &gt; タレント &gt; 女性タレント</t>
  </si>
  <si>
    <t>0,20000,20116,20112,2084006183,2084040546</t>
  </si>
  <si>
    <t>オークション &gt; ファッション &gt; キッズ、ベビーファッション &gt; ベビー服 &gt; その他</t>
  </si>
  <si>
    <t>スター・ウォーズ</t>
  </si>
  <si>
    <t>0,23000,2084293011,24210,2084005312</t>
  </si>
  <si>
    <t>オークション &gt; おもちゃ、ゲーム &gt; プラモデル &gt; キャラクター &gt; スター・ウォーズ</t>
  </si>
  <si>
    <t>0,25464,2084250263,2084250334,2084250352</t>
  </si>
  <si>
    <t>オークション &gt; アンティーク、コレクション &gt; 印刷物 &gt; ポスター &gt; タレント &gt; 男性タレント</t>
  </si>
  <si>
    <t>0,20000,20116,20112,2084006183,2084040545</t>
  </si>
  <si>
    <t>スタートレック</t>
  </si>
  <si>
    <t>オークション &gt; おもちゃ、ゲーム &gt; プラモデル &gt; キャラクター &gt; スタートレック</t>
  </si>
  <si>
    <t>0,25464,2084250263,2084250334,2084250353</t>
  </si>
  <si>
    <t>スタジオジブリ</t>
  </si>
  <si>
    <t>オークション &gt; おもちゃ、ゲーム &gt; プラモデル &gt; キャラクター &gt; スタジオジブリ</t>
  </si>
  <si>
    <t>0,25464,2084250263,2084250334,2084250370</t>
  </si>
  <si>
    <t>ゾイド</t>
  </si>
  <si>
    <t>オークション &gt; おもちゃ、ゲーム &gt; プラモデル &gt; キャラクター &gt; ゾイド</t>
  </si>
  <si>
    <t>0,25464,2084250263,2084250334,2084250354</t>
  </si>
  <si>
    <t>アフガン、おくるみ</t>
  </si>
  <si>
    <t>オークション &gt; 住まい、インテリア &gt; 家庭用品 &gt; 寝具 &gt; ベビー用 &gt; アフガン、おくるみ</t>
  </si>
  <si>
    <t>0,24198,42160,2084006343,2084006356,2084023849</t>
  </si>
  <si>
    <t>重戦機エルガイム</t>
  </si>
  <si>
    <t>オークション &gt; おもちゃ、ゲーム &gt; プラモデル &gt; キャラクター &gt; 重戦機エルガイム</t>
  </si>
  <si>
    <t>0,25464,2084250263,2084250334,2084250364</t>
  </si>
  <si>
    <t>シーツ、カバー</t>
  </si>
  <si>
    <t>新世紀エヴァンゲリオン</t>
  </si>
  <si>
    <t>オークション &gt; 住まい、インテリア &gt; 家庭用品 &gt; 寝具 &gt; ベビー用 &gt; シーツ、カバー</t>
  </si>
  <si>
    <t>オークション &gt; おもちゃ、ゲーム &gt; プラモデル &gt; キャラクター &gt; 新世紀エヴァンゲリオン</t>
  </si>
  <si>
    <t>0,24198,42160,2084006343,2084006356,2084006368</t>
  </si>
  <si>
    <t>0,25464,2084250263,2084250334,2084250365</t>
  </si>
  <si>
    <t>戦闘メカザブングル</t>
  </si>
  <si>
    <t>タオルケット</t>
  </si>
  <si>
    <t>オークション &gt; 住まい、インテリア &gt; 家庭用品 &gt; 寝具 &gt; ベビー用 &gt; タオルケット</t>
  </si>
  <si>
    <t>オークション &gt; おもちゃ、ゲーム &gt; プラモデル &gt; キャラクター &gt; 戦闘メカザブングル</t>
  </si>
  <si>
    <t>Tシャツ</t>
  </si>
  <si>
    <t>0,24198,42160,2084006343,2084006356,2084006370</t>
  </si>
  <si>
    <t>0,25464,2084250263,2084250334,2084250366</t>
  </si>
  <si>
    <t>オークション &gt; 音楽 &gt; 記念品、思い出の品 &gt; Tシャツ</t>
  </si>
  <si>
    <t>0,22152,22396,2084049663</t>
  </si>
  <si>
    <t>布団</t>
  </si>
  <si>
    <t>オークション &gt; 住まい、インテリア &gt; 家庭用品 &gt; 寝具 &gt; ベビー用 &gt; 布団</t>
  </si>
  <si>
    <t>0,24198,42160,2084006343,2084006356,2084006367</t>
  </si>
  <si>
    <t>装甲騎兵ボトムズ</t>
  </si>
  <si>
    <t>オークション &gt; 音楽 &gt; 記念品、思い出の品 &gt; うちわ</t>
  </si>
  <si>
    <t>0,22152,22396,2084047084</t>
  </si>
  <si>
    <t>枕</t>
  </si>
  <si>
    <t>オークション &gt; おもちゃ、ゲーム &gt; プラモデル &gt; キャラクター &gt; 装甲騎兵ボトムズ</t>
  </si>
  <si>
    <t>オークション &gt; 住まい、インテリア &gt; 家庭用品 &gt; 寝具 &gt; ベビー用 &gt; 枕</t>
  </si>
  <si>
    <t>0,25464,2084250263,2084250334,2084250367</t>
  </si>
  <si>
    <t>0,24198,42160,2084006343,2084006356,2084006371</t>
  </si>
  <si>
    <t>オークション &gt; 音楽 &gt; 記念品、思い出の品 &gt; カレンダー</t>
  </si>
  <si>
    <t>0,22152,22396,2084006163</t>
  </si>
  <si>
    <t>毛布</t>
  </si>
  <si>
    <t>オークション &gt; 住まい、インテリア &gt; 家庭用品 &gt; 寝具 &gt; ベビー用 &gt; 毛布</t>
  </si>
  <si>
    <t>0,24198,42160,2084006343,2084006356,2084006369</t>
  </si>
  <si>
    <t>ダンボール戦機</t>
  </si>
  <si>
    <t>オークション &gt; おもちゃ、ゲーム &gt; プラモデル &gt; キャラクター &gt; ダンボール戦機</t>
  </si>
  <si>
    <t>0,25464,2084250263,2084250334,2084310499</t>
  </si>
  <si>
    <t>オークション &gt; 音楽 &gt; 記念品、思い出の品 &gt; サイン</t>
  </si>
  <si>
    <t>オークション &gt; 住まい、インテリア &gt; 家庭用品 &gt; 寝具 &gt; ベビー用 &gt; その他</t>
  </si>
  <si>
    <t>0,22152,22396,2084005082</t>
  </si>
  <si>
    <t>0,24198,42160,2084006343,2084006356,2084006372</t>
  </si>
  <si>
    <t>オークション &gt; 音楽 &gt; 記念品、思い出の品 &gt; ステッカー</t>
  </si>
  <si>
    <t>太陽の牙ダグラム</t>
  </si>
  <si>
    <t>オークション &gt; おもちゃ、ゲーム &gt; プラモデル &gt; キャラクター &gt; 太陽の牙ダグラム</t>
  </si>
  <si>
    <t>0,22152,22396,42206</t>
  </si>
  <si>
    <t>0,25464,2084250263,2084250334,2084250368</t>
  </si>
  <si>
    <t>伝説巨神イデオン</t>
  </si>
  <si>
    <t>オークション &gt; おもちゃ、ゲーム &gt; プラモデル &gt; キャラクター &gt; 伝説巨神イデオン</t>
  </si>
  <si>
    <t>0,25464,2084250263,2084250334,2084250369</t>
  </si>
  <si>
    <t>チラシ</t>
  </si>
  <si>
    <t>オークション &gt; 音楽 &gt; 記念品、思い出の品 &gt; チラシ</t>
  </si>
  <si>
    <t>0,22152,22396,2084006177</t>
  </si>
  <si>
    <t>だっこひも、おんぶひも</t>
  </si>
  <si>
    <t>バーチャロン</t>
  </si>
  <si>
    <t>オークション &gt; ベビー用品 &gt; 外出、移動用品 &gt; だっこひも、おんぶひも</t>
  </si>
  <si>
    <t>オークション &gt; 音楽 &gt; 記念品、思い出の品 &gt; テレホンカード</t>
  </si>
  <si>
    <t>オークション &gt; おもちゃ、ゲーム &gt; プラモデル &gt; キャラクター &gt; バーチャロン</t>
  </si>
  <si>
    <t>0,24202,2084042548,2084008378</t>
  </si>
  <si>
    <t>0,22152,22396,2084005105</t>
  </si>
  <si>
    <t>0,25464,2084250263,2084250334,2084250355</t>
  </si>
  <si>
    <t>パンフレット</t>
  </si>
  <si>
    <t>オークション &gt; 音楽 &gt; 記念品、思い出の品 &gt; パンフレット</t>
  </si>
  <si>
    <t>0,22152,22396,2084047078</t>
  </si>
  <si>
    <t>ベビーカー</t>
  </si>
  <si>
    <t>マクロス</t>
  </si>
  <si>
    <t>オークション &gt; ベビー用品 &gt; 外出、移動用品 &gt; ベビーカー</t>
  </si>
  <si>
    <t>オークション &gt; おもちゃ、ゲーム &gt; プラモデル &gt; キャラクター &gt; マクロス</t>
  </si>
  <si>
    <t>0,24202,2084042548,24222</t>
  </si>
  <si>
    <t>0,25464,2084250263,2084250334,2084250356</t>
  </si>
  <si>
    <t>オークション &gt; 音楽 &gt; 記念品、思い出の品 &gt; ファンクラブ会報</t>
  </si>
  <si>
    <t>0,22152,22396,2084047090</t>
  </si>
  <si>
    <t>マシーネンクリーガー</t>
  </si>
  <si>
    <t>ベビーキャリー、クーハン</t>
  </si>
  <si>
    <t>オークション &gt; おもちゃ、ゲーム &gt; プラモデル &gt; キャラクター &gt; マシーネンクリーガー</t>
  </si>
  <si>
    <t>オークション &gt; ベビー用品 &gt; 外出、移動用品 &gt; ベビーキャリー、クーハン</t>
  </si>
  <si>
    <t>0,24202,2084042548,2084008372</t>
  </si>
  <si>
    <t>0,25464,2084250263,2084250334,2084250357</t>
  </si>
  <si>
    <t>オークション &gt; 音楽 &gt; 記念品、思い出の品 &gt; ポスター</t>
  </si>
  <si>
    <t>0,22152,22396,2084005085</t>
  </si>
  <si>
    <t>マジンガーZ</t>
  </si>
  <si>
    <t>ベビーラック</t>
  </si>
  <si>
    <t>オークション &gt; おもちゃ、ゲーム &gt; プラモデル &gt; キャラクター &gt; マジンガーZ</t>
  </si>
  <si>
    <t>オークション &gt; ベビー用品 &gt; 外出、移動用品 &gt; ベビーラック</t>
  </si>
  <si>
    <t>オークション &gt; 音楽 &gt; 記念品、思い出の品 &gt; ポップ</t>
  </si>
  <si>
    <t>0,25464,2084250263,2084250334,2084250358</t>
  </si>
  <si>
    <t>0,22152,22396,2084047087</t>
  </si>
  <si>
    <t>0,24202,2084042548,2084008373</t>
  </si>
  <si>
    <t>ミュージシャン別</t>
  </si>
  <si>
    <t>魔神英雄伝ワタル</t>
  </si>
  <si>
    <t>オークション &gt; 音楽 &gt; 記念品、思い出の品 &gt; ミュージシャン別</t>
  </si>
  <si>
    <t>0,22152,22396,2084024931</t>
  </si>
  <si>
    <t>オークション &gt; おもちゃ、ゲーム &gt; プラモデル &gt; キャラクター &gt; 魔神英雄伝ワタル</t>
  </si>
  <si>
    <t>0,25464,2084250263,2084250334,2084250371</t>
  </si>
  <si>
    <t>マザーズバッグ</t>
  </si>
  <si>
    <t>オークション &gt; ベビー用品 &gt; 外出、移動用品 &gt; マザーズバッグ</t>
  </si>
  <si>
    <t>0,24202,2084042548,2084047405</t>
  </si>
  <si>
    <t>ロボダッチ</t>
  </si>
  <si>
    <t>オークション &gt; 音楽 &gt; 記念品、思い出の品 &gt; 携帯ストラップ</t>
  </si>
  <si>
    <t>オークション &gt; おもちゃ、ゲーム &gt; プラモデル &gt; キャラクター &gt; ロボダッチ</t>
  </si>
  <si>
    <t>0,22152,22396,2084040530</t>
  </si>
  <si>
    <t>0,25464,2084250263,2084250334,2084250359</t>
  </si>
  <si>
    <t>ママコート</t>
  </si>
  <si>
    <t>オークション &gt; ベビー用品 &gt; 外出、移動用品 &gt; ママコート</t>
  </si>
  <si>
    <t>0,24202,2084042548,2084047646</t>
  </si>
  <si>
    <t>完成品</t>
  </si>
  <si>
    <t>オークション &gt; おもちゃ、ゲーム &gt; プラモデル &gt; キャラクター &gt; 完成品</t>
  </si>
  <si>
    <t>0,25464,2084250263,2084250334,2084250375</t>
  </si>
  <si>
    <t>オークション &gt; 音楽 &gt; 記念品、思い出の品 &gt; 写真</t>
  </si>
  <si>
    <t>0,22152,22396,2084047080</t>
  </si>
  <si>
    <t>歩行器</t>
  </si>
  <si>
    <t>オークション &gt; ベビー用品 &gt; 外出、移動用品 &gt; 歩行器</t>
  </si>
  <si>
    <t>0,24202,2084042548,2084008375</t>
  </si>
  <si>
    <t>オークション &gt; おもちゃ、ゲーム &gt; プラモデル &gt; キャラクター &gt; その他</t>
  </si>
  <si>
    <t>写真集</t>
  </si>
  <si>
    <t>0,25464,2084250263,2084250334,2084250373</t>
  </si>
  <si>
    <t>オークション &gt; 音楽 &gt; 記念品、思い出の品 &gt; 写真集</t>
  </si>
  <si>
    <t>0,22152,22396,2084006192</t>
  </si>
  <si>
    <t>オークション &gt; ベビー用品 &gt; 外出、移動用品 &gt; ベビーシート</t>
  </si>
  <si>
    <t>0,24202,2084042548,2084047108</t>
  </si>
  <si>
    <t>オークション &gt; 音楽 &gt; 記念品、思い出の品 &gt; 切り抜き</t>
  </si>
  <si>
    <t>0,22152,22396,2084006164</t>
  </si>
  <si>
    <t>オークション &gt; ベビー用品 &gt; 外出、移動用品 &gt; チャイルドシート</t>
  </si>
  <si>
    <t>0,24202,2084042548,2084005814</t>
  </si>
  <si>
    <t>オークション &gt; 音楽 &gt; 記念品、思い出の品 &gt; その他</t>
  </si>
  <si>
    <t>0,22152,22396,2084005353</t>
  </si>
  <si>
    <t>全巻セット</t>
  </si>
  <si>
    <t>オークション &gt; ベビー用品 &gt; 外出、移動用品 &gt; その他</t>
  </si>
  <si>
    <t>オークション &gt; 本、雑誌 &gt; 漫画、コミック &gt; 全巻セット</t>
  </si>
  <si>
    <t>0,24202,2084042548,2084042549</t>
  </si>
  <si>
    <t>0,21600,21636,2084261439</t>
  </si>
  <si>
    <t>少年</t>
  </si>
  <si>
    <t>オークション &gt; 本、雑誌 &gt; 漫画、コミック &gt; 少年</t>
  </si>
  <si>
    <t>0,21600,21636,2084261457</t>
  </si>
  <si>
    <t>少女</t>
  </si>
  <si>
    <t>オークション &gt; 本、雑誌 &gt; 漫画、コミック &gt; 少女</t>
  </si>
  <si>
    <t>0,21600,21636,2084261458</t>
  </si>
  <si>
    <t>お宮参り用品</t>
  </si>
  <si>
    <t>オークション &gt; ベビー用品 &gt; 行事、記念品 &gt; お宮参り用品</t>
  </si>
  <si>
    <t>0,24202,2084216344,2084216348</t>
  </si>
  <si>
    <t>青年</t>
  </si>
  <si>
    <t>オークション &gt; 本、雑誌 &gt; 漫画、コミック &gt; 青年</t>
  </si>
  <si>
    <t>0,21600,21636,2084261459</t>
  </si>
  <si>
    <t>お食い初め用品</t>
  </si>
  <si>
    <t>オークション &gt; ベビー用品 &gt; 行事、記念品 &gt; お食い初め用品</t>
  </si>
  <si>
    <t>0,24202,2084216344,2084216347</t>
  </si>
  <si>
    <t>女性</t>
  </si>
  <si>
    <t>オークション &gt; 本、雑誌 &gt; 漫画、コミック &gt; 女性</t>
  </si>
  <si>
    <t>0,21600,21636,2084261460</t>
  </si>
  <si>
    <t>アルバム</t>
  </si>
  <si>
    <t>オークション &gt; ベビー用品 &gt; 行事、記念品 &gt; アルバム</t>
  </si>
  <si>
    <t>ボーイズラブ</t>
  </si>
  <si>
    <t>0,24202,2084216344,2084216346</t>
  </si>
  <si>
    <t>オークション &gt; 本、雑誌 &gt; 漫画、コミック &gt; ボーイズラブ</t>
  </si>
  <si>
    <t>0,21600,21636,2084040624</t>
  </si>
  <si>
    <t>同人誌</t>
  </si>
  <si>
    <t>オークション &gt; 本、雑誌 &gt; 漫画、コミック &gt; 同人誌</t>
  </si>
  <si>
    <t>手形、足形</t>
  </si>
  <si>
    <t>0,21600,21636,2084005146</t>
  </si>
  <si>
    <t>オークション &gt; ベビー用品 &gt; 行事、記念品 &gt; 手形、足形</t>
  </si>
  <si>
    <t>0,24202,2084216344,2084216345</t>
  </si>
  <si>
    <t>漫画雑誌</t>
  </si>
  <si>
    <t>オークション &gt; 本、雑誌 &gt; 漫画、コミック &gt; 漫画雑誌</t>
  </si>
  <si>
    <t>オークション &gt; ベビー用品 &gt; 行事、記念品 &gt; その他</t>
  </si>
  <si>
    <t>0,24202,2084216344,2084216349</t>
  </si>
  <si>
    <t>0,21600,21636,2084008144</t>
  </si>
  <si>
    <t>アメコミ、海外作品</t>
  </si>
  <si>
    <t>オークション &gt; 本、雑誌 &gt; 漫画、コミック &gt; アメコミ、海外作品</t>
  </si>
  <si>
    <t>0,21600,21636,2084008750</t>
  </si>
  <si>
    <t>イラスト集、原画集</t>
  </si>
  <si>
    <t>オークション &gt; 本、雑誌 &gt; 漫画、コミック &gt; イラスト集、原画集</t>
  </si>
  <si>
    <t>0,21600,21636,2084008751</t>
  </si>
  <si>
    <t>オークション &gt; 本、雑誌 &gt; 漫画、コミック &gt; その他</t>
  </si>
  <si>
    <t>0,21600,21636,21639</t>
  </si>
  <si>
    <t>絵本</t>
  </si>
  <si>
    <t>オークション &gt; 本、雑誌 &gt; 児童書、絵本 &gt; 絵本</t>
  </si>
  <si>
    <t>0,21600,21624,2084008642</t>
  </si>
  <si>
    <t>学習漫画</t>
  </si>
  <si>
    <t>オークション &gt; 本、雑誌 &gt; 児童書、絵本 &gt; 学習漫画</t>
  </si>
  <si>
    <t>0,21600,21624,2084008652</t>
  </si>
  <si>
    <t>日本</t>
  </si>
  <si>
    <t>オークション &gt; 映画、ビデオ &gt; DVD &gt; アニメ &gt; 日本</t>
  </si>
  <si>
    <t>児童書評論</t>
  </si>
  <si>
    <t>0,21964,21968,21976,2084057188</t>
  </si>
  <si>
    <t>オークション &gt; 本、雑誌 &gt; 児童書、絵本 &gt; 児童書評論</t>
  </si>
  <si>
    <t>0,21600,21624,2084008653</t>
  </si>
  <si>
    <t>ジャンル別</t>
  </si>
  <si>
    <t>オークション &gt; 映画、ビデオ &gt; DVD &gt; アニメ &gt; 海外</t>
  </si>
  <si>
    <t>児童文学、読み物</t>
  </si>
  <si>
    <t>0,21964,21968,21976,2084057189</t>
  </si>
  <si>
    <t>オークション &gt; チケット、金券、宿泊予約 &gt; ジャンル別</t>
  </si>
  <si>
    <t>オークション &gt; 本、雑誌 &gt; 児童書、絵本 &gt; 児童文学、読み物</t>
  </si>
  <si>
    <t>0,2084043920,2084044330</t>
  </si>
  <si>
    <t>0,21600,21624,2084008654</t>
  </si>
  <si>
    <t>図鑑</t>
  </si>
  <si>
    <t>オークション &gt; 本、雑誌 &gt; 児童書、絵本 &gt; 図鑑</t>
  </si>
  <si>
    <t>0,21600,21624,2084008650</t>
  </si>
  <si>
    <t>興行チケット</t>
  </si>
  <si>
    <t>オークション &gt; チケット、金券、宿泊予約 &gt; 興行チケット</t>
  </si>
  <si>
    <t>入門、工作</t>
  </si>
  <si>
    <t>0,2084043920,22748</t>
  </si>
  <si>
    <t>オークション &gt; 本、雑誌 &gt; 児童書、絵本 &gt; 入門、工作</t>
  </si>
  <si>
    <t>0,21600,21624,2084008651</t>
  </si>
  <si>
    <t>優待券、割引券</t>
  </si>
  <si>
    <t>オークション &gt; 映画、ビデオ &gt; ビデオテープ &gt; アニメ &gt; 日本</t>
  </si>
  <si>
    <t>オークション &gt; チケット、金券、宿泊予約 &gt; 優待券、割引券</t>
  </si>
  <si>
    <t>0,21964,22072,22080,2084057185</t>
  </si>
  <si>
    <t>0,2084043920,2084048817</t>
  </si>
  <si>
    <t>施設利用券</t>
  </si>
  <si>
    <t>ベビー用食器</t>
  </si>
  <si>
    <t>オークション &gt; 映画、ビデオ &gt; ビデオテープ &gt; アニメ &gt; 海外</t>
  </si>
  <si>
    <t>オークション &gt; チケット、金券、宿泊予約 &gt; 施設利用券</t>
  </si>
  <si>
    <t>オークション &gt; ベビー用品 &gt; 授乳、食事用品 &gt; ベビー用食器</t>
  </si>
  <si>
    <t>0,21964,22072,22080,2084057186</t>
  </si>
  <si>
    <t>0,2084043920,2084044317</t>
  </si>
  <si>
    <t>0,24202,2084042550,2084005664</t>
  </si>
  <si>
    <t>乗車券、交通券</t>
  </si>
  <si>
    <t>オークション &gt; チケット、金券、宿泊予約 &gt; 乗車券、交通券</t>
  </si>
  <si>
    <t>ミルク、ベビーフード</t>
  </si>
  <si>
    <t>0,2084043920,26178</t>
  </si>
  <si>
    <t>オークション &gt; ベビー用品 &gt; 授乳、食事用品 &gt; ミルク、ベビーフード</t>
  </si>
  <si>
    <t>0,24202,2084042550,2084008374</t>
  </si>
  <si>
    <t>ギフト券</t>
  </si>
  <si>
    <t>オークション &gt; ベビー用品 &gt; 授乳、食事用品 &gt; その他</t>
  </si>
  <si>
    <t>オークション &gt; チケット、金券、宿泊予約 &gt; ギフト券</t>
  </si>
  <si>
    <t>0,24202,2084042550,2084042551</t>
  </si>
  <si>
    <t>0,2084043920,2084006752</t>
  </si>
  <si>
    <t>フード、ドリンク券</t>
  </si>
  <si>
    <t>アニメソング一般</t>
  </si>
  <si>
    <t>オークション &gt; チケット、金券、宿泊予約 &gt; フード、ドリンク券</t>
  </si>
  <si>
    <t>オークション &gt; 音楽 &gt; CD &gt; アニメソング &gt; アニメソング一般</t>
  </si>
  <si>
    <t>0,2084043920,2084049443</t>
  </si>
  <si>
    <t>0,22152,22192,2084005149,2084006959</t>
  </si>
  <si>
    <t>プリペイドカード</t>
  </si>
  <si>
    <t>オークション &gt; チケット、金券、宿泊予約 &gt; プリペイドカード</t>
  </si>
  <si>
    <t>ふしぎ遊戯</t>
  </si>
  <si>
    <t>0,2084043920,2084007688</t>
  </si>
  <si>
    <t>オークション &gt; 音楽 &gt; CD &gt; アニメソング &gt; ふしぎ遊戯</t>
  </si>
  <si>
    <t>0,22152,22192,2084005149,2084047607</t>
  </si>
  <si>
    <t>オークション &gt; 音楽 &gt; CD &gt; アニメソング &gt; ガンダム</t>
  </si>
  <si>
    <t>0,22152,22192,2084005149,2084006960</t>
  </si>
  <si>
    <t>整理券、予約券</t>
  </si>
  <si>
    <t>オークション &gt; チケット、金券、宿泊予約 &gt; 整理券、予約券</t>
  </si>
  <si>
    <t>0,2084043920,2084052795</t>
  </si>
  <si>
    <t>オークション &gt; 音楽 &gt; CD &gt; アニメソング &gt; スタジオジブリ</t>
  </si>
  <si>
    <t>0,22152,22192,2084005149,2084243365</t>
  </si>
  <si>
    <t>スレイヤーズ</t>
  </si>
  <si>
    <t>オークション &gt; 音楽 &gt; CD &gt; アニメソング &gt; スレイヤーズ</t>
  </si>
  <si>
    <t>宿泊予約</t>
  </si>
  <si>
    <t>0,22152,22192,2084005149,2084006963</t>
  </si>
  <si>
    <t>オークション &gt; チケット、金券、宿泊予約 &gt; 宿泊予約</t>
  </si>
  <si>
    <t>0,2084043920,2084062636</t>
  </si>
  <si>
    <t>ディズニー</t>
  </si>
  <si>
    <t>オークション &gt; 音楽 &gt; CD &gt; アニメソング &gt; ディズニー</t>
  </si>
  <si>
    <t>0,22152,22192,2084005149,2084243366</t>
  </si>
  <si>
    <t>オークション &gt; 音楽 &gt; CD &gt; アニメソング &gt; マクロス</t>
  </si>
  <si>
    <t>0,22152,22192,2084005149,2084006965</t>
  </si>
  <si>
    <t>オークション &gt; チケット、金券、宿泊予約 &gt; ジャンル別 &gt; イベント</t>
  </si>
  <si>
    <t>ルパン三世</t>
  </si>
  <si>
    <t>オークション &gt; 音楽 &gt; CD &gt; アニメソング &gt; ルパン三世</t>
  </si>
  <si>
    <t>0,22152,22192,2084005149,2084006968</t>
  </si>
  <si>
    <t>0,2084043920,2084044330,2084044329</t>
  </si>
  <si>
    <t>農業</t>
  </si>
  <si>
    <t>オークション &gt; 花、園芸 &gt; 農業</t>
  </si>
  <si>
    <t>0,26086,2084200287</t>
  </si>
  <si>
    <t>機動戦艦ナデシコ</t>
  </si>
  <si>
    <t>グルメ、ドリンク</t>
  </si>
  <si>
    <t>オークション &gt; 音楽 &gt; CD &gt; アニメソング &gt; 機動戦艦ナデシコ</t>
  </si>
  <si>
    <t>0,22152,22192,2084005149,2084006969</t>
  </si>
  <si>
    <t>オークション &gt; チケット、金券、宿泊予約 &gt; ジャンル別 &gt; グルメ、ドリンク</t>
  </si>
  <si>
    <t>ガーデニング</t>
  </si>
  <si>
    <t>オークション &gt; 花、園芸 &gt; ガーデニング</t>
  </si>
  <si>
    <t>0,26086,2084006704</t>
  </si>
  <si>
    <t>新世紀GPXサイバーフォーミュラ</t>
  </si>
  <si>
    <t>0,2084043920,2084044330,2084044354</t>
  </si>
  <si>
    <t>オークション &gt; 音楽 &gt; CD &gt; アニメソング &gt; 新世紀GPXサイバーフォーミュラ</t>
  </si>
  <si>
    <t>0,22152,22192,2084005149,2084006962</t>
  </si>
  <si>
    <t>アレンジメント</t>
  </si>
  <si>
    <t>オークション &gt; 花、園芸 &gt; アレンジメント</t>
  </si>
  <si>
    <t>0,26086,2084006711</t>
  </si>
  <si>
    <t>オークション &gt; チケット、金券、宿泊予約 &gt; ジャンル別 &gt; スポーツ</t>
  </si>
  <si>
    <t>オークション &gt; 音楽 &gt; CD &gt; アニメソング &gt; 新世紀エヴァンゲリオン</t>
  </si>
  <si>
    <t>0,22152,22192,2084005149,2084006964</t>
  </si>
  <si>
    <t>0,2084043920,2084044330,25430</t>
  </si>
  <si>
    <t>切り花、花束</t>
  </si>
  <si>
    <t>オークション &gt; 花、園芸 &gt; 切り花、花束</t>
  </si>
  <si>
    <t>0,26086,2084006710</t>
  </si>
  <si>
    <t>声優</t>
  </si>
  <si>
    <t>オークション &gt; 音楽 &gt; CD &gt; アニメソング &gt; 声優</t>
  </si>
  <si>
    <t>0,22152,22192,2084005149,2084006970</t>
  </si>
  <si>
    <t>盆栽</t>
  </si>
  <si>
    <t>オークション &gt; チケット、金券、宿泊予約 &gt; ジャンル別 &gt; パフォーミングアート</t>
  </si>
  <si>
    <t>0,2084043920,2084044330,2084044328</t>
  </si>
  <si>
    <t>天地無用!</t>
  </si>
  <si>
    <t>オークション &gt; 音楽 &gt; CD &gt; アニメソング &gt; 天地無用!</t>
  </si>
  <si>
    <t>0,22152,22192,2084005149,2084006967</t>
  </si>
  <si>
    <t>オークション &gt; 花、園芸 &gt; 盆栽</t>
  </si>
  <si>
    <t>0,26086,2084048020</t>
  </si>
  <si>
    <t>オークション &gt; チケット、金券、宿泊予約 &gt; ジャンル別 &gt; ホビー、カルチャー</t>
  </si>
  <si>
    <t>0,2084043920,2084044330,2084046719</t>
  </si>
  <si>
    <t>幽遊白書</t>
  </si>
  <si>
    <t>観葉植物</t>
  </si>
  <si>
    <t>オークション &gt; 花、園芸 &gt; 観葉植物</t>
  </si>
  <si>
    <t>オークション &gt; 音楽 &gt; CD &gt; アニメソング &gt; 幽遊白書</t>
  </si>
  <si>
    <t>0,22152,22192,2084005149,2084006966</t>
  </si>
  <si>
    <t>0,26086,2084048017</t>
  </si>
  <si>
    <t>レジャー</t>
  </si>
  <si>
    <t>オークション &gt; チケット、金券、宿泊予約 &gt; ジャンル別 &gt; レジャー</t>
  </si>
  <si>
    <t>0,2084043920,2084044330,2084044344</t>
  </si>
  <si>
    <t>CDブック、ドラマCD</t>
  </si>
  <si>
    <t>鉢植え</t>
  </si>
  <si>
    <t>オークション &gt; 音楽 &gt; CD &gt; アニメソング &gt; CDブック、ドラマCD</t>
  </si>
  <si>
    <t>オークション &gt; 花、園芸 &gt; 鉢植え</t>
  </si>
  <si>
    <t>0,22152,22192,2084005149,2084047451</t>
  </si>
  <si>
    <t>0,26086,2084006709</t>
  </si>
  <si>
    <t>オークション &gt; チケット、金券、宿泊予約 &gt; ジャンル別 &gt; 映画</t>
  </si>
  <si>
    <t>0,2084043920,2084044330,2084039789</t>
  </si>
  <si>
    <t>植木、庭木</t>
  </si>
  <si>
    <t>オークション &gt; 花、園芸 &gt; 植木、庭木</t>
  </si>
  <si>
    <t>オークション &gt; チケット、金券、宿泊予約 &gt; ジャンル別 &gt; 音楽</t>
  </si>
  <si>
    <t>0,26086,2084006703</t>
  </si>
  <si>
    <t>0,2084043920,2084044330,2084044331</t>
  </si>
  <si>
    <t>オークション &gt; アンティーク、コレクション &gt; 印刷物 &gt; カレンダー &gt; コミック、アニメーション &gt; あ行</t>
  </si>
  <si>
    <t>0,20000,20116,20072,2084006158,2084040020</t>
  </si>
  <si>
    <t>造園用工具、資材</t>
  </si>
  <si>
    <t>オークション &gt; 花、園芸 &gt; 造園用工具、資材</t>
  </si>
  <si>
    <t>オークション &gt; チケット、金券、宿泊予約 &gt; ジャンル別 &gt; 住まい、インテリア</t>
  </si>
  <si>
    <t>0,26086,2084206880</t>
  </si>
  <si>
    <t>0,2084043920,2084044330,2084044357</t>
  </si>
  <si>
    <t>オークション &gt; アンティーク、コレクション &gt; 印刷物 &gt; カレンダー &gt; コミック、アニメーション &gt; か行</t>
  </si>
  <si>
    <t>0,20000,20116,20072,2084006158,2084040079</t>
  </si>
  <si>
    <t>美容、健康</t>
  </si>
  <si>
    <t>オークション &gt; チケット、金券、宿泊予約 &gt; ジャンル別 &gt; 美容、健康</t>
  </si>
  <si>
    <t>0,2084043920,2084044330,2084044352</t>
  </si>
  <si>
    <t>プリザーブドフラワー</t>
  </si>
  <si>
    <t>オークション &gt; 花、園芸 &gt; プリザーブドフラワー</t>
  </si>
  <si>
    <t>オークション &gt; アンティーク、コレクション &gt; 印刷物 &gt; カレンダー &gt; コミック、アニメーション &gt; さ行</t>
  </si>
  <si>
    <t>0,26086,2084048857</t>
  </si>
  <si>
    <t>0,20000,20116,20072,2084006158,2084040135</t>
  </si>
  <si>
    <t>旅行、交通</t>
  </si>
  <si>
    <t>オークション &gt; チケット、金券、宿泊予約 &gt; ジャンル別 &gt; 旅行、交通</t>
  </si>
  <si>
    <t>0,2084043920,2084044330,2084044348</t>
  </si>
  <si>
    <t>オークション &gt; アンティーク、コレクション &gt; 印刷物 &gt; カレンダー &gt; コミック、アニメーション &gt; た行</t>
  </si>
  <si>
    <t>ドライフラワー</t>
  </si>
  <si>
    <t>0,20000,20116,20072,2084006158,2084040177</t>
  </si>
  <si>
    <t>オークション &gt; 花、園芸 &gt; ドライフラワー</t>
  </si>
  <si>
    <t>0,26086,2084006708</t>
  </si>
  <si>
    <t>オークション &gt; アンティーク、コレクション &gt; 印刷物 &gt; カレンダー &gt; コミック、アニメーション &gt; な行</t>
  </si>
  <si>
    <t>0,20000,20116,20072,2084006158,2084040207</t>
  </si>
  <si>
    <t>リース</t>
  </si>
  <si>
    <t>オークション &gt; アンティーク、コレクション &gt; 印刷物 &gt; カレンダー &gt; コミック、アニメーション &gt; は行</t>
  </si>
  <si>
    <t>オークション &gt; 花、園芸 &gt; リース</t>
  </si>
  <si>
    <t>0,20000,20116,20072,2084006158,2084040259</t>
  </si>
  <si>
    <t>0,26086,2084047125</t>
  </si>
  <si>
    <t>オークション &gt; アンティーク、コレクション &gt; 印刷物 &gt; カレンダー &gt; コミック、アニメーション &gt; ま行</t>
  </si>
  <si>
    <t>押し花</t>
  </si>
  <si>
    <t>0,20000,20116,20072,2084006158,2084040304</t>
  </si>
  <si>
    <t>オークション &gt; 花、園芸 &gt; 押し花</t>
  </si>
  <si>
    <t>0,26086,2084048858</t>
  </si>
  <si>
    <t>オークション &gt; アンティーク、コレクション &gt; 印刷物 &gt; カレンダー &gt; コミック、アニメーション &gt; や行</t>
  </si>
  <si>
    <t>造花</t>
  </si>
  <si>
    <t>0,20000,20116,20072,2084006158,2084040328</t>
  </si>
  <si>
    <t>オークション &gt; 花、園芸 &gt; 造花</t>
  </si>
  <si>
    <t>0,26086,2084006705</t>
  </si>
  <si>
    <t>オークション &gt; アンティーク、コレクション &gt; 印刷物 &gt; カレンダー &gt; コミック、アニメーション &gt; ら行</t>
  </si>
  <si>
    <t>0,20000,20116,20072,2084006158,2084040339</t>
  </si>
  <si>
    <t>花瓶</t>
  </si>
  <si>
    <t>オークション &gt; 花、園芸 &gt; 花瓶</t>
  </si>
  <si>
    <t>0,26086,2084024334</t>
  </si>
  <si>
    <t>オークション &gt; アンティーク、コレクション &gt; 印刷物 &gt; カレンダー &gt; コミック、アニメーション &gt; わ行</t>
  </si>
  <si>
    <t>0,20000,20116,20072,2084006158,2084040354</t>
  </si>
  <si>
    <t>関連書籍</t>
  </si>
  <si>
    <t>オークション &gt; 花、園芸 &gt; 関連書籍</t>
  </si>
  <si>
    <t>0,26086,2084047772</t>
  </si>
  <si>
    <t>オークション &gt; 花、園芸 &gt; その他</t>
  </si>
  <si>
    <t>0,26086,2084006706</t>
  </si>
  <si>
    <t>レストラン、食事</t>
  </si>
  <si>
    <t>オークション &gt; チケット、金券、宿泊予約 &gt; 優待券、割引券 &gt; レストラン、食事</t>
  </si>
  <si>
    <t>0,2084043920,2084048817,2084044319</t>
  </si>
  <si>
    <t>交通</t>
  </si>
  <si>
    <t>オークション &gt; チケット、金券、宿泊予約 &gt; 優待券、割引券 &gt; 交通</t>
  </si>
  <si>
    <t>0,2084043920,2084048817,2084208629</t>
  </si>
  <si>
    <t>農業機械</t>
  </si>
  <si>
    <t>オークション &gt; アンティーク、コレクション &gt; トレーディングカード &gt; コミック、アニメーション &gt; 作品別</t>
  </si>
  <si>
    <t>オークション &gt; 花、園芸 &gt; 農業 &gt; 農業機械</t>
  </si>
  <si>
    <t>施設利用</t>
  </si>
  <si>
    <t>0,20000,20992,21020,2084006032</t>
  </si>
  <si>
    <t>オークション &gt; チケット、金券、宿泊予約 &gt; 優待券、割引券 &gt; 施設利用</t>
  </si>
  <si>
    <t>0,26086,2084200287,2084252938</t>
  </si>
  <si>
    <t>0,2084043920,2084048817,2084044317</t>
  </si>
  <si>
    <t>宿泊</t>
  </si>
  <si>
    <t>オークション &gt; チケット、金券、宿泊予約 &gt; 優待券、割引券 &gt; 宿泊</t>
  </si>
  <si>
    <t>農業資材</t>
  </si>
  <si>
    <t>テレビゲームトレカ</t>
  </si>
  <si>
    <t>0,2084043920,2084048817,42441</t>
  </si>
  <si>
    <t>オークション &gt; 花、園芸 &gt; 農業 &gt; 農業資材</t>
  </si>
  <si>
    <t>オークション &gt; アンティーク、コレクション &gt; トレーディングカード &gt; コミック、アニメーション &gt; テレビゲームトレカ</t>
  </si>
  <si>
    <t>0,26086,2084200287,2084252942</t>
  </si>
  <si>
    <t>0,20000,20992,21020,2084006008</t>
  </si>
  <si>
    <t>買い物</t>
  </si>
  <si>
    <t>オークション &gt; チケット、金券、宿泊予約 &gt; 優待券、割引券 &gt; 買い物</t>
  </si>
  <si>
    <t>0,2084043920,2084048817,2084226769</t>
  </si>
  <si>
    <t>温室、ビニールハウス</t>
  </si>
  <si>
    <t>オークション &gt; 花、園芸 &gt; 農業 &gt; 温室、ビニールハウス</t>
  </si>
  <si>
    <t>0,26086,2084200287,2084252941</t>
  </si>
  <si>
    <t>オークション &gt; チケット、金券、宿泊予約 &gt; 優待券、割引券 &gt; その他</t>
  </si>
  <si>
    <t>0,2084043920,2084048817,2084208628</t>
  </si>
  <si>
    <t>園芸薬剤</t>
  </si>
  <si>
    <t>オークション &gt; 花、園芸 &gt; 農業 &gt; 園芸薬剤</t>
  </si>
  <si>
    <t>0,26086,2084200287,2084206921</t>
  </si>
  <si>
    <t>高圧洗浄機</t>
  </si>
  <si>
    <t>遊園地、テーマパーク</t>
  </si>
  <si>
    <t>オークション &gt; 花、園芸 &gt; 農業 &gt; 高圧洗浄機</t>
  </si>
  <si>
    <t>オークション &gt; チケット、金券、宿泊予約 &gt; 施設利用券 &gt; 遊園地、テーマパーク</t>
  </si>
  <si>
    <t>0,26086,2084200287,2084207591</t>
  </si>
  <si>
    <t>0,2084043920,2084044317,25432</t>
  </si>
  <si>
    <t>オークション &gt; チケット、金券、宿泊予約 &gt; プリペイドカード &gt; テレホンカード &gt; コミック、アニメーション &gt; あ行</t>
  </si>
  <si>
    <t>0,2084043920,2084007688,23968,2084005120,2084034193</t>
  </si>
  <si>
    <t>ゴルフ場</t>
  </si>
  <si>
    <t>種</t>
  </si>
  <si>
    <t>オークション &gt; チケット、金券、宿泊予約 &gt; 施設利用券 &gt; ゴルフ場</t>
  </si>
  <si>
    <t>0,2084043920,2084044317,2084044985</t>
  </si>
  <si>
    <t>オークション &gt; 花、園芸 &gt; 農業 &gt; 種</t>
  </si>
  <si>
    <t>0,26086,2084200287,2084206887</t>
  </si>
  <si>
    <t>スキー場</t>
  </si>
  <si>
    <t>オークション &gt; チケット、金券、宿泊予約 &gt; プリペイドカード &gt; テレホンカード &gt; コミック、アニメーション &gt; か行</t>
  </si>
  <si>
    <t>オークション &gt; チケット、金券、宿泊予約 &gt; 施設利用券 &gt; スキー場</t>
  </si>
  <si>
    <t>0,2084043920,2084007688,23968,2084005120,2084037044</t>
  </si>
  <si>
    <t>肥料、土</t>
  </si>
  <si>
    <t>0,2084043920,2084044317,25436</t>
  </si>
  <si>
    <t>オークション &gt; 花、園芸 &gt; 農業 &gt; 肥料、土</t>
  </si>
  <si>
    <t>0,26086,2084200287,2084206923</t>
  </si>
  <si>
    <t>フィットネスクラブ</t>
  </si>
  <si>
    <t>オークション &gt; チケット、金券、宿泊予約 &gt; 施設利用券 &gt; フィットネスクラブ</t>
  </si>
  <si>
    <t>オークション &gt; チケット、金券、宿泊予約 &gt; プリペイドカード &gt; テレホンカード &gt; コミック、アニメーション &gt; さ行</t>
  </si>
  <si>
    <t>0,2084043920,2084044317,2084211024</t>
  </si>
  <si>
    <t>苗</t>
  </si>
  <si>
    <t>0,2084043920,2084007688,23968,2084005120,2084034212</t>
  </si>
  <si>
    <t>オークション &gt; 花、園芸 &gt; 農業 &gt; 苗</t>
  </si>
  <si>
    <t>0,26086,2084200287,2084206897</t>
  </si>
  <si>
    <t>プール</t>
  </si>
  <si>
    <t>オークション &gt; チケット、金券、宿泊予約 &gt; 施設利用券 &gt; プール</t>
  </si>
  <si>
    <t>0,2084043920,2084044317,2084042176</t>
  </si>
  <si>
    <t>オークション &gt; チケット、金券、宿泊予約 &gt; プリペイドカード &gt; テレホンカード &gt; コミック、アニメーション &gt; た行</t>
  </si>
  <si>
    <t>0,2084043920,2084007688,23968,2084005120,2084034221</t>
  </si>
  <si>
    <t>オークション &gt; 花、園芸 &gt; 農業 &gt; その他</t>
  </si>
  <si>
    <t>0,26086,2084200287,2084252939</t>
  </si>
  <si>
    <t>ボウリング場</t>
  </si>
  <si>
    <t>オークション &gt; チケット、金券、宿泊予約 &gt; 施設利用券 &gt; ボウリング場</t>
  </si>
  <si>
    <t>0,2084043920,2084044317,2084047642</t>
  </si>
  <si>
    <t>オークション &gt; チケット、金券、宿泊予約 &gt; プリペイドカード &gt; テレホンカード &gt; コミック、アニメーション &gt; な行</t>
  </si>
  <si>
    <t>0,2084043920,2084007688,23968,2084005120,2084034230</t>
  </si>
  <si>
    <t>オークション &gt; チケット、金券、宿泊予約 &gt; 施設利用券 &gt; 宿泊</t>
  </si>
  <si>
    <t>0,2084043920,2084044317,42441</t>
  </si>
  <si>
    <t>水族館</t>
  </si>
  <si>
    <t>オークション &gt; チケット、金券、宿泊予約 &gt; 施設利用券 &gt; 水族館</t>
  </si>
  <si>
    <t>0,2084043920,2084044317,2084064253</t>
  </si>
  <si>
    <t>オークション &gt; チケット、金券、宿泊予約 &gt; プリペイドカード &gt; テレホンカード &gt; コミック、アニメーション &gt; は行</t>
  </si>
  <si>
    <t>球根</t>
  </si>
  <si>
    <t>オークション &gt; 花、園芸 &gt; ガーデニング &gt; 球根</t>
  </si>
  <si>
    <t>0,2084043920,2084007688,23968,2084005120,2084037167</t>
  </si>
  <si>
    <t>動物園</t>
  </si>
  <si>
    <t>オークション &gt; チケット、金券、宿泊予約 &gt; 施設利用券 &gt; 動物園</t>
  </si>
  <si>
    <t>0,2084043920,2084044317,2084064250</t>
  </si>
  <si>
    <t>0,26086,2084006704,2084206882</t>
  </si>
  <si>
    <t>美術館、博物館</t>
  </si>
  <si>
    <t>オークション &gt; チケット、金券、宿泊予約 &gt; プリペイドカード &gt; テレホンカード &gt; コミック、アニメーション &gt; ま行</t>
  </si>
  <si>
    <t>オークション &gt; チケット、金券、宿泊予約 &gt; 施設利用券 &gt; 美術館、博物館</t>
  </si>
  <si>
    <t>0,2084043920,2084007688,23968,2084005120,2084034248</t>
  </si>
  <si>
    <t>0,2084043920,2084044317,2084039803</t>
  </si>
  <si>
    <t>オークション &gt; 花、園芸 &gt; ガーデニング &gt; 苗</t>
  </si>
  <si>
    <t>0,26086,2084006704,2084206897</t>
  </si>
  <si>
    <t>オークション &gt; チケット、金券、宿泊予約 &gt; プリペイドカード &gt; テレホンカード &gt; コミック、アニメーション &gt; や行</t>
  </si>
  <si>
    <t>0,2084043920,2084007688,23968,2084005120,2084034257</t>
  </si>
  <si>
    <t>オークション &gt; 花、園芸 &gt; ガーデニング &gt; 園芸薬剤</t>
  </si>
  <si>
    <t>0,26086,2084006704,2084206921</t>
  </si>
  <si>
    <t>オークション &gt; チケット、金券、宿泊予約 &gt; 施設利用券 &gt; その他</t>
  </si>
  <si>
    <t>0,2084043920,2084044317,2084044364</t>
  </si>
  <si>
    <t>オークション &gt; チケット、金券、宿泊予約 &gt; プリペイドカード &gt; テレホンカード &gt; コミック、アニメーション &gt; ら行</t>
  </si>
  <si>
    <t>0,2084043920,2084007688,23968,2084005120,2084034266</t>
  </si>
  <si>
    <t>オークション &gt; 花、園芸 &gt; ガーデニング &gt; 肥料、土</t>
  </si>
  <si>
    <t>0,26086,2084006704,2084206923</t>
  </si>
  <si>
    <t>オークション &gt; チケット、金券、宿泊予約 &gt; プリペイドカード &gt; テレホンカード &gt; コミック、アニメーション &gt; わ行</t>
  </si>
  <si>
    <t>0,2084043920,2084007688,23968,2084005120,2084034274</t>
  </si>
  <si>
    <t>オークション &gt; 花、園芸 &gt; ガーデニング &gt; 種</t>
  </si>
  <si>
    <t>0,26086,2084006704,2084206887</t>
  </si>
  <si>
    <t>はさみ、のこぎり</t>
  </si>
  <si>
    <t>オークション &gt; 花、園芸 &gt; ガーデニング &gt; はさみ、のこぎり</t>
  </si>
  <si>
    <t>0,26086,2084006704,2084006717</t>
  </si>
  <si>
    <t>航空券</t>
  </si>
  <si>
    <t>オークション &gt; チケット、金券、宿泊予約 &gt; 乗車券、交通券 &gt; 航空券</t>
  </si>
  <si>
    <t>スコップ、シャベル</t>
  </si>
  <si>
    <t>0,2084043920,26178,26180</t>
  </si>
  <si>
    <t>オークション &gt; 花、園芸 &gt; ガーデニング &gt; スコップ、シャベル</t>
  </si>
  <si>
    <t>0,26086,2084006704,2084006716</t>
  </si>
  <si>
    <t>オークション &gt; 花、園芸 &gt; ガーデニング &gt; その他</t>
  </si>
  <si>
    <t>鉄道乗車券</t>
  </si>
  <si>
    <t>0,26086,2084006704,2084006714</t>
  </si>
  <si>
    <t>オークション &gt; チケット、金券、宿泊予約 &gt; 乗車券、交通券 &gt; 鉄道乗車券</t>
  </si>
  <si>
    <t>オークション &gt; アンティーク、コレクション &gt; 印刷物 &gt; ポスター &gt; コミック、アニメーション &gt; あ行</t>
  </si>
  <si>
    <t>0,2084043920,26178,2084007952</t>
  </si>
  <si>
    <t>0,20000,20116,20112,2084006184,2084034367</t>
  </si>
  <si>
    <t>オークション &gt; アンティーク、コレクション &gt; 印刷物 &gt; ポスター &gt; コミック、アニメーション &gt; か行</t>
  </si>
  <si>
    <t>オークション &gt; チケット、金券、宿泊予約 &gt; 乗車券、交通券 &gt; その他</t>
  </si>
  <si>
    <t>0,2084043920,26178,2084005246</t>
  </si>
  <si>
    <t>0,20000,20116,20112,2084006184,2084034659</t>
  </si>
  <si>
    <t>オークション &gt; 花、園芸 &gt; アレンジメント &gt; ドライフラワー</t>
  </si>
  <si>
    <t>0,26086,2084006711,2084047121</t>
  </si>
  <si>
    <t>オークション &gt; アンティーク、コレクション &gt; 印刷物 &gt; ポスター &gt; コミック、アニメーション &gt; さ行</t>
  </si>
  <si>
    <t>0,20000,20116,20112,2084006184,2084034924</t>
  </si>
  <si>
    <t>生花</t>
  </si>
  <si>
    <t>オークション &gt; 花、園芸 &gt; アレンジメント &gt; 生花</t>
  </si>
  <si>
    <t>0,26086,2084006711,2084047127</t>
  </si>
  <si>
    <t>オークション &gt; アンティーク、コレクション &gt; 印刷物 &gt; ポスター &gt; コミック、アニメーション &gt; た行</t>
  </si>
  <si>
    <t>0,20000,20116,20112,2084006184,2084035306</t>
  </si>
  <si>
    <t>オークション &gt; 花、園芸 &gt; アレンジメント &gt; 造花</t>
  </si>
  <si>
    <t>一般商品券</t>
  </si>
  <si>
    <t>0,26086,2084006711,2084047123</t>
  </si>
  <si>
    <t>オークション &gt; チケット、金券、宿泊予約 &gt; ギフト券 &gt; 一般商品券</t>
  </si>
  <si>
    <t>オークション &gt; アンティーク、コレクション &gt; 印刷物 &gt; ポスター &gt; コミック、アニメーション &gt; な行</t>
  </si>
  <si>
    <t>0,20000,20116,20112,2084006184,2084035436</t>
  </si>
  <si>
    <t>0,2084043920,2084006752,2084044318</t>
  </si>
  <si>
    <t>オークション &gt; アンティーク、コレクション &gt; 印刷物 &gt; ポスター &gt; コミック、アニメーション &gt; は行</t>
  </si>
  <si>
    <t>0,20000,20116,20112,2084006184,2084035618</t>
  </si>
  <si>
    <t>オークション &gt; チケット、金券、宿泊予約 &gt; ギフト券 &gt; フード、ドリンク券</t>
  </si>
  <si>
    <t>0,2084043920,2084006752,2084044320</t>
  </si>
  <si>
    <t>オークション &gt; 花、園芸 &gt; 切り花、花束 &gt; 生花</t>
  </si>
  <si>
    <t>オークション &gt; アンティーク、コレクション &gt; 印刷物 &gt; ポスター &gt; コミック、アニメーション &gt; ま行</t>
  </si>
  <si>
    <t>0,26086,2084006710,2084207326</t>
  </si>
  <si>
    <t>0,20000,20116,20112,2084006184,2084035855</t>
  </si>
  <si>
    <t>フラワー券</t>
  </si>
  <si>
    <t>オークション &gt; チケット、金券、宿泊予約 &gt; ギフト券 &gt; フラワー券</t>
  </si>
  <si>
    <t>オークション &gt; 花、園芸 &gt; 切り花、花束 &gt; ドライフラワー</t>
  </si>
  <si>
    <t>0,2084043920,2084006752,2084044324</t>
  </si>
  <si>
    <t>0,26086,2084006710,2084006708</t>
  </si>
  <si>
    <t>オークション &gt; アンティーク、コレクション &gt; 印刷物 &gt; ポスター &gt; コミック、アニメーション &gt; や行</t>
  </si>
  <si>
    <t>0,20000,20116,20112,2084006184,2084036004</t>
  </si>
  <si>
    <t>オークション &gt; 花、園芸 &gt; 切り花、花束 &gt; プリザーブドフラワー</t>
  </si>
  <si>
    <t>レジャー券</t>
  </si>
  <si>
    <t>0,26086,2084006710,2084048857</t>
  </si>
  <si>
    <t>オークション &gt; チケット、金券、宿泊予約 &gt; ギフト券 &gt; レジャー券</t>
  </si>
  <si>
    <t>オークション &gt; アンティーク、コレクション &gt; 印刷物 &gt; ポスター &gt; コミック、アニメーション &gt; ら行</t>
  </si>
  <si>
    <t>0,20000,20116,20112,2084006184,2084036084</t>
  </si>
  <si>
    <t>0,2084043920,2084006752,2084044321</t>
  </si>
  <si>
    <t>オークション &gt; 花、園芸 &gt; 切り花、花束 &gt; 造花</t>
  </si>
  <si>
    <t>0,26086,2084006710,2084006705</t>
  </si>
  <si>
    <t>オークション &gt; アンティーク、コレクション &gt; 印刷物 &gt; ポスター &gt; コミック、アニメーション &gt; わ行</t>
  </si>
  <si>
    <t>レストラン、食事券</t>
  </si>
  <si>
    <t>0,20000,20116,20112,2084006184,2084036133</t>
  </si>
  <si>
    <t>オークション &gt; チケット、金券、宿泊予約 &gt; ギフト券 &gt; レストラン、食事券</t>
  </si>
  <si>
    <t>0,2084043920,2084006752,2084044319</t>
  </si>
  <si>
    <t>音楽ギフト券</t>
  </si>
  <si>
    <t>オークション &gt; チケット、金券、宿泊予約 &gt; ギフト券 &gt; 音楽ギフト券</t>
  </si>
  <si>
    <t>オークション &gt; 花、園芸 &gt; 盆栽 &gt; 盆栽</t>
  </si>
  <si>
    <t>0,2084043920,2084006752,2084044325</t>
  </si>
  <si>
    <t>0,26086,2084048020,2084207359</t>
  </si>
  <si>
    <t>盆栽用具</t>
  </si>
  <si>
    <t>宿泊券</t>
  </si>
  <si>
    <t>オークション &gt; 花、園芸 &gt; 盆栽 &gt; 盆栽用具</t>
  </si>
  <si>
    <t>オークション &gt; チケット、金券、宿泊予約 &gt; ギフト券 &gt; 宿泊券</t>
  </si>
  <si>
    <t>0,26086,2084048020,2084207386</t>
  </si>
  <si>
    <t>0,2084043920,2084006752,42441</t>
  </si>
  <si>
    <t>オークション &gt; 花、園芸 &gt; 盆栽 &gt; その他</t>
  </si>
  <si>
    <t>図書券</t>
  </si>
  <si>
    <t>0,26086,2084048020,2084207389</t>
  </si>
  <si>
    <t>オークション &gt; チケット、金券、宿泊予約 &gt; ギフト券 &gt; 図書券</t>
  </si>
  <si>
    <t>0,2084043920,2084006752,2084044323</t>
  </si>
  <si>
    <t>オークション &gt; チケット、金券、宿泊予約 &gt; ギフト券 &gt; 美容、健康</t>
  </si>
  <si>
    <t>0,2084043920,2084006752,2084044322</t>
  </si>
  <si>
    <t>アガベ</t>
  </si>
  <si>
    <t>オークション &gt; 花、園芸 &gt; 観葉植物 &gt; アガベ</t>
  </si>
  <si>
    <t>0,26086,2084048017,2084216952</t>
  </si>
  <si>
    <t>文具券</t>
  </si>
  <si>
    <t>オークション &gt; チケット、金券、宿泊予約 &gt; ギフト券 &gt; 文具券</t>
  </si>
  <si>
    <t>0,2084043920,2084006752,2084044326</t>
  </si>
  <si>
    <t>アナナス</t>
  </si>
  <si>
    <t>オークション &gt; 花、園芸 &gt; 観葉植物 &gt; アナナス</t>
  </si>
  <si>
    <t>0,26086,2084048017,2084063285</t>
  </si>
  <si>
    <t>オークション &gt; チケット、金券、宿泊予約 &gt; ギフト券 &gt; その他</t>
  </si>
  <si>
    <t>0,2084043920,2084006752,2084044327</t>
  </si>
  <si>
    <t>アロエ</t>
  </si>
  <si>
    <t>オークション &gt; 花、園芸 &gt; 観葉植物 &gt; アロエ</t>
  </si>
  <si>
    <t>0,26086,2084048017,2084063286</t>
  </si>
  <si>
    <t>ウンベラータ</t>
  </si>
  <si>
    <t>店舗用品</t>
  </si>
  <si>
    <t>オークション &gt; チケット、金券、宿泊予約 &gt; プリペイドカード &gt; テレホンカード</t>
  </si>
  <si>
    <t>オークション &gt; 事務、店舗用品 &gt; 店舗用品</t>
  </si>
  <si>
    <t>0,2084043920,2084007688,23968</t>
  </si>
  <si>
    <t>オークション &gt; 花、園芸 &gt; 観葉植物 &gt; ウンベラータ</t>
  </si>
  <si>
    <t>0,22896,2084042481</t>
  </si>
  <si>
    <t>0,26086,2084048017,2084063287</t>
  </si>
  <si>
    <t>鉄道</t>
  </si>
  <si>
    <t>オーガスタ</t>
  </si>
  <si>
    <t>オークション &gt; チケット、金券、宿泊予約 &gt; プリペイドカード &gt; 鉄道</t>
  </si>
  <si>
    <t>オークション &gt; 花、園芸 &gt; 観葉植物 &gt; オーガスタ</t>
  </si>
  <si>
    <t>0,26086,2084048017,2084216954</t>
  </si>
  <si>
    <t>0,2084043920,2084007688,2084007697</t>
  </si>
  <si>
    <t>OA機器</t>
  </si>
  <si>
    <t>オークション &gt; 事務、店舗用品 &gt; OA機器</t>
  </si>
  <si>
    <t>0,22896,2084042480</t>
  </si>
  <si>
    <t>クワズイモ</t>
  </si>
  <si>
    <t>オークション &gt; 花、園芸 &gt; 観葉植物 &gt; クワズイモ</t>
  </si>
  <si>
    <t>0,26086,2084048017,2084063294</t>
  </si>
  <si>
    <t>オフィス家具</t>
  </si>
  <si>
    <t>オークション &gt; チケット、金券、宿泊予約 &gt; プリペイドカード &gt; クオカード</t>
  </si>
  <si>
    <t>オークション &gt; 事務、店舗用品 &gt; オフィス家具</t>
  </si>
  <si>
    <t>0,2084043920,2084007688,2084046717</t>
  </si>
  <si>
    <t>0,22896,22928</t>
  </si>
  <si>
    <t>サボテン</t>
  </si>
  <si>
    <t>オークション &gt; 花、園芸 &gt; 観葉植物 &gt; サボテン</t>
  </si>
  <si>
    <t>図書カード</t>
  </si>
  <si>
    <t>0,26086,2084048017,2084063278</t>
  </si>
  <si>
    <t>オークション &gt; チケット、金券、宿泊予約 &gt; プリペイドカード &gt; 図書カード</t>
  </si>
  <si>
    <t>オフィス用品一般</t>
  </si>
  <si>
    <t>0,2084043920,2084007688,2084046718</t>
  </si>
  <si>
    <t>オークション &gt; 事務、店舗用品 &gt; オフィス用品一般</t>
  </si>
  <si>
    <t>0,22896,42176</t>
  </si>
  <si>
    <t>ジャスミン</t>
  </si>
  <si>
    <t>オークション &gt; 花、園芸 &gt; 観葉植物 &gt; ジャスミン</t>
  </si>
  <si>
    <t>0,26086,2084048017,2084063284</t>
  </si>
  <si>
    <t>机上アクセサリー</t>
  </si>
  <si>
    <t>ギフトコード</t>
  </si>
  <si>
    <t>オークション &gt; 事務、店舗用品 &gt; 机上アクセサリー</t>
  </si>
  <si>
    <t>オークション &gt; チケット、金券、宿泊予約 &gt; プリペイドカード &gt; ギフトコード</t>
  </si>
  <si>
    <t>0,22896,22920</t>
  </si>
  <si>
    <t>セローム</t>
  </si>
  <si>
    <t>オークション &gt; 花、園芸 &gt; 観葉植物 &gt; セローム</t>
  </si>
  <si>
    <t>0,2084043920,2084007688,2084316261</t>
  </si>
  <si>
    <t>0,26086,2084048017,2084063288</t>
  </si>
  <si>
    <t>金庫</t>
  </si>
  <si>
    <t>オークション &gt; 事務、店舗用品 &gt; 金庫</t>
  </si>
  <si>
    <t>0,22896,2084055706</t>
  </si>
  <si>
    <t>モバイラーズチェック</t>
  </si>
  <si>
    <t>ドラセナ</t>
  </si>
  <si>
    <t>オークション &gt; チケット、金券、宿泊予約 &gt; プリペイドカード &gt; モバイラーズチェック</t>
  </si>
  <si>
    <t>オークション &gt; 花、園芸 &gt; 観葉植物 &gt; ドラセナ</t>
  </si>
  <si>
    <t>0,2084043920,2084007688,2084007696</t>
  </si>
  <si>
    <t>0,26086,2084048017,2084063289</t>
  </si>
  <si>
    <t>ラッピング、包装</t>
  </si>
  <si>
    <t>オークション &gt; 事務、店舗用品 &gt; ラッピング、包装</t>
  </si>
  <si>
    <t>0,22896,2084047365</t>
  </si>
  <si>
    <t>国際電話カード</t>
  </si>
  <si>
    <t>パキラ</t>
  </si>
  <si>
    <t>オークション &gt; チケット、金券、宿泊予約 &gt; プリペイドカード &gt; 国際電話カード</t>
  </si>
  <si>
    <t>オークション &gt; 花、園芸 &gt; 観葉植物 &gt; パキラ</t>
  </si>
  <si>
    <t>0,2084043920,2084007688,2084007701</t>
  </si>
  <si>
    <t>文房具</t>
  </si>
  <si>
    <t>0,26086,2084048017,2084063290</t>
  </si>
  <si>
    <t>オークション &gt; 事務、店舗用品 &gt; 文房具</t>
  </si>
  <si>
    <t>0,22896,2084042484</t>
  </si>
  <si>
    <t>ハイウェイカード</t>
  </si>
  <si>
    <t>オークション &gt; チケット、金券、宿泊予約 &gt; プリペイドカード &gt; ハイウェイカード</t>
  </si>
  <si>
    <t>0,2084043920,2084007688,2084007699</t>
  </si>
  <si>
    <t>ビカクシダ、コウモリラン</t>
  </si>
  <si>
    <t>ブックカバー</t>
  </si>
  <si>
    <t>オークション &gt; 花、園芸 &gt; 観葉植物 &gt; ビカクシダ、コウモリラン</t>
  </si>
  <si>
    <t>オークション &gt; 事務、店舗用品 &gt; ブックカバー</t>
  </si>
  <si>
    <t>0,26086,2084048017,2084216953</t>
  </si>
  <si>
    <t>0,22896,2084063841</t>
  </si>
  <si>
    <t>バスカード</t>
  </si>
  <si>
    <t>オークション &gt; チケット、金券、宿泊予約 &gt; プリペイドカード &gt; バスカード</t>
  </si>
  <si>
    <t>0,2084043920,2084007688,2084007698</t>
  </si>
  <si>
    <t>名刺入れ、カードケース</t>
  </si>
  <si>
    <t>ベンジャミン</t>
  </si>
  <si>
    <t>オークション &gt; 事務、店舗用品 &gt; 名刺入れ、カードケース</t>
  </si>
  <si>
    <t>オークション &gt; 花、園芸 &gt; 観葉植物 &gt; ベンジャミン</t>
  </si>
  <si>
    <t>0,22896,2084246780</t>
  </si>
  <si>
    <t>0,26086,2084048017,2084063279</t>
  </si>
  <si>
    <t>オークション &gt; チケット、金券、宿泊予約 &gt; プリペイドカード &gt; その他</t>
  </si>
  <si>
    <t>0,2084043920,2084007688,2084007691</t>
  </si>
  <si>
    <t>バッグ、スーツケース</t>
  </si>
  <si>
    <t>オークション &gt; 事務、店舗用品 &gt; バッグ、スーツケース</t>
  </si>
  <si>
    <t>0,22896,22904</t>
  </si>
  <si>
    <t>ホンコンカポック</t>
  </si>
  <si>
    <t>オークション &gt; 花、園芸 &gt; 観葉植物 &gt; ホンコンカポック</t>
  </si>
  <si>
    <t>0,26086,2084048017,2084063293</t>
  </si>
  <si>
    <t>ビジネス書</t>
  </si>
  <si>
    <t>オークション &gt; 事務、店舗用品 &gt; ビジネス書</t>
  </si>
  <si>
    <t>0,22896,21620</t>
  </si>
  <si>
    <t>ポトス</t>
  </si>
  <si>
    <t>オークション &gt; 花、園芸 &gt; 観葉植物 &gt; ポトス</t>
  </si>
  <si>
    <t>0,26086,2084048017,2084063291</t>
  </si>
  <si>
    <t>事務、店舗用品レンタル</t>
  </si>
  <si>
    <t>オークション &gt; 事務、店舗用品 &gt; 事務、店舗用品レンタル</t>
  </si>
  <si>
    <t>0,22896,2084307793</t>
  </si>
  <si>
    <t>ミリオンバンブー</t>
  </si>
  <si>
    <t>オークション &gt; 花、園芸 &gt; 観葉植物 &gt; ミリオンバンブー</t>
  </si>
  <si>
    <t>オークション &gt; チケット、金券、宿泊予約 &gt; 宿泊予約 &gt; 宿泊券</t>
  </si>
  <si>
    <t>0,26086,2084048017,2084063282</t>
  </si>
  <si>
    <t>オークション &gt; 事務、店舗用品 &gt; その他</t>
  </si>
  <si>
    <t>0,2084043920,2084062636,42441</t>
  </si>
  <si>
    <t>0,22896,22996</t>
  </si>
  <si>
    <t>北海道、東北</t>
  </si>
  <si>
    <t>オークション &gt; チケット、金券、宿泊予約 &gt; 宿泊予約 &gt; 北海道、東北</t>
  </si>
  <si>
    <t>モンステラ</t>
  </si>
  <si>
    <t>0,2084043920,2084062636,2084221302</t>
  </si>
  <si>
    <t>オークション &gt; 花、園芸 &gt; 観葉植物 &gt; モンステラ</t>
  </si>
  <si>
    <t>0,26086,2084048017,2084063280</t>
  </si>
  <si>
    <t>厨房機器</t>
  </si>
  <si>
    <t>オークション &gt; チケット、金券、宿泊予約 &gt; 宿泊予約 &gt; 関東</t>
  </si>
  <si>
    <t>オークション &gt; 事務、店舗用品 &gt; 店舗用品 &gt; 厨房機器</t>
  </si>
  <si>
    <t>ヤシ</t>
  </si>
  <si>
    <t>0,2084043920,2084062636,2084221303</t>
  </si>
  <si>
    <t>0,22896,2084042481,2084048468</t>
  </si>
  <si>
    <t>オークション &gt; 花、園芸 &gt; 観葉植物 &gt; ヤシ</t>
  </si>
  <si>
    <t>0,26086,2084048017,2084063281</t>
  </si>
  <si>
    <t>ショーケース</t>
  </si>
  <si>
    <t>信越、北陸</t>
  </si>
  <si>
    <t>オークション &gt; 事務、店舗用品 &gt; 店舗用品 &gt; ショーケース</t>
  </si>
  <si>
    <t>オークション &gt; チケット、金券、宿泊予約 &gt; 宿泊予約 &gt; 信越、北陸</t>
  </si>
  <si>
    <t>0,22896,2084042481,2084063850</t>
  </si>
  <si>
    <t>0,2084043920,2084062636,2084221309</t>
  </si>
  <si>
    <t>ユッカ</t>
  </si>
  <si>
    <t>オークション &gt; 花、園芸 &gt; 観葉植物 &gt; ユッカ</t>
  </si>
  <si>
    <t>0,26086,2084048017,2084063292</t>
  </si>
  <si>
    <t>チャイム</t>
  </si>
  <si>
    <t>オークション &gt; 事務、店舗用品 &gt; 店舗用品 &gt; チャイム</t>
  </si>
  <si>
    <t>0,22896,2084042481,2084227393</t>
  </si>
  <si>
    <t>オークション &gt; チケット、金券、宿泊予約 &gt; 宿泊予約 &gt; 東海</t>
  </si>
  <si>
    <t>0,2084043920,2084062636,2084221310</t>
  </si>
  <si>
    <t>オークション &gt; 花、園芸 &gt; 観葉植物 &gt; 造花</t>
  </si>
  <si>
    <t>0,26086,2084048017,2084006705</t>
  </si>
  <si>
    <t>ネイルケア</t>
  </si>
  <si>
    <t>オークション &gt; チケット、金券、宿泊予約 &gt; 宿泊予約 &gt; 近畿</t>
  </si>
  <si>
    <t>オークション &gt; 事務、店舗用品 &gt; 店舗用品 &gt; ネイルケア</t>
  </si>
  <si>
    <t>0,2084043920,2084062636,2084221313</t>
  </si>
  <si>
    <t>0,22896,2084042481,2084005298</t>
  </si>
  <si>
    <t>オークション &gt; 花、園芸 &gt; 観葉植物 &gt; その他</t>
  </si>
  <si>
    <t>0,26086,2084048017,2084063283</t>
  </si>
  <si>
    <t>ハンガーラック</t>
  </si>
  <si>
    <t>オークション &gt; 事務、店舗用品 &gt; 店舗用品 &gt; ハンガーラック</t>
  </si>
  <si>
    <t>中国、四国、九州、沖縄</t>
  </si>
  <si>
    <t>0,22896,2084042481,2084263147</t>
  </si>
  <si>
    <t>オークション &gt; チケット、金券、宿泊予約 &gt; 宿泊予約 &gt; 中国、四国、九州、沖縄</t>
  </si>
  <si>
    <t>0,2084043920,2084062636,2084221314</t>
  </si>
  <si>
    <t>バーコードリーダー</t>
  </si>
  <si>
    <t>オークション &gt; 事務、店舗用品 &gt; 店舗用品 &gt; バーコードリーダー</t>
  </si>
  <si>
    <t>0,22896,2084042481,22900</t>
  </si>
  <si>
    <t>マンスリーマンション</t>
  </si>
  <si>
    <t>オークション &gt; チケット、金券、宿泊予約 &gt; 宿泊予約 &gt; マンスリーマンション</t>
  </si>
  <si>
    <t>0,2084043920,2084062636,2084223104</t>
  </si>
  <si>
    <t>ヘアケア</t>
  </si>
  <si>
    <t>ハーブ</t>
  </si>
  <si>
    <t>オークション &gt; 事務、店舗用品 &gt; 店舗用品 &gt; ヘアケア</t>
  </si>
  <si>
    <t>0,22896,2084042481,2084005297</t>
  </si>
  <si>
    <t>オークション &gt; 花、園芸 &gt; 鉢植え &gt; ハーブ</t>
  </si>
  <si>
    <t>0,26086,2084006709,2084048018</t>
  </si>
  <si>
    <t>マネキン</t>
  </si>
  <si>
    <t>オークション &gt; 事務、店舗用品 &gt; 店舗用品 &gt; マネキン</t>
  </si>
  <si>
    <t>0,22896,2084042481,2084045790</t>
  </si>
  <si>
    <t>花</t>
  </si>
  <si>
    <t>オークション &gt; 花、園芸 &gt; 鉢植え &gt; 花</t>
  </si>
  <si>
    <t>0,26086,2084006709,2084048019</t>
  </si>
  <si>
    <t>オークション &gt; 事務、店舗用品 &gt; 店舗用品 &gt; ラッピング、包装</t>
  </si>
  <si>
    <t>0,22896,2084042481,2084047365</t>
  </si>
  <si>
    <t>オークション &gt; 花、園芸 &gt; 鉢植え &gt; 観葉植物</t>
  </si>
  <si>
    <t>0,26086,2084006709,2084048017</t>
  </si>
  <si>
    <t>ラミネーター</t>
  </si>
  <si>
    <t>オークション &gt; 事務、店舗用品 &gt; 店舗用品 &gt; ラミネーター</t>
  </si>
  <si>
    <t>0,22896,2084042481,2084221003</t>
  </si>
  <si>
    <t>オークション &gt; 花、園芸 &gt; 鉢植え &gt; 造花</t>
  </si>
  <si>
    <t>レジスタ</t>
  </si>
  <si>
    <t>0,26086,2084006709,2084006705</t>
  </si>
  <si>
    <t>オークション &gt; 事務、店舗用品 &gt; 店舗用品 &gt; レジスタ</t>
  </si>
  <si>
    <t>0,22896,2084042481,22912</t>
  </si>
  <si>
    <t>家庭用ハンガーラック</t>
  </si>
  <si>
    <t>オークション &gt; 事務、店舗用品 &gt; 店舗用品 &gt; 家庭用ハンガーラック</t>
  </si>
  <si>
    <t>0,22896,2084042481,2084061609</t>
  </si>
  <si>
    <t>オークション &gt; 花、園芸 &gt; 鉢植え &gt; 盆栽</t>
  </si>
  <si>
    <t>0,26086,2084006709,2084048020</t>
  </si>
  <si>
    <t>看板</t>
  </si>
  <si>
    <t>オークション &gt; 事務、店舗用品 &gt; 店舗用品 &gt; 看板</t>
  </si>
  <si>
    <t>0,22896,2084042481,2084063848</t>
  </si>
  <si>
    <t>オークション &gt; 花、園芸 &gt; 鉢植え &gt; その他</t>
  </si>
  <si>
    <t>0,26086,2084006709,2084048021</t>
  </si>
  <si>
    <t>オークション &gt; 事務、店舗用品 &gt; 店舗用品 &gt; 観葉植物</t>
  </si>
  <si>
    <t>0,22896,2084042481,2084048017</t>
  </si>
  <si>
    <t>鏡</t>
  </si>
  <si>
    <t>オークション &gt; 事務、店舗用品 &gt; 店舗用品 &gt; 鏡</t>
  </si>
  <si>
    <t>0,22896,2084042481,24694</t>
  </si>
  <si>
    <t>オークション &gt; 事務、店舗用品 &gt; 店舗用品 &gt; 金庫</t>
  </si>
  <si>
    <t>0,22896,2084042481,2084055706</t>
  </si>
  <si>
    <t>鉢</t>
  </si>
  <si>
    <t>オークション &gt; 花、園芸 &gt; 造園用工具、資材 &gt; 鉢</t>
  </si>
  <si>
    <t>台車</t>
  </si>
  <si>
    <t>0,26086,2084206880,2084006712</t>
  </si>
  <si>
    <t>オークション &gt; 事務、店舗用品 &gt; 店舗用品 &gt; 台車</t>
  </si>
  <si>
    <t>0,22896,2084042481,2084063849</t>
  </si>
  <si>
    <t>防犯カメラ</t>
  </si>
  <si>
    <t>プランター</t>
  </si>
  <si>
    <t>オークション &gt; 事務、店舗用品 &gt; 店舗用品 &gt; 防犯カメラ</t>
  </si>
  <si>
    <t>オークション &gt; 花、園芸 &gt; 造園用工具、資材 &gt; プランター</t>
  </si>
  <si>
    <t>0,22896,2084042481,2084055703</t>
  </si>
  <si>
    <t>0,26086,2084206880,2084006713</t>
  </si>
  <si>
    <t>理美容店用品</t>
  </si>
  <si>
    <t>オークション &gt; 事務、店舗用品 &gt; 店舗用品 &gt; 理美容店用品</t>
  </si>
  <si>
    <t>0,22896,2084042481,2084263149</t>
  </si>
  <si>
    <t>じょうろ、水やり</t>
  </si>
  <si>
    <t>オークション &gt; 花、園芸 &gt; 造園用工具、資材 &gt; じょうろ、水やり</t>
  </si>
  <si>
    <t>魚類、水生生物</t>
  </si>
  <si>
    <t>0,26086,2084206880,2084006715</t>
  </si>
  <si>
    <t>オークション &gt; ペット、生き物 &gt; 魚類、水生生物</t>
  </si>
  <si>
    <t>厨房機器レンタル</t>
  </si>
  <si>
    <t>0,2084055844,2084055861</t>
  </si>
  <si>
    <t>オークション &gt; 事務、店舗用品 &gt; 店舗用品 &gt; 厨房機器レンタル</t>
  </si>
  <si>
    <t>0,22896,2084042481,2084307794</t>
  </si>
  <si>
    <t>オークション &gt; 花、園芸 &gt; 造園用工具、資材 &gt; はさみ、のこぎり</t>
  </si>
  <si>
    <t>0,26086,2084206880,2084006717</t>
  </si>
  <si>
    <t>オークション &gt; 事務、店舗用品 &gt; 店舗用品 &gt; その他</t>
  </si>
  <si>
    <t>虫類</t>
  </si>
  <si>
    <t>0,22896,2084042481,2084042487</t>
  </si>
  <si>
    <t>オークション &gt; ペット、生き物 &gt; 虫類</t>
  </si>
  <si>
    <t>0,2084055844,2084055856</t>
  </si>
  <si>
    <t>アクセント、オーナメント</t>
  </si>
  <si>
    <t>オークション &gt; 花、園芸 &gt; 造園用工具、資材 &gt; アクセント、オーナメント</t>
  </si>
  <si>
    <t>0,26086,2084206880,44372</t>
  </si>
  <si>
    <t>両生類</t>
  </si>
  <si>
    <t>ガーデンファニチャー</t>
  </si>
  <si>
    <t>オークション &gt; ペット、生き物 &gt; 両生類</t>
  </si>
  <si>
    <t>オークション &gt; 花、園芸 &gt; 造園用工具、資材 &gt; ガーデンファニチャー</t>
  </si>
  <si>
    <t>0,2084055844,2084055845</t>
  </si>
  <si>
    <t>0,26086,2084206880,2084045614</t>
  </si>
  <si>
    <t>複合機、コピー機</t>
  </si>
  <si>
    <t>オークション &gt; 事務、店舗用品 &gt; OA機器 &gt; 複合機、コピー機</t>
  </si>
  <si>
    <t>0,22896,2084042480,22916</t>
  </si>
  <si>
    <t>ペット用品</t>
  </si>
  <si>
    <t>ガーデンライト</t>
  </si>
  <si>
    <t>オークション &gt; ペット、生き物 &gt; ペット用品</t>
  </si>
  <si>
    <t>オークション &gt; 花、園芸 &gt; 造園用工具、資材 &gt; ガーデンライト</t>
  </si>
  <si>
    <t>0,2084055844,24534</t>
  </si>
  <si>
    <t>ビジネスフォン</t>
  </si>
  <si>
    <t>0,26086,2084206880,2084047047</t>
  </si>
  <si>
    <t>オークション &gt; 事務、店舗用品 &gt; OA機器 &gt; ビジネスフォン</t>
  </si>
  <si>
    <t>0,22896,2084042480,2084198552</t>
  </si>
  <si>
    <t>ファクシミリ</t>
  </si>
  <si>
    <t>オークション &gt; 事務、店舗用品 &gt; OA機器 &gt; ファクシミリ</t>
  </si>
  <si>
    <t>オークション &gt; 花、園芸 &gt; 造園用工具、資材 &gt; スコップ、シャベル</t>
  </si>
  <si>
    <t>0,22896,2084042480,22924</t>
  </si>
  <si>
    <t>0,26086,2084206880,2084006716</t>
  </si>
  <si>
    <t>シュレッダー</t>
  </si>
  <si>
    <t>オークション &gt; 事務、店舗用品 &gt; OA機器 &gt; シュレッダー</t>
  </si>
  <si>
    <t>0,22896,2084042480,22988</t>
  </si>
  <si>
    <t>錦鯉</t>
  </si>
  <si>
    <t>脚立、はしご、足場</t>
  </si>
  <si>
    <t>オークション &gt; ペット、生き物 &gt; 魚類、水生生物 &gt; 錦鯉</t>
  </si>
  <si>
    <t>オークション &gt; 花、園芸 &gt; 造園用工具、資材 &gt; 脚立、はしご、足場</t>
  </si>
  <si>
    <t>0,2084055844,2084055861,2084055862</t>
  </si>
  <si>
    <t>0,26086,2084206880,2084263007</t>
  </si>
  <si>
    <t>タイムカード、レコーダー</t>
  </si>
  <si>
    <t>オークション &gt; 事務、店舗用品 &gt; OA機器 &gt; タイムカード、レコーダー</t>
  </si>
  <si>
    <t>0,22896,2084042480,2084047817</t>
  </si>
  <si>
    <t>金魚</t>
  </si>
  <si>
    <t>噴霧器</t>
  </si>
  <si>
    <t>オークション &gt; ペット、生き物 &gt; 魚類、水生生物 &gt; 金魚</t>
  </si>
  <si>
    <t>オークション &gt; 花、園芸 &gt; 造園用工具、資材 &gt; 噴霧器</t>
  </si>
  <si>
    <t>0,2084055844,2084055861,2084055863</t>
  </si>
  <si>
    <t>0,26086,2084206880,2084048889</t>
  </si>
  <si>
    <t>ラベル用品</t>
  </si>
  <si>
    <t>オークション &gt; 事務、店舗用品 &gt; OA機器 &gt; ラベル用品</t>
  </si>
  <si>
    <t>0,22896,2084042480,22968</t>
  </si>
  <si>
    <t>川魚</t>
  </si>
  <si>
    <t>オークション &gt; ペット、生き物 &gt; 魚類、水生生物 &gt; 川魚</t>
  </si>
  <si>
    <t>0,2084055844,2084055861,2084055864</t>
  </si>
  <si>
    <t>オークション &gt; 花、園芸 &gt; 造園用工具、資材 &gt; 農業資材</t>
  </si>
  <si>
    <t>0,26086,2084206880,2084252942</t>
  </si>
  <si>
    <t>ワープロ専用機</t>
  </si>
  <si>
    <t>オークション &gt; 事務、店舗用品 &gt; OA機器 &gt; ワープロ専用機</t>
  </si>
  <si>
    <t>熱帯魚</t>
  </si>
  <si>
    <t>0,22896,2084042480,2084047851</t>
  </si>
  <si>
    <t>オークション &gt; ペット、生き物 &gt; 魚類、水生生物 &gt; 熱帯魚</t>
  </si>
  <si>
    <t>0,2084055844,2084055861,2084055865</t>
  </si>
  <si>
    <t>オークション &gt; 花、園芸 &gt; 造園用工具、資材 &gt; その他</t>
  </si>
  <si>
    <t>電子辞書</t>
  </si>
  <si>
    <t>0,26086,2084206880,2084206881</t>
  </si>
  <si>
    <t>オークション &gt; 事務、店舗用品 &gt; OA機器 &gt; 電子辞書</t>
  </si>
  <si>
    <t>0,22896,2084042480,2084050527</t>
  </si>
  <si>
    <t>甲殻類</t>
  </si>
  <si>
    <t>オークション &gt; ペット、生き物 &gt; 魚類、水生生物 &gt; 甲殻類</t>
  </si>
  <si>
    <t>0,2084055844,2084055861,2084228291</t>
  </si>
  <si>
    <t>電卓</t>
  </si>
  <si>
    <t>オークション &gt; 事務、店舗用品 &gt; OA機器 &gt; 電卓</t>
  </si>
  <si>
    <t>水草</t>
  </si>
  <si>
    <t>オークション &gt; ペット、生き物 &gt; 魚類、水生生物 &gt; 水草</t>
  </si>
  <si>
    <t>0,22896,2084042480,23878</t>
  </si>
  <si>
    <t>0,2084055844,2084055861,24306</t>
  </si>
  <si>
    <t>OA機器レンタル</t>
  </si>
  <si>
    <t>オークション &gt; 事務、店舗用品 &gt; OA機器 &gt; OA機器レンタル</t>
  </si>
  <si>
    <t>一般</t>
  </si>
  <si>
    <t>0,22896,2084042480,2084307795</t>
  </si>
  <si>
    <t>エサ、飼育用品</t>
  </si>
  <si>
    <t>オークション &gt; 花、園芸 &gt; ドライフラワー &gt; 一般</t>
  </si>
  <si>
    <t>オークション &gt; ペット、生き物 &gt; 魚類、水生生物 &gt; エサ、飼育用品</t>
  </si>
  <si>
    <t>0,26086,2084006708,2084047119</t>
  </si>
  <si>
    <t>0,2084055844,2084055861,24246</t>
  </si>
  <si>
    <t>オークション &gt; 事務、店舗用品 &gt; OA機器 &gt; その他</t>
  </si>
  <si>
    <t>0,22896,2084042480,2084042488</t>
  </si>
  <si>
    <t>オークション &gt; 花、園芸 &gt; ドライフラワー &gt; アレンジメント</t>
  </si>
  <si>
    <t>オークション &gt; ペット、生き物 &gt; 魚類、水生生物 &gt; その他</t>
  </si>
  <si>
    <t>0,26086,2084006708,2084047121</t>
  </si>
  <si>
    <t>0,2084055844,2084055861,2084055869</t>
  </si>
  <si>
    <t>ポプリ</t>
  </si>
  <si>
    <t>オークション &gt; 花、園芸 &gt; ドライフラワー &gt; ポプリ</t>
  </si>
  <si>
    <t>0,26086,2084006708,2084047755</t>
  </si>
  <si>
    <t>オークション &gt; 事務、店舗用品 &gt; オフィス家具 &gt; イス</t>
  </si>
  <si>
    <t>0,22896,22928,2084007905</t>
  </si>
  <si>
    <t>オークション &gt; 花、園芸 &gt; ドライフラワー &gt; リース</t>
  </si>
  <si>
    <t>0,26086,2084006708,2084047120</t>
  </si>
  <si>
    <t>カブトムシ</t>
  </si>
  <si>
    <t>オークション &gt; ペット、生き物 &gt; 虫類 &gt; カブトムシ</t>
  </si>
  <si>
    <t>0,2084055844,2084055856,2084061397</t>
  </si>
  <si>
    <t>キャビネ</t>
  </si>
  <si>
    <t>オークション &gt; 事務、店舗用品 &gt; オフィス家具 &gt; キャビネ</t>
  </si>
  <si>
    <t>0,22896,22928,22948</t>
  </si>
  <si>
    <t>花束</t>
  </si>
  <si>
    <t>クワガタムシ</t>
  </si>
  <si>
    <t>オークション &gt; 花、園芸 &gt; ドライフラワー &gt; 花束</t>
  </si>
  <si>
    <t>オークション &gt; ペット、生き物 &gt; 虫類 &gt; クワガタムシ</t>
  </si>
  <si>
    <t>オークション &gt; 事務、店舗用品 &gt; オフィス家具 &gt; シュレッダー</t>
  </si>
  <si>
    <t>0,26086,2084006708,2084207325</t>
  </si>
  <si>
    <t>0,2084055844,2084055856,2084061390</t>
  </si>
  <si>
    <t>0,22896,22928,22988</t>
  </si>
  <si>
    <t>ヤドカリ</t>
  </si>
  <si>
    <t>オークション &gt; ペット、生き物 &gt; 虫類 &gt; ヤドカリ</t>
  </si>
  <si>
    <t>テーブル</t>
  </si>
  <si>
    <t>0,2084055844,2084055856,2084061389</t>
  </si>
  <si>
    <t>オークション &gt; 事務、店舗用品 &gt; オフィス家具 &gt; テーブル</t>
  </si>
  <si>
    <t>0,22896,22928,22956</t>
  </si>
  <si>
    <t>オークション &gt; ペット、生き物 &gt; 虫類 &gt; エサ、飼育用品</t>
  </si>
  <si>
    <t>パーティション</t>
  </si>
  <si>
    <t>0,2084055844,2084055856,2084061345</t>
  </si>
  <si>
    <t>オークション &gt; 事務、店舗用品 &gt; オフィス家具 &gt; パーティション</t>
  </si>
  <si>
    <t>0,22896,22928,2084063843</t>
  </si>
  <si>
    <t>クリスマスリース</t>
  </si>
  <si>
    <t>オークション &gt; 花、園芸 &gt; リース &gt; クリスマスリース</t>
  </si>
  <si>
    <t>0,26086,2084047125,2084047118</t>
  </si>
  <si>
    <t>オークション &gt; ペット、生き物 &gt; 虫類 &gt; その他</t>
  </si>
  <si>
    <t>0,2084055844,2084055856,2084061404</t>
  </si>
  <si>
    <t>ホワイトボード</t>
  </si>
  <si>
    <t>オークション &gt; 事務、店舗用品 &gt; オフィス家具 &gt; ホワイトボード</t>
  </si>
  <si>
    <t>0,22896,22928,22960</t>
  </si>
  <si>
    <t>オークション &gt; 花、園芸 &gt; リース &gt; ドライフラワー</t>
  </si>
  <si>
    <t>0,26086,2084047125,2084047120</t>
  </si>
  <si>
    <t>ロッカー</t>
  </si>
  <si>
    <t>オークション &gt; 事務、店舗用品 &gt; オフィス家具 &gt; ロッカー</t>
  </si>
  <si>
    <t>オークション &gt; 花、園芸 &gt; リース &gt; 生花</t>
  </si>
  <si>
    <t>0,22896,22928,2084063844</t>
  </si>
  <si>
    <t>0,26086,2084047125,2084047126</t>
  </si>
  <si>
    <t>オークション &gt; 花、園芸 &gt; リース &gt; 造花</t>
  </si>
  <si>
    <t>0,26086,2084047125,2084047122</t>
  </si>
  <si>
    <t>イモリ、サラマンダー</t>
  </si>
  <si>
    <t>オークション &gt; ペット、生き物 &gt; 両生類 &gt; イモリ、サラマンダー</t>
  </si>
  <si>
    <t>0,2084055844,2084055845,2084055854</t>
  </si>
  <si>
    <t>オークション &gt; 事務、店舗用品 &gt; オフィス家具 &gt; 観葉植物</t>
  </si>
  <si>
    <t>0,22896,22928,2084048017</t>
  </si>
  <si>
    <t>カエル</t>
  </si>
  <si>
    <t>オークション &gt; ペット、生き物 &gt; 両生類 &gt; カエル</t>
  </si>
  <si>
    <t>0,2084055844,2084055845,2084055853</t>
  </si>
  <si>
    <t>机</t>
  </si>
  <si>
    <t>オークション &gt; ホビー、カルチャー &gt; ハンドクラフト、手工芸 &gt; アートフラワー、押し花 &gt; 一般</t>
  </si>
  <si>
    <t>0,24242,20924,2084006705,2084047124</t>
  </si>
  <si>
    <t>オークション &gt; 事務、店舗用品 &gt; オフィス家具 &gt; 机</t>
  </si>
  <si>
    <t>0,22896,22928,22944</t>
  </si>
  <si>
    <t>オークション &gt; ペット、生き物 &gt; 両生類 &gt; エサ、飼育用品</t>
  </si>
  <si>
    <t>0,2084055844,2084055845,2084047553</t>
  </si>
  <si>
    <t>オークション &gt; ホビー、カルチャー &gt; ハンドクラフト、手工芸 &gt; アートフラワー、押し花 &gt; アレンジメント</t>
  </si>
  <si>
    <t>0,24242,20924,2084006705,2084047123</t>
  </si>
  <si>
    <t>オークション &gt; 事務、店舗用品 &gt; オフィス家具 &gt; 金庫</t>
  </si>
  <si>
    <t>オークション &gt; ペット、生き物 &gt; 両生類 &gt; その他</t>
  </si>
  <si>
    <t>0,22896,22928,2084055706</t>
  </si>
  <si>
    <t>0,2084055844,2084055845,2084055855</t>
  </si>
  <si>
    <t>オークション &gt; ホビー、カルチャー &gt; ハンドクラフト、手工芸 &gt; アートフラワー、押し花 &gt; リース</t>
  </si>
  <si>
    <t>0,24242,20924,2084006705,2084047122</t>
  </si>
  <si>
    <t>オークション &gt; ホビー、カルチャー &gt; ハンドクラフト、手工芸 &gt; アートフラワー、押し花 &gt; 押し花</t>
  </si>
  <si>
    <t>0,24242,20924,2084006705,2084048858</t>
  </si>
  <si>
    <t>本棚</t>
  </si>
  <si>
    <t>オークション &gt; 事務、店舗用品 &gt; オフィス家具 &gt; 本棚</t>
  </si>
  <si>
    <t>0,22896,22928,22936</t>
  </si>
  <si>
    <t>材料、道具</t>
  </si>
  <si>
    <t>オークション &gt; ホビー、カルチャー &gt; ハンドクラフト、手工芸 &gt; アートフラワー、押し花 &gt; 材料、道具</t>
  </si>
  <si>
    <t>0,24242,20924,2084006705,2084305337</t>
  </si>
  <si>
    <t>オフィス家具レンタル</t>
  </si>
  <si>
    <t>作成キット</t>
  </si>
  <si>
    <t>オークション &gt; 事務、店舗用品 &gt; オフィス家具 &gt; オフィス家具レンタル</t>
  </si>
  <si>
    <t>オークション &gt; ホビー、カルチャー &gt; ハンドクラフト、手工芸 &gt; アートフラワー、押し花 &gt; 作成キット</t>
  </si>
  <si>
    <t>0,24242,20924,2084006705,2084305338</t>
  </si>
  <si>
    <t>0,22896,22928,2084307796</t>
  </si>
  <si>
    <t>犬</t>
  </si>
  <si>
    <t>オークション &gt; 住まい、インテリア &gt; ペット用品 &gt; 犬</t>
  </si>
  <si>
    <t>オークション &gt; ホビー、カルチャー &gt; ハンドクラフト、手工芸 &gt; アートフラワー、押し花 &gt; 完成品</t>
  </si>
  <si>
    <t>0,24242,20924,2084006705,2084305336</t>
  </si>
  <si>
    <t>0,24198,24534,2084008190</t>
  </si>
  <si>
    <t>オークション &gt; 事務、店舗用品 &gt; オフィス家具 &gt; その他</t>
  </si>
  <si>
    <t>0,22896,22928,22964</t>
  </si>
  <si>
    <t>オークション &gt; ホビー、カルチャー &gt; ハンドクラフト、手工芸 &gt; アートフラワー、押し花 &gt; ドライフラワー</t>
  </si>
  <si>
    <t>0,24242,20924,2084006705,2084006708</t>
  </si>
  <si>
    <t>猫</t>
  </si>
  <si>
    <t>オークション &gt; 住まい、インテリア &gt; ペット用品 &gt; 猫</t>
  </si>
  <si>
    <t>0,24198,24534,2084008191</t>
  </si>
  <si>
    <t>オークション &gt; 本、雑誌 &gt; 住まい、暮らし、育児 &gt; 花、園芸 &gt; ガーデニング</t>
  </si>
  <si>
    <t>0,21600,2084008935,2084047772,2084047774</t>
  </si>
  <si>
    <t>小動物</t>
  </si>
  <si>
    <t>ティッシュボックス</t>
  </si>
  <si>
    <t>オークション &gt; 住まい、インテリア &gt; ペット用品 &gt; 小動物</t>
  </si>
  <si>
    <t>フラワーアレンジメント</t>
  </si>
  <si>
    <t>オークション &gt; 事務、店舗用品 &gt; 机上アクセサリー &gt; ティッシュボックス</t>
  </si>
  <si>
    <t>オークション &gt; 本、雑誌 &gt; 住まい、暮らし、育児 &gt; 花、園芸 &gt; フラワーアレンジメント</t>
  </si>
  <si>
    <t>0,24198,24534,2084008192</t>
  </si>
  <si>
    <t>0,22896,22920,2084024338</t>
  </si>
  <si>
    <t>0,21600,2084008935,2084047772,2084047775</t>
  </si>
  <si>
    <t>家庭菜園</t>
  </si>
  <si>
    <t>オークション &gt; 本、雑誌 &gt; 住まい、暮らし、育児 &gt; 花、園芸 &gt; 家庭菜園</t>
  </si>
  <si>
    <t>0,21600,2084008935,2084047772,2084047776</t>
  </si>
  <si>
    <t>オークション &gt; 本、雑誌 &gt; 住まい、暮らし、育児 &gt; 花、園芸 &gt; 雑誌</t>
  </si>
  <si>
    <t>鳥</t>
  </si>
  <si>
    <t>0,21600,2084008935,2084047772,2084008127</t>
  </si>
  <si>
    <t>デスク用タスクライト</t>
  </si>
  <si>
    <t>オークション &gt; 住まい、インテリア &gt; ペット用品 &gt; 鳥</t>
  </si>
  <si>
    <t>オークション &gt; 事務、店舗用品 &gt; 机上アクセサリー &gt; デスク用タスクライト</t>
  </si>
  <si>
    <t>0,24198,24534,2084008193</t>
  </si>
  <si>
    <t>0,22896,22920,2084047858</t>
  </si>
  <si>
    <t>オークション &gt; 本、雑誌 &gt; 住まい、暮らし、育児 &gt; 花、園芸 &gt; 盆栽</t>
  </si>
  <si>
    <t>0,21600,2084008935,2084047772,2084047777</t>
  </si>
  <si>
    <t>ノート、紙製品</t>
  </si>
  <si>
    <t>オークション &gt; 事務、店舗用品 &gt; 机上アクセサリー &gt; ノート、紙製品</t>
  </si>
  <si>
    <t>野草、植物</t>
  </si>
  <si>
    <t>魚、水草</t>
  </si>
  <si>
    <t>0,22896,22920,2084042492</t>
  </si>
  <si>
    <t>オークション &gt; 本、雑誌 &gt; 住まい、暮らし、育児 &gt; 花、園芸 &gt; 野草、植物</t>
  </si>
  <si>
    <t>オークション &gt; 住まい、インテリア &gt; ペット用品 &gt; 魚、水草</t>
  </si>
  <si>
    <t>0,21600,2084008935,2084047772,2084047778</t>
  </si>
  <si>
    <t>0,24198,24534,24246</t>
  </si>
  <si>
    <t>フォトフレーム</t>
  </si>
  <si>
    <t>オークション &gt; 事務、店舗用品 &gt; 机上アクセサリー &gt; フォトフレーム</t>
  </si>
  <si>
    <t>0,22896,22920,2084024331</t>
  </si>
  <si>
    <t>爬虫類、両生類用品</t>
  </si>
  <si>
    <t>オークション &gt; 住まい、インテリア &gt; ペット用品 &gt; 爬虫類、両生類用品</t>
  </si>
  <si>
    <t>ペーパーウェイト</t>
  </si>
  <si>
    <t>オークション &gt; 事務、店舗用品 &gt; 机上アクセサリー &gt; ペーパーウェイト</t>
  </si>
  <si>
    <t>0,24198,24534,2084047553</t>
  </si>
  <si>
    <t>0,22896,22920,2084063837</t>
  </si>
  <si>
    <t>ペンケース</t>
  </si>
  <si>
    <t>オークション &gt; 事務、店舗用品 &gt; 机上アクセサリー &gt; ペンケース</t>
  </si>
  <si>
    <t>0,22896,22920,2084048848</t>
  </si>
  <si>
    <t>オークション &gt; 住まい、インテリア &gt; ペット用品 &gt; 虫類</t>
  </si>
  <si>
    <t>0,24198,24534,2084061345</t>
  </si>
  <si>
    <t>ペン立て</t>
  </si>
  <si>
    <t>オークション &gt; 事務、店舗用品 &gt; 机上アクセサリー &gt; ペン立て</t>
  </si>
  <si>
    <t>0,22896,22920,2084063471</t>
  </si>
  <si>
    <t>かご、おり</t>
  </si>
  <si>
    <t>マグネット</t>
  </si>
  <si>
    <t>オークション &gt; 住まい、インテリア &gt; ペット用品 &gt; かご、おり</t>
  </si>
  <si>
    <t>オークション &gt; 事務、店舗用品 &gt; 机上アクセサリー &gt; マグネット</t>
  </si>
  <si>
    <t>0,22896,22920,2084063464</t>
  </si>
  <si>
    <t>0,24198,24534,24538</t>
  </si>
  <si>
    <t>メモ帳、付箋</t>
  </si>
  <si>
    <t>オークション &gt; 事務、店舗用品 &gt; 机上アクセサリー &gt; メモ帳、付箋</t>
  </si>
  <si>
    <t>0,22896,22920,2084063472</t>
  </si>
  <si>
    <t>ペットフード</t>
  </si>
  <si>
    <t>オークション &gt; 住まい、インテリア &gt; ペット用品 &gt; ペットフード</t>
  </si>
  <si>
    <t>0,24198,24534,24542</t>
  </si>
  <si>
    <t>印鑑、スタンプ</t>
  </si>
  <si>
    <t>オークション &gt; 事務、店舗用品 &gt; 机上アクセサリー &gt; 印鑑、スタンプ</t>
  </si>
  <si>
    <t>0,22896,22920,2084042493</t>
  </si>
  <si>
    <t>オークション &gt; 住まい、インテリア &gt; ペット用品 &gt; 本、雑誌</t>
  </si>
  <si>
    <t>0,24198,24534,2084008884</t>
  </si>
  <si>
    <t>切断用品</t>
  </si>
  <si>
    <t>オークション &gt; 事務、店舗用品 &gt; 机上アクセサリー &gt; 切断用品</t>
  </si>
  <si>
    <t>0,22896,22920,2084063308</t>
  </si>
  <si>
    <t>オークション &gt; 住まい、インテリア &gt; ペット用品 &gt; その他</t>
  </si>
  <si>
    <t>卓上カレンダー</t>
  </si>
  <si>
    <t>オークション &gt; 事務、店舗用品 &gt; 机上アクセサリー &gt; 卓上カレンダー</t>
  </si>
  <si>
    <t>0,24198,24534,24546</t>
  </si>
  <si>
    <t>0,22896,22920,2084063473</t>
  </si>
  <si>
    <t>地球儀</t>
  </si>
  <si>
    <t>オークション &gt; 事務、店舗用品 &gt; 机上アクセサリー &gt; 地球儀</t>
  </si>
  <si>
    <t>0,22896,22920,2084226758</t>
  </si>
  <si>
    <t>オークション &gt; 事務、店舗用品 &gt; 机上アクセサリー &gt; 電子辞書</t>
  </si>
  <si>
    <t>0,22896,22920,2084050527</t>
  </si>
  <si>
    <t>オークション &gt; 事務、店舗用品 &gt; 机上アクセサリー &gt; 電卓</t>
  </si>
  <si>
    <t>0,22896,22920,23878</t>
  </si>
  <si>
    <t>キッチン、食器</t>
  </si>
  <si>
    <t>オークション &gt; 住まい、インテリア &gt; キッチン、食器</t>
  </si>
  <si>
    <t>0,24198,42168</t>
  </si>
  <si>
    <t>梱包機</t>
  </si>
  <si>
    <t>オークション &gt; 事務、店舗用品 &gt; ラッピング、包装 &gt; 梱包機</t>
  </si>
  <si>
    <t>0,22896,2084047365,2084263153</t>
  </si>
  <si>
    <t>家庭用品</t>
  </si>
  <si>
    <t>オークション &gt; 住まい、インテリア &gt; 家庭用品</t>
  </si>
  <si>
    <t>0,24198,42160</t>
  </si>
  <si>
    <t>ギフトボックス</t>
  </si>
  <si>
    <t>オークション &gt; 事務、店舗用品 &gt; ラッピング、包装 &gt; ギフトボックス</t>
  </si>
  <si>
    <t>0,22896,2084047365,2084221001</t>
  </si>
  <si>
    <t>収納</t>
  </si>
  <si>
    <t>オークション &gt; 住まい、インテリア &gt; 収納</t>
  </si>
  <si>
    <t>0,24198,2084288099</t>
  </si>
  <si>
    <t>シーラー</t>
  </si>
  <si>
    <t>オークション &gt; 事務、店舗用品 &gt; ラッピング、包装 &gt; シーラー</t>
  </si>
  <si>
    <t>0,22896,2084047365,2084063699</t>
  </si>
  <si>
    <t>家具、インテリア</t>
  </si>
  <si>
    <t>オークション &gt; 住まい、インテリア &gt; 家具、インテリア</t>
  </si>
  <si>
    <t>0,24198,24230</t>
  </si>
  <si>
    <t>オークション &gt; 事務、店舗用品 &gt; ラッピング、包装 &gt; ラミネーター</t>
  </si>
  <si>
    <t>ハンドメイド作品</t>
  </si>
  <si>
    <t>オークション &gt; 住まい、インテリア &gt; ハンドメイド作品</t>
  </si>
  <si>
    <t>0,22896,2084047365,2084221003</t>
  </si>
  <si>
    <t>0,24198,2084240626</t>
  </si>
  <si>
    <t>リボン</t>
  </si>
  <si>
    <t>工具、DIY用品</t>
  </si>
  <si>
    <t>オークション &gt; 事務、店舗用品 &gt; ラッピング、包装 &gt; リボン</t>
  </si>
  <si>
    <t>オークション &gt; 住まい、インテリア &gt; 工具、DIY用品</t>
  </si>
  <si>
    <t>0,22896,2084047365,2084063479</t>
  </si>
  <si>
    <t>0,24198,24642</t>
  </si>
  <si>
    <t>業務用建築材料</t>
  </si>
  <si>
    <t>緩衝材</t>
  </si>
  <si>
    <t>オークション &gt; 住まい、インテリア &gt; 業務用建築材料</t>
  </si>
  <si>
    <t>0,24198,2084042017</t>
  </si>
  <si>
    <t>オークション &gt; 事務、店舗用品 &gt; ラッピング、包装 &gt; 緩衝材</t>
  </si>
  <si>
    <t>0,22896,2084047365,2084062994</t>
  </si>
  <si>
    <t>電化製品</t>
  </si>
  <si>
    <t>オークション &gt; 住まい、インテリア &gt; 電化製品</t>
  </si>
  <si>
    <t>0,24198,24466</t>
  </si>
  <si>
    <t>接着用品</t>
  </si>
  <si>
    <t>オークション &gt; 事務、店舗用品 &gt; ラッピング、包装 &gt; 接着用品</t>
  </si>
  <si>
    <t>防災、セキュリティ</t>
  </si>
  <si>
    <t>0,22896,2084047365,2084063474</t>
  </si>
  <si>
    <t>オークション &gt; 住まい、インテリア &gt; 防災、セキュリティ</t>
  </si>
  <si>
    <t>0,24198,2084047969</t>
  </si>
  <si>
    <t>魚介類</t>
  </si>
  <si>
    <t>オークション &gt; 食品、飲料 &gt; 魚介類</t>
  </si>
  <si>
    <t>季節、年中行事</t>
  </si>
  <si>
    <t>0,23976,2084005796</t>
  </si>
  <si>
    <t>オークション &gt; 住まい、インテリア &gt; 季節、年中行事</t>
  </si>
  <si>
    <t>0,24198,20284</t>
  </si>
  <si>
    <t>袋、封筒</t>
  </si>
  <si>
    <t>オークション &gt; 事務、店舗用品 &gt; ラッピング、包装 &gt; 袋、封筒</t>
  </si>
  <si>
    <t>0,22896,2084047365,2084063482</t>
  </si>
  <si>
    <t>冠婚葬祭</t>
  </si>
  <si>
    <t>オークション &gt; 住まい、インテリア &gt; 冠婚葬祭</t>
  </si>
  <si>
    <t>0,24198,2084061209</t>
  </si>
  <si>
    <t>段ボール箱</t>
  </si>
  <si>
    <t>仏壇、仏具</t>
  </si>
  <si>
    <t>オークション &gt; 事務、店舗用品 &gt; ラッピング、包装 &gt; 段ボール箱</t>
  </si>
  <si>
    <t>肉類</t>
  </si>
  <si>
    <t>オークション &gt; 住まい、インテリア &gt; 仏壇、仏具</t>
  </si>
  <si>
    <t>0,22896,2084047365,2084062992</t>
  </si>
  <si>
    <t>オークション &gt; 食品、飲料 &gt; 肉類</t>
  </si>
  <si>
    <t>0,24198,2084059849</t>
  </si>
  <si>
    <t>0,23976,2084005795</t>
  </si>
  <si>
    <t>紐</t>
  </si>
  <si>
    <t>オークション &gt; 事務、店舗用品 &gt; ラッピング、包装 &gt; 紐</t>
  </si>
  <si>
    <t>0,22896,2084047365,2084063478</t>
  </si>
  <si>
    <t>オークション &gt; 住まい、インテリア &gt; ペット用品</t>
  </si>
  <si>
    <t>0,24198,24534</t>
  </si>
  <si>
    <t>米、穀類、シリアル</t>
  </si>
  <si>
    <t>オークション &gt; 食品、飲料 &gt; 米、穀類、シリアル</t>
  </si>
  <si>
    <t>0,23976,2084006748</t>
  </si>
  <si>
    <t>包装紙</t>
  </si>
  <si>
    <t>オークション &gt; 事務、店舗用品 &gt; ラッピング、包装 &gt; 包装紙</t>
  </si>
  <si>
    <t>害虫駆除、虫よけ</t>
  </si>
  <si>
    <t>0,22896,2084047365,2084063477</t>
  </si>
  <si>
    <t>オークション &gt; 住まい、インテリア &gt; 害虫駆除、虫よけ</t>
  </si>
  <si>
    <t>0,24198,2084048832</t>
  </si>
  <si>
    <t>オークション &gt; 事務、店舗用品 &gt; ラッピング、包装 &gt; その他</t>
  </si>
  <si>
    <t>野菜、果物</t>
  </si>
  <si>
    <t>家具、インテリアレンタル</t>
  </si>
  <si>
    <t>0,22896,2084047365,2084062993</t>
  </si>
  <si>
    <t>オークション &gt; 食品、飲料 &gt; 野菜、果物</t>
  </si>
  <si>
    <t>オークション &gt; 住まい、インテリア &gt; 家具、インテリアレンタル</t>
  </si>
  <si>
    <t>0,23976,2084006751</t>
  </si>
  <si>
    <t>0,24198,2084307800</t>
  </si>
  <si>
    <t>工具、DIY用品レンタル</t>
  </si>
  <si>
    <t>オークション &gt; 住まい、インテリア &gt; 工具、DIY用品レンタル</t>
  </si>
  <si>
    <t>飲料</t>
  </si>
  <si>
    <t>0,24198,2084307804</t>
  </si>
  <si>
    <t>オークション &gt; 食品、飲料 &gt; 飲料</t>
  </si>
  <si>
    <t>0,23976,42164</t>
  </si>
  <si>
    <t>オークション &gt; 住まい、インテリア &gt; その他</t>
  </si>
  <si>
    <t>0,24198,24678</t>
  </si>
  <si>
    <t>筆記用具</t>
  </si>
  <si>
    <t>健康食品</t>
  </si>
  <si>
    <t>オークション &gt; 事務、店舗用品 &gt; 文房具 &gt; 筆記用具</t>
  </si>
  <si>
    <t>オークション &gt; 食品、飲料 &gt; 健康食品</t>
  </si>
  <si>
    <t>0,22896,2084042484,42175</t>
  </si>
  <si>
    <t>0,23976,24054</t>
  </si>
  <si>
    <t>オークション &gt; 事務、店舗用品 &gt; 文房具 &gt; ノート、紙製品</t>
  </si>
  <si>
    <t>0,22896,2084042484,2084042492</t>
  </si>
  <si>
    <t>ダイエット食品</t>
  </si>
  <si>
    <t>オークション &gt; 食品、飲料 &gt; ダイエット食品</t>
  </si>
  <si>
    <t>0,23976,2084006888</t>
  </si>
  <si>
    <t>食器</t>
  </si>
  <si>
    <t>オークション &gt; 住まい、インテリア &gt; キッチン、食器 &gt; 食器</t>
  </si>
  <si>
    <t>0,24198,42168,42173</t>
  </si>
  <si>
    <t>オークション &gt; 事務、店舗用品 &gt; 文房具 &gt; ペンケース</t>
  </si>
  <si>
    <t>0,22896,2084042484,2084048848</t>
  </si>
  <si>
    <t>加工食品</t>
  </si>
  <si>
    <t>オークション &gt; 食品、飲料 &gt; 加工食品</t>
  </si>
  <si>
    <t>カトラリー</t>
  </si>
  <si>
    <t>0,23976,2084042479</t>
  </si>
  <si>
    <t>オークション &gt; 住まい、インテリア &gt; キッチン、食器 &gt; カトラリー</t>
  </si>
  <si>
    <t>0,24198,42168,42174</t>
  </si>
  <si>
    <t>オークション &gt; 事務、店舗用品 &gt; 文房具 &gt; ラベル用品</t>
  </si>
  <si>
    <t>0,22896,2084042484,22968</t>
  </si>
  <si>
    <t>菓子、デザート</t>
  </si>
  <si>
    <t>オークション &gt; 食品、飲料 &gt; 菓子、デザート</t>
  </si>
  <si>
    <t>テーブルリネン</t>
  </si>
  <si>
    <t>0,23976,23982</t>
  </si>
  <si>
    <t>オークション &gt; 住まい、インテリア &gt; キッチン、食器 &gt; テーブルリネン</t>
  </si>
  <si>
    <t>0,24198,42168,2084005661</t>
  </si>
  <si>
    <t>オークション &gt; 事務、店舗用品 &gt; 文房具 &gt; 印鑑、スタンプ</t>
  </si>
  <si>
    <t>0,22896,2084042484,2084042493</t>
  </si>
  <si>
    <t>パスタ、麺類</t>
  </si>
  <si>
    <t>オークション &gt; 食品、飲料 &gt; パスタ、麺類</t>
  </si>
  <si>
    <t>調理器具</t>
  </si>
  <si>
    <t>0,23976,2084006750</t>
  </si>
  <si>
    <t>手帳</t>
  </si>
  <si>
    <t>オークション &gt; 住まい、インテリア &gt; キッチン、食器 &gt; 調理器具</t>
  </si>
  <si>
    <t>オークション &gt; 事務、店舗用品 &gt; 文房具 &gt; 手帳</t>
  </si>
  <si>
    <t>0,24198,42168,42170</t>
  </si>
  <si>
    <t>0,22896,2084042484,2084024227</t>
  </si>
  <si>
    <t>かき氷機</t>
  </si>
  <si>
    <t>オークション &gt; 事務、店舗用品 &gt; 文房具 &gt; 電子辞書</t>
  </si>
  <si>
    <t>パン</t>
  </si>
  <si>
    <t>オークション &gt; 住まい、インテリア &gt; キッチン、食器 &gt; かき氷機</t>
  </si>
  <si>
    <t>0,22896,2084042484,2084050527</t>
  </si>
  <si>
    <t>オークション &gt; 食品、飲料 &gt; パン</t>
  </si>
  <si>
    <t>0,24198,42168,2084061597</t>
  </si>
  <si>
    <t>0,23976,2084049724</t>
  </si>
  <si>
    <t>アクセサリー</t>
  </si>
  <si>
    <t>オークション &gt; 事務、店舗用品 &gt; 文房具 &gt; 電卓</t>
  </si>
  <si>
    <t>オークション &gt; 住まい、インテリア &gt; キッチン、食器 &gt; アクセサリー</t>
  </si>
  <si>
    <t>0,22896,2084042484,23878</t>
  </si>
  <si>
    <t>0,24198,42168,2084015574</t>
  </si>
  <si>
    <t>卵、乳製品</t>
  </si>
  <si>
    <t>オークション &gt; 食品、飲料 &gt; 卵、乳製品</t>
  </si>
  <si>
    <t>0,23976,24034</t>
  </si>
  <si>
    <t>アルコールグッズ</t>
  </si>
  <si>
    <t>オークション &gt; 住まい、インテリア &gt; キッチン、食器 &gt; アルコールグッズ</t>
  </si>
  <si>
    <t>アート用品</t>
  </si>
  <si>
    <t>0,24198,42168,2084044991</t>
  </si>
  <si>
    <t>オークション &gt; 事務、店舗用品 &gt; 文房具 &gt; アート用品</t>
  </si>
  <si>
    <t>0,22896,2084042484,20124</t>
  </si>
  <si>
    <t>調味料、スパイス</t>
  </si>
  <si>
    <t>オークション &gt; 食品、飲料 &gt; 調味料、スパイス</t>
  </si>
  <si>
    <t>エプロン</t>
  </si>
  <si>
    <t>0,23976,24042</t>
  </si>
  <si>
    <t>オークション &gt; 住まい、インテリア &gt; キッチン、食器 &gt; エプロン</t>
  </si>
  <si>
    <t>オークション &gt; 事務、店舗用品 &gt; 文房具 &gt; ラッピング、包装</t>
  </si>
  <si>
    <t>0,24198,42168,2084018499</t>
  </si>
  <si>
    <t>0,22896,2084042484,2084047365</t>
  </si>
  <si>
    <t>コンパス</t>
  </si>
  <si>
    <t>詰め合わせ</t>
  </si>
  <si>
    <t>キッチンマット</t>
  </si>
  <si>
    <t>オークション &gt; 事務、店舗用品 &gt; 文房具 &gt; コンパス</t>
  </si>
  <si>
    <t>0,22896,2084042484,2084227145</t>
  </si>
  <si>
    <t>オークション &gt; 食品、飲料 &gt; 詰め合わせ</t>
  </si>
  <si>
    <t>オークション &gt; 住まい、インテリア &gt; キッチン、食器 &gt; キッチンマット</t>
  </si>
  <si>
    <t>0,24198,42168,2084061480</t>
  </si>
  <si>
    <t>0,23976,24050</t>
  </si>
  <si>
    <t>ファイリング用品</t>
  </si>
  <si>
    <t>クーラーボックス、クーラーバッグ</t>
  </si>
  <si>
    <t>オークション &gt; 事務、店舗用品 &gt; 文房具 &gt; ファイリング用品</t>
  </si>
  <si>
    <t>オークション &gt; 住まい、インテリア &gt; キッチン、食器 &gt; クーラーボックス、クーラーバッグ</t>
  </si>
  <si>
    <t>0,22896,2084042484,2084259489</t>
  </si>
  <si>
    <t>オークション &gt; 食品、飲料 &gt; ミルク、ベビーフード</t>
  </si>
  <si>
    <t>0,24198,42168,2084044977</t>
  </si>
  <si>
    <t>0,23976,2084008374</t>
  </si>
  <si>
    <t>鉛筆削り</t>
  </si>
  <si>
    <t>オークション &gt; 事務、店舗用品 &gt; 文房具 &gt; 鉛筆削り</t>
  </si>
  <si>
    <t>コーヒーミル</t>
  </si>
  <si>
    <t>0,22896,2084042484,2084259457</t>
  </si>
  <si>
    <t>オークション &gt; 住まい、インテリア &gt; キッチン、食器 &gt; コーヒーミル</t>
  </si>
  <si>
    <t>非常食</t>
  </si>
  <si>
    <t>0,24198,42168,2084054097</t>
  </si>
  <si>
    <t>オークション &gt; 食品、飲料 &gt; 非常食</t>
  </si>
  <si>
    <t>0,23976,2084055697</t>
  </si>
  <si>
    <t>給湯設備</t>
  </si>
  <si>
    <t>オークション &gt; 事務、店舗用品 &gt; 文房具 &gt; 切断用品</t>
  </si>
  <si>
    <t>オークション &gt; 住まい、インテリア &gt; キッチン、食器 &gt; 給湯設備</t>
  </si>
  <si>
    <t>0,22896,2084042484,2084063308</t>
  </si>
  <si>
    <t>0,24198,42168,2084258414</t>
  </si>
  <si>
    <t>料理本</t>
  </si>
  <si>
    <t>オークション &gt; 食品、飲料 &gt; 料理本</t>
  </si>
  <si>
    <t>0,23976,21704</t>
  </si>
  <si>
    <t>オークション &gt; 事務、店舗用品 &gt; 文房具 &gt; 接着用品</t>
  </si>
  <si>
    <t>収納、キッチン雑貨</t>
  </si>
  <si>
    <t>0,22896,2084042484,2084063474</t>
  </si>
  <si>
    <t>オークション &gt; 住まい、インテリア &gt; キッチン、食器 &gt; 収納、キッチン雑貨</t>
  </si>
  <si>
    <t>0,24198,42168,2084015566</t>
  </si>
  <si>
    <t>オークション &gt; 事務、店舗用品 &gt; 文房具 &gt; 地球儀</t>
  </si>
  <si>
    <t>浄水機</t>
  </si>
  <si>
    <t>0,22896,2084042484,2084226758</t>
  </si>
  <si>
    <t>オークション &gt; 住まい、インテリア &gt; キッチン、食器 &gt; 浄水機</t>
  </si>
  <si>
    <t>0,24198,42168,2084006902</t>
  </si>
  <si>
    <t>定規</t>
  </si>
  <si>
    <t>オークション &gt; 事務、店舗用品 &gt; 文房具 &gt; 定規</t>
  </si>
  <si>
    <t>0,22896,2084042484,2084227146</t>
  </si>
  <si>
    <t>オークション &gt; 住まい、インテリア &gt; キッチン、食器 &gt; 電化製品</t>
  </si>
  <si>
    <t>0,24198,42168,2084008364</t>
  </si>
  <si>
    <t>分度器</t>
  </si>
  <si>
    <t>オークション &gt; 事務、店舗用品 &gt; 文房具 &gt; 分度器</t>
  </si>
  <si>
    <t>0,22896,2084042484,2084227147</t>
  </si>
  <si>
    <t>弁当用品</t>
  </si>
  <si>
    <t>オークション &gt; 住まい、インテリア &gt; キッチン、食器 &gt; 弁当用品</t>
  </si>
  <si>
    <t>オークション &gt; 食品、飲料 &gt; その他</t>
  </si>
  <si>
    <t>0,24198,42168,2084015563</t>
  </si>
  <si>
    <t>0,23976,24194</t>
  </si>
  <si>
    <t>オークション &gt; 事務、店舗用品 &gt; 文房具 &gt; その他</t>
  </si>
  <si>
    <t>0,22896,2084042484,2084042489</t>
  </si>
  <si>
    <t>容器</t>
  </si>
  <si>
    <t>オークション &gt; 住まい、インテリア &gt; キッチン、食器 &gt; 容器</t>
  </si>
  <si>
    <t>0,24198,42168,2084005974</t>
  </si>
  <si>
    <t>女性用</t>
  </si>
  <si>
    <t>オークション &gt; ファッション &gt; ファッション小物 &gt; 名刺入れ、カードケース &gt; 女性用</t>
  </si>
  <si>
    <t>オークション &gt; 住まい、インテリア &gt; キッチン、食器 &gt; その他</t>
  </si>
  <si>
    <t>0,23000,23004,2084246780,2084246782</t>
  </si>
  <si>
    <t>0,24198,42168,42172</t>
  </si>
  <si>
    <t>カニ</t>
  </si>
  <si>
    <t>オークション &gt; 食品、飲料 &gt; 魚介類 &gt; カニ</t>
  </si>
  <si>
    <t>0,23976,2084005796,2084045155</t>
  </si>
  <si>
    <t>オークション &gt; ファッション &gt; ファッション小物 &gt; 名刺入れ、カードケース &gt; 男性用</t>
  </si>
  <si>
    <t>0,23000,23004,2084246780,2084246781</t>
  </si>
  <si>
    <t>エビ</t>
  </si>
  <si>
    <t>オークション &gt; 食品、飲料 &gt; 魚介類 &gt; エビ</t>
  </si>
  <si>
    <t>ガーデニング用品</t>
  </si>
  <si>
    <t>0,23976,2084005796,2084045154</t>
  </si>
  <si>
    <t>オークション &gt; 住まい、インテリア &gt; 家庭用品 &gt; ガーデニング用品</t>
  </si>
  <si>
    <t>0,24198,42160,2084006704</t>
  </si>
  <si>
    <t>アタッシュケース</t>
  </si>
  <si>
    <t>オークション &gt; 事務、店舗用品 &gt; バッグ、スーツケース &gt; アタッシュケース</t>
  </si>
  <si>
    <t>0,22896,22904,2084008337</t>
  </si>
  <si>
    <t>貝類</t>
  </si>
  <si>
    <t>オークション &gt; 食品、飲料 &gt; 魚介類 &gt; 貝類</t>
  </si>
  <si>
    <t>0,23976,2084005796,2084045157</t>
  </si>
  <si>
    <t>オークション &gt; 住まい、インテリア &gt; 家庭用品 &gt; キッチン、食器</t>
  </si>
  <si>
    <t>0,24198,42160,42168</t>
  </si>
  <si>
    <t>スーツケース、トランク</t>
  </si>
  <si>
    <t>オークション &gt; 事務、店舗用品 &gt; バッグ、スーツケース &gt; スーツケース、トランク</t>
  </si>
  <si>
    <t>0,22896,22904,2084008297</t>
  </si>
  <si>
    <t>ウニ</t>
  </si>
  <si>
    <t>オークション &gt; 食品、飲料 &gt; 魚介類 &gt; ウニ</t>
  </si>
  <si>
    <t>キャンドル</t>
  </si>
  <si>
    <t>0,23976,2084005796,2084045159</t>
  </si>
  <si>
    <t>オークション &gt; 住まい、インテリア &gt; 家庭用品 &gt; キャンドル</t>
  </si>
  <si>
    <t>女性用ブリーフケース、書類かばん</t>
  </si>
  <si>
    <t>0,24198,42160,2084024423</t>
  </si>
  <si>
    <t>オークション &gt; 事務、店舗用品 &gt; バッグ、スーツケース &gt; 女性用ブリーフケース、書類かばん</t>
  </si>
  <si>
    <t>0,22896,22904,2084008333</t>
  </si>
  <si>
    <t>魚</t>
  </si>
  <si>
    <t>オークション &gt; 食品、飲料 &gt; 魚介類 &gt; 魚</t>
  </si>
  <si>
    <t>男性用ブリーフケース、書類かばん</t>
  </si>
  <si>
    <t>スリッパ</t>
  </si>
  <si>
    <t>0,23976,2084005796,2084045156</t>
  </si>
  <si>
    <t>オークション &gt; 事務、店舗用品 &gt; バッグ、スーツケース &gt; 男性用ブリーフケース、書類かばん</t>
  </si>
  <si>
    <t>オークション &gt; 住まい、インテリア &gt; 家庭用品 &gt; スリッパ</t>
  </si>
  <si>
    <t>0,22896,22904,2084008334</t>
  </si>
  <si>
    <t>0,24198,42160,2084047779</t>
  </si>
  <si>
    <t>タコ、イカ</t>
  </si>
  <si>
    <t>オークション &gt; 食品、飲料 &gt; 魚介類 &gt; タコ、イカ</t>
  </si>
  <si>
    <t>0,23976,2084005796,2084050442</t>
  </si>
  <si>
    <t>オークション &gt; 住まい、インテリア &gt; 家庭用品 &gt; タオル</t>
  </si>
  <si>
    <t>0,24198,42160,2084006324</t>
  </si>
  <si>
    <t>海草</t>
  </si>
  <si>
    <t>ビジネス教養</t>
  </si>
  <si>
    <t>オークション &gt; 食品、飲料 &gt; 魚介類 &gt; 海草</t>
  </si>
  <si>
    <t>オークション &gt; 本、雑誌 &gt; ビジネス、経済 &gt; ビジネス &gt; ビジネス教養</t>
  </si>
  <si>
    <t>トイレ</t>
  </si>
  <si>
    <t>0,23976,2084005796,2084045160</t>
  </si>
  <si>
    <t>0,21600,2084008755,21620,2084008761</t>
  </si>
  <si>
    <t>オークション &gt; 住まい、インテリア &gt; 家庭用品 &gt; トイレ</t>
  </si>
  <si>
    <t>0,24198,42160,2084024460</t>
  </si>
  <si>
    <t>マネープラン</t>
  </si>
  <si>
    <t>加工品</t>
  </si>
  <si>
    <t>オークション &gt; 本、雑誌 &gt; ビジネス、経済 &gt; ビジネス &gt; マネープラン</t>
  </si>
  <si>
    <t>オークション &gt; 食品、飲料 &gt; 魚介類 &gt; 加工品</t>
  </si>
  <si>
    <t>0,21600,2084008755,21620,2084008762</t>
  </si>
  <si>
    <t>0,23976,2084005796,2084050433</t>
  </si>
  <si>
    <t>ハンガー</t>
  </si>
  <si>
    <t>オークション &gt; 住まい、インテリア &gt; 家庭用品 &gt; ハンガー</t>
  </si>
  <si>
    <t>0,24198,42160,2084061604</t>
  </si>
  <si>
    <t>企業法務</t>
  </si>
  <si>
    <t>オークション &gt; 本、雑誌 &gt; ビジネス、経済 &gt; ビジネス &gt; 企業法務</t>
  </si>
  <si>
    <t>干物、薫製</t>
  </si>
  <si>
    <t>0,21600,2084008755,21620,2084008757</t>
  </si>
  <si>
    <t>オークション &gt; 食品、飲料 &gt; 魚介類 &gt; 干物、薫製</t>
  </si>
  <si>
    <t>バス</t>
  </si>
  <si>
    <t>0,23976,2084005796,2084217576</t>
  </si>
  <si>
    <t>オークション &gt; 住まい、インテリア &gt; 家庭用品 &gt; バス</t>
  </si>
  <si>
    <t>0,24198,42160,2084024451</t>
  </si>
  <si>
    <t>経営学</t>
  </si>
  <si>
    <t>オークション &gt; 本、雑誌 &gt; ビジネス、経済 &gt; ビジネス &gt; 経営学</t>
  </si>
  <si>
    <t>0,21600,2084008755,21620,2084008754</t>
  </si>
  <si>
    <t>セット、詰め合わせ</t>
  </si>
  <si>
    <t>オークション &gt; 食品、飲料 &gt; 魚介類 &gt; セット、詰め合わせ</t>
  </si>
  <si>
    <t>0,23976,2084005796,2084050447</t>
  </si>
  <si>
    <t>広告、セールス</t>
  </si>
  <si>
    <t>オークション &gt; 本、雑誌 &gt; ビジネス、経済 &gt; ビジネス &gt; 広告、セールス</t>
  </si>
  <si>
    <t>0,21600,2084008755,21620,2084008758</t>
  </si>
  <si>
    <t>オークション &gt; 住まい、インテリア &gt; 家庭用品 &gt; 害虫駆除、虫よけ</t>
  </si>
  <si>
    <t>オークション &gt; 食品、飲料 &gt; 魚介類 &gt; その他</t>
  </si>
  <si>
    <t>0,24198,42160,2084048832</t>
  </si>
  <si>
    <t>0,23976,2084005796,2084045158</t>
  </si>
  <si>
    <t>財務、会計</t>
  </si>
  <si>
    <t>オークション &gt; 本、雑誌 &gt; ビジネス、経済 &gt; ビジネス &gt; 財務、会計</t>
  </si>
  <si>
    <t>0,21600,2084008755,21620,2084047379</t>
  </si>
  <si>
    <t>靴用品</t>
  </si>
  <si>
    <t>オークション &gt; 住まい、インテリア &gt; 家庭用品 &gt; 靴用品</t>
  </si>
  <si>
    <t>仕事の技術</t>
  </si>
  <si>
    <t>0,24198,42160,2084238534</t>
  </si>
  <si>
    <t>オークション &gt; 本、雑誌 &gt; ビジネス、経済 &gt; ビジネス &gt; 仕事の技術</t>
  </si>
  <si>
    <t>0,21600,2084008755,21620,2084008759</t>
  </si>
  <si>
    <t>自己啓発</t>
  </si>
  <si>
    <t>皮革用品</t>
  </si>
  <si>
    <t>オークション &gt; 本、雑誌 &gt; ビジネス、経済 &gt; ビジネス &gt; 自己啓発</t>
  </si>
  <si>
    <t>0,21600,2084008755,21620,2084008760</t>
  </si>
  <si>
    <t>オークション &gt; 住まい、インテリア &gt; 家庭用品 &gt; 皮革用品</t>
  </si>
  <si>
    <t>0,24198,42160,2084238529</t>
  </si>
  <si>
    <t>オークション &gt; 食品、飲料 &gt; 肉類 &gt; セット、詰め合わせ</t>
  </si>
  <si>
    <t>独立、開業</t>
  </si>
  <si>
    <t>オークション &gt; 本、雑誌 &gt; ビジネス、経済 &gt; ビジネス &gt; 独立、開業</t>
  </si>
  <si>
    <t>0,23976,2084005795,2084050370</t>
  </si>
  <si>
    <t>0,21600,2084008755,21620,2084008756</t>
  </si>
  <si>
    <t>座布団</t>
  </si>
  <si>
    <t>オークション &gt; 住まい、インテリア &gt; 家庭用品 &gt; 座布団</t>
  </si>
  <si>
    <t>0,24198,42160,2084047857</t>
  </si>
  <si>
    <t>流通</t>
  </si>
  <si>
    <t>オークション &gt; 本、雑誌 &gt; ビジネス、経済 &gt; ビジネス &gt; 流通</t>
  </si>
  <si>
    <t>0,21600,2084008755,21620,2084008763</t>
  </si>
  <si>
    <t>牛肉</t>
  </si>
  <si>
    <t>オークション &gt; 食品、飲料 &gt; 肉類 &gt; 牛肉</t>
  </si>
  <si>
    <t>0,23976,2084005795,2084045150</t>
  </si>
  <si>
    <t>寝具</t>
  </si>
  <si>
    <t>オークション &gt; 住まい、インテリア &gt; 家庭用品 &gt; 寝具</t>
  </si>
  <si>
    <t>0,24198,42160,2084006343</t>
  </si>
  <si>
    <t>鶏肉</t>
  </si>
  <si>
    <t>オークション &gt; 食品、飲料 &gt; 肉類 &gt; 鶏肉</t>
  </si>
  <si>
    <t>0,23976,2084005795,2084045151</t>
  </si>
  <si>
    <t>洗濯用品</t>
  </si>
  <si>
    <t>オークション &gt; その他 &gt; レンタル &gt; 事務、店舗用品 &gt; 厨房機器</t>
  </si>
  <si>
    <t>0,26084,2084307720,2084307793,2084307794</t>
  </si>
  <si>
    <t>オークション &gt; 住まい、インテリア &gt; 家庭用品 &gt; 洗濯用品</t>
  </si>
  <si>
    <t>0,24198,42160,2084024430</t>
  </si>
  <si>
    <t>鹿肉</t>
  </si>
  <si>
    <t>オークション &gt; 食品、飲料 &gt; 肉類 &gt; 鹿肉</t>
  </si>
  <si>
    <t>オークション &gt; その他 &gt; レンタル &gt; 事務、店舗用品 &gt; OA機器</t>
  </si>
  <si>
    <t>0,26084,2084307720,2084307793,2084307795</t>
  </si>
  <si>
    <t>0,23976,2084005795,2084050371</t>
  </si>
  <si>
    <t>掃除用品</t>
  </si>
  <si>
    <t>オークション &gt; 住まい、インテリア &gt; 家庭用品 &gt; 掃除用品</t>
  </si>
  <si>
    <t>オークション &gt; その他 &gt; レンタル &gt; 事務、店舗用品 &gt; オフィス家具</t>
  </si>
  <si>
    <t>0,24198,42160,2084024446</t>
  </si>
  <si>
    <t>0,26084,2084307720,2084307793,2084307796</t>
  </si>
  <si>
    <t>豚肉</t>
  </si>
  <si>
    <t>オークション &gt; 食品、飲料 &gt; 肉類 &gt; 豚肉</t>
  </si>
  <si>
    <t>0,23976,2084005795,2084045152</t>
  </si>
  <si>
    <t>芳香剤、消臭剤</t>
  </si>
  <si>
    <t>オークション &gt; 住まい、インテリア &gt; 家庭用品 &gt; 芳香剤、消臭剤</t>
  </si>
  <si>
    <t>0,24198,42160,2084024425</t>
  </si>
  <si>
    <t>馬肉</t>
  </si>
  <si>
    <t>オークション &gt; 食品、飲料 &gt; 肉類 &gt; 馬肉</t>
  </si>
  <si>
    <t>0,23976,2084005795,2084050372</t>
  </si>
  <si>
    <t>ろうそく</t>
  </si>
  <si>
    <t>オークション &gt; 住まい、インテリア &gt; 家庭用品 &gt; ろうそく</t>
  </si>
  <si>
    <t>0,24198,42160,2084292321</t>
  </si>
  <si>
    <t>羊肉</t>
  </si>
  <si>
    <t>オークション &gt; 食品、飲料 &gt; 肉類 &gt; 羊肉</t>
  </si>
  <si>
    <t>0,23976,2084005795,2084050373</t>
  </si>
  <si>
    <t>ハンドクラフト、手工芸</t>
  </si>
  <si>
    <t>オークション &gt; 住まい、インテリア &gt; 家庭用品 &gt; ハンドクラフト、手工芸</t>
  </si>
  <si>
    <t>0,24198,42160,20924</t>
  </si>
  <si>
    <t>オークション &gt; 食品、飲料 &gt; 肉類 &gt; 加工品</t>
  </si>
  <si>
    <t>0,23976,2084005795,2084217301</t>
  </si>
  <si>
    <t>オークション &gt; 住まい、インテリア &gt; 家庭用品 &gt; その他</t>
  </si>
  <si>
    <t>0,24198,42160,24462</t>
  </si>
  <si>
    <t>ハム、ソーセージ</t>
  </si>
  <si>
    <t>オークション &gt; 食品、飲料 &gt; 肉類 &gt; ハム、ソーセージ</t>
  </si>
  <si>
    <t>0,23976,2084005795,2084045148</t>
  </si>
  <si>
    <t>リビング収納</t>
  </si>
  <si>
    <t>オークション &gt; 住まい、インテリア &gt; 収納 &gt; リビング収納</t>
  </si>
  <si>
    <t>ベーコン</t>
  </si>
  <si>
    <t>0,24198,2084288099,2084288100</t>
  </si>
  <si>
    <t>オークション &gt; 食品、飲料 &gt; 肉類 &gt; ベーコン</t>
  </si>
  <si>
    <t>0,23976,2084005795,2084217298</t>
  </si>
  <si>
    <t>キッチン収納</t>
  </si>
  <si>
    <t>オークション &gt; 住まい、インテリア &gt; 収納 &gt; キッチン収納</t>
  </si>
  <si>
    <t>0,24198,2084288099,2084288113</t>
  </si>
  <si>
    <t>オークション &gt; 食品、飲料 &gt; 肉類 &gt; その他</t>
  </si>
  <si>
    <t>0,23976,2084005795,2084045149</t>
  </si>
  <si>
    <t>本/CD/DVD収納</t>
  </si>
  <si>
    <t>オークション &gt; 住まい、インテリア &gt; 収納 &gt; 本/CD/DVD収納</t>
  </si>
  <si>
    <t>0,24198,2084288099,2084288124</t>
  </si>
  <si>
    <t>書斎/オフィス/業務用収納</t>
  </si>
  <si>
    <t>オークション &gt; 住まい、インテリア &gt; 収納 &gt; 書斎/オフィス/業務用収納</t>
  </si>
  <si>
    <t>0,24198,2084288099,2084288133</t>
  </si>
  <si>
    <t>衣類/押入/クローゼット収納</t>
  </si>
  <si>
    <t>オークション &gt; 住まい、インテリア &gt; 収納 &gt; 衣類/押入/クローゼット収納</t>
  </si>
  <si>
    <t>0,24198,2084288099,2084288147</t>
  </si>
  <si>
    <t>コスメ、スキンケア</t>
  </si>
  <si>
    <t>オークション &gt; ビューティー、ヘルスケア &gt; コスメ、スキンケア</t>
  </si>
  <si>
    <t>米</t>
  </si>
  <si>
    <t>バス/トイレ収納</t>
  </si>
  <si>
    <t>0,42177,42180</t>
  </si>
  <si>
    <t>オークション &gt; 食品、飲料 &gt; 米、穀類、シリアル &gt; 米</t>
  </si>
  <si>
    <t>オークション &gt; 住まい、インテリア &gt; 収納 &gt; バス/トイレ収納</t>
  </si>
  <si>
    <t>0,23976,2084006748,2084059762</t>
  </si>
  <si>
    <t>0,24198,2084288099,2084288156</t>
  </si>
  <si>
    <t>穀類、シリアル</t>
  </si>
  <si>
    <t>ランドリー収納</t>
  </si>
  <si>
    <t>オークション &gt; 食品、飲料 &gt; 米、穀類、シリアル &gt; 穀類、シリアル</t>
  </si>
  <si>
    <t>オークション &gt; 住まい、インテリア &gt; 収納 &gt; ランドリー収納</t>
  </si>
  <si>
    <t>0,24198,2084288099,2084288164</t>
  </si>
  <si>
    <t>0,23976,2084006748,2084059763</t>
  </si>
  <si>
    <t>香水、フレグランス</t>
  </si>
  <si>
    <t>オークション &gt; ビューティー、ヘルスケア &gt; 香水、フレグランス</t>
  </si>
  <si>
    <t>玄関/屋外収納</t>
  </si>
  <si>
    <t>0,42177,42179</t>
  </si>
  <si>
    <t>オークション &gt; 住まい、インテリア &gt; 収納 &gt; 玄関/屋外収納</t>
  </si>
  <si>
    <t>0,24198,2084288099,2084288171</t>
  </si>
  <si>
    <t>子ども用品収納</t>
  </si>
  <si>
    <t>オークション &gt; 住まい、インテリア &gt; 収納 &gt; 子ども用品収納</t>
  </si>
  <si>
    <t>オークション &gt; ビューティー、ヘルスケア &gt; ネイルケア</t>
  </si>
  <si>
    <t>0,24198,2084288099,2084288178</t>
  </si>
  <si>
    <t>0,42177,2084005298</t>
  </si>
  <si>
    <t>家具転倒防止品</t>
  </si>
  <si>
    <t>オークション &gt; 住まい、インテリア &gt; 収納 &gt; 家具転倒防止品</t>
  </si>
  <si>
    <t>野菜</t>
  </si>
  <si>
    <t>0,24198,2084288099,2084055700</t>
  </si>
  <si>
    <t>オークション &gt; 食品、飲料 &gt; 野菜、果物 &gt; 野菜</t>
  </si>
  <si>
    <t>オークション &gt; ビューティー、ヘルスケア &gt; ヘアケア</t>
  </si>
  <si>
    <t>0,23976,2084006751,2084048838</t>
  </si>
  <si>
    <t>0,42177,2084005297</t>
  </si>
  <si>
    <t>ボディケア</t>
  </si>
  <si>
    <t>ブランド/デザイナー別</t>
  </si>
  <si>
    <t>オークション &gt; ビューティー、ヘルスケア &gt; ボディケア</t>
  </si>
  <si>
    <t>果物</t>
  </si>
  <si>
    <t>オークション &gt; 住まい、インテリア &gt; 家具、インテリア &gt; ブランド/デザイナー別</t>
  </si>
  <si>
    <t>0,42177,2084007425</t>
  </si>
  <si>
    <t>0,24198,24230,2084283581</t>
  </si>
  <si>
    <t>オークション &gt; 食品、飲料 &gt; 野菜、果物 &gt; 果物</t>
  </si>
  <si>
    <t>0,23976,2084006751,2084048839</t>
  </si>
  <si>
    <t>ソファ、ソファベッド</t>
  </si>
  <si>
    <t>オークション &gt; 住まい、インテリア &gt; 家具、インテリア &gt; ソファ、ソファベッド</t>
  </si>
  <si>
    <t>0,24198,24230,2084007908</t>
  </si>
  <si>
    <t>オーラルケア</t>
  </si>
  <si>
    <t>オークション &gt; ビューティー、ヘルスケア &gt; オーラルケア</t>
  </si>
  <si>
    <t>0,42177,2084055379</t>
  </si>
  <si>
    <t>オークション &gt; 住まい、インテリア &gt; 家具、インテリア &gt; イス</t>
  </si>
  <si>
    <t>0,24198,24230,2084007909</t>
  </si>
  <si>
    <t>ベッド、マットレス</t>
  </si>
  <si>
    <t>めがね、コンタクト</t>
  </si>
  <si>
    <t>オークション &gt; 住まい、インテリア &gt; 家具、インテリア &gt; ベッド、マットレス</t>
  </si>
  <si>
    <t>0,24198,24230,2084006342</t>
  </si>
  <si>
    <t>オークション &gt; ビューティー、ヘルスケア &gt; めがね、コンタクト</t>
  </si>
  <si>
    <t>0,42177,2084012478</t>
  </si>
  <si>
    <t>アルコール</t>
  </si>
  <si>
    <t>オークション &gt; 住まい、インテリア &gt; 家具、インテリア &gt; テーブル</t>
  </si>
  <si>
    <t>オークション &gt; 食品、飲料 &gt; 飲料 &gt; アルコール</t>
  </si>
  <si>
    <t>0,24198,24230,2084005510</t>
  </si>
  <si>
    <t>0,23976,42164,2084006720</t>
  </si>
  <si>
    <t>リラクゼーショングッズ</t>
  </si>
  <si>
    <t>オークション &gt; ビューティー、ヘルスケア &gt; リラクゼーショングッズ</t>
  </si>
  <si>
    <t>0,42177,2084042539</t>
  </si>
  <si>
    <t>オークション &gt; 住まい、インテリア &gt; 家具、インテリア &gt; 机</t>
  </si>
  <si>
    <t>0,24198,24230,2084005509</t>
  </si>
  <si>
    <t>コーヒー</t>
  </si>
  <si>
    <t>オークション &gt; 食品、飲料 &gt; 飲料 &gt; コーヒー</t>
  </si>
  <si>
    <t>オークション &gt; 住まい、インテリア &gt; 家具、インテリア &gt; 寝具</t>
  </si>
  <si>
    <t>0,23976,42164,24006</t>
  </si>
  <si>
    <t>0,24198,24230,2084006343</t>
  </si>
  <si>
    <t>ダイエット</t>
  </si>
  <si>
    <t>オークション &gt; ビューティー、ヘルスケア &gt; ダイエット</t>
  </si>
  <si>
    <t>0,42177,26100</t>
  </si>
  <si>
    <t>棚、キャビネット</t>
  </si>
  <si>
    <t>オークション &gt; 住まい、インテリア &gt; 家具、インテリア &gt; 棚、キャビネット</t>
  </si>
  <si>
    <t>0,24198,24230,2084005507</t>
  </si>
  <si>
    <t>ココア</t>
  </si>
  <si>
    <t>オークション &gt; 食品、飲料 &gt; 飲料 &gt; ココア</t>
  </si>
  <si>
    <t>0,23976,42164,2084006736</t>
  </si>
  <si>
    <t>オークション &gt; ビューティー、ヘルスケア &gt; 健康食品</t>
  </si>
  <si>
    <t>0,42177,24054</t>
  </si>
  <si>
    <t>タンス、チェスト</t>
  </si>
  <si>
    <t>オークション &gt; 住まい、インテリア &gt; 家具、インテリア &gt; タンス、チェスト</t>
  </si>
  <si>
    <t>0,24198,24230,2084005508</t>
  </si>
  <si>
    <t>ソフトドリンク</t>
  </si>
  <si>
    <t>オークション &gt; 食品、飲料 &gt; 飲料 &gt; ソフトドリンク</t>
  </si>
  <si>
    <t>0,23976,42164,2084006737</t>
  </si>
  <si>
    <t>看護、介護用品</t>
  </si>
  <si>
    <t>クローゼット、ワードローブ</t>
  </si>
  <si>
    <t>オークション &gt; 住まい、インテリア &gt; 家具、インテリア &gt; クローゼット、ワードローブ</t>
  </si>
  <si>
    <t>オークション &gt; ビューティー、ヘルスケア &gt; 看護、介護用品</t>
  </si>
  <si>
    <t>0,24198,24230,2084057212</t>
  </si>
  <si>
    <t>0,42177,2084042538</t>
  </si>
  <si>
    <t>ミネラルウォーター</t>
  </si>
  <si>
    <t>オークション &gt; 食品、飲料 &gt; 飲料 &gt; ミネラルウォーター</t>
  </si>
  <si>
    <t>0,23976,42164,2084048480</t>
  </si>
  <si>
    <t>オークション &gt; 住まい、インテリア &gt; 家具、インテリア &gt; ハンガーラック</t>
  </si>
  <si>
    <t>救急、衛生用品</t>
  </si>
  <si>
    <t>0,24198,24230,2084061609</t>
  </si>
  <si>
    <t>オークション &gt; ビューティー、ヘルスケア &gt; 救急、衛生用品</t>
  </si>
  <si>
    <t>0,42177,24854</t>
  </si>
  <si>
    <t>衣装ケース</t>
  </si>
  <si>
    <t>茶</t>
  </si>
  <si>
    <t>オークション &gt; 住まい、インテリア &gt; 家具、インテリア &gt; 衣装ケース</t>
  </si>
  <si>
    <t>オークション &gt; 食品、飲料 &gt; 飲料 &gt; 茶</t>
  </si>
  <si>
    <t>0,24198,24230,2084061512</t>
  </si>
  <si>
    <t>0,23976,42164,24102</t>
  </si>
  <si>
    <t>健康用品、健康器具</t>
  </si>
  <si>
    <t>オークション &gt; ビューティー、ヘルスケア &gt; 健康用品、健康器具</t>
  </si>
  <si>
    <t>0,42177,2084042544</t>
  </si>
  <si>
    <t>下駄箱</t>
  </si>
  <si>
    <t>オークション &gt; 住まい、インテリア &gt; 家具、インテリア &gt; 下駄箱</t>
  </si>
  <si>
    <t>0,24198,24230,2084232106</t>
  </si>
  <si>
    <t>美容機器</t>
  </si>
  <si>
    <t>オークション &gt; 食品、飲料 &gt; 飲料 &gt; その他</t>
  </si>
  <si>
    <t>オークション &gt; ビューティー、ヘルスケア &gt; 美容機器</t>
  </si>
  <si>
    <t>0,23976,42164,42166</t>
  </si>
  <si>
    <t>0,42177,2084007477</t>
  </si>
  <si>
    <t>鏡台、ドレッサー</t>
  </si>
  <si>
    <t>オークション &gt; 住まい、インテリア &gt; 家具、インテリア &gt; 鏡台、ドレッサー</t>
  </si>
  <si>
    <t>0,24198,24230,2084005506</t>
  </si>
  <si>
    <t>オークション &gt; ビューティー、ヘルスケア &gt; その他</t>
  </si>
  <si>
    <t>0,42177,2084005300</t>
  </si>
  <si>
    <t>オークション &gt; 住まい、インテリア &gt; 家具、インテリア &gt; オフィス家具</t>
  </si>
  <si>
    <t>0,24198,24230,22928</t>
  </si>
  <si>
    <t>アガリクス</t>
  </si>
  <si>
    <t>オークション &gt; 食品、飲料 &gt; 健康食品 &gt; アガリクス</t>
  </si>
  <si>
    <t>オークション &gt; 住まい、インテリア &gt; 家具、インテリア &gt; 家具転倒防止品</t>
  </si>
  <si>
    <t>0,24198,24230,2084055700</t>
  </si>
  <si>
    <t>0,23976,24054,2084226956</t>
  </si>
  <si>
    <t>インテリア小物</t>
  </si>
  <si>
    <t>アスタキサンチン</t>
  </si>
  <si>
    <t>オークション &gt; 住まい、インテリア &gt; 家具、インテリア &gt; インテリア小物</t>
  </si>
  <si>
    <t>ブランド別</t>
  </si>
  <si>
    <t>オークション &gt; 食品、飲料 &gt; 健康食品 &gt; アスタキサンチン</t>
  </si>
  <si>
    <t>0,24198,24230,2084024330</t>
  </si>
  <si>
    <t>オークション &gt; ビューティー、ヘルスケア &gt; コスメ、スキンケア &gt; ブランド別</t>
  </si>
  <si>
    <t>0,23976,24054,2084289283</t>
  </si>
  <si>
    <t>0,42177,42180,2084059207</t>
  </si>
  <si>
    <t>カーテン、ブラインド</t>
  </si>
  <si>
    <t>オークション &gt; 住まい、インテリア &gt; 家具、インテリア &gt; カーテン、ブラインド</t>
  </si>
  <si>
    <t>0,24198,24230,42158</t>
  </si>
  <si>
    <t>アミノ酸</t>
  </si>
  <si>
    <t>コフレ、トライアルセット</t>
  </si>
  <si>
    <t>オークション &gt; 食品、飲料 &gt; 健康食品 &gt; アミノ酸</t>
  </si>
  <si>
    <t>オークション &gt; ビューティー、ヘルスケア &gt; コスメ、スキンケア &gt; コフレ、トライアルセット</t>
  </si>
  <si>
    <t>0,23976,24054,2084048887</t>
  </si>
  <si>
    <t>0,42177,42180,2084243520</t>
  </si>
  <si>
    <t>カーペット、ラグ、マット</t>
  </si>
  <si>
    <t>オークション &gt; 住まい、インテリア &gt; 家具、インテリア &gt; カーペット、ラグ、マット</t>
  </si>
  <si>
    <t>0,24198,24230,24236</t>
  </si>
  <si>
    <t>アルファリポ酸</t>
  </si>
  <si>
    <t>セット</t>
  </si>
  <si>
    <t>オークション &gt; 食品、飲料 &gt; 健康食品 &gt; アルファリポ酸</t>
  </si>
  <si>
    <t>オークション &gt; ビューティー、ヘルスケア &gt; コスメ、スキンケア &gt; セット</t>
  </si>
  <si>
    <t>0,23976,24054,2084226959</t>
  </si>
  <si>
    <t>0,42177,42180,2084059814</t>
  </si>
  <si>
    <t>タペストリ、壁掛け</t>
  </si>
  <si>
    <t>オークション &gt; 住まい、インテリア &gt; 家具、インテリア &gt; タペストリ、壁掛け</t>
  </si>
  <si>
    <t>0,24198,24230,24237</t>
  </si>
  <si>
    <t>ウコン</t>
  </si>
  <si>
    <t>基礎化粧品</t>
  </si>
  <si>
    <t>オークション &gt; 食品、飲料 &gt; 健康食品 &gt; ウコン</t>
  </si>
  <si>
    <t>オークション &gt; ビューティー、ヘルスケア &gt; コスメ、スキンケア &gt; 基礎化粧品</t>
  </si>
  <si>
    <t>0,23976,24054,2084226947</t>
  </si>
  <si>
    <t>0,42177,42180,42181</t>
  </si>
  <si>
    <t>オークション &gt; 住まい、インテリア &gt; 家具、インテリア &gt; 鏡</t>
  </si>
  <si>
    <t>0,24198,24230,24694</t>
  </si>
  <si>
    <t>オリゴ糖</t>
  </si>
  <si>
    <t>日焼け止め</t>
  </si>
  <si>
    <t>オークション &gt; 食品、飲料 &gt; 健康食品 &gt; オリゴ糖</t>
  </si>
  <si>
    <t>オークション &gt; ビューティー、ヘルスケア &gt; コスメ、スキンケア &gt; 日焼け止め</t>
  </si>
  <si>
    <t>0,23976,24054,2084289285</t>
  </si>
  <si>
    <t>0,42177,42180,2084005340</t>
  </si>
  <si>
    <t>照明</t>
  </si>
  <si>
    <t>オークション &gt; 住まい、インテリア &gt; 家具、インテリア &gt; 照明</t>
  </si>
  <si>
    <t>0,24198,24230,24690</t>
  </si>
  <si>
    <t>オルニチン</t>
  </si>
  <si>
    <t>BBクリーム</t>
  </si>
  <si>
    <t>オークション &gt; 食品、飲料 &gt; 健康食品 &gt; オルニチン</t>
  </si>
  <si>
    <t>オークション &gt; ビューティー、ヘルスケア &gt; コスメ、スキンケア &gt; BBクリーム</t>
  </si>
  <si>
    <t>0,23976,24054,2084226961</t>
  </si>
  <si>
    <t>オークション &gt; 住まい、インテリア &gt; 家具、インテリア &gt; 仏壇、仏具</t>
  </si>
  <si>
    <t>0,42177,42180,2084306764</t>
  </si>
  <si>
    <t>0,24198,24230,2084059849</t>
  </si>
  <si>
    <t>化粧下地、顔用日焼け止め</t>
  </si>
  <si>
    <t>屏風、パーティション</t>
  </si>
  <si>
    <t>オークション &gt; ビューティー、ヘルスケア &gt; コスメ、スキンケア &gt; 化粧下地、顔用日焼け止め</t>
  </si>
  <si>
    <t>亜鉛</t>
  </si>
  <si>
    <t>0,42177,42180,2084048854</t>
  </si>
  <si>
    <t>オークション &gt; 住まい、インテリア &gt; 家具、インテリア &gt; 屏風、パーティション</t>
  </si>
  <si>
    <t>オークション &gt; 食品、飲料 &gt; 健康食品 &gt; 亜鉛</t>
  </si>
  <si>
    <t>0,24198,24230,2084049574</t>
  </si>
  <si>
    <t>0,23976,24054,2084289281</t>
  </si>
  <si>
    <t>アンティーク家具</t>
  </si>
  <si>
    <t>オークション &gt; 住まい、インテリア &gt; 家具、インテリア &gt; アンティーク家具</t>
  </si>
  <si>
    <t>青汁、ケール加工食品</t>
  </si>
  <si>
    <t>0,24198,24230,2084236067</t>
  </si>
  <si>
    <t>ファンデーション</t>
  </si>
  <si>
    <t>オークション &gt; 食品、飲料 &gt; 健康食品 &gt; 青汁、ケール加工食品</t>
  </si>
  <si>
    <t>0,23976,24054,2084289282</t>
  </si>
  <si>
    <t>オークション &gt; ビューティー、ヘルスケア &gt; コスメ、スキンケア &gt; ファンデーション</t>
  </si>
  <si>
    <t>0,42177,42180,2084005318</t>
  </si>
  <si>
    <t>オークション &gt; 住まい、インテリア &gt; 家具、インテリア &gt; 家具、インテリアレンタル</t>
  </si>
  <si>
    <t>0,24198,24230,2084307800</t>
  </si>
  <si>
    <t>栄養ドリンク</t>
  </si>
  <si>
    <t>コンシーラー</t>
  </si>
  <si>
    <t>オークション &gt; 食品、飲料 &gt; 健康食品 &gt; 栄養ドリンク</t>
  </si>
  <si>
    <t>オークション &gt; ビューティー、ヘルスケア &gt; コスメ、スキンケア &gt; コンシーラー</t>
  </si>
  <si>
    <t>0,23976,24054,2084289284</t>
  </si>
  <si>
    <t>0,42177,42180,2084005315</t>
  </si>
  <si>
    <t>オークション &gt; 住まい、インテリア &gt; 家具、インテリア &gt; その他</t>
  </si>
  <si>
    <t>0,24198,24230,2084002115</t>
  </si>
  <si>
    <t>スポーツ飲料</t>
  </si>
  <si>
    <t>コントロールカラー</t>
  </si>
  <si>
    <t>オークション &gt; 食品、飲料 &gt; 健康食品 &gt; スポーツ飲料</t>
  </si>
  <si>
    <t>オークション &gt; ビューティー、ヘルスケア &gt; コスメ、スキンケア &gt; コントロールカラー</t>
  </si>
  <si>
    <t>0,23976,24054,2084050411</t>
  </si>
  <si>
    <t>0,42177,42180,2084007459</t>
  </si>
  <si>
    <t>チーク、フェイスカラー</t>
  </si>
  <si>
    <t>カルシウム</t>
  </si>
  <si>
    <t>オークション &gt; 食品、飲料 &gt; 健康食品 &gt; カルシウム</t>
  </si>
  <si>
    <t>0,23976,24054,2084006881</t>
  </si>
  <si>
    <t>オークション &gt; ビューティー、ヘルスケア &gt; コスメ、スキンケア &gt; チーク、フェイスカラー</t>
  </si>
  <si>
    <t>0,42177,42180,2084007460</t>
  </si>
  <si>
    <t>キッチン用品</t>
  </si>
  <si>
    <t>オークション &gt; 住まい、インテリア &gt; ハンドメイド作品 &gt; キッチン用品</t>
  </si>
  <si>
    <t>0,24198,2084240626,2084240627</t>
  </si>
  <si>
    <t>カルニチン</t>
  </si>
  <si>
    <t>フェイスパウダー</t>
  </si>
  <si>
    <t>オークション &gt; 食品、飲料 &gt; 健康食品 &gt; カルニチン</t>
  </si>
  <si>
    <t>オークション &gt; ビューティー、ヘルスケア &gt; コスメ、スキンケア &gt; フェイスパウダー</t>
  </si>
  <si>
    <t>0,23976,24054,2084226960</t>
  </si>
  <si>
    <t>カーテン、ファブリック</t>
  </si>
  <si>
    <t>0,42177,42180,2084005324</t>
  </si>
  <si>
    <t>オークション &gt; 住まい、インテリア &gt; ハンドメイド作品 &gt; カーテン、ファブリック</t>
  </si>
  <si>
    <t>0,24198,2084240626,2084304870</t>
  </si>
  <si>
    <t>キトサン</t>
  </si>
  <si>
    <t>ケース、収納袋</t>
  </si>
  <si>
    <t>オークション &gt; 食品、飲料 &gt; 健康食品 &gt; キトサン</t>
  </si>
  <si>
    <t>アイブロウ</t>
  </si>
  <si>
    <t>オークション &gt; 住まい、インテリア &gt; ハンドメイド作品 &gt; ケース、収納袋</t>
  </si>
  <si>
    <t>0,23976,24054,2084006882</t>
  </si>
  <si>
    <t>オークション &gt; ビューティー、ヘルスケア &gt; コスメ、スキンケア &gt; アイブロウ</t>
  </si>
  <si>
    <t>0,24198,2084240626,2084304889</t>
  </si>
  <si>
    <t>0,42177,42180,2084005317</t>
  </si>
  <si>
    <t>家具、椅子</t>
  </si>
  <si>
    <t>アイシャドウ</t>
  </si>
  <si>
    <t>ギムネマ</t>
  </si>
  <si>
    <t>オークション &gt; 住まい、インテリア &gt; ハンドメイド作品 &gt; 家具、椅子</t>
  </si>
  <si>
    <t>オークション &gt; ビューティー、ヘルスケア &gt; コスメ、スキンケア &gt; アイシャドウ</t>
  </si>
  <si>
    <t>0,24198,2084240626,2084240628</t>
  </si>
  <si>
    <t>オークション &gt; 食品、飲料 &gt; 健康食品 &gt; ギムネマ</t>
  </si>
  <si>
    <t>0,42177,42180,44380</t>
  </si>
  <si>
    <t>0,23976,24054,2084226953</t>
  </si>
  <si>
    <t>アイライナー</t>
  </si>
  <si>
    <t>オークション &gt; ビューティー、ヘルスケア &gt; コスメ、スキンケア &gt; アイライナー</t>
  </si>
  <si>
    <t>0,42177,42180,2084005316</t>
  </si>
  <si>
    <t>オークション &gt; 住まい、インテリア &gt; ハンドメイド作品 &gt; 寝具</t>
  </si>
  <si>
    <t>ギャバ配合食品</t>
  </si>
  <si>
    <t>0,24198,2084240626,2084304879</t>
  </si>
  <si>
    <t>オークション &gt; 食品、飲料 &gt; 健康食品 &gt; ギャバ配合食品</t>
  </si>
  <si>
    <t>マスカラ、まつげ用品</t>
  </si>
  <si>
    <t>0,23976,24054,2084289286</t>
  </si>
  <si>
    <t>オークション &gt; ビューティー、ヘルスケア &gt; コスメ、スキンケア &gt; マスカラ、まつげ用品</t>
  </si>
  <si>
    <t>0,42177,42180,2084005323</t>
  </si>
  <si>
    <t>インテリア、雑貨</t>
  </si>
  <si>
    <t>オークション &gt; 住まい、インテリア &gt; ハンドメイド作品 &gt; インテリア、雑貨</t>
  </si>
  <si>
    <t>口紅、グロス、リップケア</t>
  </si>
  <si>
    <t>0,24198,2084240626,2084240629</t>
  </si>
  <si>
    <t>オークション &gt; ビューティー、ヘルスケア &gt; コスメ、スキンケア &gt; 口紅、グロス、リップケア</t>
  </si>
  <si>
    <t>0,42177,42180,44381</t>
  </si>
  <si>
    <t>クエン酸</t>
  </si>
  <si>
    <t>オークション &gt; 食品、飲料 &gt; 健康食品 &gt; クエン酸</t>
  </si>
  <si>
    <t>0,23976,24054,2084289287</t>
  </si>
  <si>
    <t>リップグロス</t>
  </si>
  <si>
    <t>オークション &gt; ビューティー、ヘルスケア &gt; コスメ、スキンケア &gt; リップグロス</t>
  </si>
  <si>
    <t>0,42177,42180,2084005320</t>
  </si>
  <si>
    <t>オークション &gt; 住まい、インテリア &gt; ハンドメイド作品 &gt; ペット用品</t>
  </si>
  <si>
    <t>0,24198,2084240626,2084304897</t>
  </si>
  <si>
    <t>クロレラ</t>
  </si>
  <si>
    <t>リップライナー</t>
  </si>
  <si>
    <t>オークション &gt; 食品、飲料 &gt; 健康食品 &gt; クロレラ</t>
  </si>
  <si>
    <t>オークション &gt; ビューティー、ヘルスケア &gt; コスメ、スキンケア &gt; リップライナー</t>
  </si>
  <si>
    <t>0,23976,24054,2084226952</t>
  </si>
  <si>
    <t>0,42177,42180,2084005321</t>
  </si>
  <si>
    <t>年中行事用品</t>
  </si>
  <si>
    <t>メイク道具、化粧小物</t>
  </si>
  <si>
    <t>オークション &gt; 住まい、インテリア &gt; ハンドメイド作品 &gt; 年中行事用品</t>
  </si>
  <si>
    <t>オークション &gt; ビューティー、ヘルスケア &gt; コスメ、スキンケア &gt; メイク道具、化粧小物</t>
  </si>
  <si>
    <t>0,24198,2084240626,2084304904</t>
  </si>
  <si>
    <t>0,42177,42180,2084005325</t>
  </si>
  <si>
    <t>グルコサミン</t>
  </si>
  <si>
    <t>オークション &gt; 食品、飲料 &gt; 健康食品 &gt; グルコサミン</t>
  </si>
  <si>
    <t>0,23976,24054,2084226957</t>
  </si>
  <si>
    <t>美顔用品、美顔ローラー</t>
  </si>
  <si>
    <t>オークション &gt; ビューティー、ヘルスケア &gt; コスメ、スキンケア &gt; 美顔用品、美顔ローラー</t>
  </si>
  <si>
    <t>0,42177,42180,2084290039</t>
  </si>
  <si>
    <t>ウエディング用品</t>
  </si>
  <si>
    <t>オークション &gt; 住まい、インテリア &gt; ハンドメイド作品 &gt; ウエディング用品</t>
  </si>
  <si>
    <t>0,24198,2084240626,2084304905</t>
  </si>
  <si>
    <t>コエンザイムQ10</t>
  </si>
  <si>
    <t>ポーチ</t>
  </si>
  <si>
    <t>オークション &gt; 食品、飲料 &gt; 健康食品 &gt; コエンザイムQ10</t>
  </si>
  <si>
    <t>オークション &gt; ビューティー、ヘルスケア &gt; コスメ、スキンケア &gt; ポーチ</t>
  </si>
  <si>
    <t>0,23976,24054,2084226948</t>
  </si>
  <si>
    <t>0,42177,42180,2084007482</t>
  </si>
  <si>
    <t>ハンドメイド材料</t>
  </si>
  <si>
    <t>オークション &gt; 住まい、インテリア &gt; ハンドメイド作品 &gt; ハンドメイド材料</t>
  </si>
  <si>
    <t>ネイルカラー</t>
  </si>
  <si>
    <t>0,24198,2084240626,20924</t>
  </si>
  <si>
    <t>オークション &gt; ビューティー、ヘルスケア &gt; コスメ、スキンケア &gt; ネイルカラー</t>
  </si>
  <si>
    <t>0,42177,42180,2084007455</t>
  </si>
  <si>
    <t>コラーゲン</t>
  </si>
  <si>
    <t>オークション &gt; 食品、飲料 &gt; 健康食品 &gt; コラーゲン</t>
  </si>
  <si>
    <t>0,23976,24054,2084226950</t>
  </si>
  <si>
    <t>オークション &gt; ビューティー、ヘルスケア &gt; コスメ、スキンケア &gt; その他</t>
  </si>
  <si>
    <t>オークション &gt; 住まい、インテリア &gt; ハンドメイド作品 &gt; その他</t>
  </si>
  <si>
    <t>0,42177,42180,44379</t>
  </si>
  <si>
    <t>0,24198,2084240626,2084240630</t>
  </si>
  <si>
    <t>コンドロイチン</t>
  </si>
  <si>
    <t>オークション &gt; 食品、飲料 &gt; 健康食品 &gt; コンドロイチン</t>
  </si>
  <si>
    <t>0,23976,24054,2084289290</t>
  </si>
  <si>
    <t>健康茶</t>
  </si>
  <si>
    <t>オークション &gt; 食品、飲料 &gt; 健康食品 &gt; 健康茶</t>
  </si>
  <si>
    <t>0,23976,24054,2084289289</t>
  </si>
  <si>
    <t>オークション &gt; ビューティー、ヘルスケア &gt; 香水、フレグランス &gt; 女性用</t>
  </si>
  <si>
    <t>0,42177,42179,2084005302</t>
  </si>
  <si>
    <t>電動工具</t>
  </si>
  <si>
    <t>健康酢、酢飲料</t>
  </si>
  <si>
    <t>オークション &gt; 住まい、インテリア &gt; 工具、DIY用品 &gt; 電動工具</t>
  </si>
  <si>
    <t>オークション &gt; 食品、飲料 &gt; 健康食品 &gt; 健康酢、酢飲料</t>
  </si>
  <si>
    <t>オークション &gt; ビューティー、ヘルスケア &gt; 香水、フレグランス &gt; 男性用</t>
  </si>
  <si>
    <t>0,24198,24642,24666</t>
  </si>
  <si>
    <t>0,23976,24054,2084289288</t>
  </si>
  <si>
    <t>0,42177,42179,2084005301</t>
  </si>
  <si>
    <t>ユニセックス</t>
  </si>
  <si>
    <t>エアーツール</t>
  </si>
  <si>
    <t>酢</t>
  </si>
  <si>
    <t>オークション &gt; ビューティー、ヘルスケア &gt; 香水、フレグランス &gt; ユニセックス</t>
  </si>
  <si>
    <t>オークション &gt; 住まい、インテリア &gt; 工具、DIY用品 &gt; エアーツール</t>
  </si>
  <si>
    <t>オークション &gt; 食品、飲料 &gt; 健康食品 &gt; 酢</t>
  </si>
  <si>
    <t>0,42177,42179,2084005303</t>
  </si>
  <si>
    <t>0,24198,24642,2084042020</t>
  </si>
  <si>
    <t>0,23976,24054,2084050386</t>
  </si>
  <si>
    <t>ハンドツール、大工道具</t>
  </si>
  <si>
    <t>スポーツ用サプリメント</t>
  </si>
  <si>
    <t>オークション &gt; 住まい、インテリア &gt; 工具、DIY用品 &gt; ハンドツール、大工道具</t>
  </si>
  <si>
    <t>0,24198,24642,24654</t>
  </si>
  <si>
    <t>オークション &gt; 食品、飲料 &gt; 健康食品 &gt; スポーツ用サプリメント</t>
  </si>
  <si>
    <t>オークション &gt; ビューティー、ヘルスケア &gt; 香水、フレグランス &gt; ブランド別</t>
  </si>
  <si>
    <t>0,23976,24054,2084062737</t>
  </si>
  <si>
    <t>0,42177,42179,2084059595</t>
  </si>
  <si>
    <t>特定用途向け工具</t>
  </si>
  <si>
    <t>オークション &gt; 住まい、インテリア &gt; 工具、DIY用品 &gt; 特定用途向け工具</t>
  </si>
  <si>
    <t>食物繊維</t>
  </si>
  <si>
    <t>お香、香炉</t>
  </si>
  <si>
    <t>0,24198,24642,2084207159</t>
  </si>
  <si>
    <t>オークション &gt; 食品、飲料 &gt; 健康食品 &gt; 食物繊維</t>
  </si>
  <si>
    <t>オークション &gt; ビューティー、ヘルスケア &gt; 香水、フレグランス &gt; お香、香炉</t>
  </si>
  <si>
    <t>0,23976,24054,2084289291</t>
  </si>
  <si>
    <t>0,42177,42179,2084024424</t>
  </si>
  <si>
    <t>材料、素材</t>
  </si>
  <si>
    <t>DHA</t>
  </si>
  <si>
    <t>オークション &gt; 住まい、インテリア &gt; 工具、DIY用品 &gt; 材料、素材</t>
  </si>
  <si>
    <t>オークション &gt; ビューティー、ヘルスケア &gt; 香水、フレグランス &gt; キャンドル</t>
  </si>
  <si>
    <t>オークション &gt; 食品、飲料 &gt; 健康食品 &gt; DHA</t>
  </si>
  <si>
    <t>0,24198,24642,2084207930</t>
  </si>
  <si>
    <t>0,42177,42179,2084024423</t>
  </si>
  <si>
    <t>0,23976,24054,2084226955</t>
  </si>
  <si>
    <t>アトマイザー</t>
  </si>
  <si>
    <t>オークション &gt; ビューティー、ヘルスケア &gt; 香水、フレグランス &gt; アトマイザー</t>
  </si>
  <si>
    <t>0,42177,42179,2084061895</t>
  </si>
  <si>
    <t>建築材料、住宅設備</t>
  </si>
  <si>
    <t>オークション &gt; 住まい、インテリア &gt; 工具、DIY用品 &gt; 建築材料、住宅設備</t>
  </si>
  <si>
    <t>鉄分</t>
  </si>
  <si>
    <t>0,24198,24642,2084042017</t>
  </si>
  <si>
    <t>オークション &gt; 食品、飲料 &gt; 健康食品 &gt; 鉄分</t>
  </si>
  <si>
    <t>0,23976,24054,2084289296</t>
  </si>
  <si>
    <t>オークション &gt; ビューティー、ヘルスケア &gt; 香水、フレグランス &gt; その他</t>
  </si>
  <si>
    <t>0,42177,42179,2084005304</t>
  </si>
  <si>
    <t>塗料</t>
  </si>
  <si>
    <t>オークション &gt; 住まい、インテリア &gt; 工具、DIY用品 &gt; 塗料</t>
  </si>
  <si>
    <t>0,24198,24642,2084042019</t>
  </si>
  <si>
    <t>にんにくエキス配合食品</t>
  </si>
  <si>
    <t>オークション &gt; 食品、飲料 &gt; 健康食品 &gt; にんにくエキス配合食品</t>
  </si>
  <si>
    <t>0,23976,24054,2084289293</t>
  </si>
  <si>
    <t>接着、補修、溶接</t>
  </si>
  <si>
    <t>オークション &gt; 住まい、インテリア &gt; 工具、DIY用品 &gt; 接着、補修、溶接</t>
  </si>
  <si>
    <t>0,24198,24642,2084042018</t>
  </si>
  <si>
    <t>納豆キナーゼ</t>
  </si>
  <si>
    <t>トップコート</t>
  </si>
  <si>
    <t>オークション &gt; 食品、飲料 &gt; 健康食品 &gt; 納豆キナーゼ</t>
  </si>
  <si>
    <t>オークション &gt; ビューティー、ヘルスケア &gt; ネイルケア &gt; トップコート</t>
  </si>
  <si>
    <t>0,23976,24054,2084289292</t>
  </si>
  <si>
    <t>0,42177,2084005298,2084049738</t>
  </si>
  <si>
    <t>オークション &gt; 住まい、インテリア &gt; 工具、DIY用品 &gt; 照明</t>
  </si>
  <si>
    <t>ネイルアート用品</t>
  </si>
  <si>
    <t>オークション &gt; ビューティー、ヘルスケア &gt; ネイルケア &gt; ネイルアート用品</t>
  </si>
  <si>
    <t>0,42177,2084005298,2084049741</t>
  </si>
  <si>
    <t>ヒアルロン酸</t>
  </si>
  <si>
    <t>オークション &gt; 食品、飲料 &gt; 健康食品 &gt; ヒアルロン酸</t>
  </si>
  <si>
    <t>0,24198,24642,2084042064</t>
  </si>
  <si>
    <t>0,23976,24054,2084226949</t>
  </si>
  <si>
    <t>オークション &gt; ビューティー、ヘルスケア &gt; ネイルケア &gt; ネイルカラー</t>
  </si>
  <si>
    <t>0,42177,2084005298,2084007455</t>
  </si>
  <si>
    <t>ネイルチップ、付け爪</t>
  </si>
  <si>
    <t>測定器</t>
  </si>
  <si>
    <t>オークション &gt; ビューティー、ヘルスケア &gt; ネイルケア &gt; ネイルチップ、付け爪</t>
  </si>
  <si>
    <t>ビール酵母</t>
  </si>
  <si>
    <t>オークション &gt; 住まい、インテリア &gt; 工具、DIY用品 &gt; 測定器</t>
  </si>
  <si>
    <t>0,42177,2084005298,2084007456</t>
  </si>
  <si>
    <t>オークション &gt; 食品、飲料 &gt; 健康食品 &gt; ビール酵母</t>
  </si>
  <si>
    <t>0,24198,24642,2084042069</t>
  </si>
  <si>
    <t>0,23976,24054,2084289294</t>
  </si>
  <si>
    <t>ネイルトリートメント</t>
  </si>
  <si>
    <t>オークション &gt; ビューティー、ヘルスケア &gt; ネイルケア &gt; ネイルトリートメント</t>
  </si>
  <si>
    <t>0,42177,2084005298,2084049740</t>
  </si>
  <si>
    <t>道具箱</t>
  </si>
  <si>
    <t>ビタミン</t>
  </si>
  <si>
    <t>オークション &gt; 住まい、インテリア &gt; 工具、DIY用品 &gt; 道具箱</t>
  </si>
  <si>
    <t>0,24198,24642,2084042066</t>
  </si>
  <si>
    <t>オークション &gt; 食品、飲料 &gt; 健康食品 &gt; ビタミン</t>
  </si>
  <si>
    <t>0,23976,24054,24066</t>
  </si>
  <si>
    <t>作業服</t>
  </si>
  <si>
    <t>オークション &gt; 住まい、インテリア &gt; 工具、DIY用品 &gt; 作業服</t>
  </si>
  <si>
    <t>0,24198,24642,2084047504</t>
  </si>
  <si>
    <t>ブルーベリー配合食品</t>
  </si>
  <si>
    <t>ベースコート</t>
  </si>
  <si>
    <t>オークション &gt; 食品、飲料 &gt; 健康食品 &gt; ブルーベリー配合食品</t>
  </si>
  <si>
    <t>オークション &gt; ビューティー、ヘルスケア &gt; ネイルケア &gt; ベースコート</t>
  </si>
  <si>
    <t>0,42177,2084005298,2084049739</t>
  </si>
  <si>
    <t>0,23976,24054,2084289295</t>
  </si>
  <si>
    <t>作業靴</t>
  </si>
  <si>
    <t>オークション &gt; 住まい、インテリア &gt; 工具、DIY用品 &gt; 作業靴</t>
  </si>
  <si>
    <t>0,24198,24642,2084048894</t>
  </si>
  <si>
    <t>手入れ用具</t>
  </si>
  <si>
    <t>プラセンタ</t>
  </si>
  <si>
    <t>オークション &gt; ビューティー、ヘルスケア &gt; ネイルケア &gt; 手入れ用具</t>
  </si>
  <si>
    <t>0,42177,2084005298,2084049737</t>
  </si>
  <si>
    <t>オークション &gt; 食品、飲料 &gt; 健康食品 &gt; プラセンタ</t>
  </si>
  <si>
    <t>0,23976,24054,2084226951</t>
  </si>
  <si>
    <t>作業台</t>
  </si>
  <si>
    <t>オークション &gt; 住まい、インテリア &gt; 工具、DIY用品 &gt; 作業台</t>
  </si>
  <si>
    <t>0,24198,24642,2084050473</t>
  </si>
  <si>
    <t>除光液</t>
  </si>
  <si>
    <t>オークション &gt; ビューティー、ヘルスケア &gt; ネイルケア &gt; 除光液</t>
  </si>
  <si>
    <t>プロテイン</t>
  </si>
  <si>
    <t>0,42177,2084005298,2084049736</t>
  </si>
  <si>
    <t>オークション &gt; 食品、飲料 &gt; 健康食品 &gt; プロテイン</t>
  </si>
  <si>
    <t>0,23976,24054,2084006884</t>
  </si>
  <si>
    <t>爪切り</t>
  </si>
  <si>
    <t>オークション &gt; 住まい、インテリア &gt; 工具、DIY用品 &gt; 脚立、はしご、足場</t>
  </si>
  <si>
    <t>オークション &gt; ビューティー、ヘルスケア &gt; ネイルケア &gt; 爪切り</t>
  </si>
  <si>
    <t>0,24198,24642,2084263007</t>
  </si>
  <si>
    <t>0,42177,2084005298,2084227185</t>
  </si>
  <si>
    <t>プロポリス</t>
  </si>
  <si>
    <t>オークション &gt; 食品、飲料 &gt; 健康食品 &gt; プロポリス</t>
  </si>
  <si>
    <t>0,23976,24054,2084006883</t>
  </si>
  <si>
    <t>空調、乾燥</t>
  </si>
  <si>
    <t>オークション &gt; 住まい、インテリア &gt; 工具、DIY用品 &gt; 空調、乾燥</t>
  </si>
  <si>
    <t>オークション &gt; ビューティー、ヘルスケア &gt; ネイルケア &gt; その他</t>
  </si>
  <si>
    <t>0,24198,24642,2084263002</t>
  </si>
  <si>
    <t>0,42177,2084005298,2084007457</t>
  </si>
  <si>
    <t>マカ</t>
  </si>
  <si>
    <t>オークション &gt; 食品、飲料 &gt; 健康食品 &gt; マカ</t>
  </si>
  <si>
    <t>0,23976,24054,2084226958</t>
  </si>
  <si>
    <t>発電機、変圧器、充電器</t>
  </si>
  <si>
    <t>オークション &gt; 住まい、インテリア &gt; 工具、DIY用品 &gt; 発電機、変圧器、充電器</t>
  </si>
  <si>
    <t>0,24198,24642,2084204599</t>
  </si>
  <si>
    <t>マンネンタケ、霊芝</t>
  </si>
  <si>
    <t>オークション &gt; 食品、飲料 &gt; 健康食品 &gt; マンネンタケ、霊芝</t>
  </si>
  <si>
    <t>0,23976,24054,2084006886</t>
  </si>
  <si>
    <t>シャンプー</t>
  </si>
  <si>
    <t>オークション &gt; ビューティー、ヘルスケア &gt; ヘアケア &gt; シャンプー</t>
  </si>
  <si>
    <t>0,42177,2084005297,2084007432</t>
  </si>
  <si>
    <t>物置</t>
  </si>
  <si>
    <t>オークション &gt; 住まい、インテリア &gt; 工具、DIY用品 &gt; 物置</t>
  </si>
  <si>
    <t>ミネラル</t>
  </si>
  <si>
    <t>0,24198,24642,2084042065</t>
  </si>
  <si>
    <t>オークション &gt; 食品、飲料 &gt; 健康食品 &gt; ミネラル</t>
  </si>
  <si>
    <t>リンス</t>
  </si>
  <si>
    <t>0,23976,24054,2084226954</t>
  </si>
  <si>
    <t>オークション &gt; ビューティー、ヘルスケア &gt; ヘアケア &gt; リンス</t>
  </si>
  <si>
    <t>0,42177,2084005297,2084007433</t>
  </si>
  <si>
    <t>変圧器、アダプター</t>
  </si>
  <si>
    <t>ローヤルゼリー</t>
  </si>
  <si>
    <t>トリートメント、エッセンス</t>
  </si>
  <si>
    <t>オークション &gt; 住まい、インテリア &gt; 工具、DIY用品 &gt; 変圧器、アダプター</t>
  </si>
  <si>
    <t>オークション &gt; ビューティー、ヘルスケア &gt; ヘアケア &gt; トリートメント、エッセンス</t>
  </si>
  <si>
    <t>オークション &gt; 食品、飲料 &gt; 健康食品 &gt; ローヤルゼリー</t>
  </si>
  <si>
    <t>0,42177,2084005297,2084007434</t>
  </si>
  <si>
    <t>0,24198,24642,2084044958</t>
  </si>
  <si>
    <t>0,23976,24054,2084006885</t>
  </si>
  <si>
    <t>カラーリング剤</t>
  </si>
  <si>
    <t>オークション &gt; ビューティー、ヘルスケア &gt; ヘアケア &gt; カラーリング剤</t>
  </si>
  <si>
    <t>0,42177,2084005297,2084007436</t>
  </si>
  <si>
    <t>オークション &gt; 住まい、インテリア &gt; 工具、DIY用品 &gt; 工具、DIY用品レンタル</t>
  </si>
  <si>
    <t>0,24198,24642,2084307804</t>
  </si>
  <si>
    <t>スタイリング剤</t>
  </si>
  <si>
    <t>オークション &gt; 食品、飲料 &gt; 健康食品 &gt; ダイエット食品</t>
  </si>
  <si>
    <t>オークション &gt; ビューティー、ヘルスケア &gt; ヘアケア &gt; スタイリング剤</t>
  </si>
  <si>
    <t>0,23976,24054,2084006888</t>
  </si>
  <si>
    <t>0,42177,2084005297,2084007435</t>
  </si>
  <si>
    <t>ブラシ、くし</t>
  </si>
  <si>
    <t>オークション &gt; ビューティー、ヘルスケア &gt; ヘアケア &gt; ブラシ、くし</t>
  </si>
  <si>
    <t>0,42177,2084005297,2084007481</t>
  </si>
  <si>
    <t>オークション &gt; 住まい、インテリア &gt; 工具、DIY用品 &gt; その他</t>
  </si>
  <si>
    <t>0,24198,24642,24674</t>
  </si>
  <si>
    <t>ヘアアイロン</t>
  </si>
  <si>
    <t>オークション &gt; ビューティー、ヘルスケア &gt; ヘアケア &gt; ヘアアイロン</t>
  </si>
  <si>
    <t>0,42177,2084005297,2084044961</t>
  </si>
  <si>
    <t>オークション &gt; 食品、飲料 &gt; 健康食品 &gt; その他</t>
  </si>
  <si>
    <t>0,23976,24054,2084006887</t>
  </si>
  <si>
    <t>ヘアエクステンション</t>
  </si>
  <si>
    <t>オークション &gt; ビューティー、ヘルスケア &gt; ヘアケア &gt; ヘアエクステンション</t>
  </si>
  <si>
    <t>0,42177,2084005297,2084236841</t>
  </si>
  <si>
    <t>ヘアドライヤー</t>
  </si>
  <si>
    <t>オークション &gt; ビューティー、ヘルスケア &gt; ヘアケア &gt; ヘアドライヤー</t>
  </si>
  <si>
    <t>0,42177,2084005297,2084044960</t>
  </si>
  <si>
    <t>ホットカーラー</t>
  </si>
  <si>
    <t>オークション &gt; ビューティー、ヘルスケア &gt; ヘアケア &gt; ホットカーラー</t>
  </si>
  <si>
    <t>0,42177,2084005297,2084044962</t>
  </si>
  <si>
    <t>育毛、増毛剤</t>
  </si>
  <si>
    <t>工事用材料</t>
  </si>
  <si>
    <t>オークション &gt; ビューティー、ヘルスケア &gt; ヘアケア &gt; 育毛、増毛剤</t>
  </si>
  <si>
    <t>0,42177,2084005297,2084048852</t>
  </si>
  <si>
    <t>オークション &gt; 住まい、インテリア &gt; 工具、DIY用品 &gt; 建築材料、住宅設備 &gt; 工事用材料</t>
  </si>
  <si>
    <t>クッキー、ビスケット</t>
  </si>
  <si>
    <t>0,24198,24642,2084042017,2084062806</t>
  </si>
  <si>
    <t>オークション &gt; 食品、飲料 &gt; ダイエット食品 &gt; クッキー、ビスケット</t>
  </si>
  <si>
    <t>かつら</t>
  </si>
  <si>
    <t>0,23976,2084006888,2084006893</t>
  </si>
  <si>
    <t>オークション &gt; ビューティー、ヘルスケア &gt; ヘアケア &gt; かつら</t>
  </si>
  <si>
    <t>0,42177,2084005297,2084007441</t>
  </si>
  <si>
    <t>電材、配電用品</t>
  </si>
  <si>
    <t>オークション &gt; 住まい、インテリア &gt; 工具、DIY用品 &gt; 建築材料、住宅設備 &gt; 電材、配電用品</t>
  </si>
  <si>
    <t>ファッションウイッグ</t>
  </si>
  <si>
    <t>スープ</t>
  </si>
  <si>
    <t>0,24198,24642,2084042017,2084062807</t>
  </si>
  <si>
    <t>オークション &gt; ビューティー、ヘルスケア &gt; ヘアケア &gt; ファッションウイッグ</t>
  </si>
  <si>
    <t>0,42177,2084005297,2084007438</t>
  </si>
  <si>
    <t>オークション &gt; 食品、飲料 &gt; ダイエット食品 &gt; スープ</t>
  </si>
  <si>
    <t>0,23976,2084006888,2084006892</t>
  </si>
  <si>
    <t>オークション &gt; ビューティー、ヘルスケア &gt; ヘアケア &gt; その他</t>
  </si>
  <si>
    <t>0,42177,2084005297,2084007437</t>
  </si>
  <si>
    <t>外装</t>
  </si>
  <si>
    <t>ゼリー</t>
  </si>
  <si>
    <t>オークション &gt; 住まい、インテリア &gt; 工具、DIY用品 &gt; 建築材料、住宅設備 &gt; 外装</t>
  </si>
  <si>
    <t>オークション &gt; 食品、飲料 &gt; ダイエット食品 &gt; ゼリー</t>
  </si>
  <si>
    <t>0,24198,24642,2084042017,2084062808</t>
  </si>
  <si>
    <t>0,23976,2084006888,2084006891</t>
  </si>
  <si>
    <t>せっけん、ソープ</t>
  </si>
  <si>
    <t>オークション &gt; ビューティー、ヘルスケア &gt; ボディケア &gt; せっけん、ソープ</t>
  </si>
  <si>
    <t>0,42177,2084007425,2084024453</t>
  </si>
  <si>
    <t>内装</t>
  </si>
  <si>
    <t>オークション &gt; 食品、飲料 &gt; ダイエット食品 &gt; 飲料</t>
  </si>
  <si>
    <t>オークション &gt; 住まい、インテリア &gt; 工具、DIY用品 &gt; 建築材料、住宅設備 &gt; 内装</t>
  </si>
  <si>
    <t>0,23976,2084006888,2084006889</t>
  </si>
  <si>
    <t>0,24198,24642,2084042017,2084062814</t>
  </si>
  <si>
    <t>オイル、クリーム</t>
  </si>
  <si>
    <t>オークション &gt; ビューティー、ヘルスケア &gt; ボディケア &gt; オイル、クリーム</t>
  </si>
  <si>
    <t>0,42177,2084007425,2084005332</t>
  </si>
  <si>
    <t>パウダー</t>
  </si>
  <si>
    <t>オークション &gt; ビューティー、ヘルスケア &gt; ボディケア &gt; パウダー</t>
  </si>
  <si>
    <t>0,42177,2084007425,2084005326</t>
  </si>
  <si>
    <t>フェンス</t>
  </si>
  <si>
    <t>オークション &gt; 住まい、インテリア &gt; 工具、DIY用品 &gt; 建築材料、住宅設備 &gt; フェンス</t>
  </si>
  <si>
    <t>0,24198,24642,2084042017,2084304914</t>
  </si>
  <si>
    <t>ローション</t>
  </si>
  <si>
    <t>オークション &gt; ビューティー、ヘルスケア &gt; ボディケア &gt; ローション</t>
  </si>
  <si>
    <t>オークション &gt; 食品、飲料 &gt; ダイエット食品 &gt; 健康食品</t>
  </si>
  <si>
    <t>0,42177,2084007425,2084005330</t>
  </si>
  <si>
    <t>0,23976,2084006888,24054</t>
  </si>
  <si>
    <t>制汗、デオドラント剤</t>
  </si>
  <si>
    <t>ポスト、郵便受け</t>
  </si>
  <si>
    <t>オークション &gt; ビューティー、ヘルスケア &gt; ボディケア &gt; 制汗、デオドラント剤</t>
  </si>
  <si>
    <t>0,42177,2084007425,2084049742</t>
  </si>
  <si>
    <t>オークション &gt; 住まい、インテリア &gt; 工具、DIY用品 &gt; 建築材料、住宅設備 &gt; ポスト、郵便受け</t>
  </si>
  <si>
    <t>0,24198,24642,2084042017,2084304910</t>
  </si>
  <si>
    <t>脱毛</t>
  </si>
  <si>
    <t>オークション &gt; ビューティー、ヘルスケア &gt; ボディケア &gt; 脱毛</t>
  </si>
  <si>
    <t>0,42177,2084007425,2084049743</t>
  </si>
  <si>
    <t>麺類</t>
  </si>
  <si>
    <t>オークション &gt; 食品、飲料 &gt; ダイエット食品 &gt; 麺類</t>
  </si>
  <si>
    <t>0,23976,2084006888,2084006894</t>
  </si>
  <si>
    <t>庭</t>
  </si>
  <si>
    <t>日焼け止め、サンオイル</t>
  </si>
  <si>
    <t>オークション &gt; ビューティー、ヘルスケア &gt; ボディケア &gt; 日焼け止め、サンオイル</t>
  </si>
  <si>
    <t>オークション &gt; 住まい、インテリア &gt; 工具、DIY用品 &gt; 建築材料、住宅設備 &gt; 庭</t>
  </si>
  <si>
    <t>0,42177,2084007425,2084005340</t>
  </si>
  <si>
    <t>0,24198,24642,2084042017,2084062812</t>
  </si>
  <si>
    <t>入浴剤</t>
  </si>
  <si>
    <t>オークション &gt; ビューティー、ヘルスケア &gt; ボディケア &gt; 入浴剤</t>
  </si>
  <si>
    <t>オークション &gt; 食品、飲料 &gt; ダイエット食品 &gt; その他</t>
  </si>
  <si>
    <t>0,42177,2084007425,2084007454</t>
  </si>
  <si>
    <t>0,23976,2084006888,2084006890</t>
  </si>
  <si>
    <t>門扉</t>
  </si>
  <si>
    <t>補正用インナーウエア</t>
  </si>
  <si>
    <t>オークション &gt; 住まい、インテリア &gt; 工具、DIY用品 &gt; 建築材料、住宅設備 &gt; 門扉</t>
  </si>
  <si>
    <t>オークション &gt; ビューティー、ヘルスケア &gt; ボディケア &gt; 補正用インナーウエア</t>
  </si>
  <si>
    <t>0,24198,24642,2084042017,2084242273</t>
  </si>
  <si>
    <t>0,42177,2084007425,2084053143</t>
  </si>
  <si>
    <t>ハンドクリーム</t>
  </si>
  <si>
    <t>玄関灯、ポーチライト</t>
  </si>
  <si>
    <t>オークション &gt; ビューティー、ヘルスケア &gt; ボディケア &gt; ハンドクリーム</t>
  </si>
  <si>
    <t>オークション &gt; 住まい、インテリア &gt; 工具、DIY用品 &gt; 建築材料、住宅設備 &gt; 玄関灯、ポーチライト</t>
  </si>
  <si>
    <t>0,42177,2084007425,2084007430</t>
  </si>
  <si>
    <t>0,24198,24642,2084042017,2084304917</t>
  </si>
  <si>
    <t>缶詰、瓶詰</t>
  </si>
  <si>
    <t>オークション &gt; 食品、飲料 &gt; 加工食品 &gt; 缶詰、瓶詰</t>
  </si>
  <si>
    <t>フットケア</t>
  </si>
  <si>
    <t>0,23976,2084042479,2084006744</t>
  </si>
  <si>
    <t>オークション &gt; ビューティー、ヘルスケア &gt; ボディケア &gt; フットケア</t>
  </si>
  <si>
    <t>0,42177,2084007425,2084005299</t>
  </si>
  <si>
    <t>表札灯、門柱灯</t>
  </si>
  <si>
    <t>オークション &gt; 住まい、インテリア &gt; 工具、DIY用品 &gt; 建築材料、住宅設備 &gt; 表札灯、門柱灯</t>
  </si>
  <si>
    <t>0,24198,24642,2084042017,2084304918</t>
  </si>
  <si>
    <t>インスタント食品</t>
  </si>
  <si>
    <t>オークション &gt; ビューティー、ヘルスケア &gt; ボディケア &gt; その他</t>
  </si>
  <si>
    <t>0,42177,2084007425,2084007431</t>
  </si>
  <si>
    <t>屋根材、屋根瓦</t>
  </si>
  <si>
    <t>オークション &gt; 食品、飲料 &gt; 加工食品 &gt; インスタント食品</t>
  </si>
  <si>
    <t>オークション &gt; 住まい、インテリア &gt; 工具、DIY用品 &gt; 建築材料、住宅設備 &gt; 屋根材、屋根瓦</t>
  </si>
  <si>
    <t>0,23976,2084042479,2084006743</t>
  </si>
  <si>
    <t>0,24198,24642,2084042017,2084303438</t>
  </si>
  <si>
    <t>口臭防止、エチケット用品</t>
  </si>
  <si>
    <t>車庫、駐車場</t>
  </si>
  <si>
    <t>オークション &gt; ビューティー、ヘルスケア &gt; オーラルケア &gt; 口臭防止、エチケット用品</t>
  </si>
  <si>
    <t>オークション &gt; 住まい、インテリア &gt; 工具、DIY用品 &gt; 建築材料、住宅設備 &gt; 車庫、駐車場</t>
  </si>
  <si>
    <t>乾物</t>
  </si>
  <si>
    <t>0,24198,24642,2084042017,2084062811</t>
  </si>
  <si>
    <t>オークション &gt; 食品、飲料 &gt; 加工食品 &gt; 乾物</t>
  </si>
  <si>
    <t>0,23976,2084042479,2084006745</t>
  </si>
  <si>
    <t>窓、サッシ、シャッター</t>
  </si>
  <si>
    <t>オークション &gt; 住まい、インテリア &gt; 工具、DIY用品 &gt; 建築材料、住宅設備 &gt; 窓、サッシ、シャッター</t>
  </si>
  <si>
    <t>漬物</t>
  </si>
  <si>
    <t>0,24198,24642,2084042017,2084303425</t>
  </si>
  <si>
    <t>0,42177,2084055379,2084063365</t>
  </si>
  <si>
    <t>オークション &gt; 食品、飲料 &gt; 加工食品 &gt; 漬物</t>
  </si>
  <si>
    <t>0,23976,2084042479,2084006746</t>
  </si>
  <si>
    <t>断熱材、吸音材</t>
  </si>
  <si>
    <t>オークション &gt; 住まい、インテリア &gt; 工具、DIY用品 &gt; 建築材料、住宅設備 &gt; 断熱材、吸音材</t>
  </si>
  <si>
    <t>歯ブラシ</t>
  </si>
  <si>
    <t>0,24198,24642,2084042017,2084303421</t>
  </si>
  <si>
    <t>オークション &gt; ビューティー、ヘルスケア &gt; オーラルケア &gt; 歯ブラシ</t>
  </si>
  <si>
    <t>オークション &gt; 食品、飲料 &gt; 加工食品 &gt; 肉類</t>
  </si>
  <si>
    <t>0,42177,2084055379,2084063361</t>
  </si>
  <si>
    <t>0,23976,2084042479,2084217301</t>
  </si>
  <si>
    <t>簡易住居、ログハウス</t>
  </si>
  <si>
    <t>オークション &gt; 住まい、インテリア &gt; 工具、DIY用品 &gt; 建築材料、住宅設備 &gt; 簡易住居、ログハウス</t>
  </si>
  <si>
    <t>歯磨き粉</t>
  </si>
  <si>
    <t>0,24198,24642,2084042017,2084062824</t>
  </si>
  <si>
    <t>オークション &gt; ビューティー、ヘルスケア &gt; オーラルケア &gt; 歯磨き粉</t>
  </si>
  <si>
    <t>0,42177,2084055379,2084063364</t>
  </si>
  <si>
    <t>オークション &gt; 食品、飲料 &gt; 加工食品 &gt; ハム、ソーセージ</t>
  </si>
  <si>
    <t>0,23976,2084042479,2084045148</t>
  </si>
  <si>
    <t>オークション &gt; 住まい、インテリア &gt; 工具、DIY用品 &gt; 建築材料、住宅設備 &gt; 電動工具</t>
  </si>
  <si>
    <t>オークション &gt; ビューティー、ヘルスケア &gt; オーラルケア &gt; その他</t>
  </si>
  <si>
    <t>0,24198,24642,2084042017,24666</t>
  </si>
  <si>
    <t>0,42177,2084055379,2084063366</t>
  </si>
  <si>
    <t>レトルト食品</t>
  </si>
  <si>
    <t>オークション &gt; 食品、飲料 &gt; 加工食品 &gt; レトルト食品</t>
  </si>
  <si>
    <t>0,23976,2084042479,2084220401</t>
  </si>
  <si>
    <t>オークション &gt; 住まい、インテリア &gt; 工具、DIY用品 &gt; 建築材料、住宅設備 &gt; その他</t>
  </si>
  <si>
    <t>0,24198,24642,2084042017,2084062825</t>
  </si>
  <si>
    <t>豆腐、豆製品</t>
  </si>
  <si>
    <t>オークション &gt; 食品、飲料 &gt; 加工食品 &gt; 豆腐、豆製品</t>
  </si>
  <si>
    <t>0,23976,2084042479,2084006749</t>
  </si>
  <si>
    <t>めがね</t>
  </si>
  <si>
    <t>オークション &gt; ビューティー、ヘルスケア &gt; めがね、コンタクト &gt; めがね</t>
  </si>
  <si>
    <t>0,42177,2084012478,2084042532</t>
  </si>
  <si>
    <t>冷凍食品</t>
  </si>
  <si>
    <t>オークション &gt; 食品、飲料 &gt; 加工食品 &gt; 冷凍食品</t>
  </si>
  <si>
    <t>0,23976,2084042479,2084006747</t>
  </si>
  <si>
    <t>めがねケース</t>
  </si>
  <si>
    <t>練物</t>
  </si>
  <si>
    <t>オークション &gt; ビューティー、ヘルスケア &gt; めがね、コンタクト &gt; めがねケース</t>
  </si>
  <si>
    <t>オークション &gt; 食品、飲料 &gt; 加工食品 &gt; 練物</t>
  </si>
  <si>
    <t>0,42177,2084012478,2084042534</t>
  </si>
  <si>
    <t>0,23976,2084042479,2084049561</t>
  </si>
  <si>
    <t>アイロン</t>
  </si>
  <si>
    <t>オークション &gt; 家電、AV、カメラ &gt; 家庭用電化製品 &gt; アイロン</t>
  </si>
  <si>
    <t>0,23632,24466,2084008355</t>
  </si>
  <si>
    <t>老眼鏡</t>
  </si>
  <si>
    <t>オークション &gt; ビューティー、ヘルスケア &gt; めがね、コンタクト &gt; 老眼鏡</t>
  </si>
  <si>
    <t>0,42177,2084012478,2084042533</t>
  </si>
  <si>
    <t>オーディオ機器</t>
  </si>
  <si>
    <t>オークション &gt; 家電、AV、カメラ &gt; 家庭用電化製品 &gt; オーディオ機器</t>
  </si>
  <si>
    <t>0,23632,24466,23764</t>
  </si>
  <si>
    <t>オークション &gt; 食品、飲料 &gt; 加工食品 &gt; その他</t>
  </si>
  <si>
    <t>0,23976,2084042479,2084042495</t>
  </si>
  <si>
    <t>コンタクトレンズ</t>
  </si>
  <si>
    <t>オークション &gt; ビューティー、ヘルスケア &gt; めがね、コンタクト &gt; コンタクトレンズ</t>
  </si>
  <si>
    <t>キッチン、食卓</t>
  </si>
  <si>
    <t>オークション &gt; 家電、AV、カメラ &gt; 家庭用電化製品 &gt; キッチン、食卓</t>
  </si>
  <si>
    <t>0,42177,2084012478,2084226969</t>
  </si>
  <si>
    <t>0,23632,24466,2084008364</t>
  </si>
  <si>
    <t>テレビ</t>
  </si>
  <si>
    <t>オークション &gt; 家電、AV、カメラ &gt; 家庭用電化製品 &gt; テレビ</t>
  </si>
  <si>
    <t>0,23632,24466,23884</t>
  </si>
  <si>
    <t>コンタクト用品</t>
  </si>
  <si>
    <t>オークション &gt; ビューティー、ヘルスケア &gt; めがね、コンタクト &gt; コンタクト用品</t>
  </si>
  <si>
    <t>0,42177,2084012478,2084042535</t>
  </si>
  <si>
    <t>ビデオデッキ</t>
  </si>
  <si>
    <t>オークション &gt; 家電、AV、カメラ &gt; 家庭用電化製品 &gt; ビデオデッキ</t>
  </si>
  <si>
    <t>0,23632,24466,23900</t>
  </si>
  <si>
    <t>花粉症用ゴーグル</t>
  </si>
  <si>
    <t>オークション &gt; 家電、AV、カメラ &gt; 家庭用電化製品 &gt; ヘアドライヤー</t>
  </si>
  <si>
    <t>0,23632,24466,2084044960</t>
  </si>
  <si>
    <t>オークション &gt; ビューティー、ヘルスケア &gt; めがね、コンタクト &gt; 花粉症用ゴーグル</t>
  </si>
  <si>
    <t>0,42177,2084012478,2084063603</t>
  </si>
  <si>
    <t>オークション &gt; 食品、飲料 &gt; 菓子、デザート &gt; セット、詰め合わせ</t>
  </si>
  <si>
    <t>ミシン</t>
  </si>
  <si>
    <t>0,23976,23982,2084050394</t>
  </si>
  <si>
    <t>オークション &gt; 家電、AV、カメラ &gt; 家庭用電化製品 &gt; ミシン</t>
  </si>
  <si>
    <t>0,23632,24466,2084008354</t>
  </si>
  <si>
    <t>拡大鏡</t>
  </si>
  <si>
    <t>映像機器</t>
  </si>
  <si>
    <t>オークション &gt; ビューティー、ヘルスケア &gt; めがね、コンタクト &gt; 拡大鏡</t>
  </si>
  <si>
    <t>オークション &gt; 家電、AV、カメラ &gt; 家庭用電化製品 &gt; 映像機器</t>
  </si>
  <si>
    <t>0,23632,24466,23880</t>
  </si>
  <si>
    <t>0,42177,2084012478,2084042536</t>
  </si>
  <si>
    <t>おつまみ、珍味</t>
  </si>
  <si>
    <t>オークション &gt; 食品、飲料 &gt; 菓子、デザート &gt; おつまみ、珍味</t>
  </si>
  <si>
    <t>0,23976,23982,2084050396</t>
  </si>
  <si>
    <t>乾燥機</t>
  </si>
  <si>
    <t>オークション &gt; 家電、AV、カメラ &gt; 家庭用電化製品 &gt; 乾燥機</t>
  </si>
  <si>
    <t>0,23632,24466,24442</t>
  </si>
  <si>
    <t>サングラス</t>
  </si>
  <si>
    <t>オークション &gt; ビューティー、ヘルスケア &gt; めがね、コンタクト &gt; サングラス</t>
  </si>
  <si>
    <t>0,42177,2084012478,42542</t>
  </si>
  <si>
    <t>せんべい、あられ</t>
  </si>
  <si>
    <t>オークション &gt; 食品、飲料 &gt; 菓子、デザート &gt; せんべい、あられ</t>
  </si>
  <si>
    <t>照明器具</t>
  </si>
  <si>
    <t>オークション &gt; 家電、AV、カメラ &gt; 家庭用電化製品 &gt; 照明器具</t>
  </si>
  <si>
    <t>0,23976,23982,2084050400</t>
  </si>
  <si>
    <t>0,23632,24466,24690</t>
  </si>
  <si>
    <t>オークション &gt; ビューティー、ヘルスケア &gt; めがね、コンタクト &gt; その他</t>
  </si>
  <si>
    <t>洗濯機</t>
  </si>
  <si>
    <t>0,42177,2084012478,2084042537</t>
  </si>
  <si>
    <t>オークション &gt; 家電、AV、カメラ &gt; 家庭用電化製品 &gt; 洗濯機</t>
  </si>
  <si>
    <t>0,23632,24466,24454</t>
  </si>
  <si>
    <t>アイス、シャーベット</t>
  </si>
  <si>
    <t>オークション &gt; 食品、飲料 &gt; 菓子、デザート &gt; アイス、シャーベット</t>
  </si>
  <si>
    <t>0,23976,23982,2084050395</t>
  </si>
  <si>
    <t>掃除機</t>
  </si>
  <si>
    <t>オークション &gt; 家電、AV、カメラ &gt; 家庭用電化製品 &gt; 掃除機</t>
  </si>
  <si>
    <t>0,23632,24466,24450</t>
  </si>
  <si>
    <t>電話、ファクシミリ</t>
  </si>
  <si>
    <t>オークション &gt; 家電、AV、カメラ &gt; 家庭用電化製品 &gt; 電話、ファクシミリ</t>
  </si>
  <si>
    <t>0,23632,24466,2084042672</t>
  </si>
  <si>
    <t>オークション &gt; 食品、飲料 &gt; 菓子、デザート &gt; クッキー、ビスケット</t>
  </si>
  <si>
    <t>0,23976,23982,2084050397</t>
  </si>
  <si>
    <t>冷暖房、空調</t>
  </si>
  <si>
    <t>オークション &gt; 家電、AV、カメラ &gt; 家庭用電化製品 &gt; 冷暖房、空調</t>
  </si>
  <si>
    <t>0,23632,24466,2084008356</t>
  </si>
  <si>
    <t>エッセンシャルオイル</t>
  </si>
  <si>
    <t>ケーキ</t>
  </si>
  <si>
    <t>オークション &gt; ビューティー、ヘルスケア &gt; リラクゼーショングッズ &gt; エッセンシャルオイル</t>
  </si>
  <si>
    <t>オークション &gt; 食品、飲料 &gt; 菓子、デザート &gt; ケーキ</t>
  </si>
  <si>
    <t>0,42177,2084042539,2084047753</t>
  </si>
  <si>
    <t>オークション &gt; 家電、AV、カメラ &gt; 家庭用電化製品 &gt; その他</t>
  </si>
  <si>
    <t>0,23976,23982,2084050398</t>
  </si>
  <si>
    <t>0,23632,24466,2084061709</t>
  </si>
  <si>
    <t>キャリアオイル</t>
  </si>
  <si>
    <t>スナック菓子</t>
  </si>
  <si>
    <t>オークション &gt; ビューティー、ヘルスケア &gt; リラクゼーショングッズ &gt; キャリアオイル</t>
  </si>
  <si>
    <t>オークション &gt; 食品、飲料 &gt; 菓子、デザート &gt; スナック菓子</t>
  </si>
  <si>
    <t>0,42177,2084042539,2084213838</t>
  </si>
  <si>
    <t>0,23976,23982,2084050399</t>
  </si>
  <si>
    <t>芳香器</t>
  </si>
  <si>
    <t>オークション &gt; ビューティー、ヘルスケア &gt; リラクゼーショングッズ &gt; 芳香器</t>
  </si>
  <si>
    <t>0,42177,2084042539,2084213840</t>
  </si>
  <si>
    <t>チューイングガム</t>
  </si>
  <si>
    <t>オークション &gt; 食品、飲料 &gt; 菓子、デザート &gt; チューイングガム</t>
  </si>
  <si>
    <t>0,23976,23982,2084050429</t>
  </si>
  <si>
    <t>セキュリティ</t>
  </si>
  <si>
    <t>オークション &gt; 住まい、インテリア &gt; 防災、セキュリティ &gt; セキュリティ</t>
  </si>
  <si>
    <t>0,24198,2084047969,2084055702</t>
  </si>
  <si>
    <t>オークション &gt; ビューティー、ヘルスケア &gt; リラクゼーショングッズ &gt; お香、香炉</t>
  </si>
  <si>
    <t>0,42177,2084042539,2084024424</t>
  </si>
  <si>
    <t>チョコレート</t>
  </si>
  <si>
    <t>オークション &gt; 食品、飲料 &gt; 菓子、デザート &gt; チョコレート</t>
  </si>
  <si>
    <t>防災</t>
  </si>
  <si>
    <t>オークション &gt; 住まい、インテリア &gt; 防災、セキュリティ &gt; 防災</t>
  </si>
  <si>
    <t>0,24198,2084047969,2084055695</t>
  </si>
  <si>
    <t>0,23976,23982,23986</t>
  </si>
  <si>
    <t>オークション &gt; ビューティー、ヘルスケア &gt; リラクゼーショングッズ &gt; キャンドル</t>
  </si>
  <si>
    <t>0,42177,2084042539,2084024423</t>
  </si>
  <si>
    <t>ドーナツ</t>
  </si>
  <si>
    <t>オークション &gt; 食品、飲料 &gt; 菓子、デザート &gt; ドーナツ</t>
  </si>
  <si>
    <t>0,23976,23982,2084050401</t>
  </si>
  <si>
    <t>キャンドルホルダー</t>
  </si>
  <si>
    <t>オークション &gt; ビューティー、ヘルスケア &gt; リラクゼーショングッズ &gt; キャンドルホルダー</t>
  </si>
  <si>
    <t>0,42177,2084042539,2084302015</t>
  </si>
  <si>
    <t>正月</t>
  </si>
  <si>
    <t>ナッツ類</t>
  </si>
  <si>
    <t>オークション &gt; 食品、飲料 &gt; 菓子、デザート &gt; ナッツ類</t>
  </si>
  <si>
    <t>サシェ、匂い袋</t>
  </si>
  <si>
    <t>オークション &gt; 住まい、インテリア &gt; 季節、年中行事 &gt; 正月</t>
  </si>
  <si>
    <t>0,23976,23982,2084050402</t>
  </si>
  <si>
    <t>オークション &gt; ビューティー、ヘルスケア &gt; リラクゼーショングッズ &gt; サシェ、匂い袋</t>
  </si>
  <si>
    <t>0,24198,20284,20297</t>
  </si>
  <si>
    <t>0,42177,2084042539,2084302016</t>
  </si>
  <si>
    <t>パイ、タルト</t>
  </si>
  <si>
    <t>成人式</t>
  </si>
  <si>
    <t>オークション &gt; 食品、飲料 &gt; 菓子、デザート &gt; パイ、タルト</t>
  </si>
  <si>
    <t>オークション &gt; 住まい、インテリア &gt; 季節、年中行事 &gt; 成人式</t>
  </si>
  <si>
    <t>オークション &gt; ビューティー、ヘルスケア &gt; リラクゼーショングッズ &gt; ポプリ</t>
  </si>
  <si>
    <t>0,23976,23982,2084050403</t>
  </si>
  <si>
    <t>0,24198,20284,2084061251</t>
  </si>
  <si>
    <t>0,42177,2084042539,2084047755</t>
  </si>
  <si>
    <t>バレンタインデー</t>
  </si>
  <si>
    <t>フルーツ</t>
  </si>
  <si>
    <t>オークション &gt; 住まい、インテリア &gt; 季節、年中行事 &gt; バレンタインデー</t>
  </si>
  <si>
    <t>0,24198,20284,2084007488</t>
  </si>
  <si>
    <t>オークション &gt; 食品、飲料 &gt; 菓子、デザート &gt; フルーツ</t>
  </si>
  <si>
    <t>アイピロー</t>
  </si>
  <si>
    <t>0,23976,23982,2084048839</t>
  </si>
  <si>
    <t>オークション &gt; ビューティー、ヘルスケア &gt; リラクゼーショングッズ &gt; アイピロー</t>
  </si>
  <si>
    <t>ひな祭り</t>
  </si>
  <si>
    <t>0,42177,2084042539,2084047754</t>
  </si>
  <si>
    <t>オークション &gt; 住まい、インテリア &gt; 季節、年中行事 &gt; ひな祭り</t>
  </si>
  <si>
    <t>0,24198,20284,2084007498</t>
  </si>
  <si>
    <t>プリン、ムース</t>
  </si>
  <si>
    <t>ホワイトデー</t>
  </si>
  <si>
    <t>オークション &gt; 食品、飲料 &gt; 菓子、デザート &gt; プリン、ムース</t>
  </si>
  <si>
    <t>オークション &gt; 住まい、インテリア &gt; 季節、年中行事 &gt; ホワイトデー</t>
  </si>
  <si>
    <t>0,24198,20284,2084007503</t>
  </si>
  <si>
    <t>0,23976,23982,2084050404</t>
  </si>
  <si>
    <t>マッサージ機</t>
  </si>
  <si>
    <t>オークション &gt; ビューティー、ヘルスケア &gt; リラクゼーショングッズ &gt; マッサージ機</t>
  </si>
  <si>
    <t>0,42177,2084042539,2084006905</t>
  </si>
  <si>
    <t>子どもの日</t>
  </si>
  <si>
    <t>飴、キャンディ</t>
  </si>
  <si>
    <t>オークション &gt; 住まい、インテリア &gt; 季節、年中行事 &gt; 子どもの日</t>
  </si>
  <si>
    <t>オークション &gt; 食品、飲料 &gt; 菓子、デザート &gt; 飴、キャンディ</t>
  </si>
  <si>
    <t>0,24198,20284,2084007512</t>
  </si>
  <si>
    <t>0,23976,23982,23990</t>
  </si>
  <si>
    <t>オークション &gt; ビューティー、ヘルスケア &gt; リラクゼーショングッズ &gt; 入浴剤</t>
  </si>
  <si>
    <t>0,42177,2084042539,2084007454</t>
  </si>
  <si>
    <t>母の日</t>
  </si>
  <si>
    <t>オークション &gt; 住まい、インテリア &gt; 季節、年中行事 &gt; 母の日</t>
  </si>
  <si>
    <t>和菓子</t>
  </si>
  <si>
    <t>0,24198,20284,2084041694</t>
  </si>
  <si>
    <t>オークション &gt; 食品、飲料 &gt; 菓子、デザート &gt; 和菓子</t>
  </si>
  <si>
    <t>0,23976,23982,2084050405</t>
  </si>
  <si>
    <t>オークション &gt; ビューティー、ヘルスケア &gt; リラクゼーショングッズ &gt; その他</t>
  </si>
  <si>
    <t>0,42177,2084042539,2084042540</t>
  </si>
  <si>
    <t>父の日</t>
  </si>
  <si>
    <t>オークション &gt; 住まい、インテリア &gt; 季節、年中行事 &gt; 父の日</t>
  </si>
  <si>
    <t>0,24198,20284,2084041695</t>
  </si>
  <si>
    <t>オークション &gt; 食品、飲料 &gt; 菓子、デザート &gt; その他</t>
  </si>
  <si>
    <t>0,23976,23982,24002</t>
  </si>
  <si>
    <t>梅雨</t>
  </si>
  <si>
    <t>オークション &gt; 住まい、インテリア &gt; 季節、年中行事 &gt; 梅雨</t>
  </si>
  <si>
    <t>0,24198,20284,2084042255</t>
  </si>
  <si>
    <t>サマーギフト、お中元</t>
  </si>
  <si>
    <t>オークション &gt; 住まい、インテリア &gt; 季節、年中行事 &gt; サマーギフト、お中元</t>
  </si>
  <si>
    <t>0,24198,20284,2084042379</t>
  </si>
  <si>
    <t>夏、夏休み</t>
  </si>
  <si>
    <t>オークション &gt; 住まい、インテリア &gt; 季節、年中行事 &gt; 夏、夏休み</t>
  </si>
  <si>
    <t>エクササイズ用品</t>
  </si>
  <si>
    <t>0,24198,20284,2084044886</t>
  </si>
  <si>
    <t>オークション &gt; ビューティー、ヘルスケア &gt; ダイエット &gt; エクササイズ用品</t>
  </si>
  <si>
    <t>0,42177,26100,25154</t>
  </si>
  <si>
    <t>ハロウィン</t>
  </si>
  <si>
    <t>オークション &gt; 食品、飲料 &gt; パスタ、麺類 &gt; セット、詰め合わせ</t>
  </si>
  <si>
    <t>オークション &gt; 住まい、インテリア &gt; 季節、年中行事 &gt; ハロウィン</t>
  </si>
  <si>
    <t>0,23976,2084006750,2084050417</t>
  </si>
  <si>
    <t>0,24198,20284,20296</t>
  </si>
  <si>
    <t>オークション &gt; ビューティー、ヘルスケア &gt; ダイエット &gt; ダイエット食品</t>
  </si>
  <si>
    <t>0,42177,26100,2084006888</t>
  </si>
  <si>
    <t>敬老の日</t>
  </si>
  <si>
    <t>オークション &gt; 住まい、インテリア &gt; 季節、年中行事 &gt; 敬老の日</t>
  </si>
  <si>
    <t>うどん</t>
  </si>
  <si>
    <t>0,24198,20284,2084045655</t>
  </si>
  <si>
    <t>オークション &gt; 食品、飲料 &gt; パスタ、麺類 &gt; うどん</t>
  </si>
  <si>
    <t>0,23976,2084006750,2084050418</t>
  </si>
  <si>
    <t>体脂肪計</t>
  </si>
  <si>
    <t>オークション &gt; ビューティー、ヘルスケア &gt; ダイエット &gt; 体脂肪計</t>
  </si>
  <si>
    <t>七五三</t>
  </si>
  <si>
    <t>0,42177,26100,2084006921</t>
  </si>
  <si>
    <t>オークション &gt; 住まい、インテリア &gt; 季節、年中行事 &gt; 七五三</t>
  </si>
  <si>
    <t>0,24198,20284,2084047026</t>
  </si>
  <si>
    <t>そうめん</t>
  </si>
  <si>
    <t>オークション &gt; 食品、飲料 &gt; パスタ、麺類 &gt; そうめん</t>
  </si>
  <si>
    <t>0,23976,2084006750,2084050419</t>
  </si>
  <si>
    <t>体重計</t>
  </si>
  <si>
    <t>お歳暮</t>
  </si>
  <si>
    <t>オークション &gt; ビューティー、ヘルスケア &gt; ダイエット &gt; 体重計</t>
  </si>
  <si>
    <t>オークション &gt; 住まい、インテリア &gt; 季節、年中行事 &gt; お歳暮</t>
  </si>
  <si>
    <t>0,42177,26100,2084006922</t>
  </si>
  <si>
    <t>0,24198,20284,2084047030</t>
  </si>
  <si>
    <t>パスタ</t>
  </si>
  <si>
    <t>オークション &gt; 食品、飲料 &gt; パスタ、麺類 &gt; パスタ</t>
  </si>
  <si>
    <t>0,23976,2084006750,2084050421</t>
  </si>
  <si>
    <t>エクササイズDVD</t>
  </si>
  <si>
    <t>クリスマス</t>
  </si>
  <si>
    <t>オークション &gt; 住まい、インテリア &gt; 季節、年中行事 &gt; クリスマス</t>
  </si>
  <si>
    <t>オークション &gt; ビューティー、ヘルスケア &gt; ダイエット &gt; エクササイズDVD</t>
  </si>
  <si>
    <t>0,24198,20284,20288</t>
  </si>
  <si>
    <t>0,42177,26100,2084216601</t>
  </si>
  <si>
    <t>ラーメン</t>
  </si>
  <si>
    <t>オークション &gt; 食品、飲料 &gt; パスタ、麺類 &gt; ラーメン</t>
  </si>
  <si>
    <t>0,23976,2084006750,2084050422</t>
  </si>
  <si>
    <t>冬一般</t>
  </si>
  <si>
    <t>オークション &gt; 住まい、インテリア &gt; 季節、年中行事 &gt; 冬一般</t>
  </si>
  <si>
    <t>ダイエット本</t>
  </si>
  <si>
    <t>0,24198,20284,2084215584</t>
  </si>
  <si>
    <t>オークション &gt; ビューティー、ヘルスケア &gt; ダイエット &gt; ダイエット本</t>
  </si>
  <si>
    <t>日本そば</t>
  </si>
  <si>
    <t>0,42177,26100,2084009009</t>
  </si>
  <si>
    <t>オークション &gt; 食品、飲料 &gt; パスタ、麺類 &gt; 日本そば</t>
  </si>
  <si>
    <t>0,23976,2084006750,2084050420</t>
  </si>
  <si>
    <t>オークション &gt; 住まい、インテリア &gt; 季節、年中行事 &gt; その他</t>
  </si>
  <si>
    <t>0,24198,20284,20304</t>
  </si>
  <si>
    <t>オークション &gt; ビューティー、ヘルスケア &gt; ダイエット &gt; その他</t>
  </si>
  <si>
    <t>インスタント麺類</t>
  </si>
  <si>
    <t>0,42177,26100,44384</t>
  </si>
  <si>
    <t>オークション &gt; 食品、飲料 &gt; パスタ、麺類 &gt; インスタント麺類</t>
  </si>
  <si>
    <t>0,23976,2084006750,2084220402</t>
  </si>
  <si>
    <t>オークション &gt; 食品、飲料 &gt; パスタ、麺類 &gt; その他</t>
  </si>
  <si>
    <t>0,23976,2084006750,2084050423</t>
  </si>
  <si>
    <t>婚礼</t>
  </si>
  <si>
    <t>オークション &gt; 住まい、インテリア &gt; 冠婚葬祭 &gt; 婚礼</t>
  </si>
  <si>
    <t>0,24198,2084061209,2084061210</t>
  </si>
  <si>
    <t>出産</t>
  </si>
  <si>
    <t>オークション &gt; 住まい、インテリア &gt; 冠婚葬祭 &gt; 出産</t>
  </si>
  <si>
    <t>0,24198,2084061209,2084061243</t>
  </si>
  <si>
    <t>ベーグル</t>
  </si>
  <si>
    <t>オークション &gt; 住まい、インテリア &gt; 冠婚葬祭 &gt; 正月</t>
  </si>
  <si>
    <t>オークション &gt; 食品、飲料 &gt; パン &gt; ベーグル</t>
  </si>
  <si>
    <t>0,24198,2084061209,20297</t>
  </si>
  <si>
    <t>0,23976,2084049724,2084220399</t>
  </si>
  <si>
    <t>オークション &gt; 住まい、インテリア &gt; 冠婚葬祭 &gt; クリスマス</t>
  </si>
  <si>
    <t>菓子パン</t>
  </si>
  <si>
    <t>0,24198,2084061209,20288</t>
  </si>
  <si>
    <t>オークション &gt; 食品、飲料 &gt; パン &gt; 菓子パン</t>
  </si>
  <si>
    <t>0,23976,2084049724,2084220396</t>
  </si>
  <si>
    <t>オークション &gt; 住まい、インテリア &gt; 冠婚葬祭 &gt; 成人式</t>
  </si>
  <si>
    <t>0,24198,2084061209,2084061251</t>
  </si>
  <si>
    <t>食パン</t>
  </si>
  <si>
    <t>オークション &gt; 食品、飲料 &gt; パン &gt; 食パン</t>
  </si>
  <si>
    <t>0,23976,2084049724,2084220397</t>
  </si>
  <si>
    <t>オークション &gt; 住まい、インテリア &gt; 冠婚葬祭 &gt; 七五三</t>
  </si>
  <si>
    <t>0,24198,2084061209,2084047026</t>
  </si>
  <si>
    <t>調理パン</t>
  </si>
  <si>
    <t>オークション &gt; 食品、飲料 &gt; パン &gt; 調理パン</t>
  </si>
  <si>
    <t>0,23976,2084049724,2084220398</t>
  </si>
  <si>
    <t>オークション &gt; 住まい、インテリア &gt; 冠婚葬祭 &gt; 季節、年中行事</t>
  </si>
  <si>
    <t>0,24198,2084061209,20284</t>
  </si>
  <si>
    <t>ジャム、スプレッド</t>
  </si>
  <si>
    <t>オークション &gt; 食品、飲料 &gt; パン &gt; ジャム、スプレッド</t>
  </si>
  <si>
    <t>0,23976,2084049724,2084050385</t>
  </si>
  <si>
    <t>葬儀</t>
  </si>
  <si>
    <t>オークション &gt; 住まい、インテリア &gt; 冠婚葬祭 &gt; 葬儀</t>
  </si>
  <si>
    <t>0,24198,2084061209,2084061233</t>
  </si>
  <si>
    <t>オークション &gt; 食品、飲料 &gt; パン &gt; その他</t>
  </si>
  <si>
    <t>0,23976,2084049724,2084220400</t>
  </si>
  <si>
    <t>オークション &gt; 住まい、インテリア &gt; 冠婚葬祭 &gt; その他</t>
  </si>
  <si>
    <t>0,24198,2084061209,2084061211</t>
  </si>
  <si>
    <t>オークション &gt; 食品、飲料 &gt; 卵、乳製品 &gt; セット、詰め合わせ</t>
  </si>
  <si>
    <t>0,23976,24034,2084050374</t>
  </si>
  <si>
    <t>仏壇</t>
  </si>
  <si>
    <t>オークション &gt; 住まい、インテリア &gt; 仏壇、仏具 &gt; 仏壇</t>
  </si>
  <si>
    <t>0,24198,2084059849,2084063440</t>
  </si>
  <si>
    <t>牛乳</t>
  </si>
  <si>
    <t>オークション &gt; 食品、飲料 &gt; 卵、乳製品 &gt; 牛乳</t>
  </si>
  <si>
    <t>0,23976,24034,2084050375</t>
  </si>
  <si>
    <t>仏具一般</t>
  </si>
  <si>
    <t>オークション &gt; 住まい、インテリア &gt; 仏壇、仏具 &gt; 仏具一般</t>
  </si>
  <si>
    <t>0,24198,2084059849,2084063441</t>
  </si>
  <si>
    <t>乳製品</t>
  </si>
  <si>
    <t>数珠</t>
  </si>
  <si>
    <t>オークション &gt; 食品、飲料 &gt; 卵、乳製品 &gt; 乳製品</t>
  </si>
  <si>
    <t>オークション &gt; 住まい、インテリア &gt; 仏壇、仏具 &gt; 数珠</t>
  </si>
  <si>
    <t>0,24198,2084059849,2084061234</t>
  </si>
  <si>
    <t>0,23976,24034,2084050377</t>
  </si>
  <si>
    <t>仏像</t>
  </si>
  <si>
    <t>オークション &gt; 住まい、インテリア &gt; 仏壇、仏具 &gt; 仏像</t>
  </si>
  <si>
    <t>卵</t>
  </si>
  <si>
    <t>0,24198,2084059849,2084006123</t>
  </si>
  <si>
    <t>オークション &gt; 食品、飲料 &gt; 卵、乳製品 &gt; 卵</t>
  </si>
  <si>
    <t>0,23976,24034,2084050376</t>
  </si>
  <si>
    <t>位牌</t>
  </si>
  <si>
    <t>オークション &gt; 住まい、インテリア &gt; 仏壇、仏具 &gt; 位牌</t>
  </si>
  <si>
    <t>0,24198,2084059849,2084063444</t>
  </si>
  <si>
    <t>オークション &gt; 食品、飲料 &gt; 卵、乳製品 &gt; その他</t>
  </si>
  <si>
    <t>0,23976,24034,2084050378</t>
  </si>
  <si>
    <t>線香</t>
  </si>
  <si>
    <t>オークション &gt; 住まい、インテリア &gt; 仏壇、仏具 &gt; 線香</t>
  </si>
  <si>
    <t>0,24198,2084059849,2084063445</t>
  </si>
  <si>
    <t>経机</t>
  </si>
  <si>
    <t>オークション &gt; 住まい、インテリア &gt; 仏壇、仏具 &gt; 経机</t>
  </si>
  <si>
    <t>0,24198,2084059849,2084063447</t>
  </si>
  <si>
    <t>神棚、神具</t>
  </si>
  <si>
    <t>オークション &gt; 住まい、インテリア &gt; 仏壇、仏具 &gt; 神棚、神具</t>
  </si>
  <si>
    <t>0,24198,2084059849,2084063448</t>
  </si>
  <si>
    <t>オークション &gt; 住まい、インテリア &gt; 仏壇、仏具 &gt; その他</t>
  </si>
  <si>
    <t>0,24198,2084059849,2084063449</t>
  </si>
  <si>
    <t>オークション &gt; 食品、飲料 &gt; 調味料、スパイス &gt; セット、詰め合わせ</t>
  </si>
  <si>
    <t>0,23976,24042,2084050379</t>
  </si>
  <si>
    <t>しょうゆ</t>
  </si>
  <si>
    <t>オークション &gt; 食品、飲料 &gt; 調味料、スパイス &gt; しょうゆ</t>
  </si>
  <si>
    <t>0,23976,24042,2084050384</t>
  </si>
  <si>
    <t>たれ、つゆ</t>
  </si>
  <si>
    <t>オークション &gt; 食品、飲料 &gt; 調味料、スパイス &gt; たれ、つゆ</t>
  </si>
  <si>
    <t>0,23976,24042,2084050388</t>
  </si>
  <si>
    <t>だし、ブイヨン</t>
  </si>
  <si>
    <t>オークション &gt; 食品、飲料 &gt; 調味料、スパイス &gt; だし、ブイヨン</t>
  </si>
  <si>
    <t>0,23976,24042,2084050389</t>
  </si>
  <si>
    <t>はちみつ</t>
  </si>
  <si>
    <t>オークション &gt; 食品、飲料 &gt; 調味料、スパイス &gt; はちみつ</t>
  </si>
  <si>
    <t>0,23976,24042,2084050390</t>
  </si>
  <si>
    <t>みそ</t>
  </si>
  <si>
    <t>オークション &gt; 食品、飲料 &gt; 調味料、スパイス &gt; みそ</t>
  </si>
  <si>
    <t>0,23976,24042,2084050391</t>
  </si>
  <si>
    <t>ケチャップ、マヨネーズ</t>
  </si>
  <si>
    <t>オークション &gt; 食品、飲料 &gt; 調味料、スパイス &gt; ケチャップ、マヨネーズ</t>
  </si>
  <si>
    <t>0,23976,24042,2084050381</t>
  </si>
  <si>
    <t>オークション &gt; 食品、飲料 &gt; 調味料、スパイス &gt; ジャム、スプレッド</t>
  </si>
  <si>
    <t>0,23976,24042,2084050385</t>
  </si>
  <si>
    <t>ソース</t>
  </si>
  <si>
    <t>オークション &gt; 食品、飲料 &gt; 調味料、スパイス &gt; ソース</t>
  </si>
  <si>
    <t>0,23976,24042,2084050387</t>
  </si>
  <si>
    <t>ドレッシング</t>
  </si>
  <si>
    <t>オークション &gt; 食品、飲料 &gt; 調味料、スパイス &gt; ドレッシング</t>
  </si>
  <si>
    <t>0,23976,24042,2084050416</t>
  </si>
  <si>
    <t>塩</t>
  </si>
  <si>
    <t>オークション &gt; 食品、飲料 &gt; 調味料、スパイス &gt; 塩</t>
  </si>
  <si>
    <t>0,23976,24042,2084050382</t>
  </si>
  <si>
    <t>砂糖</t>
  </si>
  <si>
    <t>オークション &gt; 食品、飲料 &gt; 調味料、スパイス &gt; 砂糖</t>
  </si>
  <si>
    <t>0,23976,24042,2084050383</t>
  </si>
  <si>
    <t>オークション &gt; 食品、飲料 &gt; 調味料、スパイス &gt; 酢</t>
  </si>
  <si>
    <t>0,23976,24042,2084050386</t>
  </si>
  <si>
    <t>害虫駆除</t>
  </si>
  <si>
    <t>オークション &gt; 住まい、インテリア &gt; 害虫駆除、虫よけ &gt; 害虫駆除</t>
  </si>
  <si>
    <t>0,24198,2084048832,2084062796</t>
  </si>
  <si>
    <t>薬味、スパイス</t>
  </si>
  <si>
    <t>オークション &gt; 食品、飲料 &gt; 調味料、スパイス &gt; 薬味、スパイス</t>
  </si>
  <si>
    <t>0,23976,24042,2084050392</t>
  </si>
  <si>
    <t>虫よけ</t>
  </si>
  <si>
    <t>オークション &gt; 住まい、インテリア &gt; 害虫駆除、虫よけ &gt; 虫よけ</t>
  </si>
  <si>
    <t>0,24198,2084048832,2084062800</t>
  </si>
  <si>
    <t>油</t>
  </si>
  <si>
    <t>オークション &gt; 食品、飲料 &gt; 調味料、スパイス &gt; 油</t>
  </si>
  <si>
    <t>0,23976,24042,2084050380</t>
  </si>
  <si>
    <t>オークション &gt; 食品、飲料 &gt; 調味料、スパイス &gt; その他</t>
  </si>
  <si>
    <t>0,23976,24042,2084050393</t>
  </si>
  <si>
    <t>お茶セット</t>
  </si>
  <si>
    <t>オークション &gt; 食品、飲料 &gt; 詰め合わせ &gt; お茶セット</t>
  </si>
  <si>
    <t>0,23976,24050,2084050432</t>
  </si>
  <si>
    <t>アルコールセット</t>
  </si>
  <si>
    <t>オークション &gt; 食品、飲料 &gt; 詰め合わせ &gt; アルコールセット</t>
  </si>
  <si>
    <t>0,23976,24050,2084050406</t>
  </si>
  <si>
    <t>コーヒーセット</t>
  </si>
  <si>
    <t>オークション &gt; 食品、飲料 &gt; 詰め合わせ &gt; コーヒーセット</t>
  </si>
  <si>
    <t>0,23976,24050,24010</t>
  </si>
  <si>
    <t>ソフトドリンクセット</t>
  </si>
  <si>
    <t>オークション &gt; 食品、飲料 &gt; 詰め合わせ &gt; ソフトドリンクセット</t>
  </si>
  <si>
    <t>0,23976,24050,24026</t>
  </si>
  <si>
    <t>パスタ、麺類セット</t>
  </si>
  <si>
    <t>オークション &gt; 食品、飲料 &gt; 詰め合わせ &gt; パスタ、麺類セット</t>
  </si>
  <si>
    <t>0,23976,24050,2084050417</t>
  </si>
  <si>
    <t>菓子、デザートセット</t>
  </si>
  <si>
    <t>オークション &gt; 食品、飲料 &gt; 詰め合わせ &gt; 菓子、デザートセット</t>
  </si>
  <si>
    <t>0,23976,24050,2084050394</t>
  </si>
  <si>
    <t>ブランドアクセサリー</t>
  </si>
  <si>
    <t>オークション &gt; アクセサリー、時計 &gt; ブランドアクセサリー</t>
  </si>
  <si>
    <t>0,23140,2084052553</t>
  </si>
  <si>
    <t>魚介類セット</t>
  </si>
  <si>
    <t>オークション &gt; 食品、飲料 &gt; 詰め合わせ &gt; 魚介類セット</t>
  </si>
  <si>
    <t>0,23976,24050,2084050447</t>
  </si>
  <si>
    <t>レディースアクセサリー</t>
  </si>
  <si>
    <t>オークション &gt; アクセサリー、時計 &gt; レディースアクセサリー</t>
  </si>
  <si>
    <t>0,23140,2084005359</t>
  </si>
  <si>
    <t>メンズアクセサリー</t>
  </si>
  <si>
    <t>調味料、スパイスセット</t>
  </si>
  <si>
    <t>オークション &gt; アクセサリー、時計 &gt; メンズアクセサリー</t>
  </si>
  <si>
    <t>0,23140,2084005358</t>
  </si>
  <si>
    <t>オークション &gt; 食品、飲料 &gt; 詰め合わせ &gt; 調味料、スパイスセット</t>
  </si>
  <si>
    <t>0,23976,24050,2084050379</t>
  </si>
  <si>
    <t>子ども用アクセサリー</t>
  </si>
  <si>
    <t>オークション &gt; アクセサリー、時計 &gt; 子ども用アクセサリー</t>
  </si>
  <si>
    <t>0,23140,2084006476</t>
  </si>
  <si>
    <t>リハビリ用品</t>
  </si>
  <si>
    <t>肉類セット</t>
  </si>
  <si>
    <t>オークション &gt; ビューティー、ヘルスケア &gt; 看護、介護用品 &gt; リハビリ用品</t>
  </si>
  <si>
    <t>ブランド腕時計</t>
  </si>
  <si>
    <t>オークション &gt; 食品、飲料 &gt; 詰め合わせ &gt; 肉類セット</t>
  </si>
  <si>
    <t>0,42177,2084042538,2084049564</t>
  </si>
  <si>
    <t>オークション &gt; アクセサリー、時計 &gt; ブランド腕時計</t>
  </si>
  <si>
    <t>0,23976,24050,2084050370</t>
  </si>
  <si>
    <t>0,23140,23260</t>
  </si>
  <si>
    <t>介護ベッド、寝具</t>
  </si>
  <si>
    <t>オークション &gt; ビューティー、ヘルスケア &gt; 看護、介護用品 &gt; 介護ベッド、寝具</t>
  </si>
  <si>
    <t>メンズ腕時計</t>
  </si>
  <si>
    <t>卵、乳製品セット</t>
  </si>
  <si>
    <t>0,42177,2084042538,2084048487</t>
  </si>
  <si>
    <t>オークション &gt; アクセサリー、時計 &gt; メンズ腕時計</t>
  </si>
  <si>
    <t>オークション &gt; 食品、飲料 &gt; 詰め合わせ &gt; 卵、乳製品セット</t>
  </si>
  <si>
    <t>0,23140,23264</t>
  </si>
  <si>
    <t>0,23976,24050,2084050374</t>
  </si>
  <si>
    <t>レディース腕時計</t>
  </si>
  <si>
    <t>介護衣料</t>
  </si>
  <si>
    <t>オークション &gt; アクセサリー、時計 &gt; レディース腕時計</t>
  </si>
  <si>
    <t>オークション &gt; ビューティー、ヘルスケア &gt; 看護、介護用品 &gt; 介護衣料</t>
  </si>
  <si>
    <t>0,23140,23268</t>
  </si>
  <si>
    <t>0,42177,2084042538,2084048485</t>
  </si>
  <si>
    <t>ユニセックス腕時計</t>
  </si>
  <si>
    <t>オークション &gt; アクセサリー、時計 &gt; ユニセックス腕時計</t>
  </si>
  <si>
    <t>0,23140,23272</t>
  </si>
  <si>
    <t>車椅子、電動車</t>
  </si>
  <si>
    <t>オークション &gt; ビューティー、ヘルスケア &gt; 看護、介護用品 &gt; 車椅子、電動車</t>
  </si>
  <si>
    <t>0,42177,2084042538,2084048486</t>
  </si>
  <si>
    <t>スマートウォッチ本体</t>
  </si>
  <si>
    <t>オークション &gt; アクセサリー、時計 &gt; スマートウォッチ本体</t>
  </si>
  <si>
    <t>0,23140,2084316075</t>
  </si>
  <si>
    <t>ベビーフード</t>
  </si>
  <si>
    <t>オークション &gt; ベビー用品 &gt; 授乳、食事用品 &gt; ミルク、ベビーフード &gt; ベビーフード</t>
  </si>
  <si>
    <t>0,24202,2084042550,2084008374,2084202516</t>
  </si>
  <si>
    <t>入浴補助</t>
  </si>
  <si>
    <t>キャラクター腕時計</t>
  </si>
  <si>
    <t>オークション &gt; ビューティー、ヘルスケア &gt; 看護、介護用品 &gt; 入浴補助</t>
  </si>
  <si>
    <t>オークション &gt; アクセサリー、時計 &gt; キャラクター腕時計</t>
  </si>
  <si>
    <t>0,42177,2084042538,2084049563</t>
  </si>
  <si>
    <t>0,23140,2084024554</t>
  </si>
  <si>
    <t>ミルク</t>
  </si>
  <si>
    <t>懐中時計</t>
  </si>
  <si>
    <t>オークション &gt; ベビー用品 &gt; 授乳、食事用品 &gt; ミルク、ベビーフード &gt; ミルク</t>
  </si>
  <si>
    <t>オークション &gt; アクセサリー、時計 &gt; 懐中時計</t>
  </si>
  <si>
    <t>0,23140,23276</t>
  </si>
  <si>
    <t>0,24202,2084042550,2084008374,2084202515</t>
  </si>
  <si>
    <t>排泄補助</t>
  </si>
  <si>
    <t>オークション &gt; ビューティー、ヘルスケア &gt; 看護、介護用品 &gt; 排泄補助</t>
  </si>
  <si>
    <t>0,42177,2084042538,2084049562</t>
  </si>
  <si>
    <t>時計用ベルト、バンド</t>
  </si>
  <si>
    <t>オークション &gt; アクセサリー、時計 &gt; 時計用ベルト、バンド</t>
  </si>
  <si>
    <t>0,23140,2084024555</t>
  </si>
  <si>
    <t>歩行補助</t>
  </si>
  <si>
    <t>オークション &gt; ベビー用品 &gt; 授乳、食事用品 &gt; ミルク、ベビーフード &gt; その他</t>
  </si>
  <si>
    <t>ワインディングマシーン</t>
  </si>
  <si>
    <t>オークション &gt; ビューティー、ヘルスケア &gt; 看護、介護用品 &gt; 歩行補助</t>
  </si>
  <si>
    <t>0,24202,2084042550,2084008374,2084202521</t>
  </si>
  <si>
    <t>オークション &gt; アクセサリー、時計 &gt; ワインディングマシーン</t>
  </si>
  <si>
    <t>0,42177,2084042538,2084063455</t>
  </si>
  <si>
    <t>0,23140,2084062498</t>
  </si>
  <si>
    <t>時計用ケース</t>
  </si>
  <si>
    <t>オークション &gt; アクセサリー、時計 &gt; 時計用ケース</t>
  </si>
  <si>
    <t>補聴器</t>
  </si>
  <si>
    <t>オークション &gt; ビューティー、ヘルスケア &gt; 看護、介護用品 &gt; 補聴器</t>
  </si>
  <si>
    <t>0,42177,2084042538,2084048488</t>
  </si>
  <si>
    <t>0,23140,2084024557</t>
  </si>
  <si>
    <t>時計用工具</t>
  </si>
  <si>
    <t>オークション &gt; アクセサリー、時計 &gt; 時計用工具</t>
  </si>
  <si>
    <t>0,23140,2084024556</t>
  </si>
  <si>
    <t>オークション &gt; ビューティー、ヘルスケア &gt; 看護、介護用品 &gt; その他</t>
  </si>
  <si>
    <t>0,42177,2084042538,2084048489</t>
  </si>
  <si>
    <t>置時計、掛時計</t>
  </si>
  <si>
    <t>オークション &gt; アクセサリー、時計 &gt; 置時計、掛時計</t>
  </si>
  <si>
    <t>0,23140,2084032117</t>
  </si>
  <si>
    <t>おべんとう</t>
  </si>
  <si>
    <t>オークション &gt; 本、雑誌 &gt; 住まい、暮らし、育児 &gt; 料理、レシピ &gt; おべんとう</t>
  </si>
  <si>
    <t>0,21600,2084008935,21704,2084008936</t>
  </si>
  <si>
    <t>オークション &gt; アクセサリー、時計 &gt; ハンドメイド</t>
  </si>
  <si>
    <t>0,23140,2084240616</t>
  </si>
  <si>
    <t>お菓子づくり</t>
  </si>
  <si>
    <t>ウエットティッシュ</t>
  </si>
  <si>
    <t>オークション &gt; 本、雑誌 &gt; 住まい、暮らし、育児 &gt; 料理、レシピ &gt; お菓子づくり</t>
  </si>
  <si>
    <t>オークション &gt; ビューティー、ヘルスケア &gt; 救急、衛生用品 &gt; ウエットティッシュ</t>
  </si>
  <si>
    <t>0,21600,2084008935,21704,2084008941</t>
  </si>
  <si>
    <t>0,42177,24854,2084227181</t>
  </si>
  <si>
    <t>A＆G</t>
  </si>
  <si>
    <t>オークション &gt; アクセサリー、時計 &gt; ブランドアクセサリー &gt; A＆G</t>
  </si>
  <si>
    <t>0,23140,2084052553,2084061912</t>
  </si>
  <si>
    <t>コットン、ガーゼ</t>
  </si>
  <si>
    <t>イタリア料理</t>
  </si>
  <si>
    <t>オークション &gt; ビューティー、ヘルスケア &gt; 救急、衛生用品 &gt; コットン、ガーゼ</t>
  </si>
  <si>
    <t>オークション &gt; 本、雑誌 &gt; 住まい、暮らし、育児 &gt; 料理、レシピ &gt; イタリア料理</t>
  </si>
  <si>
    <t>0,42177,24854,2084227186</t>
  </si>
  <si>
    <t>0,21600,2084008935,21704,2084045181</t>
  </si>
  <si>
    <t>アーカー</t>
  </si>
  <si>
    <t>オークション &gt; アクセサリー、時計 &gt; ブランドアクセサリー &gt; アーカー</t>
  </si>
  <si>
    <t>0,23140,2084052553,2084301266</t>
  </si>
  <si>
    <t>マスク</t>
  </si>
  <si>
    <t>オークション &gt; ビューティー、ヘルスケア &gt; 救急、衛生用品 &gt; マスク</t>
  </si>
  <si>
    <t>0,42177,24854,2084227184</t>
  </si>
  <si>
    <t>エスニック料理</t>
  </si>
  <si>
    <t>アガタ</t>
  </si>
  <si>
    <t>オークション &gt; 本、雑誌 &gt; 住まい、暮らし、育児 &gt; 料理、レシピ &gt; エスニック料理</t>
  </si>
  <si>
    <t>オークション &gt; アクセサリー、時計 &gt; ブランドアクセサリー &gt; アガタ</t>
  </si>
  <si>
    <t>0,21600,2084008935,21704,2084045183</t>
  </si>
  <si>
    <t>0,23140,2084052553,2084057874</t>
  </si>
  <si>
    <t>救急箱</t>
  </si>
  <si>
    <t>オークション &gt; ビューティー、ヘルスケア &gt; 救急、衛生用品 &gt; 救急箱</t>
  </si>
  <si>
    <t>0,42177,24854,2084227190</t>
  </si>
  <si>
    <t>アガット</t>
  </si>
  <si>
    <t>オークション &gt; アクセサリー、時計 &gt; ブランドアクセサリー &gt; アガット</t>
  </si>
  <si>
    <t>パンづくり</t>
  </si>
  <si>
    <t>0,23140,2084052553,2084061839</t>
  </si>
  <si>
    <t>オークション &gt; 本、雑誌 &gt; 住まい、暮らし、育児 &gt; 料理、レシピ &gt; パンづくり</t>
  </si>
  <si>
    <t>0,21600,2084008935,21704,2084008942</t>
  </si>
  <si>
    <t>耳掃除用品</t>
  </si>
  <si>
    <t>オークション &gt; ビューティー、ヘルスケア &gt; 救急、衛生用品 &gt; 耳掃除用品</t>
  </si>
  <si>
    <t>0,42177,24854,2084227183</t>
  </si>
  <si>
    <t>アバクロンビー＆フィッチ</t>
  </si>
  <si>
    <t>オークション &gt; アクセサリー、時計 &gt; ブランドアクセサリー &gt; アバクロンビー＆フィッチ</t>
  </si>
  <si>
    <t>0,23140,2084052553,2084061779</t>
  </si>
  <si>
    <t>フランス料理</t>
  </si>
  <si>
    <t>生理用ナプキン</t>
  </si>
  <si>
    <t>オークション &gt; 本、雑誌 &gt; 住まい、暮らし、育児 &gt; 料理、レシピ &gt; フランス料理</t>
  </si>
  <si>
    <t>オークション &gt; ビューティー、ヘルスケア &gt; 救急、衛生用品 &gt; 生理用ナプキン</t>
  </si>
  <si>
    <t>エルメス</t>
  </si>
  <si>
    <t>0,21600,2084008935,21704,2084045182</t>
  </si>
  <si>
    <t>オークション &gt; アクセサリー、時計 &gt; ブランドアクセサリー &gt; エルメス</t>
  </si>
  <si>
    <t>0,42177,24854,2084227182</t>
  </si>
  <si>
    <t>0,23140,2084052553,2084057765</t>
  </si>
  <si>
    <t>オークション &gt; ビューティー、ヘルスケア &gt; 救急、衛生用品 &gt; 爪切り</t>
  </si>
  <si>
    <t>Q-pot</t>
  </si>
  <si>
    <t>0,42177,24854,2084227185</t>
  </si>
  <si>
    <t>オークション &gt; アクセサリー、時計 &gt; ブランドアクセサリー &gt; Q-pot</t>
  </si>
  <si>
    <t>レストランガイド</t>
  </si>
  <si>
    <t>0,23140,2084052553,2084245337</t>
  </si>
  <si>
    <t>オークション &gt; 本、雑誌 &gt; 住まい、暮らし、育児 &gt; 料理、レシピ &gt; レストランガイド</t>
  </si>
  <si>
    <t>0,21600,2084008935,21704,2084008913</t>
  </si>
  <si>
    <t>包帯</t>
  </si>
  <si>
    <t>オークション &gt; ビューティー、ヘルスケア &gt; 救急、衛生用品 &gt; 包帯</t>
  </si>
  <si>
    <t>0,42177,24854,2084227187</t>
  </si>
  <si>
    <t>カルティエ</t>
  </si>
  <si>
    <t>オークション &gt; アクセサリー、時計 &gt; ブランドアクセサリー &gt; カルティエ</t>
  </si>
  <si>
    <t>0,23140,2084052553,2084052585</t>
  </si>
  <si>
    <t>冷感・温感シート</t>
  </si>
  <si>
    <t>オークション &gt; ビューティー、ヘルスケア &gt; 救急、衛生用品 &gt; 冷感・温感シート</t>
  </si>
  <si>
    <t>家庭料理</t>
  </si>
  <si>
    <t>0,42177,24854,2084227189</t>
  </si>
  <si>
    <t>オークション &gt; 本、雑誌 &gt; 住まい、暮らし、育児 &gt; 料理、レシピ &gt; 家庭料理</t>
  </si>
  <si>
    <t>0,21600,2084008935,21704,2084008937</t>
  </si>
  <si>
    <t>カレラ イ カレラ</t>
  </si>
  <si>
    <t>オークション &gt; アクセサリー、時計 &gt; ブランドアクセサリー &gt; カレラ イ カレラ</t>
  </si>
  <si>
    <t>絆創膏</t>
  </si>
  <si>
    <t>オークション &gt; ビューティー、ヘルスケア &gt; 救急、衛生用品 &gt; 絆創膏</t>
  </si>
  <si>
    <t>0,23140,2084052553,2084224327</t>
  </si>
  <si>
    <t>0,42177,24854,2084227188</t>
  </si>
  <si>
    <t>オークション &gt; 本、雑誌 &gt; 住まい、暮らし、育児 &gt; 料理、レシピ &gt; 雑誌</t>
  </si>
  <si>
    <t>0,21600,2084008935,21704,2084008124</t>
  </si>
  <si>
    <t>ガボール</t>
  </si>
  <si>
    <t>オークション &gt; ビューティー、ヘルスケア &gt; 救急、衛生用品 &gt; その他</t>
  </si>
  <si>
    <t>0,42177,24854,2084227191</t>
  </si>
  <si>
    <t>オークション &gt; アクセサリー、時計 &gt; ブランドアクセサリー &gt; ガボール</t>
  </si>
  <si>
    <t>0,23140,2084052553,2084057913</t>
  </si>
  <si>
    <t>酒、ドリンク</t>
  </si>
  <si>
    <t>オークション &gt; 本、雑誌 &gt; 住まい、暮らし、育児 &gt; 料理、レシピ &gt; 酒、ドリンク</t>
  </si>
  <si>
    <t>0,21600,2084008935,21704,2084008945</t>
  </si>
  <si>
    <t>クリスチャン・ディオール</t>
  </si>
  <si>
    <t>オークション &gt; アクセサリー、時計 &gt; ブランドアクセサリー &gt; クリスチャン・ディオール</t>
  </si>
  <si>
    <t>0,23140,2084052553,2084057781</t>
  </si>
  <si>
    <t>中華料理</t>
  </si>
  <si>
    <t>オークション &gt; ビューティー、ヘルスケア &gt; 健康用品、健康器具 &gt; かつら</t>
  </si>
  <si>
    <t>0,42177,2084042544,2084007441</t>
  </si>
  <si>
    <t>クレージュ</t>
  </si>
  <si>
    <t>オークション &gt; 本、雑誌 &gt; 住まい、暮らし、育児 &gt; 料理、レシピ &gt; 中華料理</t>
  </si>
  <si>
    <t>オークション &gt; アクセサリー、時計 &gt; ブランドアクセサリー &gt; クレージュ</t>
  </si>
  <si>
    <t>0,21600,2084008935,21704,2084008940</t>
  </si>
  <si>
    <t>0,23140,2084052553,2084214586</t>
  </si>
  <si>
    <t>サポーター</t>
  </si>
  <si>
    <t>オークション &gt; ビューティー、ヘルスケア &gt; 健康用品、健康器具 &gt; サポーター</t>
  </si>
  <si>
    <t>0,42177,2084042544,2084216481</t>
  </si>
  <si>
    <t>検査、測定器</t>
  </si>
  <si>
    <t>クレイジーピッグ</t>
  </si>
  <si>
    <t>オークション &gt; ビューティー、ヘルスケア &gt; 健康用品、健康器具 &gt; 検査、測定器</t>
  </si>
  <si>
    <t>オークション &gt; アクセサリー、時計 &gt; ブランドアクセサリー &gt; クレイジーピッグ</t>
  </si>
  <si>
    <t>0,42177,2084042544,2084006900</t>
  </si>
  <si>
    <t>洋食</t>
  </si>
  <si>
    <t>0,23140,2084052553,2084195400</t>
  </si>
  <si>
    <t>オークション &gt; 本、雑誌 &gt; 住まい、暮らし、育児 &gt; 料理、レシピ &gt; 洋食</t>
  </si>
  <si>
    <t>0,21600,2084008935,21704,2084008938</t>
  </si>
  <si>
    <t>クロムハーツ</t>
  </si>
  <si>
    <t>磁気アクセサリー</t>
  </si>
  <si>
    <t>オークション &gt; アクセサリー、時計 &gt; ブランドアクセサリー &gt; クロムハーツ</t>
  </si>
  <si>
    <t>オークション &gt; ビューティー、ヘルスケア &gt; 健康用品、健康器具 &gt; 磁気アクセサリー</t>
  </si>
  <si>
    <t>0,23140,2084052553,2084052569</t>
  </si>
  <si>
    <t>0,42177,2084042544,2084006916</t>
  </si>
  <si>
    <t>料理エッセイ</t>
  </si>
  <si>
    <t>オークション &gt; 本、雑誌 &gt; 住まい、暮らし、育児 &gt; 料理、レシピ &gt; 料理エッセイ</t>
  </si>
  <si>
    <t>グッチ</t>
  </si>
  <si>
    <t>0,21600,2084008935,21704,2084008943</t>
  </si>
  <si>
    <t>杖、ステッキ</t>
  </si>
  <si>
    <t>オークション &gt; アクセサリー、時計 &gt; ブランドアクセサリー &gt; グッチ</t>
  </si>
  <si>
    <t>オークション &gt; ビューティー、ヘルスケア &gt; 健康用品、健康器具 &gt; 杖、ステッキ</t>
  </si>
  <si>
    <t>0,23140,2084052553,2084057773</t>
  </si>
  <si>
    <t>0,42177,2084042544,2084012480</t>
  </si>
  <si>
    <t>コーチ</t>
  </si>
  <si>
    <t>オークション &gt; アクセサリー、時計 &gt; ブランドアクセサリー &gt; コーチ</t>
  </si>
  <si>
    <t>和食</t>
  </si>
  <si>
    <t>オークション &gt; ビューティー、ヘルスケア &gt; 健康用品、健康器具 &gt; その他</t>
  </si>
  <si>
    <t>0,23140,2084052553,2084285568</t>
  </si>
  <si>
    <t>0,42177,2084042544,2084042545</t>
  </si>
  <si>
    <t>オークション &gt; 本、雑誌 &gt; 住まい、暮らし、育児 &gt; 料理、レシピ &gt; 和食</t>
  </si>
  <si>
    <t>0,21600,2084008935,21704,2084008939</t>
  </si>
  <si>
    <t>コム サ デ モード</t>
  </si>
  <si>
    <t>オークション &gt; アクセサリー、時計 &gt; ブランドアクセサリー &gt; コム サ デ モード</t>
  </si>
  <si>
    <t>0,23140,2084052553,2084057919</t>
  </si>
  <si>
    <t>ゴローズ</t>
  </si>
  <si>
    <t>オークション &gt; アクセサリー、時計 &gt; ブランドアクセサリー &gt; ゴローズ</t>
  </si>
  <si>
    <t>オークション &gt; 家電、AV、カメラ &gt; 美容、健康 &gt; 美容機器 &gt; ネイルケア</t>
  </si>
  <si>
    <t>0,23140,2084052553,2084292916</t>
  </si>
  <si>
    <t>0,23632,2084042673,2084007477,2084055371</t>
  </si>
  <si>
    <t>フェイスケア</t>
  </si>
  <si>
    <t>オークション &gt; 家電、AV、カメラ &gt; 美容、健康 &gt; 美容機器 &gt; フェイスケア</t>
  </si>
  <si>
    <t>シャネル</t>
  </si>
  <si>
    <t>0,23632,2084042673,2084007477,2084055372</t>
  </si>
  <si>
    <t>オークション &gt; アクセサリー、時計 &gt; ブランドアクセサリー &gt; シャネル</t>
  </si>
  <si>
    <t>0,23140,2084052553,2084057791</t>
  </si>
  <si>
    <t>オークション &gt; 家電、AV、カメラ &gt; 美容、健康 &gt; 美容機器 &gt; ヘアケア</t>
  </si>
  <si>
    <t>0,23632,2084042673,2084007477,2084055373</t>
  </si>
  <si>
    <t>ショーメ</t>
  </si>
  <si>
    <t>オークション &gt; アクセサリー、時計 &gt; ブランドアクセサリー &gt; ショーメ</t>
  </si>
  <si>
    <t>0,23140,2084052553,2084057916</t>
  </si>
  <si>
    <t>オークション &gt; 家電、AV、カメラ &gt; 美容、健康 &gt; 美容機器 &gt; ボディケア</t>
  </si>
  <si>
    <t>0,23632,2084042673,2084007477,2084055374</t>
  </si>
  <si>
    <t>ショパール</t>
  </si>
  <si>
    <t>オークション &gt; アクセサリー、時計 &gt; ブランドアクセサリー &gt; ショパール</t>
  </si>
  <si>
    <t>0,23140,2084052553,2084057887</t>
  </si>
  <si>
    <t>オークション &gt; 家電、AV、カメラ &gt; 美容、健康 &gt; 美容機器 &gt; 体脂肪計</t>
  </si>
  <si>
    <t>0,23632,2084042673,2084007477,2084006921</t>
  </si>
  <si>
    <t>ジバンシイ</t>
  </si>
  <si>
    <t>オークション &gt; アクセサリー、時計 &gt; ブランドアクセサリー &gt; ジバンシイ</t>
  </si>
  <si>
    <t>0,23140,2084052553,2084062113</t>
  </si>
  <si>
    <t>オークション &gt; 家電、AV、カメラ &gt; 美容、健康 &gt; 美容機器 &gt; 体重計</t>
  </si>
  <si>
    <t>0,23632,2084042673,2084007477,2084006922</t>
  </si>
  <si>
    <t>ジャスティンデイビス</t>
  </si>
  <si>
    <t>オークション &gt; アクセサリー、時計 &gt; ブランドアクセサリー &gt; ジャスティンデイビス</t>
  </si>
  <si>
    <t>0,23140,2084052553,2084259184</t>
  </si>
  <si>
    <t>ジャムホームメイド</t>
  </si>
  <si>
    <t>脱毛、除毛</t>
  </si>
  <si>
    <t>オークション &gt; アクセサリー、時計 &gt; ブランドアクセサリー &gt; ジャムホームメイド</t>
  </si>
  <si>
    <t>オークション &gt; 家電、AV、カメラ &gt; 美容、健康 &gt; 美容機器 &gt; 脱毛、除毛</t>
  </si>
  <si>
    <t>0,23140,2084052553,2084211403</t>
  </si>
  <si>
    <t>0,23632,2084042673,2084007477,2084055370</t>
  </si>
  <si>
    <t>ジョージ・ジェンセン</t>
  </si>
  <si>
    <t>オークション &gt; アクセサリー、時計 &gt; ブランドアクセサリー &gt; ジョージ・ジェンセン</t>
  </si>
  <si>
    <t>0,23140,2084052553,2084195385</t>
  </si>
  <si>
    <t>電動歯ブラシ</t>
  </si>
  <si>
    <t>オークション &gt; 家電、AV、カメラ &gt; 美容、健康 &gt; 美容機器 &gt; 電動歯ブラシ</t>
  </si>
  <si>
    <t>スタージュエリー</t>
  </si>
  <si>
    <t>0,23632,2084042673,2084007477,2084044972</t>
  </si>
  <si>
    <t>オークション &gt; アクセサリー、時計 &gt; ブランドアクセサリー &gt; スタージュエリー</t>
  </si>
  <si>
    <t>0,23140,2084052553,2084057892</t>
  </si>
  <si>
    <t>スワロフスキー</t>
  </si>
  <si>
    <t>オークション &gt; アクセサリー、時計 &gt; ブランドアクセサリー &gt; スワロフスキー</t>
  </si>
  <si>
    <t>0,23140,2084052553,2084212690</t>
  </si>
  <si>
    <t>オークション &gt; 家電、AV、カメラ &gt; 美容、健康 &gt; 美容機器 &gt; その他</t>
  </si>
  <si>
    <t>0,23632,2084042673,2084007477,2084055375</t>
  </si>
  <si>
    <t>タテオシアン</t>
  </si>
  <si>
    <t>オークション &gt; アクセサリー、時計 &gt; ブランドアクセサリー &gt; タテオシアン</t>
  </si>
  <si>
    <t>0,23140,2084052553,2084061872</t>
  </si>
  <si>
    <t>ダミアーニ</t>
  </si>
  <si>
    <t>オークション &gt; アクセサリー、時計 &gt; ブランドアクセサリー &gt; ダミアーニ</t>
  </si>
  <si>
    <t>0,23140,2084052553,2084211290</t>
  </si>
  <si>
    <t>ダンヒル</t>
  </si>
  <si>
    <t>オークション &gt; アクセサリー、時計 &gt; ブランドアクセサリー &gt; ダンヒル</t>
  </si>
  <si>
    <t>0,23140,2084052553,2084061866</t>
  </si>
  <si>
    <t>ティファニー</t>
  </si>
  <si>
    <t>オークション &gt; アクセサリー、時計 &gt; ブランドアクセサリー &gt; ティファニー</t>
  </si>
  <si>
    <t>0,23140,2084052553,2084052592</t>
  </si>
  <si>
    <t>デビアス</t>
  </si>
  <si>
    <t>オークション &gt; アクセサリー、時計 &gt; ブランドアクセサリー &gt; デビアス</t>
  </si>
  <si>
    <t>0,23140,2084052553,2084195391</t>
  </si>
  <si>
    <t>オークション &gt; ファッション &gt; ブランド別</t>
  </si>
  <si>
    <t>トラヴィスワーカー</t>
  </si>
  <si>
    <t>オークション &gt; アクセサリー、時計 &gt; ブランドアクセサリー &gt; トラヴィスワーカー</t>
  </si>
  <si>
    <t>0,23000,23172</t>
  </si>
  <si>
    <t>0,23140,2084052553,2084211400</t>
  </si>
  <si>
    <t>ドルチェ＆ガッバーナ</t>
  </si>
  <si>
    <t>オークション &gt; アクセサリー、時計 &gt; ブランドアクセサリー &gt; ドルチェ＆ガッバーナ</t>
  </si>
  <si>
    <t>0,23140,2084052553,2084059826</t>
  </si>
  <si>
    <t>レディースファッション</t>
  </si>
  <si>
    <t>田崎真珠</t>
  </si>
  <si>
    <t>オークション &gt; アクセサリー、時計 &gt; ブランドアクセサリー &gt; 田崎真珠</t>
  </si>
  <si>
    <t>オークション &gt; ファッション &gt; レディースファッション</t>
  </si>
  <si>
    <t>0,23140,2084052553,2084061900</t>
  </si>
  <si>
    <t>0,23000,23288</t>
  </si>
  <si>
    <t>ナンバーナイン</t>
  </si>
  <si>
    <t>オークション &gt; アクセサリー、時計 &gt; ブランドアクセサリー &gt; ナンバーナイン</t>
  </si>
  <si>
    <t>0,23140,2084052553,2084061782</t>
  </si>
  <si>
    <t>レディースバッグ</t>
  </si>
  <si>
    <t>オークション &gt; ファッション &gt; レディースバッグ</t>
  </si>
  <si>
    <t>ニナリッチ</t>
  </si>
  <si>
    <t>0,23000,2084005069</t>
  </si>
  <si>
    <t>オークション &gt; アクセサリー、時計 &gt; ブランドアクセサリー &gt; ニナリッチ</t>
  </si>
  <si>
    <t>0,23140,2084052553,2084057897</t>
  </si>
  <si>
    <t>中古車・新車</t>
  </si>
  <si>
    <t>ノジェス</t>
  </si>
  <si>
    <t>オークション &gt; アクセサリー、時計 &gt; ブランドアクセサリー &gt; ノジェス</t>
  </si>
  <si>
    <t>0,23140,2084052553,2084242562</t>
  </si>
  <si>
    <t>レディースシューズ</t>
  </si>
  <si>
    <t>オークション &gt; 自動車、オートバイ &gt; 中古車・新車</t>
  </si>
  <si>
    <t>オークション &gt; ファッション &gt; レディースシューズ</t>
  </si>
  <si>
    <t>0,26318,26360</t>
  </si>
  <si>
    <t>0,23000,23312</t>
  </si>
  <si>
    <t>ハリー・ウィンストン</t>
  </si>
  <si>
    <t>オークション &gt; アクセサリー、時計 &gt; ブランドアクセサリー &gt; ハリー・ウィンストン</t>
  </si>
  <si>
    <t>0,23140,2084052553,2084211287</t>
  </si>
  <si>
    <t>女性和服、着物</t>
  </si>
  <si>
    <t>掘り出し中古車</t>
  </si>
  <si>
    <t>オークション &gt; 自動車、オートバイ &gt; 掘り出し中古車</t>
  </si>
  <si>
    <t>オークション &gt; ファッション &gt; 女性和服、着物</t>
  </si>
  <si>
    <t>バカラ</t>
  </si>
  <si>
    <t>オークション &gt; アクセサリー、時計 &gt; ブランドアクセサリー &gt; バカラ</t>
  </si>
  <si>
    <t>0,26318,2084315710</t>
  </si>
  <si>
    <t>0,23000,2084005204</t>
  </si>
  <si>
    <t>0,23140,2084052553,2084057901</t>
  </si>
  <si>
    <t>オートバイ</t>
  </si>
  <si>
    <t>オークション &gt; 自動車、オートバイ &gt; オートバイ</t>
  </si>
  <si>
    <t>ビルウォールレザー</t>
  </si>
  <si>
    <t>0,26318,26308</t>
  </si>
  <si>
    <t>オークション &gt; アクセサリー、時計 &gt; ブランドアクセサリー &gt; ビルウォールレザー</t>
  </si>
  <si>
    <t>0,23140,2084052553,2084195403</t>
  </si>
  <si>
    <t>ファッション小物</t>
  </si>
  <si>
    <t>オークション &gt; ファッション &gt; ファッション小物</t>
  </si>
  <si>
    <t>パーツ</t>
  </si>
  <si>
    <t>ピアジェ</t>
  </si>
  <si>
    <t>オークション &gt; 自動車、オートバイ &gt; パーツ</t>
  </si>
  <si>
    <t>0,23000,23004</t>
  </si>
  <si>
    <t>0,26318,26322</t>
  </si>
  <si>
    <t>オークション &gt; アクセサリー、時計 &gt; ブランドアクセサリー &gt; ピアジェ</t>
  </si>
  <si>
    <t>0,23140,2084052553,2084211293</t>
  </si>
  <si>
    <t>タイヤ、ホイール</t>
  </si>
  <si>
    <t>オークション &gt; 自動車、オートバイ &gt; タイヤ、ホイール</t>
  </si>
  <si>
    <t>0,26318,2084300257</t>
  </si>
  <si>
    <t>フォリフォリ</t>
  </si>
  <si>
    <t>オークション &gt; アクセサリー、時計 &gt; ブランドアクセサリー &gt; フォリフォリ</t>
  </si>
  <si>
    <t>0,23140,2084052553,2084057904</t>
  </si>
  <si>
    <t>メンズファッション</t>
  </si>
  <si>
    <t>オークション &gt; ファッション &gt; メンズファッション</t>
  </si>
  <si>
    <t>0,23000,23176</t>
  </si>
  <si>
    <t>ETC</t>
  </si>
  <si>
    <t>オークション &gt; 自動車、オートバイ &gt; ETC</t>
  </si>
  <si>
    <t>0,26318,2084048326</t>
  </si>
  <si>
    <t>フリースタイル</t>
  </si>
  <si>
    <t>オークション &gt; アクセサリー、時計 &gt; ブランドアクセサリー &gt; フリースタイル</t>
  </si>
  <si>
    <t>0,23140,2084052553,2084195409</t>
  </si>
  <si>
    <t>カーナビ</t>
  </si>
  <si>
    <t>ブシュロン</t>
  </si>
  <si>
    <t>メンズバッグ</t>
  </si>
  <si>
    <t>オークション &gt; 自動車、オートバイ &gt; カーナビ</t>
  </si>
  <si>
    <t>0,26318,23879</t>
  </si>
  <si>
    <t>オークション &gt; アクセサリー、時計 &gt; ブランドアクセサリー &gt; ブシュロン</t>
  </si>
  <si>
    <t>オークション &gt; ファッション &gt; メンズバッグ</t>
  </si>
  <si>
    <t>0,23140,2084052553,2084211300</t>
  </si>
  <si>
    <t>0,23000,2084006467</t>
  </si>
  <si>
    <t>ブラッディーマリー</t>
  </si>
  <si>
    <t>オークション &gt; アクセサリー、時計 &gt; ブランドアクセサリー &gt; ブラッディーマリー</t>
  </si>
  <si>
    <t>0,23140,2084052553,2084195393</t>
  </si>
  <si>
    <t>カーオーディオ</t>
  </si>
  <si>
    <t>メンズシューズ</t>
  </si>
  <si>
    <t>オークション &gt; 自動車、オートバイ &gt; カーオーディオ</t>
  </si>
  <si>
    <t>オークション &gt; ファッション &gt; メンズシューズ</t>
  </si>
  <si>
    <t>0,26318,23852</t>
  </si>
  <si>
    <t>0,23000,23200</t>
  </si>
  <si>
    <t>ブルーム</t>
  </si>
  <si>
    <t>オークション &gt; アクセサリー、時計 &gt; ブランドアクセサリー &gt; ブルーム</t>
  </si>
  <si>
    <t>0,23140,2084052553,2084195392</t>
  </si>
  <si>
    <t>オークション &gt; 自動車、オートバイ &gt; アクセサリー</t>
  </si>
  <si>
    <t>0,26318,26320</t>
  </si>
  <si>
    <t>男性和服、着物</t>
  </si>
  <si>
    <t>オークション &gt; ファッション &gt; 男性和服、着物</t>
  </si>
  <si>
    <t>ブルガリ</t>
  </si>
  <si>
    <t>0,23000,2084005479</t>
  </si>
  <si>
    <t>オークション &gt; アクセサリー、時計 &gt; ブランドアクセサリー &gt; ブルガリ</t>
  </si>
  <si>
    <t>セーフティ</t>
  </si>
  <si>
    <t>0,23140,2084052553,2084052554</t>
  </si>
  <si>
    <t>オークション &gt; 自動車、オートバイ &gt; セーフティ</t>
  </si>
  <si>
    <t>0,26318,2084005798</t>
  </si>
  <si>
    <t>ポール･スミス</t>
  </si>
  <si>
    <t>オークション &gt; アクセサリー、時計 &gt; ブランドアクセサリー &gt; ポール･スミス</t>
  </si>
  <si>
    <t>0,23140,2084052553,2084061856</t>
  </si>
  <si>
    <t>男女兼用バッグ</t>
  </si>
  <si>
    <t>オークション &gt; 自動車、オートバイ &gt; セキュリティ</t>
  </si>
  <si>
    <t>オークション &gt; ファッション &gt; 男女兼用バッグ</t>
  </si>
  <si>
    <t>0,26318,2084005799</t>
  </si>
  <si>
    <t>0,23000,2084233229</t>
  </si>
  <si>
    <t>ポメラート</t>
  </si>
  <si>
    <t>オークション &gt; アクセサリー、時計 &gt; ブランドアクセサリー &gt; ポメラート</t>
  </si>
  <si>
    <t>0,23140,2084052553,2084211297</t>
  </si>
  <si>
    <t>メンテナンス</t>
  </si>
  <si>
    <t>ポンテヴェキオ</t>
  </si>
  <si>
    <t>キッズ、ベビーファッション</t>
  </si>
  <si>
    <t>オークション &gt; 自動車、オートバイ &gt; メンテナンス</t>
  </si>
  <si>
    <t>オークション &gt; アクセサリー、時計 &gt; ブランドアクセサリー &gt; ポンテヴェキオ</t>
  </si>
  <si>
    <t>オークション &gt; ファッション &gt; キッズ、ベビーファッション</t>
  </si>
  <si>
    <t>0,23140,2084052553,2084301273</t>
  </si>
  <si>
    <t>0,26318,26092</t>
  </si>
  <si>
    <t>0,23000,2084293011</t>
  </si>
  <si>
    <t>ヴァンクリーフ＆アーペル</t>
  </si>
  <si>
    <t>オークション &gt; アクセサリー、時計 &gt; ブランドアクセサリー &gt; ヴァンクリーフ＆アーペル</t>
  </si>
  <si>
    <t>トラック、ダンプ、建設機械</t>
  </si>
  <si>
    <t>0,23140,2084052553,2084057880</t>
  </si>
  <si>
    <t>オークション &gt; 自動車、オートバイ &gt; トラック、ダンプ、建設機械</t>
  </si>
  <si>
    <t>和服、和装</t>
  </si>
  <si>
    <t>0,26318,26362</t>
  </si>
  <si>
    <t>オークション &gt; ファッション &gt; 和服、和装</t>
  </si>
  <si>
    <t>0,23000,2084061614</t>
  </si>
  <si>
    <t>ヴァンドーム青山</t>
  </si>
  <si>
    <t>オークション &gt; アクセサリー、時計 &gt; ブランドアクセサリー &gt; ヴァンドーム青山</t>
  </si>
  <si>
    <t>0,23140,2084052553,2084057883</t>
  </si>
  <si>
    <t>ヴィヴィアンウエストウッド</t>
  </si>
  <si>
    <t>オークション &gt; 自動車、オートバイ &gt; バス</t>
  </si>
  <si>
    <t>オークション &gt; アクセサリー、時計 &gt; ブランドアクセサリー &gt; ヴィヴィアンウエストウッド</t>
  </si>
  <si>
    <t>0,23140,2084052553,2084061789</t>
  </si>
  <si>
    <t>0,26318,2084008324</t>
  </si>
  <si>
    <t>オークション &gt; ファッション &gt; ハンドメイド</t>
  </si>
  <si>
    <t>0,23000,2084240597</t>
  </si>
  <si>
    <t>ミキモト</t>
  </si>
  <si>
    <t>オークション &gt; アクセサリー、時計 &gt; ブランドアクセサリー &gt; ミキモト</t>
  </si>
  <si>
    <t>0,23140,2084052553,2084061906</t>
  </si>
  <si>
    <t>キャンピングカー（車体）</t>
  </si>
  <si>
    <t>ミハエル・ネグリン</t>
  </si>
  <si>
    <t>オークション &gt; アクセサリー、時計 &gt; ブランドアクセサリー &gt; ミハエル・ネグリン</t>
  </si>
  <si>
    <t>0,23140,2084052553,2084224324</t>
  </si>
  <si>
    <t>オークション &gt; 自動車、オートバイ &gt; キャンピングカー（車体）</t>
  </si>
  <si>
    <t>0,26318,2084049594</t>
  </si>
  <si>
    <t>オークション &gt; ファッション &gt; アクセサリー、時計</t>
  </si>
  <si>
    <t>0,23000,23140</t>
  </si>
  <si>
    <t>ミリアム・ハスケル</t>
  </si>
  <si>
    <t>オークション &gt; アクセサリー、時計 &gt; ブランドアクセサリー &gt; ミリアム・ハスケル</t>
  </si>
  <si>
    <t>0,23140,2084052553,2084224321</t>
  </si>
  <si>
    <t>部品取り車</t>
  </si>
  <si>
    <t>4℃</t>
  </si>
  <si>
    <t>オークション &gt; アクセサリー、時計 &gt; ブランドアクセサリー &gt; 4℃</t>
  </si>
  <si>
    <t>0,23140,2084052553,2084057866</t>
  </si>
  <si>
    <t>オークション &gt; 自動車、オートバイ &gt; 部品取り車</t>
  </si>
  <si>
    <t>アウトドアウエア</t>
  </si>
  <si>
    <t>0,26318,2084061280</t>
  </si>
  <si>
    <t>オークション &gt; ファッション &gt; アウトドアウエア</t>
  </si>
  <si>
    <t>0,23000,24802</t>
  </si>
  <si>
    <t>ルイ・ヴィトン</t>
  </si>
  <si>
    <t>オークション &gt; アクセサリー、時計 &gt; ブランドアクセサリー &gt; ルイ・ヴィトン</t>
  </si>
  <si>
    <t>0,23140,2084052553,2084061772</t>
  </si>
  <si>
    <t>レナードカムホート、ロンワンズ</t>
  </si>
  <si>
    <t>オークション &gt; アクセサリー、時計 &gt; ブランドアクセサリー &gt; レナードカムホート、ロンワンズ</t>
  </si>
  <si>
    <t>0,23140,2084052553,2084057910</t>
  </si>
  <si>
    <t>工具</t>
  </si>
  <si>
    <t>スポーツウエア</t>
  </si>
  <si>
    <t>オークション &gt; ファッション &gt; スポーツウエア</t>
  </si>
  <si>
    <t>オークション &gt; 自動車、オートバイ &gt; 工具</t>
  </si>
  <si>
    <t>0,23000,23008</t>
  </si>
  <si>
    <t>0,26318,24650</t>
  </si>
  <si>
    <t>ロードキャメロット</t>
  </si>
  <si>
    <t>オークション &gt; アクセサリー、時計 &gt; ブランドアクセサリー &gt; ロードキャメロット</t>
  </si>
  <si>
    <t>0,23140,2084052553,2084214030</t>
  </si>
  <si>
    <t>ローリーロドキン</t>
  </si>
  <si>
    <t>オークション &gt; ファッション &gt; 香水、フレグランス</t>
  </si>
  <si>
    <t>オークション &gt; アクセサリー、時計 &gt; ブランドアクセサリー &gt; ローリーロドキン</t>
  </si>
  <si>
    <t>0,23000,42179</t>
  </si>
  <si>
    <t>0,23140,2084052553,2084210883</t>
  </si>
  <si>
    <t>カタログ、パーツリスト、整備書</t>
  </si>
  <si>
    <t>オークション &gt; 自動車、オートバイ &gt; カタログ、パーツリスト、整備書</t>
  </si>
  <si>
    <t>0,26318,2084005545</t>
  </si>
  <si>
    <t>ロイヤルオーダー</t>
  </si>
  <si>
    <t>オークション &gt; アクセサリー、時計 &gt; ブランドアクセサリー &gt; ロイヤルオーダー</t>
  </si>
  <si>
    <t>0,23140,2084052553,2084195394</t>
  </si>
  <si>
    <t>ファッション雑誌</t>
  </si>
  <si>
    <t>オークション &gt; ファッション &gt; ファッション雑誌</t>
  </si>
  <si>
    <t>0,23000,21912</t>
  </si>
  <si>
    <t>オークション &gt; アクセサリー、時計 &gt; ブランドアクセサリー &gt; その他</t>
  </si>
  <si>
    <t>0,23140,2084052553,2084284916</t>
  </si>
  <si>
    <t>自動車関連グッズ</t>
  </si>
  <si>
    <t>オークション &gt; 自動車、オートバイ &gt; 自動車関連グッズ</t>
  </si>
  <si>
    <t>0,26318,2084005546</t>
  </si>
  <si>
    <t>オークション &gt; ファッション &gt; コスプレ衣装</t>
  </si>
  <si>
    <t>0,23000,2084062134</t>
  </si>
  <si>
    <t>ネックレス、ペンダント</t>
  </si>
  <si>
    <t>オークション &gt; アクセサリー、時計 &gt; レディースアクセサリー &gt; ネックレス、ペンダント</t>
  </si>
  <si>
    <t>0,23140,2084005359,2084005389</t>
  </si>
  <si>
    <t>オークション &gt; 自動車、オートバイ &gt; アンティーク、コレクション</t>
  </si>
  <si>
    <t>0,26318,26324</t>
  </si>
  <si>
    <t>ファッションコーディネート</t>
  </si>
  <si>
    <t>ペンダントトップ、チャーム</t>
  </si>
  <si>
    <t>オークション &gt; ファッション &gt; ファッションコーディネート</t>
  </si>
  <si>
    <t>オークション &gt; アクセサリー、時計 &gt; レディースアクセサリー &gt; ペンダントトップ、チャーム</t>
  </si>
  <si>
    <t>0,23140,2084005359,2084060087</t>
  </si>
  <si>
    <t>0,23000,2084307758</t>
  </si>
  <si>
    <t>ネックレス（チェーンのみ）</t>
  </si>
  <si>
    <t>オークション &gt; アクセサリー、時計 &gt; レディースアクセサリー &gt; ネックレス（チェーンのみ）</t>
  </si>
  <si>
    <t>オークション &gt; 自動車、オートバイ &gt; ビデオ</t>
  </si>
  <si>
    <t>0,23140,2084005359,2084060086</t>
  </si>
  <si>
    <t>0,26318,2084019952</t>
  </si>
  <si>
    <t>ファッションレンタル</t>
  </si>
  <si>
    <t>オークション &gt; ファッション &gt; ファッションレンタル</t>
  </si>
  <si>
    <t>0,23000,2084307769</t>
  </si>
  <si>
    <t>チョーカー</t>
  </si>
  <si>
    <t>オークション &gt; アクセサリー、時計 &gt; レディースアクセサリー &gt; チョーカー</t>
  </si>
  <si>
    <t>レーシングカート</t>
  </si>
  <si>
    <t>0,23140,2084005359,2084005391</t>
  </si>
  <si>
    <t>オークション &gt; 自動車、オートバイ &gt; レーシングカート</t>
  </si>
  <si>
    <t>0,26318,2084018483</t>
  </si>
  <si>
    <t>指輪</t>
  </si>
  <si>
    <t>オークション &gt; アクセサリー、時計 &gt; レディースアクセサリー &gt; 指輪</t>
  </si>
  <si>
    <t>0,23140,2084005359,2084005425</t>
  </si>
  <si>
    <t>電動アシスト自転車</t>
  </si>
  <si>
    <t>オークション &gt; 自動車、オートバイ &gt; 電動アシスト自転車</t>
  </si>
  <si>
    <t>0,26318,2084045639</t>
  </si>
  <si>
    <t>ピアス</t>
  </si>
  <si>
    <t>オークション &gt; アクセサリー、時計 &gt; レディースアクセサリー &gt; ピアス</t>
  </si>
  <si>
    <t>0,23140,2084005359,2084005417</t>
  </si>
  <si>
    <t>イヤリング</t>
  </si>
  <si>
    <t>オークション &gt; アクセサリー、時計 &gt; レディースアクセサリー &gt; イヤリング</t>
  </si>
  <si>
    <t>0,23140,2084005359,2084005410</t>
  </si>
  <si>
    <t>オークション &gt; 自動車、オートバイ &gt; 本、雑誌</t>
  </si>
  <si>
    <t>あ</t>
  </si>
  <si>
    <t>0,26318,2084008871</t>
  </si>
  <si>
    <t>オークション &gt; ファッション &gt; ブランド別 &gt; あ</t>
  </si>
  <si>
    <t>ブレスレット、バングル</t>
  </si>
  <si>
    <t>0,23000,23172,2084061507</t>
  </si>
  <si>
    <t>オークション &gt; アクセサリー、時計 &gt; レディースアクセサリー &gt; ブレスレット、バングル</t>
  </si>
  <si>
    <t>0,23140,2084005359,2084005365</t>
  </si>
  <si>
    <t>取り付けサービス</t>
  </si>
  <si>
    <t>オークション &gt; 自動車、オートバイ &gt; 取り付けサービス</t>
  </si>
  <si>
    <t>アンクレット</t>
  </si>
  <si>
    <t>0,26318,2084214141</t>
  </si>
  <si>
    <t>オークション &gt; アクセサリー、時計 &gt; レディースアクセサリー &gt; アンクレット</t>
  </si>
  <si>
    <t>い</t>
  </si>
  <si>
    <t>0,23140,2084005359,2084005436</t>
  </si>
  <si>
    <t>オークション &gt; ファッション &gt; ブランド別 &gt; い</t>
  </si>
  <si>
    <t>0,23000,23172,2084061508</t>
  </si>
  <si>
    <t>裸石、ルース</t>
  </si>
  <si>
    <t>オークション &gt; アクセサリー、時計 &gt; レディースアクセサリー &gt; 裸石、ルース</t>
  </si>
  <si>
    <t>0,23140,2084005359,2084019048</t>
  </si>
  <si>
    <t>う</t>
  </si>
  <si>
    <t>ブローチ</t>
  </si>
  <si>
    <t>オークション &gt; アクセサリー、時計 &gt; レディースアクセサリー &gt; ブローチ</t>
  </si>
  <si>
    <t>0,23140,2084005359,2084005369</t>
  </si>
  <si>
    <t>トヨタ</t>
  </si>
  <si>
    <t>オークション &gt; 自動車、オートバイ &gt; 中古車・新車 &gt; トヨタ</t>
  </si>
  <si>
    <t>オークション &gt; ファッション &gt; ブランド別 &gt; う</t>
  </si>
  <si>
    <t>0,26318,26360,2084007642</t>
  </si>
  <si>
    <t>0,23000,23172,2084061509</t>
  </si>
  <si>
    <t>ヘアアクセサリー</t>
  </si>
  <si>
    <t>オークション &gt; アクセサリー、時計 &gt; レディースアクセサリー &gt; ヘアアクセサリー</t>
  </si>
  <si>
    <t>0,23140,2084005359,2084005370</t>
  </si>
  <si>
    <t>レクサス</t>
  </si>
  <si>
    <t>オークション &gt; 自動車、オートバイ &gt; 中古車・新車 &gt; レクサス</t>
  </si>
  <si>
    <t>0,26318,26360,2084200156</t>
  </si>
  <si>
    <t>コサージュ</t>
  </si>
  <si>
    <t>え</t>
  </si>
  <si>
    <t>オークション &gt; アクセサリー、時計 &gt; レディースアクセサリー &gt; コサージュ</t>
  </si>
  <si>
    <t>0,23140,2084005359,2084012460</t>
  </si>
  <si>
    <t>オークション &gt; ファッション &gt; ブランド別 &gt; え</t>
  </si>
  <si>
    <t>いすゞ</t>
  </si>
  <si>
    <t>オークション &gt; 自動車、オートバイ &gt; 中古車・新車 &gt; いすゞ</t>
  </si>
  <si>
    <t>0,23000,23172,2084061510</t>
  </si>
  <si>
    <t>0,26318,26360,2084007652</t>
  </si>
  <si>
    <t>ボディピアス</t>
  </si>
  <si>
    <t>オークション &gt; アクセサリー、時計 &gt; レディースアクセサリー &gt; ボディピアス</t>
  </si>
  <si>
    <t>0,23140,2084005359,2084023700</t>
  </si>
  <si>
    <t>スズキ</t>
  </si>
  <si>
    <t>お</t>
  </si>
  <si>
    <t>オークション &gt; ファッション &gt; ブランド別 &gt; お</t>
  </si>
  <si>
    <t>オークション &gt; 自動車、オートバイ &gt; 中古車・新車 &gt; スズキ</t>
  </si>
  <si>
    <t>0,23000,23172,2084061511</t>
  </si>
  <si>
    <t>チャーム</t>
  </si>
  <si>
    <t>0,26318,26360,2084007662</t>
  </si>
  <si>
    <t>オークション &gt; アクセサリー、時計 &gt; レディースアクセサリー &gt; チャーム</t>
  </si>
  <si>
    <t>スバル</t>
  </si>
  <si>
    <t>オークション &gt; 自動車、オートバイ &gt; 中古車・新車 &gt; スバル</t>
  </si>
  <si>
    <t>0,26318,26360,2084007663</t>
  </si>
  <si>
    <t>か</t>
  </si>
  <si>
    <t>オークション &gt; ファッション &gt; ブランド別 &gt; か</t>
  </si>
  <si>
    <t>オークション &gt; アクセサリー、時計 &gt; レディースアクセサリー &gt; 携帯ストラップ</t>
  </si>
  <si>
    <t>0,23000,23172,2084061534</t>
  </si>
  <si>
    <t>0,23140,2084005359,2084005064</t>
  </si>
  <si>
    <t>ダイハツ</t>
  </si>
  <si>
    <t>オークション &gt; 自動車、オートバイ &gt; 中古車・新車 &gt; ダイハツ</t>
  </si>
  <si>
    <t>0,26318,26360,2084007664</t>
  </si>
  <si>
    <t>アクセサリーケース</t>
  </si>
  <si>
    <t>オークション &gt; アクセサリー、時計 &gt; レディースアクセサリー &gt; アクセサリーケース</t>
  </si>
  <si>
    <t>0,23140,2084005359,2084005437</t>
  </si>
  <si>
    <t>き</t>
  </si>
  <si>
    <t>ホンダ</t>
  </si>
  <si>
    <t>オークション &gt; ファッション &gt; ブランド別 &gt; き</t>
  </si>
  <si>
    <t>オークション &gt; 自動車、オートバイ &gt; 中古車・新車 &gt; ホンダ</t>
  </si>
  <si>
    <t>0,23000,23172,2084061535</t>
  </si>
  <si>
    <t>0,26318,26360,2084007645</t>
  </si>
  <si>
    <t>く</t>
  </si>
  <si>
    <t>マツダ</t>
  </si>
  <si>
    <t>オークション &gt; 自動車、オートバイ &gt; 中古車・新車 &gt; マツダ</t>
  </si>
  <si>
    <t>オークション &gt; ファッション &gt; ブランド別 &gt; く</t>
  </si>
  <si>
    <t>0,26318,26360,2084007676</t>
  </si>
  <si>
    <t>0,23000,23172,2084061536</t>
  </si>
  <si>
    <t>ネックレス</t>
  </si>
  <si>
    <t>オークション &gt; アクセサリー、時計 &gt; メンズアクセサリー &gt; ネックレス</t>
  </si>
  <si>
    <t>光岡自動車</t>
  </si>
  <si>
    <t>け</t>
  </si>
  <si>
    <t>0,23140,2084005358,2084006909</t>
  </si>
  <si>
    <t>オークション &gt; 自動車、オートバイ &gt; 中古車・新車 &gt; 光岡自動車</t>
  </si>
  <si>
    <t>オークション &gt; ファッション &gt; ブランド別 &gt; け</t>
  </si>
  <si>
    <t>0,26318,26360,2084048946</t>
  </si>
  <si>
    <t>0,23000,23172,2084061537</t>
  </si>
  <si>
    <t>ペンダント</t>
  </si>
  <si>
    <t>オークション &gt; アクセサリー、時計 &gt; メンズアクセサリー &gt; ペンダント</t>
  </si>
  <si>
    <t>0,23140,2084005358,2084006910</t>
  </si>
  <si>
    <t>三菱</t>
  </si>
  <si>
    <t>オークション &gt; 自動車、オートバイ &gt; 中古車・新車 &gt; 三菱</t>
  </si>
  <si>
    <t>こ</t>
  </si>
  <si>
    <t>0,26318,26360,2084007685</t>
  </si>
  <si>
    <t>オークション &gt; ファッション &gt; ブランド別 &gt; こ</t>
  </si>
  <si>
    <t>0,23000,23172,2084061538</t>
  </si>
  <si>
    <t>オークション &gt; アクセサリー、時計 &gt; メンズアクセサリー &gt; ペンダントトップ、チャーム</t>
  </si>
  <si>
    <t>0,23140,2084005358,2084292881</t>
  </si>
  <si>
    <t>日産</t>
  </si>
  <si>
    <t>さ</t>
  </si>
  <si>
    <t>オークション &gt; 自動車、オートバイ &gt; 中古車・新車 &gt; 日産</t>
  </si>
  <si>
    <t>オークション &gt; ファッション &gt; ブランド別 &gt; さ</t>
  </si>
  <si>
    <t>0,26318,26360,2084007644</t>
  </si>
  <si>
    <t>オークション &gt; アクセサリー、時計 &gt; メンズアクセサリー &gt; ブレスレット、バングル</t>
  </si>
  <si>
    <t>0,23000,23172,2084061551</t>
  </si>
  <si>
    <t>0,23140,2084005358,2084005360</t>
  </si>
  <si>
    <t>AMG</t>
  </si>
  <si>
    <t>オークション &gt; アクセサリー、時計 &gt; メンズアクセサリー &gt; 指輪</t>
  </si>
  <si>
    <t>オークション &gt; 自動車、オートバイ &gt; 中古車・新車 &gt; AMG</t>
  </si>
  <si>
    <t>0,23140,2084005358,2084007896</t>
  </si>
  <si>
    <t>0,26318,26360,2084048921</t>
  </si>
  <si>
    <t>し</t>
  </si>
  <si>
    <t>オークション &gt; ファッション &gt; ブランド別 &gt; し</t>
  </si>
  <si>
    <t>キーチェーン、ウォレットチェーン</t>
  </si>
  <si>
    <t>0,23000,23172,2084061552</t>
  </si>
  <si>
    <t>オークション &gt; アクセサリー、時計 &gt; メンズアクセサリー &gt; キーチェーン、ウォレットチェーン</t>
  </si>
  <si>
    <t>0,23140,2084005358,2084023760</t>
  </si>
  <si>
    <t>BMW</t>
  </si>
  <si>
    <t>オークション &gt; 自動車、オートバイ &gt; 中古車・新車 &gt; BMW</t>
  </si>
  <si>
    <t>タイピン</t>
  </si>
  <si>
    <t>0,26318,26360,2084007646</t>
  </si>
  <si>
    <t>す</t>
  </si>
  <si>
    <t>オークション &gt; アクセサリー、時計 &gt; メンズアクセサリー &gt; タイピン</t>
  </si>
  <si>
    <t>0,23140,2084005358,2084005363</t>
  </si>
  <si>
    <t>オークション &gt; ファッション &gt; ブランド別 &gt; す</t>
  </si>
  <si>
    <t>0,23000,23172,2084061553</t>
  </si>
  <si>
    <t>BMWアルピナ</t>
  </si>
  <si>
    <t>オークション &gt; 自動車、オートバイ &gt; 中古車・新車 &gt; BMWアルピナ</t>
  </si>
  <si>
    <t>0,26318,26360,2084048922</t>
  </si>
  <si>
    <t>カフス</t>
  </si>
  <si>
    <t>オークション &gt; アクセサリー、時計 &gt; メンズアクセサリー &gt; カフス</t>
  </si>
  <si>
    <t>0,23140,2084005358,2084005362</t>
  </si>
  <si>
    <t>せ/そ</t>
  </si>
  <si>
    <t>オークション &gt; ファッション &gt; ブランド別 &gt; せ/そ</t>
  </si>
  <si>
    <t>アウディ</t>
  </si>
  <si>
    <t>0,23000,23172,2084061554</t>
  </si>
  <si>
    <t>オークション &gt; 自動車、オートバイ &gt; 中古車・新車 &gt; アウディ</t>
  </si>
  <si>
    <t>0,26318,26360,2084007649</t>
  </si>
  <si>
    <t>オークション &gt; アクセサリー、時計 &gt; メンズアクセサリー &gt; ピアス</t>
  </si>
  <si>
    <t>0,23140,2084005358,2084007897</t>
  </si>
  <si>
    <t>た/ち/つ</t>
  </si>
  <si>
    <t>オークション &gt; ファッション &gt; ブランド別 &gt; た/ち/つ</t>
  </si>
  <si>
    <t>オペル</t>
  </si>
  <si>
    <t>0,23000,23172,2084061652</t>
  </si>
  <si>
    <t>オークション &gt; 自動車、オートバイ &gt; 中古車・新車 &gt; オペル</t>
  </si>
  <si>
    <t>0,26318,26360,2084007653</t>
  </si>
  <si>
    <t>オークション &gt; アクセサリー、時計 &gt; メンズアクセサリー &gt; ボディピアス</t>
  </si>
  <si>
    <t>0,23140,2084005358,2084023699</t>
  </si>
  <si>
    <t>て</t>
  </si>
  <si>
    <t>スマート</t>
  </si>
  <si>
    <t>オークション &gt; ファッション &gt; ブランド別 &gt; て</t>
  </si>
  <si>
    <t>オークション &gt; 自動車、オートバイ &gt; 中古車・新車 &gt; スマート</t>
  </si>
  <si>
    <t>バックル</t>
  </si>
  <si>
    <t>0,23000,23172,2084061655</t>
  </si>
  <si>
    <t>オークション &gt; アクセサリー、時計 &gt; メンズアクセサリー &gt; バックル</t>
  </si>
  <si>
    <t>0,26318,26360,2084048928</t>
  </si>
  <si>
    <t>0,23140,2084005358,2084023706</t>
  </si>
  <si>
    <t>フォルクスワーゲン</t>
  </si>
  <si>
    <t>オークション &gt; 自動車、オートバイ &gt; 中古車・新車 &gt; フォルクスワーゲン</t>
  </si>
  <si>
    <t>と</t>
  </si>
  <si>
    <t>0,26318,26360,2084007669</t>
  </si>
  <si>
    <t>オークション &gt; ファッション &gt; ブランド別 &gt; と</t>
  </si>
  <si>
    <t>マネークリップ</t>
  </si>
  <si>
    <t>オークション &gt; アクセサリー、時計 &gt; メンズアクセサリー &gt; マネークリップ</t>
  </si>
  <si>
    <t>0,23000,23172,2084061656</t>
  </si>
  <si>
    <t>0,23140,2084005358,2084023711</t>
  </si>
  <si>
    <t>ブラバス</t>
  </si>
  <si>
    <t>オークション &gt; 自動車、オートバイ &gt; 中古車・新車 &gt; ブラバス</t>
  </si>
  <si>
    <t>0,26318,26360,2084048938</t>
  </si>
  <si>
    <t>ウイッグ</t>
  </si>
  <si>
    <t>ポルシェ</t>
  </si>
  <si>
    <t>な～の</t>
  </si>
  <si>
    <t>オークション &gt; アクセサリー、時計 &gt; メンズアクセサリー &gt; ウイッグ</t>
  </si>
  <si>
    <t>オークション &gt; 自動車、オートバイ &gt; 中古車・新車 &gt; ポルシェ</t>
  </si>
  <si>
    <t>0,23140,2084005358,2084062533</t>
  </si>
  <si>
    <t>オークション &gt; ファッション &gt; ブランド別 &gt; な～の</t>
  </si>
  <si>
    <t>0,26318,26360,2084007673</t>
  </si>
  <si>
    <t>0,23000,23172,2084050157</t>
  </si>
  <si>
    <t>メルセデス・ベンツ</t>
  </si>
  <si>
    <t>オークション &gt; 自動車、オートバイ &gt; 中古車・新車 &gt; メルセデス・ベンツ</t>
  </si>
  <si>
    <t>は</t>
  </si>
  <si>
    <t>0,26318,26360,2084007678</t>
  </si>
  <si>
    <t>オークション &gt; ファッション &gt; ブランド別 &gt; は</t>
  </si>
  <si>
    <t>オークション &gt; アクセサリー、時計 &gt; メンズアクセサリー &gt; キーホルダー</t>
  </si>
  <si>
    <t>0,23000,23172,2084061663</t>
  </si>
  <si>
    <t>0,23140,2084005358,40427</t>
  </si>
  <si>
    <t>MG</t>
  </si>
  <si>
    <t>オークション &gt; 自動車、オートバイ &gt; 中古車・新車 &gt; MG</t>
  </si>
  <si>
    <t>0,26318,26360,2084007647</t>
  </si>
  <si>
    <t>ひ</t>
  </si>
  <si>
    <t>オークション &gt; アクセサリー、時計 &gt; メンズアクセサリー &gt; チョーカー</t>
  </si>
  <si>
    <t>オークション &gt; ファッション &gt; ブランド別 &gt; ひ</t>
  </si>
  <si>
    <t>0,23140,2084005358,2084006911</t>
  </si>
  <si>
    <t>0,23000,23172,2084061664</t>
  </si>
  <si>
    <t>TVR</t>
  </si>
  <si>
    <t>オークション &gt; 自動車、オートバイ &gt; 中古車・新車 &gt; TVR</t>
  </si>
  <si>
    <t>0,26318,26360,2084007648</t>
  </si>
  <si>
    <t>ライター</t>
  </si>
  <si>
    <t>オークション &gt; アクセサリー、時計 &gt; メンズアクセサリー &gt; ライター</t>
  </si>
  <si>
    <t>0,23140,2084005358,26138</t>
  </si>
  <si>
    <t>ふ</t>
  </si>
  <si>
    <t>アストンマーチン</t>
  </si>
  <si>
    <t>オークション &gt; ファッション &gt; ブランド別 &gt; ふ</t>
  </si>
  <si>
    <t>オークション &gt; 自動車、オートバイ &gt; 中古車・新車 &gt; アストンマーチン</t>
  </si>
  <si>
    <t>0,23000,23172,2084061665</t>
  </si>
  <si>
    <t>0,26318,26360,2084007650</t>
  </si>
  <si>
    <t>オークション &gt; アクセサリー、時計 &gt; メンズアクセサリー &gt; 携帯ストラップ</t>
  </si>
  <si>
    <t>0,23140,2084005358,2084005064</t>
  </si>
  <si>
    <t>ウエストフィールド</t>
  </si>
  <si>
    <t>オークション &gt; 自動車、オートバイ &gt; 中古車・新車 &gt; ウエストフィールド</t>
  </si>
  <si>
    <t>0,26318,26360,2084054066</t>
  </si>
  <si>
    <t>携帯電話ケース</t>
  </si>
  <si>
    <t>オークション &gt; アクセサリー、時計 &gt; メンズアクセサリー &gt; 携帯電話ケース</t>
  </si>
  <si>
    <t>へ</t>
  </si>
  <si>
    <t>0,23140,2084005358,2084008418</t>
  </si>
  <si>
    <t>オークション &gt; ファッション &gt; ブランド別 &gt; へ</t>
  </si>
  <si>
    <t>0,23000,23172,2084061666</t>
  </si>
  <si>
    <t>オースチン</t>
  </si>
  <si>
    <t>オークション &gt; 自動車、オートバイ &gt; 中古車・新車 &gt; オースチン</t>
  </si>
  <si>
    <t>0,26318,26360,2084048926</t>
  </si>
  <si>
    <t>オークション &gt; アクセサリー、時計 &gt; メンズアクセサリー &gt; 裸石、ルース</t>
  </si>
  <si>
    <t>0,23140,2084005358,2084019048</t>
  </si>
  <si>
    <t>ケーターハム</t>
  </si>
  <si>
    <t>オークション &gt; 自動車、オートバイ &gt; 中古車・新車 &gt; ケーターハム</t>
  </si>
  <si>
    <t>ほ</t>
  </si>
  <si>
    <t>0,26318,26360,2084054067</t>
  </si>
  <si>
    <t>オークション &gt; ファッション &gt; ブランド別 &gt; ほ</t>
  </si>
  <si>
    <t>0,23000,23172,2084061667</t>
  </si>
  <si>
    <t>オークション &gt; アクセサリー、時計 &gt; メンズアクセサリー &gt; その他</t>
  </si>
  <si>
    <t>0,23140,2084005358,2084062070</t>
  </si>
  <si>
    <t>ジャガー</t>
  </si>
  <si>
    <t>オークション &gt; 自動車、オートバイ &gt; 中古車・新車 &gt; ジャガー</t>
  </si>
  <si>
    <t>0,26318,26360,2084007660</t>
  </si>
  <si>
    <t>ま</t>
  </si>
  <si>
    <t>オークション &gt; ファッション &gt; ブランド別 &gt; ま</t>
  </si>
  <si>
    <t>0,23000,23172,2084061759</t>
  </si>
  <si>
    <t>デイムラー</t>
  </si>
  <si>
    <t>オークション &gt; 自動車、オートバイ &gt; 中古車・新車 &gt; デイムラー</t>
  </si>
  <si>
    <t>0,26318,26360,2084048930</t>
  </si>
  <si>
    <t>バレッタ</t>
  </si>
  <si>
    <t>トライアンフ</t>
  </si>
  <si>
    <t>み</t>
  </si>
  <si>
    <t>オークション &gt; アクセサリー、時計 &gt; 子ども用アクセサリー &gt; バレッタ</t>
  </si>
  <si>
    <t>オークション &gt; 自動車、オートバイ &gt; 中古車・新車 &gt; トライアンフ</t>
  </si>
  <si>
    <t>0,23140,2084006476,2084006501</t>
  </si>
  <si>
    <t>オークション &gt; ファッション &gt; ブランド別 &gt; み</t>
  </si>
  <si>
    <t>0,26318,26360,2084048934</t>
  </si>
  <si>
    <t>0,23000,23172,2084061760</t>
  </si>
  <si>
    <t>パンサー</t>
  </si>
  <si>
    <t>オークション &gt; 自動車、オートバイ &gt; 中古車・新車 &gt; パンサー</t>
  </si>
  <si>
    <t>ヘアゴム、シュシュ</t>
  </si>
  <si>
    <t>0,26318,26360,2084048936</t>
  </si>
  <si>
    <t>オークション &gt; アクセサリー、時計 &gt; 子ども用アクセサリー &gt; ヘアゴム、シュシュ</t>
  </si>
  <si>
    <t>0,23140,2084006476,2084006665</t>
  </si>
  <si>
    <t>む/め/も</t>
  </si>
  <si>
    <t>オークション &gt; ファッション &gt; ブランド別 &gt; む/め/も</t>
  </si>
  <si>
    <t>0,23000,23172,2084061762</t>
  </si>
  <si>
    <t>ベントレー</t>
  </si>
  <si>
    <t>ヘアバンド、カチューシャ</t>
  </si>
  <si>
    <t>オークション &gt; アクセサリー、時計 &gt; 子ども用アクセサリー &gt; ヘアバンド、カチューシャ</t>
  </si>
  <si>
    <t>0,23140,2084006476,2084006500</t>
  </si>
  <si>
    <t>オークション &gt; 自動車、オートバイ &gt; 中古車・新車 &gt; ベントレー</t>
  </si>
  <si>
    <t>0,26318,26360,2084007672</t>
  </si>
  <si>
    <t>や/ゆ/よ</t>
  </si>
  <si>
    <t>オークション &gt; ファッション &gt; ブランド別 &gt; や/ゆ/よ</t>
  </si>
  <si>
    <t>0,23000,23172,2084050160</t>
  </si>
  <si>
    <t>ヘアピン</t>
  </si>
  <si>
    <t>オークション &gt; アクセサリー、時計 &gt; 子ども用アクセサリー &gt; ヘアピン</t>
  </si>
  <si>
    <t>0,23140,2084006476,2084006502</t>
  </si>
  <si>
    <t>ミニ</t>
  </si>
  <si>
    <t>オークション &gt; 自動車、オートバイ &gt; 中古車・新車 &gt; ミニ</t>
  </si>
  <si>
    <t>0,26318,26360,2084007677</t>
  </si>
  <si>
    <t>ら</t>
  </si>
  <si>
    <t>オークション &gt; ファッション &gt; ブランド別 &gt; ら</t>
  </si>
  <si>
    <t>オークション &gt; アクセサリー、時計 &gt; 子ども用アクセサリー &gt; リボン</t>
  </si>
  <si>
    <t>0,23140,2084006476,2084006477</t>
  </si>
  <si>
    <t>モーガン</t>
  </si>
  <si>
    <t>0,23000,23172,2084061764</t>
  </si>
  <si>
    <t>オークション &gt; 自動車、オートバイ &gt; 中古車・新車 &gt; モーガン</t>
  </si>
  <si>
    <t>0,26318,26360,2084048943</t>
  </si>
  <si>
    <t>り</t>
  </si>
  <si>
    <t>オークション &gt; アクセサリー、時計 &gt; 子ども用アクセサリー &gt; その他</t>
  </si>
  <si>
    <t>モーリス</t>
  </si>
  <si>
    <t>オークション &gt; ファッション &gt; ブランド別 &gt; り</t>
  </si>
  <si>
    <t>0,23140,2084006476,2084006478</t>
  </si>
  <si>
    <t>オークション &gt; 自動車、オートバイ &gt; 中古車・新車 &gt; モーリス</t>
  </si>
  <si>
    <t>0,23000,23172,2084061765</t>
  </si>
  <si>
    <t>0,26318,26360,2084048944</t>
  </si>
  <si>
    <t>る</t>
  </si>
  <si>
    <t>ランドローバー</t>
  </si>
  <si>
    <t>オークション &gt; ファッション &gt; ブランド別 &gt; る</t>
  </si>
  <si>
    <t>オークション &gt; 自動車、オートバイ &gt; 中古車・新車 &gt; ランドローバー</t>
  </si>
  <si>
    <t>0,26318,26360,2084048193</t>
  </si>
  <si>
    <t>0,23000,23172,2084061766</t>
  </si>
  <si>
    <t>ロータス</t>
  </si>
  <si>
    <t>れ</t>
  </si>
  <si>
    <t>オークション &gt; 自動車、オートバイ &gt; 中古車・新車 &gt; ロータス</t>
  </si>
  <si>
    <t>オークション &gt; ファッション &gt; ブランド別 &gt; れ</t>
  </si>
  <si>
    <t>0,26318,26360,2084007682</t>
  </si>
  <si>
    <t>0,23000,23172,2084061767</t>
  </si>
  <si>
    <t>オークション &gt; アクセサリー、時計 &gt; ブランド腕時計 &gt; あ行</t>
  </si>
  <si>
    <t>0,23140,23260,2084059709</t>
  </si>
  <si>
    <t>ローバー</t>
  </si>
  <si>
    <t>ろ</t>
  </si>
  <si>
    <t>オークション &gt; 自動車、オートバイ &gt; 中古車・新車 &gt; ローバー</t>
  </si>
  <si>
    <t>オークション &gt; ファッション &gt; ブランド別 &gt; ろ</t>
  </si>
  <si>
    <t>0,26318,26360,2084007683</t>
  </si>
  <si>
    <t>0,23000,23172,2084061768</t>
  </si>
  <si>
    <t>オークション &gt; アクセサリー、時計 &gt; ブランド腕時計 &gt; か行</t>
  </si>
  <si>
    <t>0,23140,23260,2084059710</t>
  </si>
  <si>
    <t>ロールスロイス</t>
  </si>
  <si>
    <t>わ</t>
  </si>
  <si>
    <t>オークション &gt; 自動車、オートバイ &gt; 中古車・新車 &gt; ロールスロイス</t>
  </si>
  <si>
    <t>オークション &gt; ファッション &gt; ブランド別 &gt; わ</t>
  </si>
  <si>
    <t>0,26318,26360,2084007684</t>
  </si>
  <si>
    <t>0,23000,23172,2084050162</t>
  </si>
  <si>
    <t>オークション &gt; アクセサリー、時計 &gt; ブランド腕時計 &gt; さ行</t>
  </si>
  <si>
    <t>アウトビアンキ</t>
  </si>
  <si>
    <t>オークション &gt; 自動車、オートバイ &gt; 中古車・新車 &gt; アウトビアンキ</t>
  </si>
  <si>
    <t>0,23140,23260,2084059711</t>
  </si>
  <si>
    <t>0,26318,26360,2084048924</t>
  </si>
  <si>
    <t>アルファロメオ</t>
  </si>
  <si>
    <t>オークション &gt; 自動車、オートバイ &gt; 中古車・新車 &gt; アルファロメオ</t>
  </si>
  <si>
    <t>オークション &gt; アクセサリー、時計 &gt; ブランド腕時計 &gt; た行</t>
  </si>
  <si>
    <t>0,26318,26360,2084007651</t>
  </si>
  <si>
    <t>0,23140,23260,2084059712</t>
  </si>
  <si>
    <t>イノチェンティミニ</t>
  </si>
  <si>
    <t>オークション &gt; 自動車、オートバイ &gt; 中古車・新車 &gt; イノチェンティミニ</t>
  </si>
  <si>
    <t>オークション &gt; アクセサリー、時計 &gt; ブランド腕時計 &gt; な行</t>
  </si>
  <si>
    <t>0,26318,26360,2084048925</t>
  </si>
  <si>
    <t>0,23140,23260,2084212694</t>
  </si>
  <si>
    <t>フィアット</t>
  </si>
  <si>
    <t>オークション &gt; 自動車、オートバイ &gt; 中古車・新車 &gt; フィアット</t>
  </si>
  <si>
    <t>オークション &gt; アクセサリー、時計 &gt; ブランド腕時計 &gt; は行</t>
  </si>
  <si>
    <t>0,26318,26360,2084007666</t>
  </si>
  <si>
    <t>0,23140,23260,2084059714</t>
  </si>
  <si>
    <t>コート</t>
  </si>
  <si>
    <t>フェラーリ</t>
  </si>
  <si>
    <t>オークション &gt; 自動車、オートバイ &gt; 中古車・新車 &gt; フェラーリ</t>
  </si>
  <si>
    <t>ま行、や行</t>
  </si>
  <si>
    <t>0,26318,26360,2084007667</t>
  </si>
  <si>
    <t>オークション &gt; ファッション &gt; レディースファッション &gt; コート</t>
  </si>
  <si>
    <t>オークション &gt; アクセサリー、時計 &gt; ブランド腕時計 &gt; ま行、や行</t>
  </si>
  <si>
    <t>0,23140,23260,2084229196</t>
  </si>
  <si>
    <t>0,23000,23288,2084005207</t>
  </si>
  <si>
    <t>マセラティ</t>
  </si>
  <si>
    <t>ジャケット、上着</t>
  </si>
  <si>
    <t>オークション &gt; ファッション &gt; レディースファッション &gt; ジャケット、上着</t>
  </si>
  <si>
    <t>0,23000,23288,23308</t>
  </si>
  <si>
    <t>オークション &gt; 自動車、オートバイ &gt; 中古車・新車 &gt; マセラティ</t>
  </si>
  <si>
    <t>オークション &gt; アクセサリー、時計 &gt; ブランド腕時計 &gt; ら行</t>
  </si>
  <si>
    <t>0,26318,26360,2084007675</t>
  </si>
  <si>
    <t>0,23140,23260,2084059713</t>
  </si>
  <si>
    <t>カーディガン</t>
  </si>
  <si>
    <t>オークション &gt; ファッション &gt; レディースファッション &gt; カーディガン</t>
  </si>
  <si>
    <t>0,23000,23288,2084005211</t>
  </si>
  <si>
    <t>ランチア</t>
  </si>
  <si>
    <t>オークション &gt; 自動車、オートバイ &gt; 中古車・新車 &gt; ランチア</t>
  </si>
  <si>
    <t>0,26318,26360,2084007679</t>
  </si>
  <si>
    <t>アンサンブルニット</t>
  </si>
  <si>
    <t>オークション &gt; ファッション &gt; レディースファッション &gt; アンサンブルニット</t>
  </si>
  <si>
    <t>ランボルギーニ</t>
  </si>
  <si>
    <t>0,23000,23288,2084007139</t>
  </si>
  <si>
    <t>オークション &gt; 自動車、オートバイ &gt; 中古車・新車 &gt; ランボルギーニ</t>
  </si>
  <si>
    <t>アナログ（クォーツ式）</t>
  </si>
  <si>
    <t>0,26318,26360,2084007680</t>
  </si>
  <si>
    <t>オークション &gt; アクセサリー、時計 &gt; メンズ腕時計 &gt; アナログ（クォーツ式）</t>
  </si>
  <si>
    <t>0,23140,23264,2084050111</t>
  </si>
  <si>
    <t>ニット、セーター</t>
  </si>
  <si>
    <t>オークション &gt; ファッション &gt; レディースファッション &gt; ニット、セーター</t>
  </si>
  <si>
    <t>0,23000,23288,2084005283</t>
  </si>
  <si>
    <t>シトロエン</t>
  </si>
  <si>
    <t>アナログ（自動巻き）</t>
  </si>
  <si>
    <t>オークション &gt; 自動車、オートバイ &gt; 中古車・新車 &gt; シトロエン</t>
  </si>
  <si>
    <t>オークション &gt; アクセサリー、時計 &gt; メンズ腕時計 &gt; アナログ（自動巻き）</t>
  </si>
  <si>
    <t>0,23140,23264,2084050114</t>
  </si>
  <si>
    <t>0,26318,26360,2084007658</t>
  </si>
  <si>
    <t>ベスト</t>
  </si>
  <si>
    <t>オークション &gt; ファッション &gt; レディースファッション &gt; ベスト</t>
  </si>
  <si>
    <t>0,23000,23288,2084007141</t>
  </si>
  <si>
    <t>アナログ（手巻き）</t>
  </si>
  <si>
    <t>オークション &gt; アクセサリー、時計 &gt; メンズ腕時計 &gt; アナログ（手巻き）</t>
  </si>
  <si>
    <t>プジョー</t>
  </si>
  <si>
    <t>トレーナー</t>
  </si>
  <si>
    <t>オークション &gt; ファッション &gt; レディースファッション &gt; トレーナー</t>
  </si>
  <si>
    <t>オークション &gt; 自動車、オートバイ &gt; 中古車・新車 &gt; プジョー</t>
  </si>
  <si>
    <t>0,23000,23288,2084007140</t>
  </si>
  <si>
    <t>0,26318,26360,2084007671</t>
  </si>
  <si>
    <t>0,23140,23264,2084050113</t>
  </si>
  <si>
    <t>カットソー</t>
  </si>
  <si>
    <t>オークション &gt; ファッション &gt; レディースファッション &gt; カットソー</t>
  </si>
  <si>
    <t>0,23000,23288,2084007127</t>
  </si>
  <si>
    <t>ルノー</t>
  </si>
  <si>
    <t>デジタル</t>
  </si>
  <si>
    <t>オークション &gt; 自動車、オートバイ &gt; 中古車・新車 &gt; ルノー</t>
  </si>
  <si>
    <t>オークション &gt; アクセサリー、時計 &gt; メンズ腕時計 &gt; デジタル</t>
  </si>
  <si>
    <t>0,23140,23264,2084032153</t>
  </si>
  <si>
    <t>シャツ、ブラウス</t>
  </si>
  <si>
    <t>0,26318,26360,2084007681</t>
  </si>
  <si>
    <t>オークション &gt; ファッション &gt; レディースファッション &gt; シャツ、ブラウス</t>
  </si>
  <si>
    <t>0,23000,23288,42184</t>
  </si>
  <si>
    <t>SWATCH</t>
  </si>
  <si>
    <t>オークション &gt; アクセサリー、時計 &gt; メンズ腕時計 &gt; SWATCH</t>
  </si>
  <si>
    <t>サーブ</t>
  </si>
  <si>
    <t>0,23140,23264,2084005347</t>
  </si>
  <si>
    <t>オークション &gt; 自動車、オートバイ &gt; 中古車・新車 &gt; サーブ</t>
  </si>
  <si>
    <t>0,26318,26360,2084007656</t>
  </si>
  <si>
    <t>チュニック</t>
  </si>
  <si>
    <t>カシオ</t>
  </si>
  <si>
    <t>オークション &gt; ファッション &gt; レディースファッション &gt; チュニック</t>
  </si>
  <si>
    <t>ボルボ</t>
  </si>
  <si>
    <t>オークション &gt; アクセサリー、時計 &gt; メンズ腕時計 &gt; カシオ</t>
  </si>
  <si>
    <t>0,23000,23288,2084231768</t>
  </si>
  <si>
    <t>オークション &gt; 自動車、オートバイ &gt; 中古車・新車 &gt; ボルボ</t>
  </si>
  <si>
    <t>0,23140,23264,2084032114</t>
  </si>
  <si>
    <t>0,26318,26360,2084007674</t>
  </si>
  <si>
    <t>シチズン</t>
  </si>
  <si>
    <t>AMC</t>
  </si>
  <si>
    <t>オークション &gt; ファッション &gt; レディースファッション &gt; Tシャツ</t>
  </si>
  <si>
    <t>オークション &gt; アクセサリー、時計 &gt; メンズ腕時計 &gt; シチズン</t>
  </si>
  <si>
    <t>オークション &gt; 自動車、オートバイ &gt; 中古車・新車 &gt; AMC</t>
  </si>
  <si>
    <t>0,23000,23288,2084005452</t>
  </si>
  <si>
    <t>0,23140,23264,2084024505</t>
  </si>
  <si>
    <t>0,26318,26360,2084048920</t>
  </si>
  <si>
    <t>ポロシャツ</t>
  </si>
  <si>
    <t>オークション &gt; ファッション &gt; レディースファッション &gt; ポロシャツ</t>
  </si>
  <si>
    <t>0,23000,23288,2084007142</t>
  </si>
  <si>
    <t>セイコー</t>
  </si>
  <si>
    <t>オークション &gt; アクセサリー、時計 &gt; メンズ腕時計 &gt; セイコー</t>
  </si>
  <si>
    <t>0,23140,23264,2084024503</t>
  </si>
  <si>
    <t>GMC</t>
  </si>
  <si>
    <t>キャミソール</t>
  </si>
  <si>
    <t>オークション &gt; 自動車、オートバイ &gt; 中古車・新車 &gt; GMC</t>
  </si>
  <si>
    <t>オークション &gt; ファッション &gt; レディースファッション &gt; キャミソール</t>
  </si>
  <si>
    <t>0,26318,26360,2084048923</t>
  </si>
  <si>
    <t>0,23000,23288,2084064258</t>
  </si>
  <si>
    <t>ルミノックス</t>
  </si>
  <si>
    <t>オークション &gt; アクセサリー、時計 &gt; メンズ腕時計 &gt; ルミノックス</t>
  </si>
  <si>
    <t>オールズモビル</t>
  </si>
  <si>
    <t>0,23140,23264,2084051029</t>
  </si>
  <si>
    <t>タンクトップ</t>
  </si>
  <si>
    <t>オークション &gt; 自動車、オートバイ &gt; 中古車・新車 &gt; オールズモビル</t>
  </si>
  <si>
    <t>オークション &gt; ファッション &gt; レディースファッション &gt; タンクトップ</t>
  </si>
  <si>
    <t>0,26318,26360,2084048927</t>
  </si>
  <si>
    <t>0,23000,23288,2084064257</t>
  </si>
  <si>
    <t>キャデラック</t>
  </si>
  <si>
    <t>チューブトップ、ベアトップ</t>
  </si>
  <si>
    <t>オークション &gt; 自動車、オートバイ &gt; 中古車・新車 &gt; キャデラック</t>
  </si>
  <si>
    <t>オークション &gt; ファッション &gt; レディースファッション &gt; チューブトップ、ベアトップ</t>
  </si>
  <si>
    <t>0,26318,26360,2084007654</t>
  </si>
  <si>
    <t>0,23000,23288,2084243344</t>
  </si>
  <si>
    <t>クライスラー</t>
  </si>
  <si>
    <t>オークション &gt; 自動車、オートバイ &gt; 中古車・新車 &gt; クライスラー</t>
  </si>
  <si>
    <t>オークション &gt; ファッション &gt; レディースファッション &gt; ワンピース</t>
  </si>
  <si>
    <t>0,23000,23288,2084007151</t>
  </si>
  <si>
    <t>0,26318,26360,2084007655</t>
  </si>
  <si>
    <t>オークション &gt; アクセサリー、時計 &gt; レディース腕時計 &gt; アナログ（クォーツ式）</t>
  </si>
  <si>
    <t>0,23140,23268,2084050117</t>
  </si>
  <si>
    <t>サターン</t>
  </si>
  <si>
    <t>オークション &gt; 自動車、オートバイ &gt; 中古車・新車 &gt; サターン</t>
  </si>
  <si>
    <t>スカート</t>
  </si>
  <si>
    <t>オークション &gt; アクセサリー、時計 &gt; レディース腕時計 &gt; アナログ（自動巻き）</t>
  </si>
  <si>
    <t>オークション &gt; ファッション &gt; レディースファッション &gt; スカート</t>
  </si>
  <si>
    <t>0,26318,26360,2084007657</t>
  </si>
  <si>
    <t>0,23000,23288,42183</t>
  </si>
  <si>
    <t>0,23140,23268,2084050120</t>
  </si>
  <si>
    <t>シボレー</t>
  </si>
  <si>
    <t>パンツ、スラックス</t>
  </si>
  <si>
    <t>オークション &gt; 自動車、オートバイ &gt; 中古車・新車 &gt; シボレー</t>
  </si>
  <si>
    <t>オークション &gt; ファッション &gt; レディースファッション &gt; パンツ、スラックス</t>
  </si>
  <si>
    <t>オークション &gt; アクセサリー、時計 &gt; レディース腕時計 &gt; アナログ（手巻き）</t>
  </si>
  <si>
    <t>0,23000,23288,2084007160</t>
  </si>
  <si>
    <t>0,26318,26360,2084007659</t>
  </si>
  <si>
    <t>0,23140,23268,2084050119</t>
  </si>
  <si>
    <t>デニム、ジーンズ</t>
  </si>
  <si>
    <t>オークション &gt; ファッション &gt; レディースファッション &gt; デニム、ジーンズ</t>
  </si>
  <si>
    <t>0,23000,23288,23300</t>
  </si>
  <si>
    <t>オークション &gt; アクセサリー、時計 &gt; レディース腕時計 &gt; デジタル</t>
  </si>
  <si>
    <t>ダッジ</t>
  </si>
  <si>
    <t>0,23140,23268,2084032150</t>
  </si>
  <si>
    <t>オークション &gt; 自動車、オートバイ &gt; 中古車・新車 &gt; ダッジ</t>
  </si>
  <si>
    <t>0,26318,26360,2084007665</t>
  </si>
  <si>
    <t>ワークパンツ、ペインターパンツ</t>
  </si>
  <si>
    <t>オークション &gt; アクセサリー、時計 &gt; レディース腕時計 &gt; SWATCH</t>
  </si>
  <si>
    <t>ハマー</t>
  </si>
  <si>
    <t>0,23140,23268,2084005347</t>
  </si>
  <si>
    <t>オークション &gt; 自動車、オートバイ &gt; 中古車・新車 &gt; ハマー</t>
  </si>
  <si>
    <t>0,26318,26360,2084051723</t>
  </si>
  <si>
    <t>オークション &gt; ファッション &gt; レディースファッション &gt; ワークパンツ、ペインターパンツ</t>
  </si>
  <si>
    <t>0,23000,23288,2084036998</t>
  </si>
  <si>
    <t>ビュイック</t>
  </si>
  <si>
    <t>オークション &gt; アクセサリー、時計 &gt; レディース腕時計 &gt; カシオ</t>
  </si>
  <si>
    <t>オークション &gt; 自動車、オートバイ &gt; 中古車・新車 &gt; ビュイック</t>
  </si>
  <si>
    <t>0,23140,23268,2084032114</t>
  </si>
  <si>
    <t>0,26318,26360,2084048937</t>
  </si>
  <si>
    <t>ショートパンツ</t>
  </si>
  <si>
    <t>オークション &gt; ファッション &gt; レディースファッション &gt; ショートパンツ</t>
  </si>
  <si>
    <t>0,23000,23288,2084007159</t>
  </si>
  <si>
    <t>フォード</t>
  </si>
  <si>
    <t>オークション &gt; アクセサリー、時計 &gt; レディース腕時計 &gt; シチズン</t>
  </si>
  <si>
    <t>オークション &gt; 自動車、オートバイ &gt; 中古車・新車 &gt; フォード</t>
  </si>
  <si>
    <t>0,23140,23268,2084024505</t>
  </si>
  <si>
    <t>0,26318,26360,2084007668</t>
  </si>
  <si>
    <t>サブリナパンツ、カプリパンツ</t>
  </si>
  <si>
    <t>ポンテアック</t>
  </si>
  <si>
    <t>オークション &gt; ファッション &gt; レディースファッション &gt; サブリナパンツ、カプリパンツ</t>
  </si>
  <si>
    <t>オークション &gt; 自動車、オートバイ &gt; 中古車・新車 &gt; ポンテアック</t>
  </si>
  <si>
    <t>0,23000,23288,2084007163</t>
  </si>
  <si>
    <t>0,26318,26360,2084048940</t>
  </si>
  <si>
    <t>オークション &gt; アクセサリー、時計 &gt; レディース腕時計 &gt; セイコー</t>
  </si>
  <si>
    <t>0,23140,23268,2084024503</t>
  </si>
  <si>
    <t>マーキュリー</t>
  </si>
  <si>
    <t>サロペット、オーバーオール</t>
  </si>
  <si>
    <t>オークション &gt; 自動車、オートバイ &gt; 中古車・新車 &gt; マーキュリー</t>
  </si>
  <si>
    <t>オークション &gt; ファッション &gt; レディースファッション &gt; サロペット、オーバーオール</t>
  </si>
  <si>
    <t>0,26318,26360,2084048941</t>
  </si>
  <si>
    <t>0,23000,23288,2084047537</t>
  </si>
  <si>
    <t>リンカーン</t>
  </si>
  <si>
    <t>キュロット</t>
  </si>
  <si>
    <t>オークション &gt; 自動車、オートバイ &gt; 中古車・新車 &gt; リンカーン</t>
  </si>
  <si>
    <t>0,26318,26360,2084048945</t>
  </si>
  <si>
    <t>オークション &gt; ファッション &gt; レディースファッション &gt; キュロット</t>
  </si>
  <si>
    <t>0,23000,23288,2084007158</t>
  </si>
  <si>
    <t>オークション &gt; アクセサリー、時計 &gt; ユニセックス腕時計 &gt; アナログ（クォーツ式）</t>
  </si>
  <si>
    <t>GMデーウ</t>
  </si>
  <si>
    <t>0,23140,23272,2084053708</t>
  </si>
  <si>
    <t>オークション &gt; 自動車、オートバイ &gt; 中古車・新車 &gt; GMデーウ</t>
  </si>
  <si>
    <t>0,26318,26360,2084048931</t>
  </si>
  <si>
    <t>チノパン</t>
  </si>
  <si>
    <t>オークション &gt; ファッション &gt; レディースファッション &gt; チノパン</t>
  </si>
  <si>
    <t>0,23000,23288,2084007162</t>
  </si>
  <si>
    <t>ヒュンダイ</t>
  </si>
  <si>
    <t>オークション &gt; 自動車、オートバイ &gt; 中古車・新車 &gt; ヒュンダイ</t>
  </si>
  <si>
    <t>オークション &gt; アクセサリー、時計 &gt; ユニセックス腕時計 &gt; アナログ（自動巻き）</t>
  </si>
  <si>
    <t>0,26318,26360,2084048536</t>
  </si>
  <si>
    <t>0,23140,23272,2084053710</t>
  </si>
  <si>
    <t>サルエルパンツ</t>
  </si>
  <si>
    <t>オークション &gt; ファッション &gt; レディースファッション &gt; サルエルパンツ</t>
  </si>
  <si>
    <t>0,23000,23288,2084246107</t>
  </si>
  <si>
    <t>ドンカーブート</t>
  </si>
  <si>
    <t>オークション &gt; 自動車、オートバイ &gt; 中古車・新車 &gt; ドンカーブート</t>
  </si>
  <si>
    <t>オークション &gt; アクセサリー、時計 &gt; ユニセックス腕時計 &gt; アナログ（手巻き）</t>
  </si>
  <si>
    <t>0,26318,26360,2084048935</t>
  </si>
  <si>
    <t>0,23140,23272,2084053711</t>
  </si>
  <si>
    <t>スーツ</t>
  </si>
  <si>
    <t>オークション &gt; ファッション &gt; レディースファッション &gt; スーツ</t>
  </si>
  <si>
    <t>バーキン</t>
  </si>
  <si>
    <t>0,23000,23288,2084007153</t>
  </si>
  <si>
    <t>オークション &gt; 自動車、オートバイ &gt; 中古車・新車 &gt; バーキン</t>
  </si>
  <si>
    <t>オークション &gt; アクセサリー、時計 &gt; ユニセックス腕時計 &gt; デジタル</t>
  </si>
  <si>
    <t>0,26318,26360,2084054505</t>
  </si>
  <si>
    <t>0,23140,23272,2084032152</t>
  </si>
  <si>
    <t>オークション &gt; ファッション &gt; レディースファッション &gt; フォーマル</t>
  </si>
  <si>
    <t>0,23000,23288,23292</t>
  </si>
  <si>
    <t>オークション &gt; アクセサリー、時計 &gt; ユニセックス腕時計 &gt; カシオ</t>
  </si>
  <si>
    <t>オークション &gt; 自動車、オートバイ &gt; 中古車・新車 &gt; 部品取り車</t>
  </si>
  <si>
    <t>0,23140,23272,2084032114</t>
  </si>
  <si>
    <t>0,26318,26360,2084061280</t>
  </si>
  <si>
    <t>レギンス、トレンカ</t>
  </si>
  <si>
    <t>オークション &gt; ファッション &gt; レディースファッション &gt; レギンス、トレンカ</t>
  </si>
  <si>
    <t>0,23000,23288,2084007161</t>
  </si>
  <si>
    <t>キャンピングカー</t>
  </si>
  <si>
    <t>オークション &gt; アクセサリー、時計 &gt; ユニセックス腕時計 &gt; シチズン</t>
  </si>
  <si>
    <t>オークション &gt; 自動車、オートバイ &gt; 中古車・新車 &gt; キャンピングカー</t>
  </si>
  <si>
    <t>0,23140,23272,2084024505</t>
  </si>
  <si>
    <t>0,26318,26360,2084049594</t>
  </si>
  <si>
    <t>オークション &gt; ファッション &gt; レディースファッション &gt; インナーウエア</t>
  </si>
  <si>
    <t>0,23000,23288,2084053081</t>
  </si>
  <si>
    <t>オークション &gt; アクセサリー、時計 &gt; ユニセックス腕時計 &gt; セイコー</t>
  </si>
  <si>
    <t>0,23140,23272,2084024503</t>
  </si>
  <si>
    <t>オークション &gt; 自動車、オートバイ &gt; 中古車・新車 &gt; トラック、ダンプ、建設機械</t>
  </si>
  <si>
    <t>0,26318,26360,26368</t>
  </si>
  <si>
    <t>ナイトウエア、パジャマ</t>
  </si>
  <si>
    <t>オークション &gt; ファッション &gt; レディースファッション &gt; ナイトウエア、パジャマ</t>
  </si>
  <si>
    <t>0,23000,23288,2084053160</t>
  </si>
  <si>
    <t>オークション &gt; 自動車、オートバイ &gt; 中古車・新車 &gt; バス</t>
  </si>
  <si>
    <t>オークション &gt; ファッション &gt; レディースファッション &gt; 水着</t>
  </si>
  <si>
    <t>0,26318,26360,2084008325</t>
  </si>
  <si>
    <t>スヌーピー</t>
  </si>
  <si>
    <t>0,23000,23288,2084051829</t>
  </si>
  <si>
    <t>オークション &gt; アクセサリー、時計 &gt; キャラクター腕時計 &gt; スヌーピー</t>
  </si>
  <si>
    <t>0,23140,2084024554,2084045713</t>
  </si>
  <si>
    <t>オークション &gt; ファッション &gt; レディースファッション &gt; マタニティウエア</t>
  </si>
  <si>
    <t>オークション &gt; 自動車、オートバイ &gt; 中古車・新車 &gt; その他</t>
  </si>
  <si>
    <t>0,23000,23288,2084006309</t>
  </si>
  <si>
    <t>0,26318,26360,2084007686</t>
  </si>
  <si>
    <t>オークション &gt; アクセサリー、時計 &gt; キャラクター腕時計 &gt; ディズニー</t>
  </si>
  <si>
    <t>0,23140,2084024554,2084045712</t>
  </si>
  <si>
    <t>オークション &gt; ファッション &gt; レディースファッション &gt; ファッション小物</t>
  </si>
  <si>
    <t>0,23000,23288,2084005287</t>
  </si>
  <si>
    <t>ドラえもん</t>
  </si>
  <si>
    <t>オークション &gt; アクセサリー、時計 &gt; キャラクター腕時計 &gt; ドラえもん</t>
  </si>
  <si>
    <t>オークション &gt; ファッション &gt; レディースファッション &gt; 作業服</t>
  </si>
  <si>
    <t>0,23000,23288,2084047504</t>
  </si>
  <si>
    <t>0,23140,2084024554,2084045715</t>
  </si>
  <si>
    <t>オートバイ車体</t>
  </si>
  <si>
    <t>ハローキティ</t>
  </si>
  <si>
    <t>レディースファッションレンタル</t>
  </si>
  <si>
    <t>オークション &gt; アクセサリー、時計 &gt; キャラクター腕時計 &gt; ハローキティ</t>
  </si>
  <si>
    <t>オークション &gt; ファッション &gt; レディースファッション &gt; レディースファッションレンタル</t>
  </si>
  <si>
    <t>0,23140,2084024554,2084045714</t>
  </si>
  <si>
    <t>0,23000,23288,2084307771</t>
  </si>
  <si>
    <t>オークション &gt; 自動車、オートバイ &gt; オートバイ &gt; オートバイ車体</t>
  </si>
  <si>
    <t>0,26318,26308,26316</t>
  </si>
  <si>
    <t>オークション &gt; アクセサリー、時計 &gt; キャラクター腕時計 &gt; その他</t>
  </si>
  <si>
    <t>0,23140,2084024554,2084045716</t>
  </si>
  <si>
    <t>オークション &gt; ファッション &gt; レディースファッション &gt; その他</t>
  </si>
  <si>
    <t>オークション &gt; 自動車、オートバイ &gt; オートバイ &gt; パーツ</t>
  </si>
  <si>
    <t>0,23000,23288,23316</t>
  </si>
  <si>
    <t>0,26318,26308,26312</t>
  </si>
  <si>
    <t>セキュリティ、セーフティ</t>
  </si>
  <si>
    <t>オークション &gt; 自動車、オートバイ &gt; オートバイ &gt; セキュリティ、セーフティ</t>
  </si>
  <si>
    <t>0,26318,26308,2084012441</t>
  </si>
  <si>
    <t>バイクウエア、装備</t>
  </si>
  <si>
    <t>オークション &gt; 自動車、オートバイ &gt; オートバイ &gt; バイクウエア、装備</t>
  </si>
  <si>
    <t>0,26318,26308,2084012431</t>
  </si>
  <si>
    <t>クォーツ式</t>
  </si>
  <si>
    <t>オークション &gt; アクセサリー、時計 &gt; 懐中時計 &gt; クォーツ式</t>
  </si>
  <si>
    <t>0,23140,23276,2084062953</t>
  </si>
  <si>
    <t>オークション &gt; 自動車、オートバイ &gt; オートバイ &gt; アクセサリー</t>
  </si>
  <si>
    <t>0,26318,26308,26310</t>
  </si>
  <si>
    <t>ショルダーバッグ</t>
  </si>
  <si>
    <t>機械式</t>
  </si>
  <si>
    <t>オークション &gt; ファッション &gt; レディースバッグ &gt; ショルダーバッグ</t>
  </si>
  <si>
    <t>ナビ</t>
  </si>
  <si>
    <t>オークション &gt; 自動車、オートバイ &gt; オートバイ &gt; ナビ</t>
  </si>
  <si>
    <t>0,23000,2084005069,2084008313</t>
  </si>
  <si>
    <t>0,26318,26308,2084255907</t>
  </si>
  <si>
    <t>オークション &gt; アクセサリー、時計 &gt; 懐中時計 &gt; 機械式</t>
  </si>
  <si>
    <t>0,23140,23276,2084062954</t>
  </si>
  <si>
    <t>オーディオ</t>
  </si>
  <si>
    <t>オークション &gt; 自動車、オートバイ &gt; オートバイ &gt; オーディオ</t>
  </si>
  <si>
    <t>0,26318,26308,2084255908</t>
  </si>
  <si>
    <t>トートバッグ</t>
  </si>
  <si>
    <t>オークション &gt; ファッション &gt; レディースバッグ &gt; トートバッグ</t>
  </si>
  <si>
    <t>0,23000,2084005069,2084008314</t>
  </si>
  <si>
    <t>オークション &gt; 自動車、オートバイ &gt; オートバイ &gt; メンテナンス</t>
  </si>
  <si>
    <t>0,26318,26308,2084012447</t>
  </si>
  <si>
    <t>オークション &gt; 自動車、オートバイ &gt; オートバイ &gt; 工具</t>
  </si>
  <si>
    <t>ハンドバッグ</t>
  </si>
  <si>
    <t>0,26318,26308,2084042022</t>
  </si>
  <si>
    <t>ラバーベルト</t>
  </si>
  <si>
    <t>オークション &gt; ファッション &gt; レディースバッグ &gt; ハンドバッグ</t>
  </si>
  <si>
    <t>0,23000,2084005069,2084008315</t>
  </si>
  <si>
    <t>オークション &gt; アクセサリー、時計 &gt; 時計用ベルト、バンド &gt; ラバーベルト</t>
  </si>
  <si>
    <t>0,23140,2084024555,2084062472</t>
  </si>
  <si>
    <t>オークション &gt; 自動車、オートバイ &gt; オートバイ &gt; ETC</t>
  </si>
  <si>
    <t>0,26318,26308,2084233217</t>
  </si>
  <si>
    <t>オークション &gt; ファッション &gt; レディースバッグ &gt; ポーチ</t>
  </si>
  <si>
    <t>レザーベルト</t>
  </si>
  <si>
    <t>0,23000,2084005069,2084007482</t>
  </si>
  <si>
    <t>オークション &gt; 自動車、オートバイ &gt; オートバイ &gt; カタログ、パーツリスト、整備書</t>
  </si>
  <si>
    <t>オークション &gt; アクセサリー、時計 &gt; 時計用ベルト、バンド &gt; レザーベルト</t>
  </si>
  <si>
    <t>0,26318,26308,2084005547</t>
  </si>
  <si>
    <t>0,23140,2084024555,2084062470</t>
  </si>
  <si>
    <t>オークション &gt; 自動車、オートバイ &gt; オートバイ &gt; 本、雑誌</t>
  </si>
  <si>
    <t>エコバッグ</t>
  </si>
  <si>
    <t>0,26318,26308,2084008876</t>
  </si>
  <si>
    <t>オークション &gt; ファッション &gt; レディースバッグ &gt; エコバッグ</t>
  </si>
  <si>
    <t>0,23000,2084005069,2084233235</t>
  </si>
  <si>
    <t>金属ベルト</t>
  </si>
  <si>
    <t>オークション &gt; アクセサリー、時計 &gt; 時計用ベルト、バンド &gt; 金属ベルト</t>
  </si>
  <si>
    <t>オートバイ関連グッズ</t>
  </si>
  <si>
    <t>0,23140,2084024555,2084062471</t>
  </si>
  <si>
    <t>オークション &gt; 自動車、オートバイ &gt; オートバイ &gt; オートバイ関連グッズ</t>
  </si>
  <si>
    <t>0,26318,26308,2084005548</t>
  </si>
  <si>
    <t>布ベルト</t>
  </si>
  <si>
    <t>オークション &gt; ファッション &gt; レディースバッグ &gt; アタッシュケース</t>
  </si>
  <si>
    <t>オークション &gt; 自動車、オートバイ &gt; オートバイ &gt; アンティーク、コレクション</t>
  </si>
  <si>
    <t>オークション &gt; アクセサリー、時計 &gt; 時計用ベルト、バンド &gt; 布ベルト</t>
  </si>
  <si>
    <t>0,23000,2084005069,2084008337</t>
  </si>
  <si>
    <t>0,26318,26308,26314</t>
  </si>
  <si>
    <t>0,23140,2084024555,2084062473</t>
  </si>
  <si>
    <t>オークション &gt; 自動車、オートバイ &gt; オートバイ &gt; ビデオ</t>
  </si>
  <si>
    <t>0,26318,26308,2084019980</t>
  </si>
  <si>
    <t>バネ棒外し</t>
  </si>
  <si>
    <t>ウエストバッグ</t>
  </si>
  <si>
    <t>オークション &gt; アクセサリー、時計 &gt; 時計用ベルト、バンド &gt; バネ棒外し</t>
  </si>
  <si>
    <t>0,23140,2084024555,2084062481</t>
  </si>
  <si>
    <t>オークション &gt; ファッション &gt; レディースバッグ &gt; ウエストバッグ</t>
  </si>
  <si>
    <t>0,23000,2084005069,2084008312</t>
  </si>
  <si>
    <t>精密ドライバー</t>
  </si>
  <si>
    <t>オークション &gt; アクセサリー、時計 &gt; 時計用ベルト、バンド &gt; 精密ドライバー</t>
  </si>
  <si>
    <t>オートバイ用</t>
  </si>
  <si>
    <t>クラッチバッグ、パーティバッグ</t>
  </si>
  <si>
    <t>0,23140,2084024555,2084062482</t>
  </si>
  <si>
    <t>オークション &gt; 自動車、オートバイ &gt; パーツ &gt; オートバイ用</t>
  </si>
  <si>
    <t>オークション &gt; ファッション &gt; レディースバッグ &gt; クラッチバッグ、パーティバッグ</t>
  </si>
  <si>
    <t>0,26318,26322,26312</t>
  </si>
  <si>
    <t>0,23000,2084005069,2084008347</t>
  </si>
  <si>
    <t>トラック、ダンプ、建設機械専用</t>
  </si>
  <si>
    <t>ベルト部品</t>
  </si>
  <si>
    <t>オークション &gt; 自動車、オートバイ &gt; パーツ &gt; トラック、ダンプ、建設機械専用</t>
  </si>
  <si>
    <t>オークション &gt; アクセサリー、時計 &gt; 時計用ベルト、バンド &gt; ベルト部品</t>
  </si>
  <si>
    <t>0,26318,26322,26366</t>
  </si>
  <si>
    <t>0,23140,2084024555,2084062474</t>
  </si>
  <si>
    <t>オークション &gt; ファッション &gt; レディースバッグ &gt; スーツケース、トランク</t>
  </si>
  <si>
    <t>オークション &gt; 自動車、オートバイ &gt; パーツ &gt; タイヤ、ホイール</t>
  </si>
  <si>
    <t>0,23000,2084005069,2084008297</t>
  </si>
  <si>
    <t>0,26318,26322,2084300257</t>
  </si>
  <si>
    <t>オークション &gt; アクセサリー、時計 &gt; 時計用ベルト、バンド &gt; その他</t>
  </si>
  <si>
    <t>0,23140,2084024555,2084062478</t>
  </si>
  <si>
    <t>サスペンション</t>
  </si>
  <si>
    <t>オークション &gt; 自動車、オートバイ &gt; パーツ &gt; サスペンション</t>
  </si>
  <si>
    <t>0,26318,26322,2084005257</t>
  </si>
  <si>
    <t>タワーバー、ロールバー</t>
  </si>
  <si>
    <t>セカンドバッグ</t>
  </si>
  <si>
    <t>オークション &gt; 自動車、オートバイ &gt; パーツ &gt; タワーバー、ロールバー</t>
  </si>
  <si>
    <t>0,26318,26322,2084008461</t>
  </si>
  <si>
    <t>オークション &gt; ファッション &gt; レディースバッグ &gt; セカンドバッグ</t>
  </si>
  <si>
    <t>0,23000,2084005069,2084008318</t>
  </si>
  <si>
    <t>収納ケース一般</t>
  </si>
  <si>
    <t>オークション &gt; アクセサリー、時計 &gt; 時計用ケース &gt; 収納ケース一般</t>
  </si>
  <si>
    <t>0,23140,2084024557,2084062493</t>
  </si>
  <si>
    <t>ブレーキ</t>
  </si>
  <si>
    <t>オークション &gt; 自動車、オートバイ &gt; パーツ &gt; ブレーキ</t>
  </si>
  <si>
    <t>0,26318,26322,2084005259</t>
  </si>
  <si>
    <t>スタンド型</t>
  </si>
  <si>
    <t>オークション &gt; アクセサリー、時計 &gt; 時計用ケース &gt; スタンド型</t>
  </si>
  <si>
    <t>バスケット、籐かご</t>
  </si>
  <si>
    <t>0,23140,2084024557,2084062496</t>
  </si>
  <si>
    <t>外装、エアロ</t>
  </si>
  <si>
    <t>オークション &gt; ファッション &gt; レディースバッグ &gt; バスケット、籐かご</t>
  </si>
  <si>
    <t>オークション &gt; 自動車、オートバイ &gt; パーツ &gt; 外装、エアロ</t>
  </si>
  <si>
    <t>0,23000,2084005069,2084008307</t>
  </si>
  <si>
    <t>0,26318,26322,2084005255</t>
  </si>
  <si>
    <t>ワインディング機能つき</t>
  </si>
  <si>
    <t>オークション &gt; アクセサリー、時計 &gt; 時計用ケース &gt; ワインディング機能つき</t>
  </si>
  <si>
    <t>0,23140,2084024557,2084062498</t>
  </si>
  <si>
    <t>ライト</t>
  </si>
  <si>
    <t>オークション &gt; 自動車、オートバイ &gt; パーツ &gt; ライト</t>
  </si>
  <si>
    <t>バニティバッグ</t>
  </si>
  <si>
    <t>0,26318,26322,2084008495</t>
  </si>
  <si>
    <t>携帯用</t>
  </si>
  <si>
    <t>オークション &gt; ファッション &gt; レディースバッグ &gt; バニティバッグ</t>
  </si>
  <si>
    <t>オークション &gt; アクセサリー、時計 &gt; 時計用ケース &gt; 携帯用</t>
  </si>
  <si>
    <t>0,23000,2084005069,2084008306</t>
  </si>
  <si>
    <t>0,23140,2084024557,2084062497</t>
  </si>
  <si>
    <t>ドアミラー</t>
  </si>
  <si>
    <t>オークション &gt; 自動車、オートバイ &gt; パーツ &gt; ドアミラー</t>
  </si>
  <si>
    <t>0,26318,26322,2084049680</t>
  </si>
  <si>
    <t>ブリーフケース、書類かばん</t>
  </si>
  <si>
    <t>オークション &gt; ファッション &gt; レディースバッグ &gt; ブリーフケース、書類かばん</t>
  </si>
  <si>
    <t>0,23000,2084005069,2084008333</t>
  </si>
  <si>
    <t>内装品</t>
  </si>
  <si>
    <t>オークション &gt; 自動車、オートバイ &gt; パーツ &gt; 内装品</t>
  </si>
  <si>
    <t>0,26318,26322,2084048013</t>
  </si>
  <si>
    <t>オークション &gt; アクセサリー、時計 &gt; 時計用工具 &gt; セット</t>
  </si>
  <si>
    <t>ステアリング</t>
  </si>
  <si>
    <t>ボストンバッグ</t>
  </si>
  <si>
    <t>0,23140,2084024556,2084062479</t>
  </si>
  <si>
    <t>オークション &gt; 自動車、オートバイ &gt; パーツ &gt; ステアリング</t>
  </si>
  <si>
    <t>オークション &gt; ファッション &gt; レディースバッグ &gt; ボストンバッグ</t>
  </si>
  <si>
    <t>0,26318,26322,2084005142</t>
  </si>
  <si>
    <t>0,23000,2084005069,2084008310</t>
  </si>
  <si>
    <t>オープナー</t>
  </si>
  <si>
    <t>オークション &gt; アクセサリー、時計 &gt; 時計用工具 &gt; オープナー</t>
  </si>
  <si>
    <t>0,23140,2084024556,2084062480</t>
  </si>
  <si>
    <t>シート</t>
  </si>
  <si>
    <t>オークション &gt; 自動車、オートバイ &gt; パーツ &gt; シート</t>
  </si>
  <si>
    <t>0,26318,26322,2084005258</t>
  </si>
  <si>
    <t>ボディバッグ</t>
  </si>
  <si>
    <t>オークション &gt; アクセサリー、時計 &gt; 時計用工具 &gt; バネ棒外し</t>
  </si>
  <si>
    <t>オークション &gt; ファッション &gt; レディースバッグ &gt; ボディバッグ</t>
  </si>
  <si>
    <t>0,23140,2084024556,2084062481</t>
  </si>
  <si>
    <t>0,23000,2084005069,2084008348</t>
  </si>
  <si>
    <t>計器</t>
  </si>
  <si>
    <t>ピンセット</t>
  </si>
  <si>
    <t>オークション &gt; アクセサリー、時計 &gt; 時計用工具 &gt; ピンセット</t>
  </si>
  <si>
    <t>オークション &gt; 自動車、オートバイ &gt; パーツ &gt; 計器</t>
  </si>
  <si>
    <t>0,23140,2084024556,2084062483</t>
  </si>
  <si>
    <t>0,26318,26322,2084008427</t>
  </si>
  <si>
    <t>プライヤー</t>
  </si>
  <si>
    <t>マフラー、排気系パーツ</t>
  </si>
  <si>
    <t>ポシェット</t>
  </si>
  <si>
    <t>オークション &gt; アクセサリー、時計 &gt; 時計用工具 &gt; プライヤー</t>
  </si>
  <si>
    <t>オークション &gt; 自動車、オートバイ &gt; パーツ &gt; マフラー、排気系パーツ</t>
  </si>
  <si>
    <t>オークション &gt; ファッション &gt; レディースバッグ &gt; ポシェット</t>
  </si>
  <si>
    <t>0,23140,2084024556,2084042044</t>
  </si>
  <si>
    <t>0,26318,26322,2084005143</t>
  </si>
  <si>
    <t>0,23000,2084005069,2084050512</t>
  </si>
  <si>
    <t>ルーペ</t>
  </si>
  <si>
    <t>フィルター</t>
  </si>
  <si>
    <t>オークション &gt; アクセサリー、時計 &gt; 時計用工具 &gt; ルーペ</t>
  </si>
  <si>
    <t>オークション &gt; 自動車、オートバイ &gt; パーツ &gt; フィルター</t>
  </si>
  <si>
    <t>0,23140,2084024556,2084062484</t>
  </si>
  <si>
    <t>0,26318,26322,2084201586</t>
  </si>
  <si>
    <t>エンジン、過給器、冷却装置</t>
  </si>
  <si>
    <t>オークション &gt; 自動車、オートバイ &gt; パーツ &gt; エンジン、過給器、冷却装置</t>
  </si>
  <si>
    <t>0,26318,26322,2084005256</t>
  </si>
  <si>
    <t>オークション &gt; アクセサリー、時計 &gt; 時計用工具 &gt; 精密ドライバー</t>
  </si>
  <si>
    <t>オークション &gt; ファッション &gt; レディースバッグ &gt; マザーズバッグ</t>
  </si>
  <si>
    <t>0,23140,2084024556,2084062482</t>
  </si>
  <si>
    <t>0,23000,2084005069,2084047405</t>
  </si>
  <si>
    <t>クラッチ、ミッション、デフ</t>
  </si>
  <si>
    <t>オークション &gt; 自動車、オートバイ &gt; パーツ &gt; クラッチ、ミッション、デフ</t>
  </si>
  <si>
    <t>0,26318,26322,2084008426</t>
  </si>
  <si>
    <t>時計用電池</t>
  </si>
  <si>
    <t>オークション &gt; アクセサリー、時計 &gt; 時計用工具 &gt; 時計用電池</t>
  </si>
  <si>
    <t>0,23140,2084024556,2084062491</t>
  </si>
  <si>
    <t>リュックサック、デイパック</t>
  </si>
  <si>
    <t>オークション &gt; ファッション &gt; レディースバッグ &gt; リュックサック、デイパック</t>
  </si>
  <si>
    <t>0,23000,2084005069,2084008316</t>
  </si>
  <si>
    <t>オークション &gt; 自動車、オートバイ &gt; パーツ &gt; コンピュータ</t>
  </si>
  <si>
    <t>オークション &gt; アクセサリー、時計 &gt; 時計用工具 &gt; その他</t>
  </si>
  <si>
    <t>0,26318,26322,2084008431</t>
  </si>
  <si>
    <t>0,23140,2084024556,2084062485</t>
  </si>
  <si>
    <t>ホーン</t>
  </si>
  <si>
    <t>巾着</t>
  </si>
  <si>
    <t>オークション &gt; 自動車、オートバイ &gt; パーツ &gt; ホーン</t>
  </si>
  <si>
    <t>0,26318,26322,2084005260</t>
  </si>
  <si>
    <t>オークション &gt; ファッション &gt; レディースバッグ &gt; 巾着</t>
  </si>
  <si>
    <t>0,23000,2084005069,2084008317</t>
  </si>
  <si>
    <t>電装品</t>
  </si>
  <si>
    <t>オークション &gt; 自動車、オートバイ &gt; パーツ &gt; 電装品</t>
  </si>
  <si>
    <t>0,26318,26322,2084008462</t>
  </si>
  <si>
    <t>掛時計、柱時計</t>
  </si>
  <si>
    <t>オークション &gt; 住まい、インテリア &gt; 家具、インテリア &gt; インテリア小物 &gt; 置時計、掛時計 &gt; 掛時計、柱時計</t>
  </si>
  <si>
    <t>0,24198,24230,2084024330,2084032117,2084032127</t>
  </si>
  <si>
    <t>和装バッグ</t>
  </si>
  <si>
    <t>オークション &gt; ファッション &gt; レディースバッグ &gt; 和装バッグ</t>
  </si>
  <si>
    <t>自動車メーカー別</t>
  </si>
  <si>
    <t>0,23000,2084005069,2084005470</t>
  </si>
  <si>
    <t>オークション &gt; 自動車、オートバイ &gt; パーツ &gt; 自動車メーカー別</t>
  </si>
  <si>
    <t>オークション &gt; 住まい、インテリア &gt; 家具、インテリア &gt; インテリア小物 &gt; 置時計、掛時計 &gt; 工具</t>
  </si>
  <si>
    <t>0,24198,24230,2084024330,2084032117,2084024556</t>
  </si>
  <si>
    <t>0,26318,26322,2084015624</t>
  </si>
  <si>
    <t>キーケース</t>
  </si>
  <si>
    <t>置時計</t>
  </si>
  <si>
    <t>オークション &gt; ファッション &gt; レディースバッグ &gt; キーケース</t>
  </si>
  <si>
    <t>オークション &gt; 住まい、インテリア &gt; 家具、インテリア &gt; インテリア小物 &gt; 置時計、掛時計 &gt; 置時計</t>
  </si>
  <si>
    <t>オークション &gt; 自動車、オートバイ &gt; パーツ &gt; 部品取り車</t>
  </si>
  <si>
    <t>0,24198,24230,2084024330,2084032117,2084032118</t>
  </si>
  <si>
    <t>0,23000,2084005069,2084012476</t>
  </si>
  <si>
    <t>0,26318,26322,2084061280</t>
  </si>
  <si>
    <t>オークション &gt; ファッション &gt; レディースバッグ &gt; 携帯電話ケース</t>
  </si>
  <si>
    <t>オークション &gt; 自動車、オートバイ &gt; パーツ &gt; その他</t>
  </si>
  <si>
    <t>0,23000,2084005069,2084008418</t>
  </si>
  <si>
    <t>0,26318,26322,2084005144</t>
  </si>
  <si>
    <t>アクセサリー（女性用）</t>
  </si>
  <si>
    <t>オークション &gt; アクセサリー、時計 &gt; ハンドメイド &gt; アクセサリー（女性用）</t>
  </si>
  <si>
    <t>0,23140,2084240616,2084240617</t>
  </si>
  <si>
    <t>財布</t>
  </si>
  <si>
    <t>オークション &gt; ファッション &gt; レディースバッグ &gt; 財布</t>
  </si>
  <si>
    <t>0,23000,2084005069,2084005289</t>
  </si>
  <si>
    <t>オークション &gt; アクセサリー、時計 &gt; ハンドメイド &gt; キーホルダー</t>
  </si>
  <si>
    <t>0,23140,2084240616,2084236962</t>
  </si>
  <si>
    <t>タイヤ・ホイールセット</t>
  </si>
  <si>
    <t>定期入れ</t>
  </si>
  <si>
    <t>オークション &gt; ファッション &gt; レディースバッグ &gt; 定期入れ</t>
  </si>
  <si>
    <t>オークション &gt; アクセサリー、時計 &gt; ハンドメイド &gt; 携帯ストラップ</t>
  </si>
  <si>
    <t>0,23000,2084005069,2084012475</t>
  </si>
  <si>
    <t>0,23140,2084240616,2084236963</t>
  </si>
  <si>
    <t>バッグレンタル</t>
  </si>
  <si>
    <t>オークション &gt; ファッション &gt; レディースバッグ &gt; バッグレンタル</t>
  </si>
  <si>
    <t>オークション &gt; アクセサリー、時計 &gt; ハンドメイド &gt; ハンドメイド材料</t>
  </si>
  <si>
    <t>0,23000,2084005069,2084307774</t>
  </si>
  <si>
    <t>0,23140,2084240616,20924</t>
  </si>
  <si>
    <t>オークション &gt; 自動車、オートバイ &gt; タイヤ、ホイール &gt; タイヤ・ホイールセット</t>
  </si>
  <si>
    <t>0,26318,2084300257,2084200183</t>
  </si>
  <si>
    <t>オークション &gt; アクセサリー、時計 &gt; ハンドメイド &gt; その他</t>
  </si>
  <si>
    <t>0,23140,2084240616,2084240623</t>
  </si>
  <si>
    <t>タイヤ</t>
  </si>
  <si>
    <t>オークション &gt; 自動車、オートバイ &gt; タイヤ、ホイール &gt; タイヤ</t>
  </si>
  <si>
    <t>0,26318,2084300257,2084005141</t>
  </si>
  <si>
    <t>ウォーキングシューズ</t>
  </si>
  <si>
    <t>オークション &gt; ファッション &gt; レディースシューズ &gt; ウォーキングシューズ</t>
  </si>
  <si>
    <t>ホイール</t>
  </si>
  <si>
    <t>0,23000,23312,2084023781</t>
  </si>
  <si>
    <t>オークション &gt; 自動車、オートバイ &gt; タイヤ、ホイール &gt; ホイール</t>
  </si>
  <si>
    <t>0,26318,2084300257,2084005140</t>
  </si>
  <si>
    <t>サンダル</t>
  </si>
  <si>
    <t>オークション &gt; ファッション &gt; レディースシューズ &gt; サンダル</t>
  </si>
  <si>
    <t>0,23000,23312,2084005497</t>
  </si>
  <si>
    <t>チェーン、滑り止め</t>
  </si>
  <si>
    <t>オークション &gt; 自動車、オートバイ &gt; タイヤ、ホイール &gt; チェーン、滑り止め</t>
  </si>
  <si>
    <t>0,26318,2084300257,2084008459</t>
  </si>
  <si>
    <t>スニーカー</t>
  </si>
  <si>
    <t>オークション &gt; ファッション &gt; レディースシューズ &gt; スニーカー</t>
  </si>
  <si>
    <t>0,23000,23312,2084005494</t>
  </si>
  <si>
    <t>スペーサー</t>
  </si>
  <si>
    <t>オークション &gt; 自動車、オートバイ &gt; タイヤ、ホイール &gt; スペーサー</t>
  </si>
  <si>
    <t>0,26318,2084300257,2084230821</t>
  </si>
  <si>
    <t>バレエシューズ</t>
  </si>
  <si>
    <t>オークション &gt; ファッション &gt; レディースシューズ &gt; バレエシューズ</t>
  </si>
  <si>
    <t>0,23000,23312,2084023780</t>
  </si>
  <si>
    <t>ホイールキャップ</t>
  </si>
  <si>
    <t>オークション &gt; 自動車、オートバイ &gt; タイヤ、ホイール &gt; ホイールキャップ</t>
  </si>
  <si>
    <t>0,26318,2084300257,2084064158</t>
  </si>
  <si>
    <t>パンプス</t>
  </si>
  <si>
    <t>オークション &gt; ファッション &gt; レディースシューズ &gt; パンプス</t>
  </si>
  <si>
    <t>0,23000,23312,2084005493</t>
  </si>
  <si>
    <t>ホイールナット</t>
  </si>
  <si>
    <t>オークション &gt; 自動車、オートバイ &gt; タイヤ、ホイール &gt; ホイールナット</t>
  </si>
  <si>
    <t>0,26318,2084300257,2084064153</t>
  </si>
  <si>
    <t>ブーツ</t>
  </si>
  <si>
    <t>オークション &gt; ファッション &gt; レディースシューズ &gt; ブーツ</t>
  </si>
  <si>
    <t>0,23000,23312,2084005495</t>
  </si>
  <si>
    <t>ミュール</t>
  </si>
  <si>
    <t>アンテナ一体型</t>
  </si>
  <si>
    <t>オークション &gt; ファッション &gt; レディースシューズ &gt; ミュール</t>
  </si>
  <si>
    <t>オークション &gt; 自動車、オートバイ &gt; ETC &gt; アンテナ一体型</t>
  </si>
  <si>
    <t>0,23000,23312,2084005496</t>
  </si>
  <si>
    <t>0,26318,2084048326,2084202322</t>
  </si>
  <si>
    <t>アンテナ分離型</t>
  </si>
  <si>
    <t>オークション &gt; 自動車、オートバイ &gt; ETC &gt; アンテナ分離型</t>
  </si>
  <si>
    <t>0,26318,2084048326,2084202321</t>
  </si>
  <si>
    <t>ローファー、モカシン</t>
  </si>
  <si>
    <t>オークション &gt; ファッション &gt; レディースシューズ &gt; ローファー、モカシン</t>
  </si>
  <si>
    <t>0,23000,23312,2084007894</t>
  </si>
  <si>
    <t>オークション &gt; 自動車、オートバイ &gt; ETC &gt; 取り付けサービス</t>
  </si>
  <si>
    <t>0,26318,2084048326,2084214144</t>
  </si>
  <si>
    <t>下駄、草履</t>
  </si>
  <si>
    <t>オークション &gt; ファッション &gt; レディースシューズ &gt; 下駄、草履</t>
  </si>
  <si>
    <t>オークション &gt; 自動車、オートバイ &gt; ETC &gt; オートバイ用</t>
  </si>
  <si>
    <t>0,26318,2084048326,2084233217</t>
  </si>
  <si>
    <t>0,23000,23312,2084005469</t>
  </si>
  <si>
    <t>工芸品</t>
  </si>
  <si>
    <t>オークション &gt; アンティーク、コレクション &gt; 工芸品</t>
  </si>
  <si>
    <t>0,20000,2084024008</t>
  </si>
  <si>
    <t>オークション &gt; 自動車、オートバイ &gt; ETC &gt; その他</t>
  </si>
  <si>
    <t>0,26318,2084048326,2084202323</t>
  </si>
  <si>
    <t>靴下</t>
  </si>
  <si>
    <t>オークション &gt; ファッション &gt; レディースシューズ &gt; 靴下</t>
  </si>
  <si>
    <t>0,23000,23312,42187</t>
  </si>
  <si>
    <t>美術品</t>
  </si>
  <si>
    <t>オークション &gt; アンティーク、コレクション &gt; 美術品</t>
  </si>
  <si>
    <t>オークション &gt; ファッション &gt; レディースシューズ &gt; 作業靴</t>
  </si>
  <si>
    <t>0,20000,20056</t>
  </si>
  <si>
    <t>0,23000,23312,2084048894</t>
  </si>
  <si>
    <t>メーカー別</t>
  </si>
  <si>
    <t>オークション &gt; 自動車、オートバイ &gt; カーナビ &gt; メーカー別</t>
  </si>
  <si>
    <t>0,26318,23879,2084007931</t>
  </si>
  <si>
    <t>モニター</t>
  </si>
  <si>
    <t>長靴、レインシューズ</t>
  </si>
  <si>
    <t>オークション &gt; 自動車、オートバイ &gt; カーナビ &gt; モニター</t>
  </si>
  <si>
    <t>オークション &gt; ファッション &gt; レディースシューズ &gt; 長靴、レインシューズ</t>
  </si>
  <si>
    <t>0,26318,23879,2084007930</t>
  </si>
  <si>
    <t>0,23000,23312,2084023779</t>
  </si>
  <si>
    <t>ソフトウエア</t>
  </si>
  <si>
    <t>オークション &gt; 自動車、オートバイ &gt; カーナビ &gt; ソフトウエア</t>
  </si>
  <si>
    <t>0,26318,23879,2084007929</t>
  </si>
  <si>
    <t>アウトドアシューズ</t>
  </si>
  <si>
    <t>オークション &gt; ファッション &gt; レディースシューズ &gt; アウトドアシューズ</t>
  </si>
  <si>
    <t>アンテナ</t>
  </si>
  <si>
    <t>0,23000,23312,2084048872</t>
  </si>
  <si>
    <t>オークション &gt; 自動車、オートバイ &gt; カーナビ &gt; アンテナ</t>
  </si>
  <si>
    <t>0,26318,23879,2084047104</t>
  </si>
  <si>
    <t>Bluetoothユニット</t>
  </si>
  <si>
    <t>オークション &gt; 自動車、オートバイ &gt; カーナビ &gt; Bluetoothユニット</t>
  </si>
  <si>
    <t>家具</t>
  </si>
  <si>
    <t>0,26318,23879,2084290700</t>
  </si>
  <si>
    <t>フットケア用品</t>
  </si>
  <si>
    <t>オークション &gt; アンティーク、コレクション &gt; 家具</t>
  </si>
  <si>
    <t>オークション &gt; ファッション &gt; レディースシューズ &gt; フットケア用品</t>
  </si>
  <si>
    <t>0,20000,2084236067</t>
  </si>
  <si>
    <t>0,23000,23312,2084005299</t>
  </si>
  <si>
    <t>TVチューナー</t>
  </si>
  <si>
    <t>オークション &gt; 自動車、オートバイ &gt; カーナビ &gt; TVチューナー</t>
  </si>
  <si>
    <t>0,26318,23879,2084047103</t>
  </si>
  <si>
    <t>バックカメラ、バックモニタ</t>
  </si>
  <si>
    <t>オークション &gt; 自動車、オートバイ &gt; カーナビ &gt; バックカメラ、バックモニタ</t>
  </si>
  <si>
    <t>0,26318,23879,2084047102</t>
  </si>
  <si>
    <t>オークション &gt; ファッション &gt; レディースシューズ &gt; 靴用品</t>
  </si>
  <si>
    <t>0,23000,23312,2084238534</t>
  </si>
  <si>
    <t>建具</t>
  </si>
  <si>
    <t>ビーコン</t>
  </si>
  <si>
    <t>オークション &gt; 自動車、オートバイ &gt; カーナビ &gt; ビーコン</t>
  </si>
  <si>
    <t>オークション &gt; アンティーク、コレクション &gt; 建具</t>
  </si>
  <si>
    <t>0,26318,23879,2084286643</t>
  </si>
  <si>
    <t>0,20000,2084261100</t>
  </si>
  <si>
    <t>オークション &gt; ファッション &gt; レディースシューズ &gt; その他</t>
  </si>
  <si>
    <t>リモコン</t>
  </si>
  <si>
    <t>0,23000,23312,2084005499</t>
  </si>
  <si>
    <t>オークション &gt; 自動車、オートバイ &gt; カーナビ &gt; リモコン</t>
  </si>
  <si>
    <t>0,26318,23879,2084290679</t>
  </si>
  <si>
    <t>武具</t>
  </si>
  <si>
    <t>液晶保護フィルム、カバー</t>
  </si>
  <si>
    <t>オークション &gt; アンティーク、コレクション &gt; 武具</t>
  </si>
  <si>
    <t>オークション &gt; 自動車、オートバイ &gt; カーナビ &gt; 液晶保護フィルム、カバー</t>
  </si>
  <si>
    <t>0,20000,2084259484</t>
  </si>
  <si>
    <t>0,26318,23879,2084286634</t>
  </si>
  <si>
    <t>取付キット、スタンド</t>
  </si>
  <si>
    <t>オークション &gt; 自動車、オートバイ &gt; カーナビ &gt; 取付キット、スタンド</t>
  </si>
  <si>
    <t>0,26318,23879,2084286582</t>
  </si>
  <si>
    <t>かんざし</t>
  </si>
  <si>
    <t>切手、はがき</t>
  </si>
  <si>
    <t>オークション &gt; ファッション &gt; 女性和服、着物 &gt; かんざし</t>
  </si>
  <si>
    <t>オークション &gt; アンティーク、コレクション &gt; 切手、はがき</t>
  </si>
  <si>
    <t>0,23000,2084005204,2084048833</t>
  </si>
  <si>
    <t>0,20000,20960</t>
  </si>
  <si>
    <t>接続ケーブル、ACアダプター</t>
  </si>
  <si>
    <t>オークション &gt; 自動車、オートバイ &gt; カーナビ &gt; 接続ケーブル、ACアダプター</t>
  </si>
  <si>
    <t>きんちゃく、バッグ</t>
  </si>
  <si>
    <t>0,26318,23879,2084286588</t>
  </si>
  <si>
    <t>オークション &gt; ファッション &gt; 女性和服、着物 &gt; きんちゃく、バッグ</t>
  </si>
  <si>
    <t>0,23000,2084005204,2084005470</t>
  </si>
  <si>
    <t>貨幣</t>
  </si>
  <si>
    <t>オークション &gt; アンティーク、コレクション &gt; 貨幣</t>
  </si>
  <si>
    <t>0,20000,20452</t>
  </si>
  <si>
    <t>オークション &gt; 自動車、オートバイ &gt; カーナビ &gt; 取り付けサービス</t>
  </si>
  <si>
    <t>コート、道中着</t>
  </si>
  <si>
    <t>0,26318,23879,2084214142</t>
  </si>
  <si>
    <t>オークション &gt; ファッション &gt; 女性和服、着物 &gt; コート、道中着</t>
  </si>
  <si>
    <t>0,23000,2084005204,2084005473</t>
  </si>
  <si>
    <t>印刷物</t>
  </si>
  <si>
    <t>オークション &gt; アンティーク、コレクション &gt; 印刷物</t>
  </si>
  <si>
    <t>0,20000,20116</t>
  </si>
  <si>
    <t>オークション &gt; 自動車、オートバイ &gt; カーナビ &gt; その他</t>
  </si>
  <si>
    <t>0,26318,23879,2084007932</t>
  </si>
  <si>
    <t>オークション &gt; ファッション &gt; 女性和服、着物 &gt; 下駄、草履</t>
  </si>
  <si>
    <t>0,23000,2084005204,2084005469</t>
  </si>
  <si>
    <t>オークション &gt; アンティーク、コレクション &gt; トレーディングカード</t>
  </si>
  <si>
    <t>0,20000,20992</t>
  </si>
  <si>
    <t>小紋</t>
  </si>
  <si>
    <t>オークション &gt; ファッション &gt; 女性和服、着物 &gt; 小紋</t>
  </si>
  <si>
    <t>0,23000,2084005204,2084005465</t>
  </si>
  <si>
    <t>FMトランスミッター</t>
  </si>
  <si>
    <t>広告、ノベルティグッズ</t>
  </si>
  <si>
    <t>オークション &gt; 自動車、オートバイ &gt; カーオーディオ &gt; FMトランスミッター</t>
  </si>
  <si>
    <t>オークション &gt; アンティーク、コレクション &gt; 広告、ノベルティグッズ</t>
  </si>
  <si>
    <t>0,26318,23852,2084290675</t>
  </si>
  <si>
    <t>0,20000,27771</t>
  </si>
  <si>
    <t>色無地</t>
  </si>
  <si>
    <t>オークション &gt; ファッション &gt; 女性和服、着物 &gt; 色無地</t>
  </si>
  <si>
    <t>CD＆MDプレイヤー</t>
  </si>
  <si>
    <t>0,23000,2084005204,2084005466</t>
  </si>
  <si>
    <t>オークション &gt; 自動車、オートバイ &gt; カーオーディオ &gt; CD＆MDプレイヤー</t>
  </si>
  <si>
    <t>0,26318,23852,2084048436</t>
  </si>
  <si>
    <t>科学、自然</t>
  </si>
  <si>
    <t>オークション &gt; アンティーク、コレクション &gt; 科学、自然</t>
  </si>
  <si>
    <t>0,20000,20764</t>
  </si>
  <si>
    <t>CD＆カセットプレイヤー</t>
  </si>
  <si>
    <t>オークション &gt; 自動車、オートバイ &gt; カーオーディオ &gt; CD＆カセットプレイヤー</t>
  </si>
  <si>
    <t>振袖</t>
  </si>
  <si>
    <t>0,26318,23852,2084048437</t>
  </si>
  <si>
    <t>オークション &gt; ファッション &gt; 女性和服、着物 &gt; 振袖</t>
  </si>
  <si>
    <t>0,23000,2084005204,2084005461</t>
  </si>
  <si>
    <t>CDチェンジャー</t>
  </si>
  <si>
    <t>オークション &gt; 自動車、オートバイ &gt; カーオーディオ &gt; CDチェンジャー</t>
  </si>
  <si>
    <t>0,26318,23852,23856</t>
  </si>
  <si>
    <t>オークション &gt; アンティーク、コレクション &gt; 電化製品</t>
  </si>
  <si>
    <t>0,20000,20004</t>
  </si>
  <si>
    <t>帯</t>
  </si>
  <si>
    <t>CDプレーヤー</t>
  </si>
  <si>
    <t>オークション &gt; ファッション &gt; 女性和服、着物 &gt; 帯</t>
  </si>
  <si>
    <t>オークション &gt; 自動車、オートバイ &gt; カーオーディオ &gt; CDプレーヤー</t>
  </si>
  <si>
    <t>0,26318,23852,23860</t>
  </si>
  <si>
    <t>0,23000,2084005204,2084005468</t>
  </si>
  <si>
    <t>蓄音機</t>
  </si>
  <si>
    <t>オークション &gt; アンティーク、コレクション &gt; 蓄音機</t>
  </si>
  <si>
    <t>DVDチェンジャー</t>
  </si>
  <si>
    <t>0,20000,2084048439</t>
  </si>
  <si>
    <t>オークション &gt; 自動車、オートバイ &gt; カーオーディオ &gt; DVDチェンジャー</t>
  </si>
  <si>
    <t>0,26318,23852,2084049686</t>
  </si>
  <si>
    <t>紬、お召</t>
  </si>
  <si>
    <t>オークション &gt; ファッション &gt; 女性和服、着物 &gt; 紬、お召</t>
  </si>
  <si>
    <t>0,23000,2084005204,2084048387</t>
  </si>
  <si>
    <t>乗り物</t>
  </si>
  <si>
    <t>DVDプレイヤー</t>
  </si>
  <si>
    <t>オークション &gt; アンティーク、コレクション &gt; 乗り物</t>
  </si>
  <si>
    <t>0,20000,21060</t>
  </si>
  <si>
    <t>オークション &gt; 自動車、オートバイ &gt; カーオーディオ &gt; DVDプレイヤー</t>
  </si>
  <si>
    <t>0,26318,23852,2084049685</t>
  </si>
  <si>
    <t>付下げ</t>
  </si>
  <si>
    <t>オークション &gt; ファッション &gt; 女性和服、着物 &gt; 付下げ</t>
  </si>
  <si>
    <t>0,23000,2084005204,2084005464</t>
  </si>
  <si>
    <t>MDプレーヤー</t>
  </si>
  <si>
    <t>オークション &gt; アンティーク、コレクション &gt; ディズニー</t>
  </si>
  <si>
    <t>オークション &gt; 自動車、オートバイ &gt; カーオーディオ &gt; MDプレーヤー</t>
  </si>
  <si>
    <t>0,20000,27858</t>
  </si>
  <si>
    <t>0,26318,23852,2084005295</t>
  </si>
  <si>
    <t>訪問着</t>
  </si>
  <si>
    <t>オークション &gt; ファッション &gt; 女性和服、着物 &gt; 訪問着</t>
  </si>
  <si>
    <t>0,23000,2084005204,2084005463</t>
  </si>
  <si>
    <t>アンプ</t>
  </si>
  <si>
    <t>SF</t>
  </si>
  <si>
    <t>オークション &gt; 自動車、オートバイ &gt; カーオーディオ &gt; アンプ</t>
  </si>
  <si>
    <t>オークション &gt; アンティーク、コレクション &gt; SF</t>
  </si>
  <si>
    <t>0,26318,23852,2084005294</t>
  </si>
  <si>
    <t>0,20000,42223</t>
  </si>
  <si>
    <t>オークション &gt; ファッション &gt; 女性和服、着物 &gt; 浴衣</t>
  </si>
  <si>
    <t>0,23000,2084005204,2084005467</t>
  </si>
  <si>
    <t>ウーハー</t>
  </si>
  <si>
    <t>オークション &gt; 自動車、オートバイ &gt; カーオーディオ &gt; ウーハー</t>
  </si>
  <si>
    <t>ボトルキャップ</t>
  </si>
  <si>
    <t>0,26318,23852,2084048322</t>
  </si>
  <si>
    <t>オークション &gt; アンティーク、コレクション &gt; ボトルキャップ</t>
  </si>
  <si>
    <t>0,20000,2084045612</t>
  </si>
  <si>
    <t>留袖</t>
  </si>
  <si>
    <t>オークション &gt; ファッション &gt; 女性和服、着物 &gt; 留袖</t>
  </si>
  <si>
    <t>0,23000,2084005204,2084005462</t>
  </si>
  <si>
    <t>スピーカー</t>
  </si>
  <si>
    <t>オークション &gt; 自動車、オートバイ &gt; カーオーディオ &gt; スピーカー</t>
  </si>
  <si>
    <t>0,26318,23852,23864</t>
  </si>
  <si>
    <t>オークション &gt; アンティーク、コレクション &gt; サイン</t>
  </si>
  <si>
    <t>0,20000,27856</t>
  </si>
  <si>
    <t>長襦袢</t>
  </si>
  <si>
    <t>オークション &gt; ファッション &gt; 女性和服、着物 &gt; 長襦袢</t>
  </si>
  <si>
    <t>0,23000,2084005204,2084059847</t>
  </si>
  <si>
    <t>チューナー</t>
  </si>
  <si>
    <t>オークション &gt; 自動車、オートバイ &gt; カーオーディオ &gt; チューナー</t>
  </si>
  <si>
    <t>雑貨</t>
  </si>
  <si>
    <t>0,26318,23852,23872</t>
  </si>
  <si>
    <t>オークション &gt; アンティーク、コレクション &gt; 雑貨</t>
  </si>
  <si>
    <t>0,20000,21152</t>
  </si>
  <si>
    <t>和服用インナーウエア</t>
  </si>
  <si>
    <t>オークション &gt; ファッション &gt; 女性和服、着物 &gt; 和服用インナーウエア</t>
  </si>
  <si>
    <t>0,23000,2084005204,2084061635</t>
  </si>
  <si>
    <t>テープデッキ</t>
  </si>
  <si>
    <t>オークション &gt; 自動車、オートバイ &gt; カーオーディオ &gt; テープデッキ</t>
  </si>
  <si>
    <t>0,26318,23852,23868</t>
  </si>
  <si>
    <t>和装小物</t>
  </si>
  <si>
    <t>オークション &gt; アンティーク、コレクション &gt; おもちゃ、ゲーム</t>
  </si>
  <si>
    <t>オークション &gt; ファッション &gt; 女性和服、着物 &gt; 和装小物</t>
  </si>
  <si>
    <t>0,20000,27673</t>
  </si>
  <si>
    <t>0,23000,2084005204,2084005472</t>
  </si>
  <si>
    <t>デッドニング用品</t>
  </si>
  <si>
    <t>オークション &gt; 自動車、オートバイ &gt; カーオーディオ &gt; デッドニング用品</t>
  </si>
  <si>
    <t>0,26318,23852,2084290676</t>
  </si>
  <si>
    <t>アンティーク</t>
  </si>
  <si>
    <t>オークション &gt; アンティーク、コレクション &gt; テレホンカード</t>
  </si>
  <si>
    <t>オークション &gt; ファッション &gt; 女性和服、着物 &gt; アンティーク</t>
  </si>
  <si>
    <t>0,20000,23968</t>
  </si>
  <si>
    <t>0,23000,2084005204,2084311305</t>
  </si>
  <si>
    <t>オークション &gt; 自動車、オートバイ &gt; カーオーディオ &gt; リモコン</t>
  </si>
  <si>
    <t>0,26318,23852,2084290677</t>
  </si>
  <si>
    <t>着付け</t>
  </si>
  <si>
    <t>オークション &gt; アンティーク、コレクション &gt; フィギュア</t>
  </si>
  <si>
    <t>オークション &gt; ファッション &gt; 女性和服、着物 &gt; 着付け</t>
  </si>
  <si>
    <t>取り付けキット、配線</t>
  </si>
  <si>
    <t>0,20000,25888</t>
  </si>
  <si>
    <t>0,23000,2084005204,2084307760</t>
  </si>
  <si>
    <t>オークション &gt; 自動車、オートバイ &gt; カーオーディオ &gt; 取り付けキット、配線</t>
  </si>
  <si>
    <t>0,26318,23852,2084049687</t>
  </si>
  <si>
    <t>オークション &gt; ファッション &gt; 女性和服、着物 &gt; その他</t>
  </si>
  <si>
    <t>オークション &gt; アンティーク、コレクション &gt; ミリタリー</t>
  </si>
  <si>
    <t>オークション &gt; 自動車、オートバイ &gt; カーオーディオ &gt; セット</t>
  </si>
  <si>
    <t>0,20000,20428</t>
  </si>
  <si>
    <t>0,23000,2084005204,2084005474</t>
  </si>
  <si>
    <t>0,26318,23852,2084048323</t>
  </si>
  <si>
    <t>オークション &gt; 自動車、オートバイ &gt; カーオーディオ &gt; 取り付けサービス</t>
  </si>
  <si>
    <t>0,26318,23852,2084214143</t>
  </si>
  <si>
    <t>絵画、工芸品レンタル</t>
  </si>
  <si>
    <t>オークション &gt; アンティーク、コレクション &gt; 絵画、工芸品レンタル</t>
  </si>
  <si>
    <t>0,20000,2084307788</t>
  </si>
  <si>
    <t>オークション &gt; 自動車、オートバイ &gt; カーオーディオ &gt; その他</t>
  </si>
  <si>
    <t>0,26318,23852,23876</t>
  </si>
  <si>
    <t>オークション &gt; ファッション &gt; メンズファッション &gt; コート</t>
  </si>
  <si>
    <t>0,23000,23176,2084007042</t>
  </si>
  <si>
    <t>オークション &gt; ファッション &gt; メンズファッション &gt; ジャケット、上着</t>
  </si>
  <si>
    <t>0,23000,23176,23196</t>
  </si>
  <si>
    <t>オークション &gt; 自動車、オートバイ &gt; アクセサリー &gt; オートバイ用</t>
  </si>
  <si>
    <t>0,26318,26320,26310</t>
  </si>
  <si>
    <t>オークション &gt; ファッション &gt; メンズファッション &gt; カーディガン</t>
  </si>
  <si>
    <t>絵画</t>
  </si>
  <si>
    <t>オークション &gt; ホビー、カルチャー &gt; 美術品 &gt; 絵画</t>
  </si>
  <si>
    <t>0,23000,23176,2084007052</t>
  </si>
  <si>
    <t>0,24242,20056,20080</t>
  </si>
  <si>
    <t>トラック/ダンプ/重機専用</t>
  </si>
  <si>
    <t>オークション &gt; 自動車、オートバイ &gt; アクセサリー &gt; トラック/ダンプ/重機専用</t>
  </si>
  <si>
    <t>0,26318,26320,2084241183</t>
  </si>
  <si>
    <t>版画</t>
  </si>
  <si>
    <t>オークション &gt; ファッション &gt; メンズファッション &gt; ニット、セーター</t>
  </si>
  <si>
    <t>オークション &gt; ホビー、カルチャー &gt; 美術品 &gt; 版画</t>
  </si>
  <si>
    <t>0,23000,23176,2084005282</t>
  </si>
  <si>
    <t>0,24242,20056,2084006148</t>
  </si>
  <si>
    <t>オークション &gt; 自動車、オートバイ &gt; アクセサリー &gt; アンテナ</t>
  </si>
  <si>
    <t>0,26318,26320,2084047104</t>
  </si>
  <si>
    <t>彫刻、オブジェ</t>
  </si>
  <si>
    <t>オークション &gt; ホビー、カルチャー &gt; 美術品 &gt; 彫刻、オブジェ</t>
  </si>
  <si>
    <t>0,24242,20056,20120</t>
  </si>
  <si>
    <t>オークション &gt; ファッション &gt; メンズファッション &gt; ベスト</t>
  </si>
  <si>
    <t>0,23000,23176,2084007053</t>
  </si>
  <si>
    <t>インバーター</t>
  </si>
  <si>
    <t>オークション &gt; 自動車、オートバイ &gt; アクセサリー &gt; インバーター</t>
  </si>
  <si>
    <t>0,26318,26320,2084005810</t>
  </si>
  <si>
    <t>工芸</t>
  </si>
  <si>
    <t>オークション &gt; ホビー、カルチャー &gt; 美術品 &gt; 工芸</t>
  </si>
  <si>
    <t>0,24242,20056,2084024008</t>
  </si>
  <si>
    <t>オークション &gt; ファッション &gt; メンズファッション &gt; トレーナー</t>
  </si>
  <si>
    <t>ウィンドウフィルム、カーフィルム</t>
  </si>
  <si>
    <t>0,23000,23176,2084007051</t>
  </si>
  <si>
    <t>オークション &gt; 自動車、オートバイ &gt; アクセサリー &gt; ウィンドウフィルム、カーフィルム</t>
  </si>
  <si>
    <t>0,26318,26320,2084203777</t>
  </si>
  <si>
    <t>額縁</t>
  </si>
  <si>
    <t>オークション &gt; ホビー、カルチャー &gt; 美術品 &gt; 額縁</t>
  </si>
  <si>
    <t>0,24242,20056,2084006189</t>
  </si>
  <si>
    <t>エンブレム</t>
  </si>
  <si>
    <t>オークション &gt; 自動車、オートバイ &gt; アクセサリー &gt; エンブレム</t>
  </si>
  <si>
    <t>シャツ</t>
  </si>
  <si>
    <t>0,26318,26320,2084047101</t>
  </si>
  <si>
    <t>書</t>
  </si>
  <si>
    <t>オークション &gt; ファッション &gt; メンズファッション &gt; シャツ</t>
  </si>
  <si>
    <t>オークション &gt; ホビー、カルチャー &gt; 美術品 &gt; 書</t>
  </si>
  <si>
    <t>0,23000,23176,42189</t>
  </si>
  <si>
    <t>0,24242,20056,2084006117</t>
  </si>
  <si>
    <t>オークション &gt; 自動車、オートバイ &gt; アクセサリー &gt; キーホルダー</t>
  </si>
  <si>
    <t>芸術写真</t>
  </si>
  <si>
    <t>0,26318,26320,2084005812</t>
  </si>
  <si>
    <t>オークション &gt; ホビー、カルチャー &gt; 美術品 &gt; 芸術写真</t>
  </si>
  <si>
    <t>0,24242,20056,20084</t>
  </si>
  <si>
    <t>オークション &gt; ファッション &gt; メンズファッション &gt; ポロシャツ</t>
  </si>
  <si>
    <t>0,23000,23176,2084007048</t>
  </si>
  <si>
    <t>キャリア、ラック</t>
  </si>
  <si>
    <t>オークション &gt; 自動車、オートバイ &gt; アクセサリー &gt; キャリア、ラック</t>
  </si>
  <si>
    <t>本</t>
  </si>
  <si>
    <t>0,26318,26320,2084005808</t>
  </si>
  <si>
    <t>オークション &gt; ホビー、カルチャー &gt; 美術品 &gt; 本</t>
  </si>
  <si>
    <t>0,24242,20056,2084060415</t>
  </si>
  <si>
    <t>オークション &gt; ファッション &gt; メンズファッション &gt; Tシャツ</t>
  </si>
  <si>
    <t>0,23000,23176,2084005451</t>
  </si>
  <si>
    <t>コンバーター</t>
  </si>
  <si>
    <t>オークション &gt; 自動車、オートバイ &gt; アクセサリー &gt; コンバーター</t>
  </si>
  <si>
    <t>オークション &gt; ホビー、カルチャー &gt; 美術品 &gt; 絵画、工芸品レンタル</t>
  </si>
  <si>
    <t>0,26318,26320,2084290712</t>
  </si>
  <si>
    <t>0,24242,20056,2084307788</t>
  </si>
  <si>
    <t>オークション &gt; ファッション &gt; メンズファッション &gt; タンクトップ</t>
  </si>
  <si>
    <t>0,23000,23176,2084007047</t>
  </si>
  <si>
    <t>空気清浄機</t>
  </si>
  <si>
    <t>オークション &gt; 自動車、オートバイ &gt; アクセサリー &gt; 空気清浄機</t>
  </si>
  <si>
    <t>0,26318,26320,2084262999</t>
  </si>
  <si>
    <t>オークション &gt; ホビー、カルチャー &gt; 美術品 &gt; 雑誌</t>
  </si>
  <si>
    <t>0,24242,20056,2084060423</t>
  </si>
  <si>
    <t>ジーンズ</t>
  </si>
  <si>
    <t>オークション &gt; ファッション &gt; メンズファッション &gt; ジーンズ</t>
  </si>
  <si>
    <t>0,23000,23176,23188</t>
  </si>
  <si>
    <t>携帯電話・スマートフォン用品</t>
  </si>
  <si>
    <t>オークション &gt; 自動車、オートバイ &gt; アクセサリー &gt; 携帯電話・スマートフォン用品</t>
  </si>
  <si>
    <t>0,26318,26320,2084286658</t>
  </si>
  <si>
    <t>オークション &gt; ホビー、カルチャー &gt; 美術品 &gt; その他</t>
  </si>
  <si>
    <t>0,24242,20056,20128</t>
  </si>
  <si>
    <t>オークション &gt; ファッション &gt; メンズファッション &gt; パンツ、スラックス</t>
  </si>
  <si>
    <t>0,23000,23176,2084007077</t>
  </si>
  <si>
    <t>シートカバー</t>
  </si>
  <si>
    <t>オークション &gt; 自動車、オートバイ &gt; アクセサリー &gt; シートカバー</t>
  </si>
  <si>
    <t>0,26318,26320,2084005811</t>
  </si>
  <si>
    <t>シフトノブ</t>
  </si>
  <si>
    <t>オークション &gt; 自動車、オートバイ &gt; アクセサリー &gt; シフトノブ</t>
  </si>
  <si>
    <t>0,26318,26320,2084007923</t>
  </si>
  <si>
    <t>オークション &gt; ファッション &gt; メンズファッション &gt; ワークパンツ、ペインターパンツ</t>
  </si>
  <si>
    <t>0,23000,23176,2084036999</t>
  </si>
  <si>
    <t>ステッカー、デカール</t>
  </si>
  <si>
    <t>オークション &gt; 自動車、オートバイ &gt; アクセサリー &gt; ステッカー、デカール</t>
  </si>
  <si>
    <t>0,26318,26320,2084007924</t>
  </si>
  <si>
    <t>オークション &gt; ファッション &gt; メンズファッション &gt; チノパン</t>
  </si>
  <si>
    <t>0,23000,23176,2084007082</t>
  </si>
  <si>
    <t>車内収納、ホルダー</t>
  </si>
  <si>
    <t>オークション &gt; 自動車、オートバイ &gt; アクセサリー &gt; 車内収納、ホルダー</t>
  </si>
  <si>
    <t>0,26318,26320,2084005809</t>
  </si>
  <si>
    <t>オークション &gt; アンティーク、コレクション &gt; 家具 &gt; 日本</t>
  </si>
  <si>
    <t>0,20000,2084236067,2084236074</t>
  </si>
  <si>
    <t>ターボタイマー</t>
  </si>
  <si>
    <t>オークション &gt; 自動車、オートバイ &gt; アクセサリー &gt; ターボタイマー</t>
  </si>
  <si>
    <t>オークション &gt; ファッション &gt; メンズファッション &gt; ショートパンツ</t>
  </si>
  <si>
    <t>0,26318,26320,2084048528</t>
  </si>
  <si>
    <t>0,23000,23176,2084007081</t>
  </si>
  <si>
    <t>タイヤチェーン、滑り止め</t>
  </si>
  <si>
    <t>オークション &gt; 自動車、オートバイ &gt; アクセサリー &gt; タイヤチェーン、滑り止め</t>
  </si>
  <si>
    <t>0,26318,26320,2084008459</t>
  </si>
  <si>
    <t>アジア</t>
  </si>
  <si>
    <t>オーバーオール</t>
  </si>
  <si>
    <t>オークション &gt; アンティーク、コレクション &gt; 家具 &gt; アジア</t>
  </si>
  <si>
    <t>オークション &gt; ファッション &gt; メンズファッション &gt; オーバーオール</t>
  </si>
  <si>
    <t>0,20000,2084236067,2084236075</t>
  </si>
  <si>
    <t>ドライブレコーダー</t>
  </si>
  <si>
    <t>0,23000,23176,2084047538</t>
  </si>
  <si>
    <t>オークション &gt; 自動車、オートバイ &gt; アクセサリー &gt; ドライブレコーダー</t>
  </si>
  <si>
    <t>0,26318,26320,2084231726</t>
  </si>
  <si>
    <t>西洋</t>
  </si>
  <si>
    <t>ナンバーフレーム</t>
  </si>
  <si>
    <t>オークション &gt; 自動車、オートバイ &gt; アクセサリー &gt; ナンバーフレーム</t>
  </si>
  <si>
    <t>オークション &gt; アンティーク、コレクション &gt; 家具 &gt; 西洋</t>
  </si>
  <si>
    <t>0,26318,26320,2084007925</t>
  </si>
  <si>
    <t>0,20000,2084236067,2084236076</t>
  </si>
  <si>
    <t>オークション &gt; ファッション &gt; メンズファッション &gt; サルエルパンツ</t>
  </si>
  <si>
    <t>0,23000,23176,2084246078</t>
  </si>
  <si>
    <t>店舗什器</t>
  </si>
  <si>
    <t>フロアマット</t>
  </si>
  <si>
    <t>オークション &gt; アンティーク、コレクション &gt; 家具 &gt; 店舗什器</t>
  </si>
  <si>
    <t>オークション &gt; 自動車、オートバイ &gt; アクセサリー &gt; フロアマット</t>
  </si>
  <si>
    <t>0,20000,2084236067,2084263156</t>
  </si>
  <si>
    <t>0,26318,26320,2084005807</t>
  </si>
  <si>
    <t>オークション &gt; ファッション &gt; メンズファッション &gt; スーツ</t>
  </si>
  <si>
    <t>0,23000,23176,2084007041</t>
  </si>
  <si>
    <t>ボディカバー</t>
  </si>
  <si>
    <t>オークション &gt; 自動車、オートバイ &gt; アクセサリー &gt; ボディカバー</t>
  </si>
  <si>
    <t>0,26318,26320,2084213108</t>
  </si>
  <si>
    <t>オークション &gt; ファッション &gt; メンズファッション &gt; ファッション小物</t>
  </si>
  <si>
    <t>オークション &gt; 自動車、オートバイ &gt; アクセサリー &gt; 芳香剤、消臭剤</t>
  </si>
  <si>
    <t>0,23000,23176,2084005270</t>
  </si>
  <si>
    <t>0,26318,26320,2084007926</t>
  </si>
  <si>
    <t>日本刀、刀剣</t>
  </si>
  <si>
    <t>マフラーカッター</t>
  </si>
  <si>
    <t>オークション &gt; 自動車、オートバイ &gt; アクセサリー &gt; マフラーカッター</t>
  </si>
  <si>
    <t>オークション &gt; アンティーク、コレクション &gt; 武具 &gt; 日本刀、刀剣</t>
  </si>
  <si>
    <t>0,26318,26320,2084007927</t>
  </si>
  <si>
    <t>0,20000,2084259484,2084310194</t>
  </si>
  <si>
    <t>オークション &gt; ファッション &gt; メンズファッション &gt; インナーウエア</t>
  </si>
  <si>
    <t>0,23000,23176,42190</t>
  </si>
  <si>
    <t>モール</t>
  </si>
  <si>
    <t>オークション &gt; 自動車、オートバイ &gt; アクセサリー &gt; モール</t>
  </si>
  <si>
    <t>0,26318,26320,2084258256</t>
  </si>
  <si>
    <t>鍔、刀装具</t>
  </si>
  <si>
    <t>オークション &gt; アンティーク、コレクション &gt; 武具 &gt; 鍔、刀装具</t>
  </si>
  <si>
    <t>0,20000,2084259484,2084057815</t>
  </si>
  <si>
    <t>オークション &gt; ファッション &gt; メンズファッション &gt; パジャマ</t>
  </si>
  <si>
    <t>リモコンスターター</t>
  </si>
  <si>
    <t>0,23000,23176,2084006762</t>
  </si>
  <si>
    <t>オークション &gt; 自動車、オートバイ &gt; アクセサリー &gt; リモコンスターター</t>
  </si>
  <si>
    <t>0,26318,26320,2084048527</t>
  </si>
  <si>
    <t>火縄銃、古式銃</t>
  </si>
  <si>
    <t>オークション &gt; アンティーク、コレクション &gt; 武具 &gt; 火縄銃、古式銃</t>
  </si>
  <si>
    <t>ルームミラー</t>
  </si>
  <si>
    <t>0,20000,2084259484,2084311415</t>
  </si>
  <si>
    <t>オークション &gt; 自動車、オートバイ &gt; アクセサリー &gt; ルームミラー</t>
  </si>
  <si>
    <t>オークション &gt; ファッション &gt; メンズファッション &gt; フォーマル</t>
  </si>
  <si>
    <t>0,26318,26320,2084005806</t>
  </si>
  <si>
    <t>0,23000,23176,23180</t>
  </si>
  <si>
    <t>レプリカ、装飾銃</t>
  </si>
  <si>
    <t>レーダー探知機</t>
  </si>
  <si>
    <t>オークション &gt; アンティーク、コレクション &gt; 武具 &gt; レプリカ、装飾銃</t>
  </si>
  <si>
    <t>オークション &gt; 自動車、オートバイ &gt; アクセサリー &gt; レーダー探知機</t>
  </si>
  <si>
    <t>0,20000,2084259484,2084311419</t>
  </si>
  <si>
    <t>0,26318,26320,2084007928</t>
  </si>
  <si>
    <t>オークション &gt; ファッション &gt; メンズファッション &gt; 水着</t>
  </si>
  <si>
    <t>0,23000,23176,2084051828</t>
  </si>
  <si>
    <t>甲冑（兜、鎧）</t>
  </si>
  <si>
    <t>オークション &gt; 自動車、オートバイ &gt; アクセサリー &gt; その他</t>
  </si>
  <si>
    <t>オークション &gt; アンティーク、コレクション &gt; 武具 &gt; 甲冑（兜、鎧）</t>
  </si>
  <si>
    <t>0,26318,26320,2084005813</t>
  </si>
  <si>
    <t>0,20000,2084259484,2084259485</t>
  </si>
  <si>
    <t>オークション &gt; ファッション &gt; メンズファッション &gt; 作業服</t>
  </si>
  <si>
    <t>0,23000,23176,2084047504</t>
  </si>
  <si>
    <t>馬具</t>
  </si>
  <si>
    <t>オークション &gt; アンティーク、コレクション &gt; 武具 &gt; 馬具</t>
  </si>
  <si>
    <t>メンズファッションレンタル</t>
  </si>
  <si>
    <t>0,20000,2084259484,2084259486</t>
  </si>
  <si>
    <t>オークション &gt; ファッション &gt; メンズファッション &gt; メンズファッションレンタル</t>
  </si>
  <si>
    <t>0,23000,23176,2084307770</t>
  </si>
  <si>
    <t>オークション &gt; アンティーク、コレクション &gt; 武具 &gt; その他</t>
  </si>
  <si>
    <t>オークション &gt; ファッション &gt; メンズファッション &gt; その他</t>
  </si>
  <si>
    <t>0,23000,23176,2084207680</t>
  </si>
  <si>
    <t>0,20000,2084259484,2084259487</t>
  </si>
  <si>
    <t>オークション &gt; 自動車、オートバイ &gt; セーフティ &gt; チャイルドシート</t>
  </si>
  <si>
    <t>0,26318,2084005798,2084005814</t>
  </si>
  <si>
    <t>シートベルト</t>
  </si>
  <si>
    <t>オークション &gt; 自動車、オートバイ &gt; セーフティ &gt; シートベルト</t>
  </si>
  <si>
    <t>0,26318,2084005798,2084005815</t>
  </si>
  <si>
    <t>初日カバー</t>
  </si>
  <si>
    <t>オークション &gt; アンティーク、コレクション &gt; 切手、はがき &gt; 初日カバー</t>
  </si>
  <si>
    <t>ドライブサイン</t>
  </si>
  <si>
    <t>0,20000,20960,40575</t>
  </si>
  <si>
    <t>オークション &gt; 自動車、オートバイ &gt; セーフティ &gt; ドライブサイン</t>
  </si>
  <si>
    <t>オークション &gt; ファッション &gt; メンズバッグ &gt; ショルダーバッグ</t>
  </si>
  <si>
    <t>0,26318,2084005798,2084291448</t>
  </si>
  <si>
    <t>0,23000,2084006467,2084008300</t>
  </si>
  <si>
    <t>オークション &gt; アンティーク、コレクション &gt; 切手、はがき &gt; 日本</t>
  </si>
  <si>
    <t>0,20000,20960,44293</t>
  </si>
  <si>
    <t>オークション &gt; ファッション &gt; メンズバッグ &gt; ブリーフケース、書類かばん</t>
  </si>
  <si>
    <t>0,23000,2084006467,2084008334</t>
  </si>
  <si>
    <t>オークション &gt; 自動車、オートバイ &gt; セーフティ &gt; ドライブレコーダー</t>
  </si>
  <si>
    <t>0,26318,2084005798,2084231726</t>
  </si>
  <si>
    <t>オークション &gt; アンティーク、コレクション &gt; 切手、はがき &gt; アジア</t>
  </si>
  <si>
    <t>ヘルメット</t>
  </si>
  <si>
    <t>0,20000,20960,44279</t>
  </si>
  <si>
    <t>オークション &gt; ファッション &gt; メンズバッグ &gt; リュックサック、デイパック</t>
  </si>
  <si>
    <t>オークション &gt; 自動車、オートバイ &gt; セーフティ &gt; ヘルメット</t>
  </si>
  <si>
    <t>0,23000,2084006467,2084008303</t>
  </si>
  <si>
    <t>0,26318,2084005798,2084304241</t>
  </si>
  <si>
    <t>北アメリカ</t>
  </si>
  <si>
    <t>オークション &gt; アンティーク、コレクション &gt; 切手、はがき &gt; 北アメリカ</t>
  </si>
  <si>
    <t>0,20000,20960,44168</t>
  </si>
  <si>
    <t>オークション &gt; ファッション &gt; メンズバッグ &gt; ウエストバッグ</t>
  </si>
  <si>
    <t>0,23000,2084006467,2084008299</t>
  </si>
  <si>
    <t>オークション &gt; 自動車、オートバイ &gt; セーフティ &gt; ベビーシート</t>
  </si>
  <si>
    <t>0,26318,2084005798,2084047108</t>
  </si>
  <si>
    <t>南アメリカ</t>
  </si>
  <si>
    <t>オークション &gt; アンティーク、コレクション &gt; 切手、はがき &gt; 南アメリカ</t>
  </si>
  <si>
    <t>0,20000,20960,44170</t>
  </si>
  <si>
    <t>オークション &gt; ファッション &gt; メンズバッグ &gt; トートバッグ</t>
  </si>
  <si>
    <t>0,23000,2084006467,2084008301</t>
  </si>
  <si>
    <t>オークション &gt; 自動車、オートバイ &gt; セーフティ &gt; オートバイ用</t>
  </si>
  <si>
    <t>ヨーロッパ</t>
  </si>
  <si>
    <t>0,26318,2084005798,2084012441</t>
  </si>
  <si>
    <t>オークション &gt; アンティーク、コレクション &gt; 切手、はがき &gt; ヨーロッパ</t>
  </si>
  <si>
    <t>0,20000,20960,44180</t>
  </si>
  <si>
    <t>オークション &gt; ファッション &gt; メンズバッグ &gt; アタッシュケース</t>
  </si>
  <si>
    <t>0,23000,2084006467,2084008337</t>
  </si>
  <si>
    <t>オークション &gt; 自動車、オートバイ &gt; セーフティ &gt; その他</t>
  </si>
  <si>
    <t>アフリカ</t>
  </si>
  <si>
    <t>0,26318,2084005798,2084005816</t>
  </si>
  <si>
    <t>オークション &gt; アンティーク、コレクション &gt; 切手、はがき &gt; アフリカ</t>
  </si>
  <si>
    <t>0,20000,20960,2084005731</t>
  </si>
  <si>
    <t>オークション &gt; ファッション &gt; メンズバッグ &gt; スーツケース、トランク</t>
  </si>
  <si>
    <t>0,23000,2084006467,2084008297</t>
  </si>
  <si>
    <t>オセアニア</t>
  </si>
  <si>
    <t>オークション &gt; アンティーク、コレクション &gt; 切手、はがき &gt; オセアニア</t>
  </si>
  <si>
    <t>オークション &gt; ファッション &gt; メンズバッグ &gt; セカンドバッグ</t>
  </si>
  <si>
    <t>0,20000,20960,2084005730</t>
  </si>
  <si>
    <t>0,23000,2084006467,2084008304</t>
  </si>
  <si>
    <t>はがき</t>
  </si>
  <si>
    <t>オークション &gt; アンティーク、コレクション &gt; 切手、はがき &gt; はがき</t>
  </si>
  <si>
    <t>0,20000,20960,2084046934</t>
  </si>
  <si>
    <t>アラーム</t>
  </si>
  <si>
    <t>オークション &gt; ファッション &gt; メンズバッグ &gt; ハンドバッグ</t>
  </si>
  <si>
    <t>オークション &gt; 自動車、オートバイ &gt; セキュリティ &gt; アラーム</t>
  </si>
  <si>
    <t>0,23000,2084006467,2084008302</t>
  </si>
  <si>
    <t>0,26318,2084005799,2084005817</t>
  </si>
  <si>
    <t>オークション &gt; アンティーク、コレクション &gt; 切手、はがき &gt; 本、雑誌</t>
  </si>
  <si>
    <t>0,20000,20960,21632</t>
  </si>
  <si>
    <t>キーレスエントリー</t>
  </si>
  <si>
    <t>オークション &gt; 自動車、オートバイ &gt; セキュリティ &gt; キーレスエントリー</t>
  </si>
  <si>
    <t>0,26318,2084005799,2084291400</t>
  </si>
  <si>
    <t>オークション &gt; ファッション &gt; メンズバッグ &gt; ボストンバッグ</t>
  </si>
  <si>
    <t>オークション &gt; アンティーク、コレクション &gt; 切手、はがき &gt; その他</t>
  </si>
  <si>
    <t>0,23000,2084006467,2084008298</t>
  </si>
  <si>
    <t>0,20000,20960,20984</t>
  </si>
  <si>
    <t>ステアリングロック</t>
  </si>
  <si>
    <t>オークション &gt; 自動車、オートバイ &gt; セキュリティ &gt; ステアリングロック</t>
  </si>
  <si>
    <t>0,26318,2084005799,2084290723</t>
  </si>
  <si>
    <t>オークション &gt; ファッション &gt; メンズバッグ &gt; ボディバッグ</t>
  </si>
  <si>
    <t>オークション &gt; 自動車、オートバイ &gt; セキュリティ &gt; ステッカー</t>
  </si>
  <si>
    <t>0,23000,2084006467,2084008349</t>
  </si>
  <si>
    <t>0,26318,2084005799,2084291444</t>
  </si>
  <si>
    <t>セキュリティスキャナー</t>
  </si>
  <si>
    <t>メッセンジャーバッグ</t>
  </si>
  <si>
    <t>硬貨</t>
  </si>
  <si>
    <t>オークション &gt; 自動車、オートバイ &gt; セキュリティ &gt; セキュリティスキャナー</t>
  </si>
  <si>
    <t>オークション &gt; ファッション &gt; メンズバッグ &gt; メッセンジャーバッグ</t>
  </si>
  <si>
    <t>オークション &gt; アンティーク、コレクション &gt; 貨幣 &gt; 硬貨</t>
  </si>
  <si>
    <t>0,26318,2084005799,2084290726</t>
  </si>
  <si>
    <t>0,23000,2084006467,2084227171</t>
  </si>
  <si>
    <t>0,20000,20452,20460</t>
  </si>
  <si>
    <t>タイヤ、ホイールロック</t>
  </si>
  <si>
    <t>メディスンバッグ</t>
  </si>
  <si>
    <t>オークション &gt; 自動車、オートバイ &gt; セキュリティ &gt; タイヤ、ホイールロック</t>
  </si>
  <si>
    <t>オークション &gt; ファッション &gt; メンズバッグ &gt; メディスンバッグ</t>
  </si>
  <si>
    <t>紙幣</t>
  </si>
  <si>
    <t>0,23000,2084006467,2084235254</t>
  </si>
  <si>
    <t>オークション &gt; アンティーク、コレクション &gt; 貨幣 &gt; 紙幣</t>
  </si>
  <si>
    <t>0,26318,2084005799,2084290724</t>
  </si>
  <si>
    <t>0,20000,20452,20640</t>
  </si>
  <si>
    <t>ナンバープレートロック</t>
  </si>
  <si>
    <t>オークション &gt; ファッション &gt; メンズバッグ &gt; 携帯電話ケース</t>
  </si>
  <si>
    <t>オークション &gt; 自動車、オートバイ &gt; セキュリティ &gt; ナンバープレートロック</t>
  </si>
  <si>
    <t>地金</t>
  </si>
  <si>
    <t>0,23000,2084006467,2084008418</t>
  </si>
  <si>
    <t>0,26318,2084005799,2084290725</t>
  </si>
  <si>
    <t>オークション &gt; アンティーク、コレクション &gt; 貨幣 &gt; 地金</t>
  </si>
  <si>
    <t>0,20000,20452,20456</t>
  </si>
  <si>
    <t>オークション &gt; 自動車、オートバイ &gt; セキュリティ &gt; オートバイ用</t>
  </si>
  <si>
    <t>オークション &gt; ファッション &gt; メンズバッグ &gt; キーケース</t>
  </si>
  <si>
    <t>オークション &gt; アンティーク、コレクション &gt; 貨幣 &gt; 本</t>
  </si>
  <si>
    <t>0,26318,2084005799,2084012441</t>
  </si>
  <si>
    <t>0,20000,20452,21632</t>
  </si>
  <si>
    <t>0,23000,2084006467,2084012476</t>
  </si>
  <si>
    <t>オークション &gt; アンティーク、コレクション &gt; 貨幣 &gt; その他</t>
  </si>
  <si>
    <t>オークション &gt; 自動車、オートバイ &gt; セキュリティ &gt; その他</t>
  </si>
  <si>
    <t>0,20000,20452,20644</t>
  </si>
  <si>
    <t>0,26318,2084005799,2084005818</t>
  </si>
  <si>
    <t>オークション &gt; ファッション &gt; メンズバッグ &gt; 財布</t>
  </si>
  <si>
    <t>0,23000,2084006467,2084005274</t>
  </si>
  <si>
    <t>オークション &gt; ファッション &gt; メンズバッグ &gt; 定期入れ</t>
  </si>
  <si>
    <t>0,23000,2084006467,2084012475</t>
  </si>
  <si>
    <t>オイル</t>
  </si>
  <si>
    <t>オークション &gt; 自動車、オートバイ &gt; メンテナンス &gt; オイル</t>
  </si>
  <si>
    <t>0,26318,26092,2084005804</t>
  </si>
  <si>
    <t>オークション &gt; アンティーク、コレクション &gt; 印刷物 &gt; カレンダー</t>
  </si>
  <si>
    <t>0,20000,20116,20072</t>
  </si>
  <si>
    <t>洗車</t>
  </si>
  <si>
    <t>オークション &gt; 自動車、オートバイ &gt; メンテナンス &gt; 洗車</t>
  </si>
  <si>
    <t>0,26318,26092,2084005801</t>
  </si>
  <si>
    <t>オークション &gt; ファッション &gt; メンズバッグ &gt; バッグレンタル</t>
  </si>
  <si>
    <t>0,23000,2084006467,2084307774</t>
  </si>
  <si>
    <t>バッテリー</t>
  </si>
  <si>
    <t>オークション &gt; 自動車、オートバイ &gt; メンテナンス &gt; バッテリー</t>
  </si>
  <si>
    <t>オークション &gt; アンティーク、コレクション &gt; 印刷物 &gt; チラシ</t>
  </si>
  <si>
    <t>0,26318,26092,2084005800</t>
  </si>
  <si>
    <t>0,20000,20116,2084006176</t>
  </si>
  <si>
    <t>オークション &gt; 自動車、オートバイ &gt; メンテナンス &gt; フィルター</t>
  </si>
  <si>
    <t>0,26318,26092,2084005802</t>
  </si>
  <si>
    <t>ブロマイド</t>
  </si>
  <si>
    <t>オークション &gt; アンティーク、コレクション &gt; 印刷物 &gt; ブロマイド</t>
  </si>
  <si>
    <t>0,20000,20116,2084006155</t>
  </si>
  <si>
    <t>ウォッシャー液</t>
  </si>
  <si>
    <t>オークション &gt; 自動車、オートバイ &gt; メンテナンス &gt; ウォッシャー液</t>
  </si>
  <si>
    <t>0,26318,26092,2084005803</t>
  </si>
  <si>
    <t>オークション &gt; ファッション &gt; メンズシューズ &gt; スニーカー</t>
  </si>
  <si>
    <t>0,23000,23200,2084005483</t>
  </si>
  <si>
    <t>バルブ</t>
  </si>
  <si>
    <t>オークション &gt; アンティーク、コレクション &gt; 印刷物 &gt; ポスター</t>
  </si>
  <si>
    <t>0,20000,20116,20112</t>
  </si>
  <si>
    <t>オークション &gt; 自動車、オートバイ &gt; メンテナンス &gt; バルブ</t>
  </si>
  <si>
    <t>0,26318,26092,2084008496</t>
  </si>
  <si>
    <t>絵はがき、ポストカード</t>
  </si>
  <si>
    <t>オークション &gt; アンティーク、コレクション &gt; 印刷物 &gt; 絵はがき、ポストカード</t>
  </si>
  <si>
    <t>オークション &gt; ファッション &gt; メンズシューズ &gt; サンダル</t>
  </si>
  <si>
    <t>0,20000,20116,2084007958</t>
  </si>
  <si>
    <t>0,23000,23200,2084005485</t>
  </si>
  <si>
    <t>ワイパー</t>
  </si>
  <si>
    <t>オークション &gt; 自動車、オートバイ &gt; メンテナンス &gt; ワイパー</t>
  </si>
  <si>
    <t>0,26318,26092,2084008424</t>
  </si>
  <si>
    <t>古書、古文書</t>
  </si>
  <si>
    <t>オークション &gt; アンティーク、コレクション &gt; 印刷物 &gt; 古書、古文書</t>
  </si>
  <si>
    <t>0,20000,20116,2084263670</t>
  </si>
  <si>
    <t>オークション &gt; 自動車、オートバイ &gt; メンテナンス &gt; 工具</t>
  </si>
  <si>
    <t>オークション &gt; ファッション &gt; メンズシューズ &gt; ブーツ</t>
  </si>
  <si>
    <t>0,26318,26092,24650</t>
  </si>
  <si>
    <t>0,23000,23200,2084005484</t>
  </si>
  <si>
    <t>古地図</t>
  </si>
  <si>
    <t>オークション &gt; アンティーク、コレクション &gt; 印刷物 &gt; 古地図</t>
  </si>
  <si>
    <t>ローファー、スリッポン</t>
  </si>
  <si>
    <t>オークション &gt; 自動車、オートバイ &gt; メンテナンス &gt; 塗料</t>
  </si>
  <si>
    <t>0,20000,20116,2084008931</t>
  </si>
  <si>
    <t>オークション &gt; ファッション &gt; メンズシューズ &gt; ローファー、スリッポン</t>
  </si>
  <si>
    <t>0,26318,26092,2084049690</t>
  </si>
  <si>
    <t>0,23000,23200,2084237296</t>
  </si>
  <si>
    <t>新聞</t>
  </si>
  <si>
    <t>オークション &gt; アンティーク、コレクション &gt; 印刷物 &gt; 新聞</t>
  </si>
  <si>
    <t>0,20000,20116,2084283227</t>
  </si>
  <si>
    <t>ビジネスシューズ</t>
  </si>
  <si>
    <t>オークション &gt; 自動車、オートバイ &gt; メンテナンス &gt; 芳香剤、消臭剤</t>
  </si>
  <si>
    <t>0,26318,26092,2084007926</t>
  </si>
  <si>
    <t>オークション &gt; ファッション &gt; メンズシューズ &gt; ビジネスシューズ</t>
  </si>
  <si>
    <t>0,23000,23200,2084005482</t>
  </si>
  <si>
    <t>オークション &gt; アンティーク、コレクション &gt; 印刷物 &gt; 切り抜き</t>
  </si>
  <si>
    <t>0,20000,20116,20108</t>
  </si>
  <si>
    <t>オークション &gt; 自動車、オートバイ &gt; メンテナンス &gt; その他</t>
  </si>
  <si>
    <t>デッキシューズ</t>
  </si>
  <si>
    <t>0,26318,26092,2084005805</t>
  </si>
  <si>
    <t>オークション &gt; アンティーク、コレクション &gt; 印刷物 &gt; その他</t>
  </si>
  <si>
    <t>オークション &gt; ファッション &gt; メンズシューズ &gt; デッキシューズ</t>
  </si>
  <si>
    <t>0,20000,20116,2084006156</t>
  </si>
  <si>
    <t>0,23000,23200,2084232919</t>
  </si>
  <si>
    <t>オークション &gt; ファッション &gt; メンズシューズ &gt; ウォーキングシューズ</t>
  </si>
  <si>
    <t>0,23000,23200,2084062282</t>
  </si>
  <si>
    <t>トレーディングカードゲーム</t>
  </si>
  <si>
    <t>オークション &gt; アンティーク、コレクション &gt; トレーディングカード &gt; トレーディングカードゲーム</t>
  </si>
  <si>
    <t>0,20000,20992,25826</t>
  </si>
  <si>
    <t>オークション &gt; ファッション &gt; メンズシューズ &gt; 長靴、レインシューズ</t>
  </si>
  <si>
    <t>車体</t>
  </si>
  <si>
    <t>コミック、アニメーション</t>
  </si>
  <si>
    <t>0,23000,23200,2084023778</t>
  </si>
  <si>
    <t>オークション &gt; 自動車、オートバイ &gt; トラック、ダンプ、建設機械 &gt; 車体</t>
  </si>
  <si>
    <t>オークション &gt; アンティーク、コレクション &gt; トレーディングカード &gt; コミック、アニメーション</t>
  </si>
  <si>
    <t>0,20000,20992,21020</t>
  </si>
  <si>
    <t>0,26318,26362,26368</t>
  </si>
  <si>
    <t>オークション &gt; ファッション &gt; メンズシューズ &gt; 作業靴</t>
  </si>
  <si>
    <t>オークション &gt; アンティーク、コレクション &gt; トレーディングカード &gt; スポーツ</t>
  </si>
  <si>
    <t>0,23000,23200,2084048894</t>
  </si>
  <si>
    <t>0,20000,20992,2084006003</t>
  </si>
  <si>
    <t>オークション &gt; 自動車、オートバイ &gt; トラック、ダンプ、建設機械 &gt; パーツ</t>
  </si>
  <si>
    <t>0,26318,26362,26366</t>
  </si>
  <si>
    <t>オークション &gt; アンティーク、コレクション &gt; トレーディングカード &gt; タレント</t>
  </si>
  <si>
    <t>ミリタリーシューズ</t>
  </si>
  <si>
    <t>0,20000,20992,2084006042</t>
  </si>
  <si>
    <t>オークション &gt; ファッション &gt; メンズシューズ &gt; ミリタリーシューズ</t>
  </si>
  <si>
    <t>0,23000,23200,2084005558</t>
  </si>
  <si>
    <t>オークション &gt; 自動車、オートバイ &gt; トラック、ダンプ、建設機械 &gt; アクセサリー</t>
  </si>
  <si>
    <t>テレビゲーム</t>
  </si>
  <si>
    <t>0,26318,26362,2084241183</t>
  </si>
  <si>
    <t>オークション &gt; アンティーク、コレクション &gt; トレーディングカード &gt; テレビゲーム</t>
  </si>
  <si>
    <t>0,20000,20992,2084006008</t>
  </si>
  <si>
    <t>オークション &gt; ファッション &gt; メンズシューズ &gt; 下駄、草履</t>
  </si>
  <si>
    <t>0,23000,23200,2084045102</t>
  </si>
  <si>
    <t>オークション &gt; アンティーク、コレクション &gt; トレーディングカード &gt; ミュージシャン</t>
  </si>
  <si>
    <t>オークション &gt; 自動車、オートバイ &gt; トラック、ダンプ、建設機械 &gt; メンテナンス</t>
  </si>
  <si>
    <t>0,20000,20992,2084006088</t>
  </si>
  <si>
    <t>0,26318,26362,2084291763</t>
  </si>
  <si>
    <t>オークション &gt; ファッション &gt; メンズシューズ &gt; アウトドアシューズ</t>
  </si>
  <si>
    <t>0,23000,23200,2084048872</t>
  </si>
  <si>
    <t>競馬</t>
  </si>
  <si>
    <t>オークション &gt; アンティーク、コレクション &gt; トレーディングカード &gt; 競馬</t>
  </si>
  <si>
    <t>0,20000,20992,2084007536</t>
  </si>
  <si>
    <t>オークション &gt; 自動車、オートバイ &gt; トラック、ダンプ、建設機械 &gt; カタログ、パーツリスト、整備書</t>
  </si>
  <si>
    <t>0,26318,26362,26364</t>
  </si>
  <si>
    <t>オークション &gt; ファッション &gt; メンズシューズ &gt; フットケア用品</t>
  </si>
  <si>
    <t>0,23000,23200,2084005299</t>
  </si>
  <si>
    <t>オークション &gt; アンティーク、コレクション &gt; トレーディングカード &gt; 特撮</t>
  </si>
  <si>
    <t>0,20000,20992,2084006025</t>
  </si>
  <si>
    <t>オークション &gt; 自動車、オートバイ &gt; トラック、ダンプ、建設機械 &gt; その他</t>
  </si>
  <si>
    <t>0,26318,26362,2084008323</t>
  </si>
  <si>
    <t>オークション &gt; ファッション &gt; メンズシューズ &gt; 靴下</t>
  </si>
  <si>
    <t>0,23000,23200,42191</t>
  </si>
  <si>
    <t>オークション &gt; アンティーク、コレクション &gt; トレーディングカード &gt; その他</t>
  </si>
  <si>
    <t>0,20000,20992,21056</t>
  </si>
  <si>
    <t>オークション &gt; ファッション &gt; メンズシューズ &gt; 靴用品</t>
  </si>
  <si>
    <t>0,23000,23200,2084238534</t>
  </si>
  <si>
    <t>オークション &gt; 自動車、オートバイ &gt; バス &gt; 車体</t>
  </si>
  <si>
    <t>0,26318,2084008324,2084008325</t>
  </si>
  <si>
    <t>廃品、放出品</t>
  </si>
  <si>
    <t>オークション &gt; ファッション &gt; メンズシューズ &gt; その他</t>
  </si>
  <si>
    <t>オークション &gt; 自動車、オートバイ &gt; バス &gt; 廃品、放出品</t>
  </si>
  <si>
    <t>0,23000,23200,2084005486</t>
  </si>
  <si>
    <t>0,26318,2084008324,2084008328</t>
  </si>
  <si>
    <t>カタログ、パンフレット</t>
  </si>
  <si>
    <t>オークション &gt; 自動車、オートバイ &gt; バス &gt; カタログ、パンフレット</t>
  </si>
  <si>
    <t>0,26318,2084008324,2084008326</t>
  </si>
  <si>
    <t>乗車券</t>
  </si>
  <si>
    <t>オークション &gt; 自動車、オートバイ &gt; バス &gt; 乗車券</t>
  </si>
  <si>
    <t>0,26318,2084008324,2084008327</t>
  </si>
  <si>
    <t>オークション &gt; 自動車、オートバイ &gt; バス &gt; バスカード</t>
  </si>
  <si>
    <t>オークション &gt; ファッション &gt; 男性和服、着物 &gt; 一般</t>
  </si>
  <si>
    <t>0,26318,2084008324,2084007698</t>
  </si>
  <si>
    <t>0,23000,2084005479,2084045098</t>
  </si>
  <si>
    <t>オークション &gt; アンティーク、コレクション &gt; 広告、ノベルティグッズ &gt; Tシャツ</t>
  </si>
  <si>
    <t>オークション &gt; 自動車、オートバイ &gt; バス &gt; その他</t>
  </si>
  <si>
    <t>0,20000,27771,2084005454</t>
  </si>
  <si>
    <t>0,26318,2084008324,2084008329</t>
  </si>
  <si>
    <t>オークション &gt; ファッション &gt; 男性和服、着物 &gt; 下駄、草履</t>
  </si>
  <si>
    <t>0,23000,2084005479,2084045102</t>
  </si>
  <si>
    <t>たばこ</t>
  </si>
  <si>
    <t>オークション &gt; アンティーク、コレクション &gt; 広告、ノベルティグッズ &gt; たばこ</t>
  </si>
  <si>
    <t>0,20000,27771,27776</t>
  </si>
  <si>
    <t>作務衣</t>
  </si>
  <si>
    <t>オークション &gt; ファッション &gt; 男性和服、着物 &gt; 作務衣</t>
  </si>
  <si>
    <t>0,23000,2084005479,2084045101</t>
  </si>
  <si>
    <t>オークション &gt; 自動車、オートバイ &gt; 部品取り車 &gt; トヨタ</t>
  </si>
  <si>
    <t>0,26318,2084061280,2084061284</t>
  </si>
  <si>
    <t>キャラクター</t>
  </si>
  <si>
    <t>オークション &gt; アンティーク、コレクション &gt; 広告、ノベルティグッズ &gt; キャラクター</t>
  </si>
  <si>
    <t>0,20000,27771,27774</t>
  </si>
  <si>
    <t>オークション &gt; 自動車、オートバイ &gt; 部品取り車 &gt; スズキ</t>
  </si>
  <si>
    <t>0,26318,2084061280,2084061282</t>
  </si>
  <si>
    <t>オークション &gt; ファッション &gt; 男性和服、着物 &gt; 甚平</t>
  </si>
  <si>
    <t>0,23000,2084005479,2084045100</t>
  </si>
  <si>
    <t>オークション &gt; 自動車、オートバイ &gt; 部品取り車 &gt; スバル</t>
  </si>
  <si>
    <t>0,26318,2084061280,2084313084</t>
  </si>
  <si>
    <t>ドリンク</t>
  </si>
  <si>
    <t>オークション &gt; アンティーク、コレクション &gt; 広告、ノベルティグッズ &gt; ドリンク</t>
  </si>
  <si>
    <t>0,20000,27771,20652</t>
  </si>
  <si>
    <t>オークション &gt; 自動車、オートバイ &gt; 部品取り車 &gt; ダイハツ</t>
  </si>
  <si>
    <t>0,26318,2084061280,2084061283</t>
  </si>
  <si>
    <t>オークション &gt; ファッション &gt; 男性和服、着物 &gt; 帯</t>
  </si>
  <si>
    <t>0,23000,2084005479,2084045103</t>
  </si>
  <si>
    <t>オークション &gt; 自動車、オートバイ &gt; 部品取り車 &gt; ホンダ</t>
  </si>
  <si>
    <t>ラベル</t>
  </si>
  <si>
    <t>0,26318,2084061280,2084061285</t>
  </si>
  <si>
    <t>オークション &gt; アンティーク、コレクション &gt; 広告、ノベルティグッズ &gt; ラベル</t>
  </si>
  <si>
    <t>0,20000,27771,27782</t>
  </si>
  <si>
    <t>オークション &gt; ファッション &gt; 男性和服、着物 &gt; 浴衣</t>
  </si>
  <si>
    <t>0,23000,2084005479,2084045099</t>
  </si>
  <si>
    <t>オークション &gt; 自動車、オートバイ &gt; 部品取り車 &gt; マツダ</t>
  </si>
  <si>
    <t>0,26318,2084061280,2084313083</t>
  </si>
  <si>
    <t>オークション &gt; アンティーク、コレクション &gt; 広告、ノベルティグッズ &gt; 看板</t>
  </si>
  <si>
    <t>0,20000,27771,27784</t>
  </si>
  <si>
    <t>オークション &gt; 自動車、オートバイ &gt; 部品取り車 &gt; 三菱</t>
  </si>
  <si>
    <t>0,26318,2084061280,2084061286</t>
  </si>
  <si>
    <t>オークション &gt; ファッション &gt; 男性和服、着物 &gt; 長襦袢</t>
  </si>
  <si>
    <t>0,23000,2084005479,2084059848</t>
  </si>
  <si>
    <t>食品のパッケージ</t>
  </si>
  <si>
    <t>オークション &gt; 自動車、オートバイ &gt; 部品取り車 &gt; 日産</t>
  </si>
  <si>
    <t>0,26318,2084061280,2084061287</t>
  </si>
  <si>
    <t>オークション &gt; アンティーク、コレクション &gt; 広告、ノベルティグッズ &gt; 食品のパッケージ</t>
  </si>
  <si>
    <t>0,20000,27771,25887</t>
  </si>
  <si>
    <t>ふんどし</t>
  </si>
  <si>
    <t>オークション &gt; ファッション &gt; 男性和服、着物 &gt; ふんどし</t>
  </si>
  <si>
    <t>0,23000,2084005479,2084061633</t>
  </si>
  <si>
    <t>オークション &gt; 自動車、オートバイ &gt; 部品取り車 &gt; BMW</t>
  </si>
  <si>
    <t>0,26318,2084061280,2084061281</t>
  </si>
  <si>
    <t>オークション &gt; アンティーク、コレクション &gt; 広告、ノベルティグッズ &gt; その他</t>
  </si>
  <si>
    <t>0,20000,27771,27788</t>
  </si>
  <si>
    <t>オークション &gt; 自動車、オートバイ &gt; 部品取り車 &gt; メルセデス・ベンツ</t>
  </si>
  <si>
    <t>0,26318,2084061280,2084313085</t>
  </si>
  <si>
    <t>オークション &gt; ファッション &gt; 男性和服、着物 &gt; 和装小物</t>
  </si>
  <si>
    <t>0,23000,2084005479,2084061631</t>
  </si>
  <si>
    <t>オークション &gt; 自動車、オートバイ &gt; 部品取り車 &gt; その他</t>
  </si>
  <si>
    <t>0,26318,2084061280,2084061288</t>
  </si>
  <si>
    <t>オークション &gt; 自動車、オートバイ &gt; 工具 &gt; オートバイ用</t>
  </si>
  <si>
    <t>オークション &gt; アンティーク、コレクション &gt; 科学、自然 &gt; ポスター</t>
  </si>
  <si>
    <t>0,26318,24650,2084042022</t>
  </si>
  <si>
    <t>0,20000,20764,42528</t>
  </si>
  <si>
    <t>オイルフィルターレンチ</t>
  </si>
  <si>
    <t>オークション &gt; 自動車、オートバイ &gt; 工具 &gt; オイルフィルターレンチ</t>
  </si>
  <si>
    <t>オークション &gt; ファッション &gt; 男女兼用バッグ &gt; ウエストバッグ</t>
  </si>
  <si>
    <t>0,26318,24650,2084042060</t>
  </si>
  <si>
    <t>0,23000,2084233229,2084233230</t>
  </si>
  <si>
    <t>化石</t>
  </si>
  <si>
    <t>オークション &gt; アンティーク、コレクション &gt; 科学、自然 &gt; 化石</t>
  </si>
  <si>
    <t>コンプレッションゲージ</t>
  </si>
  <si>
    <t>0,20000,20764,20772</t>
  </si>
  <si>
    <t>オークション &gt; 自動車、オートバイ &gt; 工具 &gt; コンプレッションゲージ</t>
  </si>
  <si>
    <t>0,26318,24650,2084042052</t>
  </si>
  <si>
    <t>ジャッキ</t>
  </si>
  <si>
    <t>オークション &gt; ファッション &gt; 男女兼用バッグ &gt; エコバッグ</t>
  </si>
  <si>
    <t>オークション &gt; 自動車、オートバイ &gt; 工具 &gt; ジャッキ</t>
  </si>
  <si>
    <t>岩石、鉱物</t>
  </si>
  <si>
    <t>0,23000,2084233229,2084233235</t>
  </si>
  <si>
    <t>0,26318,24650,2084042053</t>
  </si>
  <si>
    <t>オークション &gt; アンティーク、コレクション &gt; 科学、自然 &gt; 岩石、鉱物</t>
  </si>
  <si>
    <t>タイヤチェンジャー</t>
  </si>
  <si>
    <t>0,20000,20764,20768</t>
  </si>
  <si>
    <t>オークション &gt; 自動車、オートバイ &gt; 工具 &gt; タイヤチェンジャー</t>
  </si>
  <si>
    <t>0,26318,24650,2084261043</t>
  </si>
  <si>
    <t>オークション &gt; ファッション &gt; 男女兼用バッグ &gt; ショルダーバッグ</t>
  </si>
  <si>
    <t>オークション &gt; 自動車、オートバイ &gt; 工具 &gt; エアーツール</t>
  </si>
  <si>
    <t>0,23000,2084233229,2084233231</t>
  </si>
  <si>
    <t>0,26318,24650,2084042020</t>
  </si>
  <si>
    <t>オークション &gt; アンティーク、コレクション &gt; 科学、自然 &gt; 本、雑誌</t>
  </si>
  <si>
    <t>0,20000,20764,21820</t>
  </si>
  <si>
    <t>タイヤゲージ</t>
  </si>
  <si>
    <t>オークション &gt; 自動車、オートバイ &gt; 工具 &gt; タイヤゲージ</t>
  </si>
  <si>
    <t>0,26318,24650,2084042058</t>
  </si>
  <si>
    <t>オークション &gt; アンティーク、コレクション &gt; 科学、自然 &gt; その他</t>
  </si>
  <si>
    <t>オークション &gt; ファッション &gt; 男女兼用バッグ &gt; トートバッグ</t>
  </si>
  <si>
    <t>ハンドツール</t>
  </si>
  <si>
    <t>0,20000,20764,27826</t>
  </si>
  <si>
    <t>オークション &gt; 自動車、オートバイ &gt; 工具 &gt; ハンドツール</t>
  </si>
  <si>
    <t>0,23000,2084233229,2084233232</t>
  </si>
  <si>
    <t>0,26318,24650,24654</t>
  </si>
  <si>
    <t>バキュームゲージ</t>
  </si>
  <si>
    <t>オークション &gt; 自動車、オートバイ &gt; 工具 &gt; バキュームゲージ</t>
  </si>
  <si>
    <t>オークション &gt; ファッション &gt; 男女兼用バッグ &gt; ボストンバッグ</t>
  </si>
  <si>
    <t>0,26318,24650,2084042024</t>
  </si>
  <si>
    <t>0,23000,2084233229,2084233234</t>
  </si>
  <si>
    <t>ホイールレンチ</t>
  </si>
  <si>
    <t>オークション &gt; 自動車、オートバイ &gt; 工具 &gt; ホイールレンチ</t>
  </si>
  <si>
    <t>0,26318,24650,2084042059</t>
  </si>
  <si>
    <t>オークション &gt; アンティーク、コレクション &gt; 電化製品 &gt; アイロン</t>
  </si>
  <si>
    <t>0,20000,20004,40546</t>
  </si>
  <si>
    <t>オークション &gt; ファッション &gt; 男女兼用バッグ &gt; メディスンバッグ</t>
  </si>
  <si>
    <t>0,23000,2084233229,2084235254</t>
  </si>
  <si>
    <t>車載工具</t>
  </si>
  <si>
    <t>オークション &gt; 自動車、オートバイ &gt; 工具 &gt; 車載工具</t>
  </si>
  <si>
    <t>0,26318,24650,2084042061</t>
  </si>
  <si>
    <t>タイプライター</t>
  </si>
  <si>
    <t>オークション &gt; アンティーク、コレクション &gt; 電化製品 &gt; タイプライター</t>
  </si>
  <si>
    <t>オークション &gt; ファッション &gt; 男女兼用バッグ &gt; リュックサック、デイパック</t>
  </si>
  <si>
    <t>0,20000,20004,20040</t>
  </si>
  <si>
    <t>0,23000,2084233229,2084233233</t>
  </si>
  <si>
    <t>オークション &gt; 自動車、オートバイ &gt; 工具 &gt; 照明</t>
  </si>
  <si>
    <t>0,26318,24650,2084042064</t>
  </si>
  <si>
    <t>オークション &gt; アンティーク、コレクション &gt; 電化製品 &gt; テレビ</t>
  </si>
  <si>
    <t>0,20000,20004,20036</t>
  </si>
  <si>
    <t>オークション &gt; 自動車、オートバイ &gt; 工具 &gt; 電動工具</t>
  </si>
  <si>
    <t>0,26318,24650,24666</t>
  </si>
  <si>
    <t>トースター</t>
  </si>
  <si>
    <t>オークション &gt; アンティーク、コレクション &gt; 電化製品 &gt; トースター</t>
  </si>
  <si>
    <t>0,20000,20004,20032</t>
  </si>
  <si>
    <t>オークション &gt; 自動車、オートバイ &gt; 工具 &gt; 道具箱</t>
  </si>
  <si>
    <t>0,26318,24650,2084042066</t>
  </si>
  <si>
    <t>オークション &gt; ファッション &gt; キッズ、ベビーファッション &gt; ブランド別</t>
  </si>
  <si>
    <t>ミキサー</t>
  </si>
  <si>
    <t>0,23000,2084293011,2084293012</t>
  </si>
  <si>
    <t>オークション &gt; アンティーク、コレクション &gt; 電化製品 &gt; ミキサー</t>
  </si>
  <si>
    <t>オークション &gt; 自動車、オートバイ &gt; 工具 &gt; その他</t>
  </si>
  <si>
    <t>0,26318,24650,2084042062</t>
  </si>
  <si>
    <t>0,20000,20004,20016</t>
  </si>
  <si>
    <t>子ども服（女の子用）</t>
  </si>
  <si>
    <t>オークション &gt; ファッション &gt; キッズ、ベビーファッション &gt; 子ども服（女の子用）</t>
  </si>
  <si>
    <t>0,23000,2084293011,2084006381</t>
  </si>
  <si>
    <t>オークション &gt; アンティーク、コレクション &gt; 電化製品 &gt; ミシン</t>
  </si>
  <si>
    <t>0,20000,20004,20024</t>
  </si>
  <si>
    <t>子ども服（男の子用）</t>
  </si>
  <si>
    <t>ラジオ</t>
  </si>
  <si>
    <t>オークション &gt; ファッション &gt; キッズ、ベビーファッション &gt; 子ども服（男の子用）</t>
  </si>
  <si>
    <t>オークション &gt; アンティーク、コレクション &gt; 電化製品 &gt; ラジオ</t>
  </si>
  <si>
    <t>0,23000,2084293011,2084006380</t>
  </si>
  <si>
    <t>0,20000,20004,20020</t>
  </si>
  <si>
    <t>オークション &gt; 自動車、オートバイ &gt; カタログ、パーツリスト、整備書 &gt; オートバイ用</t>
  </si>
  <si>
    <t>0,26318,2084005545,2084005547</t>
  </si>
  <si>
    <t>オークション &gt; アンティーク、コレクション &gt; 電化製品 &gt; 照明</t>
  </si>
  <si>
    <t>子ども服（男女兼用）</t>
  </si>
  <si>
    <t>0,20000,20004,20012</t>
  </si>
  <si>
    <t>オークション &gt; ファッション &gt; キッズ、ベビーファッション &gt; 子ども服（男女兼用）</t>
  </si>
  <si>
    <t>オークション &gt; 自動車、オートバイ &gt; カタログ、パーツリスト、整備書 &gt; トラック、ダンプ、建設機械専用</t>
  </si>
  <si>
    <t>0,23000,2084293011,2084053274</t>
  </si>
  <si>
    <t>0,26318,2084005545,26364</t>
  </si>
  <si>
    <t>扇風機</t>
  </si>
  <si>
    <t>オークション &gt; アンティーク、コレクション &gt; 電化製品 &gt; 扇風機</t>
  </si>
  <si>
    <t>0,20000,20004,20008</t>
  </si>
  <si>
    <t>オークション &gt; 自動車、オートバイ &gt; カタログ、パーツリスト、整備書 &gt; BMW</t>
  </si>
  <si>
    <t>0,26318,2084005545,2084005595</t>
  </si>
  <si>
    <t>子ども用シューズ</t>
  </si>
  <si>
    <t>オークション &gt; ファッション &gt; キッズ、ベビーファッション &gt; 子ども用シューズ</t>
  </si>
  <si>
    <t>0,23000,2084293011,42195</t>
  </si>
  <si>
    <t>オークション &gt; アンティーク、コレクション &gt; 電化製品 &gt; 洗濯機</t>
  </si>
  <si>
    <t>オークション &gt; 自動車、オートバイ &gt; カタログ、パーツリスト、整備書 &gt; MG</t>
  </si>
  <si>
    <t>0,20000,20004,20048</t>
  </si>
  <si>
    <t>0,26318,2084005545,2084018967</t>
  </si>
  <si>
    <t>子ども用バッグ</t>
  </si>
  <si>
    <t>オークション &gt; ファッション &gt; キッズ、ベビーファッション &gt; 子ども用バッグ</t>
  </si>
  <si>
    <t>0,23000,2084293011,2084007058</t>
  </si>
  <si>
    <t>オークション &gt; アンティーク、コレクション &gt; 電化製品 &gt; 掃除機</t>
  </si>
  <si>
    <t>オークション &gt; 自動車、オートバイ &gt; カタログ、パーツリスト、整備書 &gt; TVR</t>
  </si>
  <si>
    <t>0,20000,20004,20044</t>
  </si>
  <si>
    <t>0,26318,2084005545,2084018968</t>
  </si>
  <si>
    <t>子ども用ファッション小物</t>
  </si>
  <si>
    <t>オークション &gt; ファッション &gt; キッズ、ベビーファッション &gt; 子ども用ファッション小物</t>
  </si>
  <si>
    <t>0,23000,2084293011,2084006428</t>
  </si>
  <si>
    <t>電話機</t>
  </si>
  <si>
    <t>オークション &gt; アンティーク、コレクション &gt; 電化製品 &gt; 電話機</t>
  </si>
  <si>
    <t>オークション &gt; 自動車、オートバイ &gt; カタログ、パーツリスト、整備書 &gt; いすゞ</t>
  </si>
  <si>
    <t>0,20000,20004,20028</t>
  </si>
  <si>
    <t>0,26318,2084005545,2084005594</t>
  </si>
  <si>
    <t>ベビー服</t>
  </si>
  <si>
    <t>オークション &gt; ファッション &gt; キッズ、ベビーファッション &gt; ベビー服</t>
  </si>
  <si>
    <t>0,23000,2084293011,24210</t>
  </si>
  <si>
    <t>冷蔵庫</t>
  </si>
  <si>
    <t>オークション &gt; アンティーク、コレクション &gt; 電化製品 &gt; 冷蔵庫</t>
  </si>
  <si>
    <t>0,20000,20004,2084236050</t>
  </si>
  <si>
    <t>オークション &gt; 自動車、オートバイ &gt; カタログ、パーツリスト、整備書 &gt; アウディ</t>
  </si>
  <si>
    <t>0,26318,2084005545,2084018969</t>
  </si>
  <si>
    <t>ベビーシューズ</t>
  </si>
  <si>
    <t>オークション &gt; ファッション &gt; キッズ、ベビーファッション &gt; ベビーシューズ</t>
  </si>
  <si>
    <t>0,23000,2084293011,2084005310</t>
  </si>
  <si>
    <t>アストンマーティン</t>
  </si>
  <si>
    <t>オークション &gt; アンティーク、コレクション &gt; 電化製品 &gt; その他</t>
  </si>
  <si>
    <t>オークション &gt; 自動車、オートバイ &gt; カタログ、パーツリスト、整備書 &gt; アストンマーティン</t>
  </si>
  <si>
    <t>0,26318,2084005545,2084018970</t>
  </si>
  <si>
    <t>0,20000,20004,2084236033</t>
  </si>
  <si>
    <t>ベビー用ファッション小物</t>
  </si>
  <si>
    <t>オークション &gt; ファッション &gt; キッズ、ベビーファッション &gt; ベビー用ファッション小物</t>
  </si>
  <si>
    <t>0,23000,2084293011,2084007254</t>
  </si>
  <si>
    <t>オークション &gt; 自動車、オートバイ &gt; カタログ、パーツリスト、整備書 &gt; アルファロメオ</t>
  </si>
  <si>
    <t>0,26318,2084005545,2084018971</t>
  </si>
  <si>
    <t>キッズファッションレンタル</t>
  </si>
  <si>
    <t>オークション &gt; 自動車、オートバイ &gt; カタログ、パーツリスト、整備書 &gt; オペル</t>
  </si>
  <si>
    <t>オークション &gt; ファッション &gt; キッズ、ベビーファッション &gt; キッズファッションレンタル</t>
  </si>
  <si>
    <t>0,26318,2084005545,2084018972</t>
  </si>
  <si>
    <t>0,23000,2084293011,2084307772</t>
  </si>
  <si>
    <t>本体</t>
  </si>
  <si>
    <t>オークション &gt; アンティーク、コレクション &gt; 蓄音機 &gt; 本体</t>
  </si>
  <si>
    <t>0,20000,2084048439,2084224175</t>
  </si>
  <si>
    <t>オークション &gt; 自動車、オートバイ &gt; カタログ、パーツリスト、整備書 &gt; キャデラック</t>
  </si>
  <si>
    <t>0,26318,2084005545,2084018973</t>
  </si>
  <si>
    <t>SP盤</t>
  </si>
  <si>
    <t>オークション &gt; アンティーク、コレクション &gt; 蓄音機 &gt; SP盤</t>
  </si>
  <si>
    <t>0,20000,2084048439,2084224176</t>
  </si>
  <si>
    <t>オークション &gt; 自動車、オートバイ &gt; カタログ、パーツリスト、整備書 &gt; クライスラー</t>
  </si>
  <si>
    <t>0,26318,2084005545,2084018974</t>
  </si>
  <si>
    <t>オークション &gt; アンティーク、コレクション &gt; 蓄音機 &gt; その他</t>
  </si>
  <si>
    <t>0,20000,2084048439,2084224177</t>
  </si>
  <si>
    <t>オークション &gt; ファッション &gt; 和服、和装 &gt; 女性用</t>
  </si>
  <si>
    <t>オークション &gt; 自動車、オートバイ &gt; カタログ、パーツリスト、整備書 &gt; サーブ</t>
  </si>
  <si>
    <t>0,23000,2084061614,2084005204</t>
  </si>
  <si>
    <t>0,26318,2084005545,2084018975</t>
  </si>
  <si>
    <t>オークション &gt; ファッション &gt; 和服、和装 &gt; 男性用</t>
  </si>
  <si>
    <t>オークション &gt; 自動車、オートバイ &gt; カタログ、パーツリスト、整備書 &gt; サターン</t>
  </si>
  <si>
    <t>0,23000,2084061614,2084005479</t>
  </si>
  <si>
    <t>0,26318,2084005545,2084018976</t>
  </si>
  <si>
    <t>オークション &gt; アンティーク、コレクション &gt; 乗り物 &gt; オートバイ</t>
  </si>
  <si>
    <t>0,20000,21060,26314</t>
  </si>
  <si>
    <t>男の子用</t>
  </si>
  <si>
    <t>オークション &gt; 自動車、オートバイ &gt; カタログ、パーツリスト、整備書 &gt; シトロエン</t>
  </si>
  <si>
    <t>0,26318,2084005545,2084018977</t>
  </si>
  <si>
    <t>オークション &gt; ファッション &gt; 和服、和装 &gt; 男の子用</t>
  </si>
  <si>
    <t>0,23000,2084061614,2084061615</t>
  </si>
  <si>
    <t>自転車</t>
  </si>
  <si>
    <t>オークション &gt; アンティーク、コレクション &gt; 乗り物 &gt; 自転車</t>
  </si>
  <si>
    <t>0,20000,21060,26306</t>
  </si>
  <si>
    <t>女の子用</t>
  </si>
  <si>
    <t>オークション &gt; 自動車、オートバイ &gt; カタログ、パーツリスト、整備書 &gt; シボレー</t>
  </si>
  <si>
    <t>オークション &gt; ファッション &gt; 和服、和装 &gt; 女の子用</t>
  </si>
  <si>
    <t>0,26318,2084005545,2084018978</t>
  </si>
  <si>
    <t>自動車</t>
  </si>
  <si>
    <t>0,23000,2084061614,2084061616</t>
  </si>
  <si>
    <t>オークション &gt; アンティーク、コレクション &gt; 乗り物 &gt; 自動車</t>
  </si>
  <si>
    <t>0,20000,21060,26324</t>
  </si>
  <si>
    <t>オークション &gt; 自動車、オートバイ &gt; カタログ、パーツリスト、整備書 &gt; ジャガー</t>
  </si>
  <si>
    <t>ベビー用</t>
  </si>
  <si>
    <t>0,26318,2084005545,2084018979</t>
  </si>
  <si>
    <t>船</t>
  </si>
  <si>
    <t>オークション &gt; ファッション &gt; 和服、和装 &gt; ベビー用</t>
  </si>
  <si>
    <t>オークション &gt; アンティーク、コレクション &gt; 乗り物 &gt; 船</t>
  </si>
  <si>
    <t>0,20000,21060,21104</t>
  </si>
  <si>
    <t>0,23000,2084061614,2084061617</t>
  </si>
  <si>
    <t>スーパーセブン</t>
  </si>
  <si>
    <t>オークション &gt; 自動車、オートバイ &gt; カタログ、パーツリスト、整備書 &gt; スーパーセブン</t>
  </si>
  <si>
    <t>とんぼ玉</t>
  </si>
  <si>
    <t>オークション &gt; アンティーク、コレクション &gt; 乗り物 &gt; その他</t>
  </si>
  <si>
    <t>オークション &gt; ファッション &gt; 和服、和装 &gt; とんぼ玉</t>
  </si>
  <si>
    <t>0,26318,2084005545,2084018980</t>
  </si>
  <si>
    <t>0,20000,21060,21112</t>
  </si>
  <si>
    <t>0,23000,2084061614,2084057846</t>
  </si>
  <si>
    <t>根付</t>
  </si>
  <si>
    <t>オークション &gt; 自動車、オートバイ &gt; カタログ、パーツリスト、整備書 &gt; スズキ</t>
  </si>
  <si>
    <t>オークション &gt; ファッション &gt; 和服、和装 &gt; 根付</t>
  </si>
  <si>
    <t>0,23000,2084061614,2084057811</t>
  </si>
  <si>
    <t>0,26318,2084005545,2084005589</t>
  </si>
  <si>
    <t>ぬいぐるみ</t>
  </si>
  <si>
    <t>オークション &gt; 自動車、オートバイ &gt; カタログ、パーツリスト、整備書 &gt; スバル</t>
  </si>
  <si>
    <t>オークション &gt; アンティーク、コレクション &gt; ディズニー &gt; ぬいぐるみ</t>
  </si>
  <si>
    <t>0,26318,2084005545,2084005590</t>
  </si>
  <si>
    <t>0,20000,27858,2084020108</t>
  </si>
  <si>
    <t>オークション &gt; 自動車、オートバイ &gt; カタログ、パーツリスト、整備書 &gt; ダイハツ</t>
  </si>
  <si>
    <t>オークション &gt; アンティーク、コレクション &gt; ディズニー &gt; キャラクタードール</t>
  </si>
  <si>
    <t>0,26318,2084005545,2084005593</t>
  </si>
  <si>
    <t>オークション &gt; ファッション &gt; ハンドメイド &gt; ベビー用</t>
  </si>
  <si>
    <t>0,20000,27858,27587</t>
  </si>
  <si>
    <t>0,23000,2084240597,2084240602</t>
  </si>
  <si>
    <t>子ども用</t>
  </si>
  <si>
    <t>ダッヂ</t>
  </si>
  <si>
    <t>オークション &gt; 自動車、オートバイ &gt; カタログ、パーツリスト、整備書 &gt; ダッヂ</t>
  </si>
  <si>
    <t>オークション &gt; ファッション &gt; ハンドメイド &gt; 子ども用</t>
  </si>
  <si>
    <t>オークション &gt; アンティーク、コレクション &gt; ディズニー &gt; ビデオ</t>
  </si>
  <si>
    <t>0,23000,2084240597,2084240603</t>
  </si>
  <si>
    <t>0,26318,2084005545,2084018981</t>
  </si>
  <si>
    <t>0,20000,27858,22094</t>
  </si>
  <si>
    <t>ピンバッジ</t>
  </si>
  <si>
    <t>オークション &gt; ファッション &gt; ハンドメイド &gt; 女性用</t>
  </si>
  <si>
    <t>オークション &gt; アンティーク、コレクション &gt; ディズニー &gt; ピンバッジ</t>
  </si>
  <si>
    <t>オークション &gt; 自動車、オートバイ &gt; カタログ、パーツリスト、整備書 &gt; トヨタ</t>
  </si>
  <si>
    <t>0,23000,2084240597,2084240604</t>
  </si>
  <si>
    <t>0,20000,27858,44364</t>
  </si>
  <si>
    <t>0,26318,2084005545,2084005586</t>
  </si>
  <si>
    <t>ファーストフードトイ</t>
  </si>
  <si>
    <t>オークション &gt; アンティーク、コレクション &gt; ディズニー &gt; ファーストフードトイ</t>
  </si>
  <si>
    <t>オークション &gt; ファッション &gt; ハンドメイド &gt; 男性用</t>
  </si>
  <si>
    <t>0,20000,27858,2084005550</t>
  </si>
  <si>
    <t>0,23000,2084240597,2084240610</t>
  </si>
  <si>
    <t>オークション &gt; 自動車、オートバイ &gt; カタログ、パーツリスト、整備書 &gt; フィアット</t>
  </si>
  <si>
    <t>0,26318,2084005545,2084018982</t>
  </si>
  <si>
    <t>オークション &gt; アンティーク、コレクション &gt; ディズニー &gt; その他</t>
  </si>
  <si>
    <t>服飾小物</t>
  </si>
  <si>
    <t>0,20000,27858,27862</t>
  </si>
  <si>
    <t>オークション &gt; ファッション &gt; ハンドメイド &gt; 服飾小物</t>
  </si>
  <si>
    <t>0,23000,2084240597,2084240611</t>
  </si>
  <si>
    <t>オークション &gt; 自動車、オートバイ &gt; カタログ、パーツリスト、整備書 &gt; フェラーリ</t>
  </si>
  <si>
    <t>0,26318,2084005545,2084018983</t>
  </si>
  <si>
    <t>かばん、バッグ</t>
  </si>
  <si>
    <t>オークション &gt; ファッション &gt; ハンドメイド &gt; かばん、バッグ</t>
  </si>
  <si>
    <t>0,23000,2084240597,2084240598</t>
  </si>
  <si>
    <t>オークション &gt; 自動車、オートバイ &gt; カタログ、パーツリスト、整備書 &gt; フォード</t>
  </si>
  <si>
    <t>0,26318,2084005545,2084018984</t>
  </si>
  <si>
    <t>X-ファイル</t>
  </si>
  <si>
    <t>オークション &gt; アンティーク、コレクション &gt; SF &gt; X-ファイル</t>
  </si>
  <si>
    <t>,20000,42223,26044</t>
  </si>
  <si>
    <t>オークション &gt; 自動車、オートバイ &gt; カタログ、パーツリスト、整備書 &gt; フォルクスワーゲン</t>
  </si>
  <si>
    <t>オークション &gt; ファッション &gt; ハンドメイド &gt; アクセサリー</t>
  </si>
  <si>
    <t>0,26318,2084005545,2084018985</t>
  </si>
  <si>
    <t>0,23000,2084240597,2084240616</t>
  </si>
  <si>
    <t>オークション &gt; アンティーク、コレクション &gt; SF &gt; スター・ウォーズ</t>
  </si>
  <si>
    <t>ブガッティ</t>
  </si>
  <si>
    <t>オークション &gt; 自動車、オートバイ &gt; カタログ、パーツリスト、整備書 &gt; ブガッティ</t>
  </si>
  <si>
    <t>0,20000,42223,42224</t>
  </si>
  <si>
    <t>生活用品、家具</t>
  </si>
  <si>
    <t>0,26318,2084005545,2084018986</t>
  </si>
  <si>
    <t>オークション &gt; ファッション &gt; ハンドメイド &gt; 生活用品、家具</t>
  </si>
  <si>
    <t>0,23000,2084240597,2084240626</t>
  </si>
  <si>
    <t>オークション &gt; アンティーク、コレクション &gt; SF &gt; スタートレック</t>
  </si>
  <si>
    <t>オークション &gt; 自動車、オートバイ &gt; カタログ、パーツリスト、整備書 &gt; プジョー</t>
  </si>
  <si>
    <t>0,20000,42223,42225</t>
  </si>
  <si>
    <t>0,26318,2084005545,2084018987</t>
  </si>
  <si>
    <t>オークション &gt; ファッション &gt; ハンドメイド &gt; ハンドメイド材料</t>
  </si>
  <si>
    <t>0,23000,2084240597,20924</t>
  </si>
  <si>
    <t>オークション &gt; 自動車、オートバイ &gt; カタログ、パーツリスト、整備書 &gt; ベントレー</t>
  </si>
  <si>
    <t>0,26318,2084005545,2084018988</t>
  </si>
  <si>
    <t>オークション &gt; アンティーク、コレクション &gt; SF &gt; フィギュア</t>
  </si>
  <si>
    <t>0,20000,42223,2084023799</t>
  </si>
  <si>
    <t>オークション &gt; 自動車、オートバイ &gt; カタログ、パーツリスト、整備書 &gt; ホンダ</t>
  </si>
  <si>
    <t>0,26318,2084005545,2084005588</t>
  </si>
  <si>
    <t>オークション &gt; アンティーク、コレクション &gt; SF &gt; おもちゃ</t>
  </si>
  <si>
    <t>0,20000,42223,26038</t>
  </si>
  <si>
    <t>オークション &gt; 自動車、オートバイ &gt; カタログ、パーツリスト、整備書 &gt; ボルボ</t>
  </si>
  <si>
    <t>0,26318,2084005545,2084018989</t>
  </si>
  <si>
    <t>オークション &gt; 自動車、オートバイ &gt; カタログ、パーツリスト、整備書 &gt; ポルシェ</t>
  </si>
  <si>
    <t>0,26318,2084005545,2084005596</t>
  </si>
  <si>
    <t>オークション &gt; アンティーク、コレクション &gt; SF &gt; その他</t>
  </si>
  <si>
    <t>0,20000,42223,42229</t>
  </si>
  <si>
    <t>マセラッティ</t>
  </si>
  <si>
    <t>オークション &gt; 自動車、オートバイ &gt; カタログ、パーツリスト、整備書 &gt; マセラッティ</t>
  </si>
  <si>
    <t>0,26318,2084005545,2084018990</t>
  </si>
  <si>
    <t>オークション &gt; 自動車、オートバイ &gt; カタログ、パーツリスト、整備書 &gt; マツダ</t>
  </si>
  <si>
    <t>0,26318,2084005545,2084005591</t>
  </si>
  <si>
    <t>オークション &gt; 自動車、オートバイ &gt; カタログ、パーツリスト、整備書 &gt; ミニ</t>
  </si>
  <si>
    <t>0,26318,2084005545,2084018991</t>
  </si>
  <si>
    <t>オークション &gt; アンティーク、コレクション &gt; ボトルキャップ &gt; コミック、アニメーション</t>
  </si>
  <si>
    <t>0,20000,2084045612,2084055388</t>
  </si>
  <si>
    <t>オークション &gt; 自動車、オートバイ &gt; カタログ、パーツリスト、整備書 &gt; メルセデス・ベンツ</t>
  </si>
  <si>
    <t>0,26318,2084005545,2084005597</t>
  </si>
  <si>
    <t>オークション &gt; 自動車、オートバイ &gt; カタログ、パーツリスト、整備書 &gt; ランチア</t>
  </si>
  <si>
    <t>0,26318,2084005545,2084018992</t>
  </si>
  <si>
    <t>オークション &gt; アンティーク、コレクション &gt; ボトルキャップ &gt; ゲームキャラクター</t>
  </si>
  <si>
    <t>0,20000,2084045612,2084055387</t>
  </si>
  <si>
    <t>オークション &gt; 自動車、オートバイ &gt; カタログ、パーツリスト、整備書 &gt; ランボルギーニ</t>
  </si>
  <si>
    <t>0,26318,2084005545,2084018993</t>
  </si>
  <si>
    <t>オークション &gt; アンティーク、コレクション &gt; ボトルキャップ &gt; 映画</t>
  </si>
  <si>
    <t>オークション &gt; 自動車、オートバイ &gt; カタログ、パーツリスト、整備書 &gt; ルノー</t>
  </si>
  <si>
    <t>0,26318,2084005545,2084018994</t>
  </si>
  <si>
    <t>0,20000,2084045612,2084055386</t>
  </si>
  <si>
    <t>オークション &gt; 自動車、オートバイ &gt; カタログ、パーツリスト、整備書 &gt; レクサス</t>
  </si>
  <si>
    <t>0,26318,2084005545,2084230501</t>
  </si>
  <si>
    <t>実写ヒーロー、特撮</t>
  </si>
  <si>
    <t>オークション &gt; アンティーク、コレクション &gt; ボトルキャップ &gt; 実写ヒーロー、特撮</t>
  </si>
  <si>
    <t>0,20000,2084045612,2084055390</t>
  </si>
  <si>
    <t>オークション &gt; 自動車、オートバイ &gt; カタログ、パーツリスト、整備書 &gt; ロータス</t>
  </si>
  <si>
    <t>0,26318,2084005545,2084018995</t>
  </si>
  <si>
    <t>オークション &gt; アンティーク、コレクション &gt; ボトルキャップ &gt; スポーツ</t>
  </si>
  <si>
    <t>0,20000,2084045612,2084055389</t>
  </si>
  <si>
    <t>オークション &gt; 自動車、オートバイ &gt; カタログ、パーツリスト、整備書 &gt; ローバー</t>
  </si>
  <si>
    <t>0,26318,2084005545,2084018996</t>
  </si>
  <si>
    <t>生物</t>
  </si>
  <si>
    <t>オークション &gt; アンティーク、コレクション &gt; ボトルキャップ &gt; 生物</t>
  </si>
  <si>
    <t>0,20000,2084045612,2084055392</t>
  </si>
  <si>
    <t>ロールス・ロイス</t>
  </si>
  <si>
    <t>オークション &gt; 自動車、オートバイ &gt; カタログ、パーツリスト、整備書 &gt; ロールス・ロイス</t>
  </si>
  <si>
    <t>0,26318,2084005545,2084018997</t>
  </si>
  <si>
    <t>オークション &gt; アンティーク、コレクション &gt; ボトルキャップ &gt; キャラクター</t>
  </si>
  <si>
    <t>0,20000,2084045612,2084055391</t>
  </si>
  <si>
    <t>オークション &gt; 自動車、オートバイ &gt; カタログ、パーツリスト、整備書 &gt; 三菱</t>
  </si>
  <si>
    <t>0,26318,2084005545,2084005592</t>
  </si>
  <si>
    <t>オークション &gt; アンティーク、コレクション &gt; ボトルキャップ &gt; その他</t>
  </si>
  <si>
    <t>オークション &gt; 自動車、オートバイ &gt; カタログ、パーツリスト、整備書 &gt; 日産</t>
  </si>
  <si>
    <t>0,26318,2084005545,2084005587</t>
  </si>
  <si>
    <t>0,20000,2084045612,2084055393</t>
  </si>
  <si>
    <t>オークション &gt; 自動車、オートバイ &gt; カタログ、パーツリスト、整備書 &gt; その他</t>
  </si>
  <si>
    <t>0,26318,2084005545,2084005598</t>
  </si>
  <si>
    <t>アパレル</t>
  </si>
  <si>
    <t>オークション &gt; 自動車、オートバイ &gt; 自動車関連グッズ &gt; アパレル</t>
  </si>
  <si>
    <t>0,26318,2084005546,2084019953</t>
  </si>
  <si>
    <t>オークション &gt; 自動車、オートバイ &gt; 自動車関連グッズ &gt; キーホルダー</t>
  </si>
  <si>
    <t>0,26318,2084005546,2084005812</t>
  </si>
  <si>
    <t>オークション &gt; 自動車、オートバイ &gt; 自動車関連グッズ &gt; ステッカー、デカール</t>
  </si>
  <si>
    <t>0,26318,2084005546,2084007924</t>
  </si>
  <si>
    <t>オークション &gt; 自動車、オートバイ &gt; 自動車関連グッズ &gt; テレホンカード</t>
  </si>
  <si>
    <t>0,26318,2084005546,2084007950</t>
  </si>
  <si>
    <t>レース関連</t>
  </si>
  <si>
    <t>オークション &gt; 自動車、オートバイ &gt; 自動車関連グッズ &gt; レース関連</t>
  </si>
  <si>
    <t>0,26318,2084005546,2084047456</t>
  </si>
  <si>
    <t>オークション &gt; 自動車、オートバイ &gt; 自動車関連グッズ &gt; 文房具</t>
  </si>
  <si>
    <t>オークション &gt; アンティーク、コレクション &gt; サイン &gt; コミック、アニメ</t>
  </si>
  <si>
    <t>0,26318,2084005546,2084019956</t>
  </si>
  <si>
    <t>0,20000,27856,2084050909</t>
  </si>
  <si>
    <t>オークション &gt; 自動車、オートバイ &gt; 自動車関連グッズ &gt; 自動車メーカー別</t>
  </si>
  <si>
    <t>0,26318,2084005546,2084015625</t>
  </si>
  <si>
    <t>サッカー</t>
  </si>
  <si>
    <t>オークション &gt; アンティーク、コレクション &gt; サイン &gt; サッカー</t>
  </si>
  <si>
    <t>オークション &gt; 自動車、オートバイ &gt; 自動車関連グッズ &gt; その他</t>
  </si>
  <si>
    <t>0,20000,27856,25412</t>
  </si>
  <si>
    <t>0,26318,2084005546,2084019957</t>
  </si>
  <si>
    <t>バスケットボール</t>
  </si>
  <si>
    <t>オークション &gt; アンティーク、コレクション &gt; サイン &gt; バスケットボール</t>
  </si>
  <si>
    <t>0,20000,27856,25384</t>
  </si>
  <si>
    <t>オークション &gt; スポーツ、レジャー &gt; スポーツ別 &gt; カーレース &gt; レーシングカート &gt; パーツ</t>
  </si>
  <si>
    <t>0,24698,25152,2084047456,2084018483,2084018484</t>
  </si>
  <si>
    <t>オークション &gt; アンティーク、コレクション &gt; サイン &gt; ミュージシャン</t>
  </si>
  <si>
    <t>オークション &gt; スポーツ、レジャー &gt; アウトドアウエア &gt; ブランド別</t>
  </si>
  <si>
    <t>0,20000,27856,2084005082</t>
  </si>
  <si>
    <t>0,24698,24802,2084057251</t>
  </si>
  <si>
    <t>オークション &gt; スポーツ、レジャー &gt; スポーツ別 &gt; カーレース &gt; レーシングカート &gt; 車体</t>
  </si>
  <si>
    <t>0,24698,25152,2084047456,2084018483,2084018485</t>
  </si>
  <si>
    <t>オークション &gt; アンティーク、コレクション &gt; サイン &gt; 映画</t>
  </si>
  <si>
    <t>オークション &gt; スポーツ、レジャー &gt; スポーツ別 &gt; カーレース &gt; レーシングカート &gt; その他</t>
  </si>
  <si>
    <t>0,20000,27856,22128</t>
  </si>
  <si>
    <t>オークション &gt; スポーツ、レジャー &gt; アウトドアウエア &gt; 男性用</t>
  </si>
  <si>
    <t>0,24698,25152,2084047456,2084018483,2084018486</t>
  </si>
  <si>
    <t>0,24698,24802,2084057221</t>
  </si>
  <si>
    <t>格闘技、プロレス</t>
  </si>
  <si>
    <t>オークション &gt; アンティーク、コレクション &gt; サイン &gt; 格闘技、プロレス</t>
  </si>
  <si>
    <t>0,20000,27856,2084046289</t>
  </si>
  <si>
    <t>オークション &gt; スポーツ、レジャー &gt; アウトドアウエア &gt; 女性用</t>
  </si>
  <si>
    <t>0,24698,24802,2084057222</t>
  </si>
  <si>
    <t>オークション &gt; アンティーク、コレクション &gt; サイン &gt; 芸能人、タレント</t>
  </si>
  <si>
    <t>オークション &gt; スポーツ、レジャー &gt; アウトドアウエア &gt; 子ども用</t>
  </si>
  <si>
    <t>0,20000,27856,2084047075</t>
  </si>
  <si>
    <t>0,24698,24802,2084057223</t>
  </si>
  <si>
    <t>自動車一般</t>
  </si>
  <si>
    <t>オークション &gt; 本、雑誌 &gt; 趣味、スポーツ、実用 &gt; 自動車 &gt; 自動車一般</t>
  </si>
  <si>
    <t>0,21600,2084008861,2084008871,2084008872</t>
  </si>
  <si>
    <t>野球</t>
  </si>
  <si>
    <t>スポーツサングラス</t>
  </si>
  <si>
    <t>メカニズム</t>
  </si>
  <si>
    <t>オークション &gt; アンティーク、コレクション &gt; サイン &gt; 野球</t>
  </si>
  <si>
    <t>オークション &gt; スポーツ、レジャー &gt; アウトドアウエア &gt; スポーツサングラス</t>
  </si>
  <si>
    <t>オークション &gt; 本、雑誌 &gt; 趣味、スポーツ、実用 &gt; 自動車 &gt; メカニズム</t>
  </si>
  <si>
    <t>0,20000,27856,25376</t>
  </si>
  <si>
    <t>0,21600,2084008861,2084008871,2084008873</t>
  </si>
  <si>
    <t>0,24698,24802,2084214045</t>
  </si>
  <si>
    <t>オークション &gt; 本、雑誌 &gt; 趣味、スポーツ、実用 &gt; 自動車 &gt; メンテナンス</t>
  </si>
  <si>
    <t>0,21600,2084008861,2084008871,2084008874</t>
  </si>
  <si>
    <t>オークション &gt; アンティーク、コレクション &gt; サイン &gt; その他</t>
  </si>
  <si>
    <t>0,20000,27856,2084005084</t>
  </si>
  <si>
    <t>雨具、レインウェア</t>
  </si>
  <si>
    <t>オークション &gt; 本、雑誌 &gt; 趣味、スポーツ、実用 &gt; 自動車 &gt; 雑誌</t>
  </si>
  <si>
    <t>オークション &gt; スポーツ、レジャー &gt; アウトドアウエア &gt; 雨具、レインウェア</t>
  </si>
  <si>
    <t>PEZ</t>
  </si>
  <si>
    <t>0,24698,24802,2084046735</t>
  </si>
  <si>
    <t>0,21600,2084008861,2084008871,2084008099</t>
  </si>
  <si>
    <t>オークション &gt; アンティーク、コレクション &gt; 雑貨 &gt; PEZ</t>
  </si>
  <si>
    <t>0,20000,21152,25972</t>
  </si>
  <si>
    <t>オルゴール</t>
  </si>
  <si>
    <t>オークション &gt; アンティーク、コレクション &gt; 雑貨 &gt; オルゴール</t>
  </si>
  <si>
    <t>0,20000,21152,2084047372</t>
  </si>
  <si>
    <t>靴、シューズ</t>
  </si>
  <si>
    <t>オークション &gt; スポーツ、レジャー &gt; アウトドアウエア &gt; 靴、シューズ</t>
  </si>
  <si>
    <t>0,24698,24802,2084048872</t>
  </si>
  <si>
    <t>オークション &gt; アンティーク、コレクション &gt; 雑貨 &gt; キーホルダー</t>
  </si>
  <si>
    <t>免許取得</t>
  </si>
  <si>
    <t>0,20000,21152,40427</t>
  </si>
  <si>
    <t>オークション &gt; 本、雑誌 &gt; 趣味、スポーツ、実用 &gt; 自動車 &gt; 免許取得</t>
  </si>
  <si>
    <t>0,21600,2084008861,2084008871,2084008875</t>
  </si>
  <si>
    <t>オークション &gt; アンティーク、コレクション &gt; 雑貨 &gt; ステッカー</t>
  </si>
  <si>
    <t>0,20000,21152,26066</t>
  </si>
  <si>
    <t>オークション &gt; スポーツ、レジャー &gt; アウトドアウエア &gt; 服飾小物</t>
  </si>
  <si>
    <t>0,24698,24802,2084057242</t>
  </si>
  <si>
    <t>スノードーム</t>
  </si>
  <si>
    <t>オークション &gt; アンティーク、コレクション &gt; 雑貨 &gt; スノードーム</t>
  </si>
  <si>
    <t>0,20000,21152,26048</t>
  </si>
  <si>
    <t>オークション &gt; アンティーク、コレクション &gt; 雑貨 &gt; テレホンカード</t>
  </si>
  <si>
    <t>0,20000,21152,23968</t>
  </si>
  <si>
    <t>パイレックス</t>
  </si>
  <si>
    <t>オークション &gt; アンティーク、コレクション &gt; 雑貨 &gt; パイレックス</t>
  </si>
  <si>
    <t>ETC取付</t>
  </si>
  <si>
    <t>0,20000,21152,2084058450</t>
  </si>
  <si>
    <t>オークション &gt; その他 &gt; 修理、取り付け &gt; 自動車、オートバイ &gt; ETC取付</t>
  </si>
  <si>
    <t>オークション &gt; スポーツ、レジャー &gt; スポーツウエア &gt; 男性用</t>
  </si>
  <si>
    <t>0,24698,23008,2084005276</t>
  </si>
  <si>
    <t>オークション &gt; アンティーク、コレクション &gt; 雑貨 &gt; ピンバッジ</t>
  </si>
  <si>
    <t>0,20000,21152,2084312400</t>
  </si>
  <si>
    <t>0,26084,2084214140,2084214141,2084214144</t>
  </si>
  <si>
    <t>ファイヤーキング</t>
  </si>
  <si>
    <t>オークション &gt; アンティーク、コレクション &gt; 雑貨 &gt; ファイヤーキング</t>
  </si>
  <si>
    <t>オークション &gt; スポーツ、レジャー &gt; スポーツウエア &gt; 女性用</t>
  </si>
  <si>
    <t>0,20000,21152,2084058449</t>
  </si>
  <si>
    <t>0,24698,23008,2084006829</t>
  </si>
  <si>
    <t>カーオーディオ取付</t>
  </si>
  <si>
    <t>マッチ箱</t>
  </si>
  <si>
    <t>オークション &gt; その他 &gt; 修理、取り付け &gt; 自動車、オートバイ &gt; カーオーディオ取付</t>
  </si>
  <si>
    <t>オークション &gt; アンティーク、コレクション &gt; 雑貨 &gt; マッチ箱</t>
  </si>
  <si>
    <t>0,20000,21152,20392</t>
  </si>
  <si>
    <t>0,26084,2084214140,2084214141,2084214143</t>
  </si>
  <si>
    <t>男女兼用</t>
  </si>
  <si>
    <t>オークション &gt; スポーツ、レジャー &gt; スポーツウエア &gt; 男女兼用</t>
  </si>
  <si>
    <t>0,24698,23008,2084024291</t>
  </si>
  <si>
    <t>オークション &gt; アンティーク、コレクション &gt; 雑貨 &gt; 家具</t>
  </si>
  <si>
    <t>カーナビゲーション取付</t>
  </si>
  <si>
    <t>0,20000,21152,2084236067</t>
  </si>
  <si>
    <t>オークション &gt; その他 &gt; 修理、取り付け &gt; 自動車、オートバイ &gt; カーナビゲーション取付</t>
  </si>
  <si>
    <t>0,26084,2084214140,2084214141,2084214142</t>
  </si>
  <si>
    <t>絵葉書</t>
  </si>
  <si>
    <t>オークション &gt; アンティーク、コレクション &gt; 雑貨 &gt; 絵葉書</t>
  </si>
  <si>
    <t>オークション &gt; スポーツ、レジャー &gt; スポーツウエア &gt; 子ども用</t>
  </si>
  <si>
    <t>0,20000,21152,20988</t>
  </si>
  <si>
    <t>0,24698,23008,2084024292</t>
  </si>
  <si>
    <t>喫煙グッズ</t>
  </si>
  <si>
    <t>オークション &gt; アンティーク、コレクション &gt; 雑貨 &gt; 喫煙グッズ</t>
  </si>
  <si>
    <t>0,20000,21152,26126</t>
  </si>
  <si>
    <t>スポーツ別</t>
  </si>
  <si>
    <t>オークション &gt; スポーツ、レジャー &gt; スポーツウエア &gt; スポーツ別</t>
  </si>
  <si>
    <t>警察グッズ</t>
  </si>
  <si>
    <t>0,24698,23008,25152</t>
  </si>
  <si>
    <t>オークション &gt; アンティーク、コレクション &gt; 雑貨 &gt; 警察グッズ</t>
  </si>
  <si>
    <t>0,20000,21152,40565</t>
  </si>
  <si>
    <t>オークション &gt; アンティーク、コレクション &gt; 雑貨 &gt; 建具</t>
  </si>
  <si>
    <t>0,20000,21152,2084261100</t>
  </si>
  <si>
    <t>オークション &gt; スポーツ、レジャー &gt; スポーツウエア &gt; サングラス</t>
  </si>
  <si>
    <t>0,24698,23008,2084214045</t>
  </si>
  <si>
    <t>磁石</t>
  </si>
  <si>
    <t>オークション &gt; アンティーク、コレクション &gt; 雑貨 &gt; 磁石</t>
  </si>
  <si>
    <t>0,20000,21152,20356</t>
  </si>
  <si>
    <t>オークション &gt; スポーツ、レジャー &gt; スポーツウエア &gt; アウトドアウエア</t>
  </si>
  <si>
    <t>貯金箱</t>
  </si>
  <si>
    <t>オークション &gt; アンティーク、コレクション &gt; 雑貨 &gt; 貯金箱</t>
  </si>
  <si>
    <t>0,24698,23008,24802</t>
  </si>
  <si>
    <t>0,20000,21152,26014</t>
  </si>
  <si>
    <t>オークション &gt; アンティーク、コレクション &gt; 雑貨 &gt; 店舗什器</t>
  </si>
  <si>
    <t>0,20000,21152,2084263156</t>
  </si>
  <si>
    <t>エクササイズウエア</t>
  </si>
  <si>
    <t>オークション &gt; スポーツ、レジャー &gt; スポーツウエア &gt; エクササイズウエア</t>
  </si>
  <si>
    <t>0,24698,23008,2084006766</t>
  </si>
  <si>
    <t>オークション &gt; アンティーク、コレクション &gt; 雑貨 &gt; 筆記用具</t>
  </si>
  <si>
    <t>0,20000,21152,21116</t>
  </si>
  <si>
    <t>スイムウエア</t>
  </si>
  <si>
    <t>弁当箱</t>
  </si>
  <si>
    <t>オークション &gt; スポーツ、レジャー &gt; スポーツウエア &gt; スイムウエア</t>
  </si>
  <si>
    <t>オークション &gt; アンティーク、コレクション &gt; 雑貨 &gt; 弁当箱</t>
  </si>
  <si>
    <t>0,24698,23008,2084051883</t>
  </si>
  <si>
    <t>0,20000,21152,25906</t>
  </si>
  <si>
    <t>オークション &gt; アンティーク、コレクション &gt; 雑貨 &gt; おもちゃ</t>
  </si>
  <si>
    <t>0,20000,21152,27673</t>
  </si>
  <si>
    <t>オークション &gt; アンティーク、コレクション &gt; 雑貨 &gt; その他</t>
  </si>
  <si>
    <t>0,20000,21152,21595</t>
  </si>
  <si>
    <t>ブリキ</t>
  </si>
  <si>
    <t>オークション &gt; おもちゃ、ゲーム &gt; ビンテージ &gt; ブリキ</t>
  </si>
  <si>
    <t>0,25464,27673,27675</t>
  </si>
  <si>
    <t>オークション &gt; スポーツ、レジャー &gt; スポーツ別</t>
  </si>
  <si>
    <t>0,24698,25152</t>
  </si>
  <si>
    <t>ソフビ</t>
  </si>
  <si>
    <t>オークション &gt; おもちゃ、ゲーム &gt; ビンテージ &gt; ソフビ</t>
  </si>
  <si>
    <t>0,25464,27673,2084310547</t>
  </si>
  <si>
    <t>超合金</t>
  </si>
  <si>
    <t>キャンプ、アウトドア用品</t>
  </si>
  <si>
    <t>オークション &gt; おもちゃ、ゲーム &gt; ビンテージ &gt; 超合金</t>
  </si>
  <si>
    <t>オークション &gt; スポーツ、レジャー &gt; キャンプ、アウトドア用品</t>
  </si>
  <si>
    <t>0,24698,24702</t>
  </si>
  <si>
    <t>0,25464,27673,2084310548</t>
  </si>
  <si>
    <t>自転車、サイクリング</t>
  </si>
  <si>
    <t>オークション &gt; スポーツ、レジャー &gt; 自転車、サイクリング</t>
  </si>
  <si>
    <t>0,24698,26222</t>
  </si>
  <si>
    <t>オークション &gt; おもちゃ、ゲーム &gt; ビンテージ &gt; 乗り物</t>
  </si>
  <si>
    <t>0,25464,27673,27683</t>
  </si>
  <si>
    <t>フィッシング</t>
  </si>
  <si>
    <t>オークション &gt; スポーツ、レジャー &gt; フィッシング</t>
  </si>
  <si>
    <t>電気仕掛け</t>
  </si>
  <si>
    <t>0,24698,25180</t>
  </si>
  <si>
    <t>オークション &gt; おもちゃ、ゲーム &gt; ビンテージ &gt; 電気仕掛け</t>
  </si>
  <si>
    <t>0,25464,27673,27695</t>
  </si>
  <si>
    <t>オークション &gt; スポーツ、レジャー &gt; スポーツウエア</t>
  </si>
  <si>
    <t>0,24698,23008</t>
  </si>
  <si>
    <t>オークション &gt; おもちゃ、ゲーム &gt; ビンテージ &gt; その他</t>
  </si>
  <si>
    <t>0,25464,27673,27717</t>
  </si>
  <si>
    <t>オークション &gt; スポーツ、レジャー &gt; アウトドアウエア</t>
  </si>
  <si>
    <t>0,24698,24802</t>
  </si>
  <si>
    <t>船、ボート</t>
  </si>
  <si>
    <t>オークション &gt; スポーツ、レジャー &gt; 船、ボート</t>
  </si>
  <si>
    <t>0,24698,26214</t>
  </si>
  <si>
    <t>オークション &gt; チケット、金券、宿泊予約 &gt; プリペイドカード &gt; テレホンカード &gt; キャラクター</t>
  </si>
  <si>
    <t>スポーツ心拍計</t>
  </si>
  <si>
    <t>0,2084043920,2084007688,23968,2084005121</t>
  </si>
  <si>
    <t>オークション &gt; スポーツ、レジャー &gt; スポーツ心拍計</t>
  </si>
  <si>
    <t>0,24698,2084263701</t>
  </si>
  <si>
    <t>モノ・トレンド情報</t>
  </si>
  <si>
    <t>オークション &gt; 本、雑誌 &gt; 雑誌 &gt; ファッション &gt; モノ・トレンド情報</t>
  </si>
  <si>
    <t>0,21600,21884,21912,2084008142</t>
  </si>
  <si>
    <t>オークション &gt; チケット、金券、宿泊予約 &gt; プリペイドカード &gt; テレホンカード &gt; コミック、アニメーション</t>
  </si>
  <si>
    <t>0,2084043920,2084007688,23968,2084005120</t>
  </si>
  <si>
    <t>オークション &gt; スポーツ、レジャー &gt; スポーツサングラス</t>
  </si>
  <si>
    <t>0,24698,2084214045</t>
  </si>
  <si>
    <t>オークション &gt; 本、雑誌 &gt; 雑誌 &gt; ファッション &gt; 女性</t>
  </si>
  <si>
    <t>0,21600,21884,21912,2084008050</t>
  </si>
  <si>
    <t>オークション &gt; チケット、金券、宿泊予約 &gt; プリペイドカード &gt; テレホンカード &gt; スポーツ</t>
  </si>
  <si>
    <t>水遊び</t>
  </si>
  <si>
    <t>0,2084043920,2084007688,23968,2084005113</t>
  </si>
  <si>
    <t>オークション &gt; スポーツ、レジャー &gt; 水遊び</t>
  </si>
  <si>
    <t>0,24698,2084042420</t>
  </si>
  <si>
    <t>男性</t>
  </si>
  <si>
    <t>オークション &gt; 本、雑誌 &gt; 雑誌 &gt; ファッション &gt; 男性</t>
  </si>
  <si>
    <t>0,21600,21884,21912,2084008049</t>
  </si>
  <si>
    <t>オークション &gt; チケット、金券、宿泊予約 &gt; プリペイドカード &gt; テレホンカード &gt; テレビゲーム</t>
  </si>
  <si>
    <t>0,2084043920,2084007688,23968,2084005119</t>
  </si>
  <si>
    <t>サプリメント</t>
  </si>
  <si>
    <t>オークション &gt; スポーツ、レジャー &gt; サプリメント</t>
  </si>
  <si>
    <t>0,24698,2084062737</t>
  </si>
  <si>
    <t>テレビ番組</t>
  </si>
  <si>
    <t>オークション &gt; チケット、金券、宿泊予約 &gt; プリペイドカード &gt; テレホンカード &gt; テレビ番組</t>
  </si>
  <si>
    <t>0,2084043920,2084007688,23968,2084005123</t>
  </si>
  <si>
    <t>旅行</t>
  </si>
  <si>
    <t>オークション &gt; スポーツ、レジャー &gt; 旅行</t>
  </si>
  <si>
    <t>0,24698,2084042464</t>
  </si>
  <si>
    <t>オークション &gt; チケット、金券、宿泊予約 &gt; プリペイドカード &gt; テレホンカード &gt; ミュージシャン</t>
  </si>
  <si>
    <t>0,2084043920,2084007688,23968,2084005105</t>
  </si>
  <si>
    <t>スポーツチケット</t>
  </si>
  <si>
    <t>オークション &gt; スポーツ、レジャー &gt; スポーツチケット</t>
  </si>
  <si>
    <t>ラジオ番組</t>
  </si>
  <si>
    <t>0,24698,25430</t>
  </si>
  <si>
    <t>オークション &gt; チケット、金券、宿泊予約 &gt; プリペイドカード &gt; テレホンカード &gt; ラジオ番組</t>
  </si>
  <si>
    <t>0,2084043920,2084007688,23968,2084005124</t>
  </si>
  <si>
    <t>レジャーチケット</t>
  </si>
  <si>
    <t>オークション &gt; チケット、金券、宿泊予約 &gt; プリペイドカード &gt; テレホンカード &gt; 映画</t>
  </si>
  <si>
    <t>0,2084043920,2084007688,23968,2084005122</t>
  </si>
  <si>
    <t>オークション &gt; スポーツ、レジャー &gt; レジャーチケット</t>
  </si>
  <si>
    <t>0,24698,2084044344</t>
  </si>
  <si>
    <t>芸術、アート</t>
  </si>
  <si>
    <t>オークション &gt; チケット、金券、宿泊予約 &gt; プリペイドカード &gt; テレホンカード &gt; 芸術、アート</t>
  </si>
  <si>
    <t>パチンコ、パチスロ</t>
  </si>
  <si>
    <t>0,2084043920,2084007688,23968,2084048484</t>
  </si>
  <si>
    <t>オークション &gt; スポーツ、レジャー &gt; パチンコ、パチスロ</t>
  </si>
  <si>
    <t>0,24698,2084046936</t>
  </si>
  <si>
    <t>競艇</t>
  </si>
  <si>
    <t>オークション &gt; スポーツ、レジャー &gt; 競艇</t>
  </si>
  <si>
    <t>オークション &gt; チケット、金券、宿泊予約 &gt; プリペイドカード &gt; テレホンカード &gt; 芸能人、タレント</t>
  </si>
  <si>
    <t>0,24698,2084048240</t>
  </si>
  <si>
    <t>0,2084043920,2084007688,23968,2084005109</t>
  </si>
  <si>
    <t>航空機</t>
  </si>
  <si>
    <t>オークション &gt; スポーツ、レジャー &gt; 競馬</t>
  </si>
  <si>
    <t>オークション &gt; チケット、金券、宿泊予約 &gt; プリペイドカード &gt; テレホンカード &gt; 航空機</t>
  </si>
  <si>
    <t>0,24698,25407</t>
  </si>
  <si>
    <t>0,2084043920,2084007688,23968,2084007949</t>
  </si>
  <si>
    <t>競輪</t>
  </si>
  <si>
    <t>オークション &gt; スポーツ、レジャー &gt; 競輪</t>
  </si>
  <si>
    <t>オークション &gt; チケット、金券、宿泊予約 &gt; プリペイドカード &gt; テレホンカード &gt; 自動車</t>
  </si>
  <si>
    <t>0,24698,2084048304</t>
  </si>
  <si>
    <t>0,2084043920,2084007688,23968,2084007950</t>
  </si>
  <si>
    <t>植物</t>
  </si>
  <si>
    <t>オークション &gt; チケット、金券、宿泊予約 &gt; プリペイドカード &gt; テレホンカード &gt; 植物</t>
  </si>
  <si>
    <t>0,2084043920,2084007688,23968,2084048482</t>
  </si>
  <si>
    <t>オークション &gt; スポーツ、レジャー &gt; ペット用品</t>
  </si>
  <si>
    <t>0,24698,24534</t>
  </si>
  <si>
    <t>オークション &gt; チケット、金券、宿泊予約 &gt; プリペイドカード &gt; テレホンカード &gt; 声優</t>
  </si>
  <si>
    <t>0,2084043920,2084007688,23968,2084005104</t>
  </si>
  <si>
    <t>オークション &gt; スポーツ、レジャー &gt; 花、園芸</t>
  </si>
  <si>
    <t>0,24698,26086</t>
  </si>
  <si>
    <t>オークション &gt; チケット、金券、宿泊予約 &gt; プリペイドカード &gt; テレホンカード &gt; 鉄道</t>
  </si>
  <si>
    <t>スポーツレッスン</t>
  </si>
  <si>
    <t>0,2084043920,2084007688,23968,2084007801</t>
  </si>
  <si>
    <t>オークション &gt; スポーツ、レジャー &gt; スポーツレッスン</t>
  </si>
  <si>
    <t>0,24698,2084307745</t>
  </si>
  <si>
    <t>動物</t>
  </si>
  <si>
    <t>オークション &gt; チケット、金券、宿泊予約 &gt; プリペイドカード &gt; テレホンカード &gt; 動物</t>
  </si>
  <si>
    <t>スポーツ用品レンタル</t>
  </si>
  <si>
    <t>0,2084043920,2084007688,23968,2084048481</t>
  </si>
  <si>
    <t>オークション &gt; スポーツ、レジャー &gt; スポーツ用品レンタル</t>
  </si>
  <si>
    <t>0,24698,2084307762</t>
  </si>
  <si>
    <t>風景</t>
  </si>
  <si>
    <t>オークション &gt; チケット、金券、宿泊予約 &gt; プリペイドカード &gt; テレホンカード &gt; 風景</t>
  </si>
  <si>
    <t>0,2084043920,2084007688,23968,2084048483</t>
  </si>
  <si>
    <t>オークション &gt; スポーツ、レジャー &gt; その他</t>
  </si>
  <si>
    <t>0,24698,2084036434</t>
  </si>
  <si>
    <t>オークション &gt; チケット、金券、宿泊予約 &gt; プリペイドカード &gt; テレホンカード &gt; その他</t>
  </si>
  <si>
    <t>0,2084043920,2084007688,23968,2084005125</t>
  </si>
  <si>
    <t>アーチェリー</t>
  </si>
  <si>
    <t>オークション &gt; スポーツ、レジャー &gt; スポーツ別 &gt; アーチェリー</t>
  </si>
  <si>
    <t>0,24698,25152,25224</t>
  </si>
  <si>
    <t>アイススケート</t>
  </si>
  <si>
    <t>オークション &gt; スポーツ、レジャー &gt; スポーツ別 &gt; アイススケート</t>
  </si>
  <si>
    <t>0,24698,25152,25232</t>
  </si>
  <si>
    <t>アイスホッケー</t>
  </si>
  <si>
    <t>オークション &gt; スポーツ、レジャー &gt; スポーツ別 &gt; アイスホッケー</t>
  </si>
  <si>
    <t>0,24698,25152,25350</t>
  </si>
  <si>
    <t>アメリカンフットボール</t>
  </si>
  <si>
    <t>オークション &gt; スポーツ、レジャー &gt; スポーツ別 &gt; アメリカンフットボール</t>
  </si>
  <si>
    <t>0,24698,25152,25346</t>
  </si>
  <si>
    <t>インラインスケート</t>
  </si>
  <si>
    <t>オークション &gt; スポーツ、レジャー &gt; スポーツ別 &gt; インラインスケート</t>
  </si>
  <si>
    <t>0,24698,25152,25282</t>
  </si>
  <si>
    <t>ウインドサーフィン</t>
  </si>
  <si>
    <t>オークション &gt; スポーツ、レジャー &gt; スポーツ別 &gt; ウインドサーフィン</t>
  </si>
  <si>
    <t>0,24698,25152,25248</t>
  </si>
  <si>
    <t>ウェイクボード</t>
  </si>
  <si>
    <t>オークション &gt; スポーツ、レジャー &gt; スポーツ別 &gt; ウェイクボード</t>
  </si>
  <si>
    <t>0,24698,25152,25244</t>
  </si>
  <si>
    <t>ウォーキング</t>
  </si>
  <si>
    <t>オークション &gt; スポーツ、レジャー &gt; スポーツ別 &gt; ウォーキング</t>
  </si>
  <si>
    <t>0,24698,25152,2084196837</t>
  </si>
  <si>
    <t>オークション &gt; スポーツ、レジャー &gt; スポーツ別 &gt; エクササイズ用品</t>
  </si>
  <si>
    <t>0,24698,25152,25154</t>
  </si>
  <si>
    <t>カーレース</t>
  </si>
  <si>
    <t>オークション &gt; スポーツ、レジャー &gt; スポーツ別 &gt; カーレース</t>
  </si>
  <si>
    <t>0,24698,25152,2084047456</t>
  </si>
  <si>
    <t>ゴルフ</t>
  </si>
  <si>
    <t>オークション &gt; スポーツ、レジャー &gt; スポーツ別 &gt; ゴルフ</t>
  </si>
  <si>
    <t>0,24698,25152,25042</t>
  </si>
  <si>
    <t>メンズ</t>
  </si>
  <si>
    <t>オークション &gt; その他 &gt; レンタル &gt; ファッション &gt; メンズ</t>
  </si>
  <si>
    <t>0,26084,2084307720,2084307769,2084307770</t>
  </si>
  <si>
    <t>オークション &gt; スポーツ、レジャー &gt; スポーツ別 &gt; 格闘技、プロレス</t>
  </si>
  <si>
    <t>0,24698,25152,2084032407</t>
  </si>
  <si>
    <t>レディース</t>
  </si>
  <si>
    <t>オークション &gt; その他 &gt; レンタル &gt; ファッション &gt; レディース</t>
  </si>
  <si>
    <t>弓道</t>
  </si>
  <si>
    <t>オークション &gt; スポーツ、レジャー &gt; スポーツ別 &gt; 弓道</t>
  </si>
  <si>
    <t>0,24698,25152,2084228304</t>
  </si>
  <si>
    <t>0,26084,2084307720,2084307769,2084307771</t>
  </si>
  <si>
    <t>空手</t>
  </si>
  <si>
    <t>キッズ</t>
  </si>
  <si>
    <t>オークション &gt; スポーツ、レジャー &gt; スポーツ別 &gt; 空手</t>
  </si>
  <si>
    <t>オークション &gt; その他 &gt; レンタル &gt; ファッション &gt; キッズ</t>
  </si>
  <si>
    <t>0,24698,25152,2084258252</t>
  </si>
  <si>
    <t>0,26084,2084307720,2084307769,2084307772</t>
  </si>
  <si>
    <t>剣道</t>
  </si>
  <si>
    <t>オークション &gt; その他 &gt; レンタル &gt; ファッション &gt; バッグ、スーツケース</t>
  </si>
  <si>
    <t>オークション &gt; スポーツ、レジャー &gt; スポーツ別 &gt; 剣道</t>
  </si>
  <si>
    <t>0,24698,25152,2084005345</t>
  </si>
  <si>
    <t>0,26084,2084307720,2084307769,2084307774</t>
  </si>
  <si>
    <t>サーフィン</t>
  </si>
  <si>
    <t>オークション &gt; スポーツ、レジャー &gt; スポーツ別 &gt; サーフィン</t>
  </si>
  <si>
    <t>0,24698,25152,25242</t>
  </si>
  <si>
    <t>オークション &gt; スポーツ、レジャー &gt; スポーツ別 &gt; サッカー</t>
  </si>
  <si>
    <t>0,24698,25152,25344</t>
  </si>
  <si>
    <t>スカイスポーツ</t>
  </si>
  <si>
    <t>オークション &gt; スポーツ、レジャー &gt; スポーツ別 &gt; スカイスポーツ</t>
  </si>
  <si>
    <t>0,24698,25152,2084048552</t>
  </si>
  <si>
    <t>トイガン</t>
  </si>
  <si>
    <t>オークション &gt; ホビー、カルチャー &gt; ミリタリー &gt; トイガン</t>
  </si>
  <si>
    <t>0,24242,20428,2084005573</t>
  </si>
  <si>
    <t>スカッシュ</t>
  </si>
  <si>
    <t>オークション &gt; スポーツ、レジャー &gt; スポーツ別 &gt; スカッシュ</t>
  </si>
  <si>
    <t>個人装備</t>
  </si>
  <si>
    <t>0,24698,25152,2084032405</t>
  </si>
  <si>
    <t>オークション &gt; ホビー、カルチャー &gt; ミリタリー &gt; 個人装備</t>
  </si>
  <si>
    <t>0,24242,20428,2084005555</t>
  </si>
  <si>
    <t>スキー</t>
  </si>
  <si>
    <t>小物、アクセサリー</t>
  </si>
  <si>
    <t>オークション &gt; スポーツ、レジャー &gt; スポーツ別 &gt; スキー</t>
  </si>
  <si>
    <t>オークション &gt; ホビー、カルチャー &gt; ミリタリー &gt; 小物、アクセサリー</t>
  </si>
  <si>
    <t>0,24698,25152,25102</t>
  </si>
  <si>
    <t>0,24242,20428,2084005564</t>
  </si>
  <si>
    <t>スキューバダイビング</t>
  </si>
  <si>
    <t>オークション &gt; スポーツ、レジャー &gt; スポーツ別 &gt; スキューバダイビング</t>
  </si>
  <si>
    <t>オークション &gt; ホビー、カルチャー &gt; ミリタリー &gt; フィギュア</t>
  </si>
  <si>
    <t>0,24698,25152,25294</t>
  </si>
  <si>
    <t>0,24242,20428,25890</t>
  </si>
  <si>
    <t>スケートボード</t>
  </si>
  <si>
    <t>オークション &gt; スポーツ、レジャー &gt; スポーツ別 &gt; スケートボード</t>
  </si>
  <si>
    <t>0,24698,25152,25318</t>
  </si>
  <si>
    <t>オークション &gt; ホビー、カルチャー &gt; ミリタリー &gt; DVD</t>
  </si>
  <si>
    <t>0,24242,20428,2084047143</t>
  </si>
  <si>
    <t>スノーボード</t>
  </si>
  <si>
    <t>オークション &gt; スポーツ、レジャー &gt; スポーツ別 &gt; スノーボード</t>
  </si>
  <si>
    <t>0,24698,25152,25118</t>
  </si>
  <si>
    <t>オークション &gt; ホビー、カルチャー &gt; ミリタリー &gt; ビデオ</t>
  </si>
  <si>
    <t>0,24242,20428,2084047018</t>
  </si>
  <si>
    <t>スノーモービル</t>
  </si>
  <si>
    <t>オークション &gt; スポーツ、レジャー &gt; スポーツ別 &gt; スノーモービル</t>
  </si>
  <si>
    <t>鍔</t>
  </si>
  <si>
    <t>0,24698,25152,25238</t>
  </si>
  <si>
    <t>オークション &gt; ホビー、カルチャー &gt; ミリタリー &gt; 鍔</t>
  </si>
  <si>
    <t>0,24242,20428,2084057815</t>
  </si>
  <si>
    <t>ソフトボール</t>
  </si>
  <si>
    <t>オークション &gt; スポーツ、レジャー &gt; スポーツ別 &gt; ソフトボール</t>
  </si>
  <si>
    <t>0,24698,25152,25352</t>
  </si>
  <si>
    <t>楽器、器材</t>
  </si>
  <si>
    <t>オークション &gt; ホビー、カルチャー &gt; 楽器、器材</t>
  </si>
  <si>
    <t>オークション &gt; ホビー、カルチャー &gt; ミリタリー &gt; その他</t>
  </si>
  <si>
    <t>0,24242,22436</t>
  </si>
  <si>
    <t>0,24242,20428,20448</t>
  </si>
  <si>
    <t>オークション &gt; スポーツ、レジャー &gt; スポーツ別 &gt; 自転車、サイクリング</t>
  </si>
  <si>
    <t>0,24698,25152,26222</t>
  </si>
  <si>
    <t>柔道</t>
  </si>
  <si>
    <t>オークション &gt; スポーツ、レジャー &gt; スポーツ別 &gt; 柔道</t>
  </si>
  <si>
    <t>オークション &gt; ホビー、カルチャー &gt; 美術品</t>
  </si>
  <si>
    <t>0,24698,25152,2084005448</t>
  </si>
  <si>
    <t>0,24242,20056</t>
  </si>
  <si>
    <t>障害者スポーツ</t>
  </si>
  <si>
    <t>オークション &gt; スポーツ、レジャー &gt; スポーツ別 &gt; 障害者スポーツ</t>
  </si>
  <si>
    <t>0,24698,25152,2084047835</t>
  </si>
  <si>
    <t>乗馬、馬術</t>
  </si>
  <si>
    <t>オークション &gt; スポーツ、レジャー &gt; スポーツ別 &gt; 乗馬、馬術</t>
  </si>
  <si>
    <t>0,24698,25152,25230</t>
  </si>
  <si>
    <t>オークション &gt; ホビー、カルチャー &gt; アート用品</t>
  </si>
  <si>
    <t>0,24242,20124</t>
  </si>
  <si>
    <t>新体操</t>
  </si>
  <si>
    <t>オークション &gt; スポーツ、レジャー &gt; スポーツ別 &gt; 新体操</t>
  </si>
  <si>
    <t>0,24698,25152,2084259893</t>
  </si>
  <si>
    <t>オークション &gt; ホビー、カルチャー &gt; ハンドクラフト、手工芸</t>
  </si>
  <si>
    <t>0,24242,20924</t>
  </si>
  <si>
    <t>水泳</t>
  </si>
  <si>
    <t>オークション &gt; スポーツ、レジャー &gt; スポーツ別 &gt; 水泳</t>
  </si>
  <si>
    <t>0,24698,25152,2084051833</t>
  </si>
  <si>
    <t>オークション &gt; ホビー、カルチャー &gt; ミリタリー</t>
  </si>
  <si>
    <t>水上スキー</t>
  </si>
  <si>
    <t>0,24242,20428</t>
  </si>
  <si>
    <t>オークション &gt; スポーツ、レジャー &gt; スポーツ別 &gt; 水上スキー</t>
  </si>
  <si>
    <t>0,24698,25152,25246</t>
  </si>
  <si>
    <t>相撲</t>
  </si>
  <si>
    <t>オークション &gt; スポーツ、レジャー &gt; スポーツ別 &gt; 相撲</t>
  </si>
  <si>
    <t>オークション &gt; ホビー、カルチャー &gt; フィギュア</t>
  </si>
  <si>
    <t>0,24242,25888</t>
  </si>
  <si>
    <t>0,24698,25152,2084231476</t>
  </si>
  <si>
    <t>ダーツ</t>
  </si>
  <si>
    <t>オークション &gt; スポーツ、レジャー &gt; スポーツ別 &gt; ダーツ</t>
  </si>
  <si>
    <t>トイラジコン</t>
  </si>
  <si>
    <t>0,24698,25152,25856</t>
  </si>
  <si>
    <t>オークション &gt; ホビー、カルチャー &gt; トイラジコン</t>
  </si>
  <si>
    <t>0,24242,2084251269</t>
  </si>
  <si>
    <t>ダンス、バレエ</t>
  </si>
  <si>
    <t>オークション &gt; スポーツ、レジャー &gt; スポーツ別 &gt; ダンス、バレエ</t>
  </si>
  <si>
    <t>0,24698,25152,2084047566</t>
  </si>
  <si>
    <t>テニス</t>
  </si>
  <si>
    <t>オークション &gt; スポーツ、レジャー &gt; スポーツ別 &gt; テニス</t>
  </si>
  <si>
    <t>オークション &gt; ホビー、カルチャー &gt; プラモデル</t>
  </si>
  <si>
    <t>0,24698,25152,2084032399</t>
  </si>
  <si>
    <t>0,24242,2084250263</t>
  </si>
  <si>
    <t>トライアスロン</t>
  </si>
  <si>
    <t>オークション &gt; スポーツ、レジャー &gt; スポーツ別 &gt; トライアスロン</t>
  </si>
  <si>
    <t>0,24698,25152,2084299350</t>
  </si>
  <si>
    <t>ホビーラジコン</t>
  </si>
  <si>
    <t>オークション &gt; ホビー、カルチャー &gt; ホビーラジコン</t>
  </si>
  <si>
    <t>0,24242,2084251212</t>
  </si>
  <si>
    <t>卓球</t>
  </si>
  <si>
    <t>オークション &gt; スポーツ、レジャー &gt; スポーツ別 &gt; 卓球</t>
  </si>
  <si>
    <t>0,24698,25152,25202</t>
  </si>
  <si>
    <t>登山</t>
  </si>
  <si>
    <t>ミニカー</t>
  </si>
  <si>
    <t>オークション &gt; スポーツ、レジャー &gt; スポーツ別 &gt; 登山</t>
  </si>
  <si>
    <t>0,24698,25152,24930</t>
  </si>
  <si>
    <t>オークション &gt; ホビー、カルチャー &gt; ミニカー</t>
  </si>
  <si>
    <t>0,24242,2084260113</t>
  </si>
  <si>
    <t>オークション &gt; おもちゃ、ゲーム &gt; テレビゲーム</t>
  </si>
  <si>
    <t>ハンドボール</t>
  </si>
  <si>
    <t>鉄道模型</t>
  </si>
  <si>
    <t>オークション &gt; スポーツ、レジャー &gt; スポーツ別 &gt; ハンドボール</t>
  </si>
  <si>
    <t>オークション &gt; ホビー、カルチャー &gt; 鉄道模型</t>
  </si>
  <si>
    <t>0,24698,25152,2084048556</t>
  </si>
  <si>
    <t>0,24242,2084259579</t>
  </si>
  <si>
    <t>模型製作用品</t>
  </si>
  <si>
    <t>オークション &gt; スポーツ、レジャー &gt; スポーツ別 &gt; バスケットボール</t>
  </si>
  <si>
    <t>オークション &gt; ホビー、カルチャー &gt; 模型製作用品</t>
  </si>
  <si>
    <t>0,24698,25152,25338</t>
  </si>
  <si>
    <t>0,24242,2084063789</t>
  </si>
  <si>
    <t>バドミントン</t>
  </si>
  <si>
    <t>オークション &gt; おもちゃ、ゲーム &gt; トレーディングカードゲーム</t>
  </si>
  <si>
    <t>オークション &gt; スポーツ、レジャー &gt; スポーツ別 &gt; バドミントン</t>
  </si>
  <si>
    <t>0,24698,25152,2084005449</t>
  </si>
  <si>
    <t>オークション &gt; ホビー、カルチャー &gt; 鉄道</t>
  </si>
  <si>
    <t>0,24242,27753</t>
  </si>
  <si>
    <t>バレーボール</t>
  </si>
  <si>
    <t>オークション &gt; スポーツ、レジャー &gt; スポーツ別 &gt; バレーボール</t>
  </si>
  <si>
    <t>0,24698,25152,25342</t>
  </si>
  <si>
    <t>オークション &gt; ホビー、カルチャー &gt; 航空機</t>
  </si>
  <si>
    <t>0,24242,26186</t>
  </si>
  <si>
    <t>パラグライダー</t>
  </si>
  <si>
    <t>オークション &gt; スポーツ、レジャー &gt; スポーツ別 &gt; パラグライダー</t>
  </si>
  <si>
    <t>0,24698,25152,2084032408</t>
  </si>
  <si>
    <t>オークション &gt; おもちゃ、ゲーム &gt; フィギュア</t>
  </si>
  <si>
    <t>アマチュア無線</t>
  </si>
  <si>
    <t>オークション &gt; ホビー、カルチャー &gt; アマチュア無線</t>
  </si>
  <si>
    <t>ビリヤード</t>
  </si>
  <si>
    <t>0,24242,23761</t>
  </si>
  <si>
    <t>オークション &gt; スポーツ、レジャー &gt; スポーツ別 &gt; ビリヤード</t>
  </si>
  <si>
    <t>0,24698,25152,25204</t>
  </si>
  <si>
    <t>フィールドホッケー</t>
  </si>
  <si>
    <t>オークション &gt; ホビー、カルチャー &gt; パチンコ、パチスロ</t>
  </si>
  <si>
    <t>0,24242,2084046936</t>
  </si>
  <si>
    <t>オークション &gt; スポーツ、レジャー &gt; スポーツ別 &gt; フィールドホッケー</t>
  </si>
  <si>
    <t>オークション &gt; おもちゃ、ゲーム &gt; プラモデル</t>
  </si>
  <si>
    <t>0,24698,25152,25340</t>
  </si>
  <si>
    <t>バードウォッチング</t>
  </si>
  <si>
    <t>オークション &gt; ホビー、カルチャー &gt; バードウォッチング</t>
  </si>
  <si>
    <t>フットサル</t>
  </si>
  <si>
    <t>0,24242,24318</t>
  </si>
  <si>
    <t>オークション &gt; スポーツ、レジャー &gt; スポーツ別 &gt; フットサル</t>
  </si>
  <si>
    <t>0,24698,25152,2084244286</t>
  </si>
  <si>
    <t>オークション &gt; おもちゃ、ゲーム &gt; トイラジコン</t>
  </si>
  <si>
    <t>ボウリング</t>
  </si>
  <si>
    <t>オークション &gt; スポーツ、レジャー &gt; スポーツ別 &gt; ボウリング</t>
  </si>
  <si>
    <t>楽器レンタル</t>
  </si>
  <si>
    <t>0,24698,25152,25226</t>
  </si>
  <si>
    <t>オークション &gt; ホビー、カルチャー &gt; 楽器レンタル</t>
  </si>
  <si>
    <t>0,24242,2084307790</t>
  </si>
  <si>
    <t>ボクシング</t>
  </si>
  <si>
    <t>オークション &gt; スポーツ、レジャー &gt; スポーツ別 &gt; ボクシング</t>
  </si>
  <si>
    <t>0,24698,25152,2084005450</t>
  </si>
  <si>
    <t>オークション &gt; おもちゃ、ゲーム &gt; ホビーラジコン</t>
  </si>
  <si>
    <t>ボディーボード</t>
  </si>
  <si>
    <t>オークション &gt; スポーツ、レジャー &gt; スポーツ別 &gt; ボディーボード</t>
  </si>
  <si>
    <t>0,24698,25152,2084032281</t>
  </si>
  <si>
    <t>ヨガ、ピラティス</t>
  </si>
  <si>
    <t>オークション &gt; スポーツ、レジャー &gt; スポーツ別 &gt; ヨガ、ピラティス</t>
  </si>
  <si>
    <t>0,24698,25152,2084196833</t>
  </si>
  <si>
    <t>オークション &gt; おもちゃ、ゲーム &gt; ミニカー</t>
  </si>
  <si>
    <t>オークション &gt; ホビー、カルチャー &gt; その他</t>
  </si>
  <si>
    <t>0,24242,26075</t>
  </si>
  <si>
    <t>オークション &gt; スポーツ、レジャー &gt; スポーツ別 &gt; 野球</t>
  </si>
  <si>
    <t>0,24698,25152,25336</t>
  </si>
  <si>
    <t>ラクロス</t>
  </si>
  <si>
    <t>オークション &gt; スポーツ、レジャー &gt; スポーツ別 &gt; ラクロス</t>
  </si>
  <si>
    <t>スロットカー</t>
  </si>
  <si>
    <t>0,24698,25152,25348</t>
  </si>
  <si>
    <t>オークション &gt; おもちゃ、ゲーム &gt; スロットカー</t>
  </si>
  <si>
    <t>ラグビー</t>
  </si>
  <si>
    <t>オークション &gt; スポーツ、レジャー &gt; スポーツ別 &gt; ラグビー</t>
  </si>
  <si>
    <t>0,24698,25152,25354</t>
  </si>
  <si>
    <t>ギター</t>
  </si>
  <si>
    <t>ランニング、ジョギング</t>
  </si>
  <si>
    <t>オークション &gt; おもちゃ、ゲーム &gt; 鉄道模型</t>
  </si>
  <si>
    <t>オークション &gt; ホビー、カルチャー &gt; 楽器、器材 &gt; ギター</t>
  </si>
  <si>
    <t>オークション &gt; スポーツ、レジャー &gt; スポーツ別 &gt; ランニング、ジョギング</t>
  </si>
  <si>
    <t>0,24242,22436,22476</t>
  </si>
  <si>
    <t>0,24698,25152,2084285322</t>
  </si>
  <si>
    <t>ロッククライミング</t>
  </si>
  <si>
    <t>オークション &gt; スポーツ、レジャー &gt; スポーツ別 &gt; ロッククライミング</t>
  </si>
  <si>
    <t>ベース</t>
  </si>
  <si>
    <t>0,24698,25152,25254</t>
  </si>
  <si>
    <t>オークション &gt; ホビー、カルチャー &gt; 楽器、器材 &gt; ベース</t>
  </si>
  <si>
    <t>0,24242,22436,22480</t>
  </si>
  <si>
    <t>陸上競技</t>
  </si>
  <si>
    <t>オークション &gt; スポーツ、レジャー &gt; スポーツ別 &gt; 陸上競技</t>
  </si>
  <si>
    <t>0,24698,25152,25356</t>
  </si>
  <si>
    <t>弦楽器</t>
  </si>
  <si>
    <t>オークション &gt; ホビー、カルチャー &gt; 楽器、器材 &gt; 弦楽器</t>
  </si>
  <si>
    <t>プラレール</t>
  </si>
  <si>
    <t>0,24242,22436,22572</t>
  </si>
  <si>
    <t>オークション &gt; おもちゃ、ゲーム &gt; プラレール</t>
  </si>
  <si>
    <t>オークション &gt; スポーツ、レジャー &gt; スポーツ別 &gt; スポーツウエア</t>
  </si>
  <si>
    <t>0,24698,25152,23008</t>
  </si>
  <si>
    <t>管楽器</t>
  </si>
  <si>
    <t>記念品、関連グッズ</t>
  </si>
  <si>
    <t>オークション &gt; ホビー、カルチャー &gt; 楽器、器材 &gt; 管楽器</t>
  </si>
  <si>
    <t>オークション &gt; スポーツ、レジャー &gt; スポーツ別 &gt; 記念品、関連グッズ</t>
  </si>
  <si>
    <t>0,24242,22436,22440</t>
  </si>
  <si>
    <t>0,24698,25152,25370</t>
  </si>
  <si>
    <t>鍵盤楽器</t>
  </si>
  <si>
    <t>オークション &gt; スポーツ、レジャー &gt; スポーツ別 &gt; その他</t>
  </si>
  <si>
    <t>オークション &gt; おもちゃ、ゲーム &gt; トイガン</t>
  </si>
  <si>
    <t>オークション &gt; ホビー、カルチャー &gt; 楽器、器材 &gt; 鍵盤楽器</t>
  </si>
  <si>
    <t>0,24698,25152,25462</t>
  </si>
  <si>
    <t>0,24242,22436,22532</t>
  </si>
  <si>
    <t>打楽器</t>
  </si>
  <si>
    <t>オークション &gt; ホビー、カルチャー &gt; 楽器、器材 &gt; 打楽器</t>
  </si>
  <si>
    <t>0,24242,22436,22500</t>
  </si>
  <si>
    <t>ビンテージ</t>
  </si>
  <si>
    <t>オークション &gt; おもちゃ、ゲーム &gt; ビンテージ</t>
  </si>
  <si>
    <t>和楽器</t>
  </si>
  <si>
    <t>オークション &gt; スポーツ、レジャー &gt; キャンプ、アウトドア用品 &gt; アウトドアウエア</t>
  </si>
  <si>
    <t>オークション &gt; ホビー、カルチャー &gt; 楽器、器材 &gt; 和楽器</t>
  </si>
  <si>
    <t>0,24698,24702,24802</t>
  </si>
  <si>
    <t>0,24242,22436,2084305860</t>
  </si>
  <si>
    <t>雨具、レインウエア</t>
  </si>
  <si>
    <t>オークション &gt; スポーツ、レジャー &gt; キャンプ、アウトドア用品 &gt; 雨具、レインウエア</t>
  </si>
  <si>
    <t>0,24698,24702,2084046735</t>
  </si>
  <si>
    <t>レコーディング、PA機器</t>
  </si>
  <si>
    <t>オークション &gt; ホビー、カルチャー &gt; 楽器、器材 &gt; レコーディング、PA機器</t>
  </si>
  <si>
    <t>0,24242,22436,2084019010</t>
  </si>
  <si>
    <t>ヒーローごっこ、格闘</t>
  </si>
  <si>
    <t>靴</t>
  </si>
  <si>
    <t>オークション &gt; おもちゃ、ゲーム &gt; ヒーローごっこ、格闘</t>
  </si>
  <si>
    <t>オークション &gt; スポーツ、レジャー &gt; キャンプ、アウトドア用品 &gt; 靴</t>
  </si>
  <si>
    <t>0,24698,24702,2084048872</t>
  </si>
  <si>
    <t>DJ機器</t>
  </si>
  <si>
    <t>オークション &gt; ホビー、カルチャー &gt; 楽器、器材 &gt; DJ機器</t>
  </si>
  <si>
    <t>0,24242,22436,2084261081</t>
  </si>
  <si>
    <t>バックパック、かばん</t>
  </si>
  <si>
    <t>オークション &gt; スポーツ、レジャー &gt; キャンプ、アウトドア用品 &gt; バックパック、かばん</t>
  </si>
  <si>
    <t>0,24698,24702,24750</t>
  </si>
  <si>
    <t>テント、タープ</t>
  </si>
  <si>
    <t>オークション &gt; スポーツ、レジャー &gt; キャンプ、アウトドア用品 &gt; テント、タープ</t>
  </si>
  <si>
    <t>ヒロイン、おしゃれ遊び</t>
  </si>
  <si>
    <t>0,24698,24702,25014</t>
  </si>
  <si>
    <t>オークション &gt; おもちゃ、ゲーム &gt; ヒロイン、おしゃれ遊び</t>
  </si>
  <si>
    <t>DTM、DAW</t>
  </si>
  <si>
    <t>オークション &gt; ホビー、カルチャー &gt; 楽器、器材 &gt; DTM、DAW</t>
  </si>
  <si>
    <t>0,24242,22436,22544</t>
  </si>
  <si>
    <t>ライト、ランタン</t>
  </si>
  <si>
    <t>オークション &gt; スポーツ、レジャー &gt; キャンプ、アウトドア用品 &gt; ライト、ランタン</t>
  </si>
  <si>
    <t>0,24698,24702,24902</t>
  </si>
  <si>
    <t>寝袋、寝具</t>
  </si>
  <si>
    <t>オークション &gt; ホビー、カルチャー &gt; 楽器、器材 &gt; アンプ</t>
  </si>
  <si>
    <t>オークション &gt; スポーツ、レジャー &gt; キャンプ、アウトドア用品 &gt; 寝袋、寝具</t>
  </si>
  <si>
    <t>人形、キャラクタードール</t>
  </si>
  <si>
    <t>0,24242,22436,2084005286</t>
  </si>
  <si>
    <t>0,24698,24702,24970</t>
  </si>
  <si>
    <t>オークション &gt; おもちゃ、ゲーム &gt; 人形、キャラクタードール</t>
  </si>
  <si>
    <t>テーブル、チェア</t>
  </si>
  <si>
    <t>オークション &gt; スポーツ、レジャー &gt; キャンプ、アウトドア用品 &gt; テーブル、チェア</t>
  </si>
  <si>
    <t>メトロノーム</t>
  </si>
  <si>
    <t>0,24698,24702,2084042504</t>
  </si>
  <si>
    <t>オークション &gt; ホビー、カルチャー &gt; 楽器、器材 &gt; メトロノーム</t>
  </si>
  <si>
    <t>0,24242,22436,2084210466</t>
  </si>
  <si>
    <t>ストーブ、コンロ</t>
  </si>
  <si>
    <t>オークション &gt; おもちゃ、ゲーム &gt; ぬいぐるみ</t>
  </si>
  <si>
    <t>オークション &gt; スポーツ、レジャー &gt; キャンプ、アウトドア用品 &gt; ストーブ、コンロ</t>
  </si>
  <si>
    <t>0,24698,24702,2084042511</t>
  </si>
  <si>
    <t>譜面台</t>
  </si>
  <si>
    <t>オークション &gt; ホビー、カルチャー &gt; 楽器、器材 &gt; 譜面台</t>
  </si>
  <si>
    <t>0,24242,22436,2084210467</t>
  </si>
  <si>
    <t>オークション &gt; スポーツ、レジャー &gt; キャンプ、アウトドア用品 &gt; 調理器具</t>
  </si>
  <si>
    <t>0,24698,24702,24822</t>
  </si>
  <si>
    <t>防音用品</t>
  </si>
  <si>
    <t>ままごと</t>
  </si>
  <si>
    <t>オークション &gt; ホビー、カルチャー &gt; 楽器、器材 &gt; 防音用品</t>
  </si>
  <si>
    <t>オークション &gt; おもちゃ、ゲーム &gt; ままごと</t>
  </si>
  <si>
    <t>0,24242,22436,2084285349</t>
  </si>
  <si>
    <t>燃料</t>
  </si>
  <si>
    <t>オークション &gt; スポーツ、レジャー &gt; キャンプ、アウトドア用品 &gt; 燃料</t>
  </si>
  <si>
    <t>0,24698,24702,2084046750</t>
  </si>
  <si>
    <t>楽器玩具</t>
  </si>
  <si>
    <t>燃料タンク、携行缶</t>
  </si>
  <si>
    <t>オークション &gt; ホビー、カルチャー &gt; 楽器、器材 &gt; 楽器玩具</t>
  </si>
  <si>
    <t>オークション &gt; スポーツ、レジャー &gt; キャンプ、アウトドア用品 &gt; 燃料タンク、携行缶</t>
  </si>
  <si>
    <t>0,24242,22436,2084024191</t>
  </si>
  <si>
    <t>0,24698,24702,2084209093</t>
  </si>
  <si>
    <t>クーラー、保冷器具</t>
  </si>
  <si>
    <t>キャラクター玩具</t>
  </si>
  <si>
    <t>オークション &gt; スポーツ、レジャー &gt; キャンプ、アウトドア用品 &gt; クーラー、保冷器具</t>
  </si>
  <si>
    <t>楽譜</t>
  </si>
  <si>
    <t>オークション &gt; おもちゃ、ゲーム &gt; キャラクター玩具</t>
  </si>
  <si>
    <t>0,24698,24702,2084044977</t>
  </si>
  <si>
    <t>オークション &gt; ホビー、カルチャー &gt; 楽器、器材 &gt; 楽譜</t>
  </si>
  <si>
    <t>0,24242,22436,2084009086</t>
  </si>
  <si>
    <t>オークション &gt; スポーツ、レジャー &gt; キャンプ、アウトドア用品 &gt; 食器</t>
  </si>
  <si>
    <t>0,24698,24702,2084042502</t>
  </si>
  <si>
    <t>食玩、おまけ</t>
  </si>
  <si>
    <t>レコーディング、音楽制作</t>
  </si>
  <si>
    <t>レジャーシート</t>
  </si>
  <si>
    <t>オークション &gt; スポーツ、レジャー &gt; キャンプ、アウトドア用品 &gt; レジャーシート</t>
  </si>
  <si>
    <t>オークション &gt; おもちゃ、ゲーム &gt; 食玩、おまけ</t>
  </si>
  <si>
    <t>オークション &gt; ホビー、カルチャー &gt; 楽器、器材 &gt; レコーディング、音楽制作</t>
  </si>
  <si>
    <t>0,24698,24702,2084042422</t>
  </si>
  <si>
    <t>0,24242,22436,2084307734</t>
  </si>
  <si>
    <t>登山用品</t>
  </si>
  <si>
    <t>オークション &gt; スポーツ、レジャー &gt; キャンプ、アウトドア用品 &gt; 登山用品</t>
  </si>
  <si>
    <t>0,24698,24702,24930</t>
  </si>
  <si>
    <t>オークション &gt; ホビー、カルチャー &gt; 楽器、器材 &gt; 楽器リペア、改造</t>
  </si>
  <si>
    <t>水筒、ボトル</t>
  </si>
  <si>
    <t>パズル</t>
  </si>
  <si>
    <t>0,24242,22436,2084307822</t>
  </si>
  <si>
    <t>オークション &gt; スポーツ、レジャー &gt; キャンプ、アウトドア用品 &gt; 水筒、ボトル</t>
  </si>
  <si>
    <t>0,24698,24702,2084044978</t>
  </si>
  <si>
    <t>オークション &gt; おもちゃ、ゲーム &gt; パズル</t>
  </si>
  <si>
    <t>トレッキングステッキ</t>
  </si>
  <si>
    <t>楽器レッスン</t>
  </si>
  <si>
    <t>オークション &gt; スポーツ、レジャー &gt; キャンプ、アウトドア用品 &gt; トレッキングステッキ</t>
  </si>
  <si>
    <t>0,24698,24702,2084063019</t>
  </si>
  <si>
    <t>オークション &gt; ホビー、カルチャー &gt; 楽器、器材 &gt; 楽器レッスン</t>
  </si>
  <si>
    <t>0,24242,22436,2084307743</t>
  </si>
  <si>
    <t>ナビゲーション</t>
  </si>
  <si>
    <t>オークション &gt; スポーツ、レジャー &gt; キャンプ、アウトドア用品 &gt; ナビゲーション</t>
  </si>
  <si>
    <t>0,24698,24702,24950</t>
  </si>
  <si>
    <t>オークション &gt; ホビー、カルチャー &gt; 楽器、器材 &gt; 楽器レンタル</t>
  </si>
  <si>
    <t>発電機</t>
  </si>
  <si>
    <t>ゲーム</t>
  </si>
  <si>
    <t>0,24242,22436,2084307790</t>
  </si>
  <si>
    <t>オークション &gt; スポーツ、レジャー &gt; キャンプ、アウトドア用品 &gt; 発電機</t>
  </si>
  <si>
    <t>オークション &gt; おもちゃ、ゲーム &gt; ゲーム</t>
  </si>
  <si>
    <t>0,24698,24702,2084049596</t>
  </si>
  <si>
    <t>ナイフ</t>
  </si>
  <si>
    <t>オークション &gt; スポーツ、レジャー &gt; キャンプ、アウトドア用品 &gt; ナイフ</t>
  </si>
  <si>
    <t>0,24698,24702,24874</t>
  </si>
  <si>
    <t>カヌー、カヤック</t>
  </si>
  <si>
    <t>オークション &gt; ホビー、カルチャー &gt; 楽器、器材 &gt; その他</t>
  </si>
  <si>
    <t>オークション &gt; スポーツ、レジャー &gt; キャンプ、アウトドア用品 &gt; カヌー、カヤック</t>
  </si>
  <si>
    <t>0,24698,24702,2084002306</t>
  </si>
  <si>
    <t>0,24242,22436,22656</t>
  </si>
  <si>
    <t>ゴムボート</t>
  </si>
  <si>
    <t>オークション &gt; スポーツ、レジャー &gt; キャンプ、アウトドア用品 &gt; ゴムボート</t>
  </si>
  <si>
    <t>0,24698,24702,2084213349</t>
  </si>
  <si>
    <t>サンシェード</t>
  </si>
  <si>
    <t>オークション &gt; スポーツ、レジャー &gt; キャンプ、アウトドア用品 &gt; サンシェード</t>
  </si>
  <si>
    <t>手品、パーティグッズ</t>
  </si>
  <si>
    <t>0,24698,24702,2084208695</t>
  </si>
  <si>
    <t>オークション &gt; おもちゃ、ゲーム &gt; 手品、パーティグッズ</t>
  </si>
  <si>
    <t>救急用品</t>
  </si>
  <si>
    <t>オークション &gt; スポーツ、レジャー &gt; キャンプ、アウトドア用品 &gt; 救急用品</t>
  </si>
  <si>
    <t>0,24698,24702,24854</t>
  </si>
  <si>
    <t>虫よけ用品</t>
  </si>
  <si>
    <t>オークション &gt; スポーツ、レジャー &gt; キャンプ、アウトドア用品 &gt; 虫よけ用品</t>
  </si>
  <si>
    <t>ブロック、積木</t>
  </si>
  <si>
    <t>0,24698,24702,2084062800</t>
  </si>
  <si>
    <t>オークション &gt; おもちゃ、ゲーム &gt; ブロック、積木</t>
  </si>
  <si>
    <t>パラソル</t>
  </si>
  <si>
    <t>オークション &gt; スポーツ、レジャー &gt; キャンプ、アウトドア用品 &gt; パラソル</t>
  </si>
  <si>
    <t>0,24698,24702,2084208878</t>
  </si>
  <si>
    <t>スコップ</t>
  </si>
  <si>
    <t>オークション &gt; スポーツ、レジャー &gt; キャンプ、アウトドア用品 &gt; スコップ</t>
  </si>
  <si>
    <t>0,24698,24702,2084209094</t>
  </si>
  <si>
    <t>オークション &gt; スポーツ、レジャー &gt; キャンプ、アウトドア用品 &gt; ステッカー</t>
  </si>
  <si>
    <t>こま</t>
  </si>
  <si>
    <t>0,24698,24702,2084208876</t>
  </si>
  <si>
    <t>オークション &gt; おもちゃ、ゲーム &gt; こま</t>
  </si>
  <si>
    <t>双眼鏡</t>
  </si>
  <si>
    <t>オークション &gt; スポーツ、レジャー &gt; キャンプ、アウトドア用品 &gt; 双眼鏡</t>
  </si>
  <si>
    <t>0,24698,24702,2084045042</t>
  </si>
  <si>
    <t>オークション &gt; スポーツ、レジャー &gt; キャンプ、アウトドア用品 &gt; キャンピングカー</t>
  </si>
  <si>
    <t>0,24698,24702,2084049594</t>
  </si>
  <si>
    <t>オークション &gt; スポーツ、レジャー &gt; キャンプ、アウトドア用品 &gt; 本、雑誌</t>
  </si>
  <si>
    <t>0,24698,24702,2084008869</t>
  </si>
  <si>
    <t>オークション &gt; おもちゃ、ゲーム &gt; ベビー用</t>
  </si>
  <si>
    <t>キャンプ、アウトドア用品レンタル</t>
  </si>
  <si>
    <t>オークション &gt; スポーツ、レジャー &gt; キャンプ、アウトドア用品 &gt; キャンプ、アウトドア用品レンタル</t>
  </si>
  <si>
    <t>0,24698,24702,2084307765</t>
  </si>
  <si>
    <t>オークション &gt; スポーツ、レジャー &gt; キャンプ、アウトドア用品 &gt; その他</t>
  </si>
  <si>
    <t>0,24698,24702,2084005102</t>
  </si>
  <si>
    <t>オークション &gt; おもちゃ、ゲーム &gt; 楽器玩具</t>
  </si>
  <si>
    <t>オークション &gt; スポーツ、レジャー &gt; 自転車、サイクリング &gt; 車体</t>
  </si>
  <si>
    <t>0,24698,26222,26246</t>
  </si>
  <si>
    <t>オークション &gt; スポーツ、レジャー &gt; 自転車、サイクリング &gt; パーツ</t>
  </si>
  <si>
    <t>0,24698,26222,26260</t>
  </si>
  <si>
    <t>ウエア</t>
  </si>
  <si>
    <t>オークション &gt; スポーツ、レジャー &gt; 自転車、サイクリング &gt; ウエア</t>
  </si>
  <si>
    <t>0,24698,26222,2084032380</t>
  </si>
  <si>
    <t>バッグ</t>
  </si>
  <si>
    <t>オークション &gt; スポーツ、レジャー &gt; 自転車、サイクリング &gt; バッグ</t>
  </si>
  <si>
    <t>0,24698,26222,2084227170</t>
  </si>
  <si>
    <t>オークション &gt; スポーツ、レジャー &gt; 自転車、サイクリング &gt; アクセサリー</t>
  </si>
  <si>
    <t>0,24698,26222,26224</t>
  </si>
  <si>
    <t>オークション &gt; おもちゃ、ゲーム &gt; 乗用玩具</t>
  </si>
  <si>
    <t>工具、メンテナンス</t>
  </si>
  <si>
    <t>オークション &gt; スポーツ、レジャー &gt; 自転車、サイクリング &gt; 工具、メンテナンス</t>
  </si>
  <si>
    <t>0,24698,26222,2084235676</t>
  </si>
  <si>
    <t>オークション &gt; スポーツ、レジャー &gt; 自転車、サイクリング &gt; スポーツ心拍計</t>
  </si>
  <si>
    <t>0,24698,26222,2084263701</t>
  </si>
  <si>
    <t>トレーニング機器</t>
  </si>
  <si>
    <t>オークション &gt; スポーツ、レジャー &gt; 自転車、サイクリング &gt; トレーニング機器</t>
  </si>
  <si>
    <t>0,24698,26222,2084048299</t>
  </si>
  <si>
    <t>ハンディGPS</t>
  </si>
  <si>
    <t>オークション &gt; スポーツ、レジャー &gt; 自転車、サイクリング &gt; ハンディGPS</t>
  </si>
  <si>
    <t>0,24698,26222,2084259454</t>
  </si>
  <si>
    <t>オークション &gt; おもちゃ、ゲーム &gt; 知育玩具</t>
  </si>
  <si>
    <t>オークション &gt; スポーツ、レジャー &gt; 自転車、サイクリング &gt; DVD</t>
  </si>
  <si>
    <t>0,24698,26222,2084256904</t>
  </si>
  <si>
    <t>競輪グッズ</t>
  </si>
  <si>
    <t>オークション &gt; スポーツ、レジャー &gt; 自転車、サイクリング &gt; 競輪グッズ</t>
  </si>
  <si>
    <t>0,24698,26222,2084048304</t>
  </si>
  <si>
    <t>オークション &gt; スポーツ、レジャー &gt; 自転車、サイクリング &gt; 本</t>
  </si>
  <si>
    <t>0,24698,26222,2084047997</t>
  </si>
  <si>
    <t>自転車レンタル</t>
  </si>
  <si>
    <t>オークション &gt; スポーツ、レジャー &gt; 自転車、サイクリング &gt; 自転車レンタル</t>
  </si>
  <si>
    <t>0,24698,26222,2084307766</t>
  </si>
  <si>
    <t>オークション &gt; スポーツ、レジャー &gt; 自転車、サイクリング &gt; その他</t>
  </si>
  <si>
    <t>0,24698,26222,2084047573</t>
  </si>
  <si>
    <t>電子玩具</t>
  </si>
  <si>
    <t>オークション &gt; おもちゃ、ゲーム &gt; 電子玩具</t>
  </si>
  <si>
    <t>画材</t>
  </si>
  <si>
    <t>オークション &gt; ホビー、カルチャー &gt; アート用品 &gt; 画材</t>
  </si>
  <si>
    <t>0,24242,20124,2084006188</t>
  </si>
  <si>
    <t>ロッド</t>
  </si>
  <si>
    <t>オークション &gt; スポーツ、レジャー &gt; フィッシング &gt; ロッド</t>
  </si>
  <si>
    <t>0,24698,25180,2084005512</t>
  </si>
  <si>
    <t>リール</t>
  </si>
  <si>
    <t>オークション &gt; スポーツ、レジャー &gt; フィッシング &gt; リール</t>
  </si>
  <si>
    <t>0,24698,25180,25182</t>
  </si>
  <si>
    <t>オークション &gt; ホビー、カルチャー &gt; アート用品 &gt; 額縁</t>
  </si>
  <si>
    <t>0,24242,20124,2084006189</t>
  </si>
  <si>
    <t>ルアー用品</t>
  </si>
  <si>
    <t>遊具</t>
  </si>
  <si>
    <t>オークション &gt; おもちゃ、ゲーム &gt; 遊具</t>
  </si>
  <si>
    <t>オークション &gt; スポーツ、レジャー &gt; フィッシング &gt; ルアー用品</t>
  </si>
  <si>
    <t>0,24698,25180,25192</t>
  </si>
  <si>
    <t>オークション &gt; スポーツ、レジャー &gt; フィッシング &gt; ウエア</t>
  </si>
  <si>
    <t>0,24698,25180,2084046953</t>
  </si>
  <si>
    <t>オークション &gt; ホビー、カルチャー &gt; アート用品 &gt; 美術品</t>
  </si>
  <si>
    <t>タックルボックス</t>
  </si>
  <si>
    <t>0,24242,20124,20056</t>
  </si>
  <si>
    <t>オークション &gt; スポーツ、レジャー &gt; フィッシング &gt; タックルボックス</t>
  </si>
  <si>
    <t>0,24698,25180,25188</t>
  </si>
  <si>
    <t>ぜんまい仕掛け</t>
  </si>
  <si>
    <t>オークション &gt; おもちゃ、ゲーム &gt; ぜんまい仕掛け</t>
  </si>
  <si>
    <t>釣り糸、ライン</t>
  </si>
  <si>
    <t>オークション &gt; スポーツ、レジャー &gt; フィッシング &gt; 釣り糸、ライン</t>
  </si>
  <si>
    <t>0,24698,25180,2084048285</t>
  </si>
  <si>
    <t>釣り針</t>
  </si>
  <si>
    <t>オークション &gt; スポーツ、レジャー &gt; フィッシング &gt; 釣り針</t>
  </si>
  <si>
    <t>0,24698,25180,2084203064</t>
  </si>
  <si>
    <t>オークション &gt; ホビー、カルチャー &gt; アート用品 &gt; その他</t>
  </si>
  <si>
    <t>0,24242,20124,2084006190</t>
  </si>
  <si>
    <t>ウキ</t>
  </si>
  <si>
    <t>オークション &gt; スポーツ、レジャー &gt; フィッシング &gt; ウキ</t>
  </si>
  <si>
    <t>オークション &gt; おもちゃ、ゲーム &gt; SF</t>
  </si>
  <si>
    <t>0,24698,25180,2084047891</t>
  </si>
  <si>
    <t>エサ</t>
  </si>
  <si>
    <t>オークション &gt; スポーツ、レジャー &gt; フィッシング &gt; エサ</t>
  </si>
  <si>
    <t>0,24698,25180,2084302928</t>
  </si>
  <si>
    <t>フライ用品</t>
  </si>
  <si>
    <t>オークション &gt; おもちゃ、ゲーム &gt; ファーストフードトイ</t>
  </si>
  <si>
    <t>オークション &gt; スポーツ、レジャー &gt; フィッシング &gt; フライ用品</t>
  </si>
  <si>
    <t>0,24698,25180,25184</t>
  </si>
  <si>
    <t>アユ用品</t>
  </si>
  <si>
    <t>オークション &gt; スポーツ、レジャー &gt; フィッシング &gt; アユ用品</t>
  </si>
  <si>
    <t>0,24698,25180,2084047892</t>
  </si>
  <si>
    <t>裁縫、刺繍</t>
  </si>
  <si>
    <t>オークション &gt; ホビー、カルチャー &gt; ハンドクラフト、手工芸 &gt; 裁縫、刺繍</t>
  </si>
  <si>
    <t>0,24242,20924,24414</t>
  </si>
  <si>
    <t>オークション &gt; スポーツ、レジャー &gt; フィッシング &gt; アクセサリー</t>
  </si>
  <si>
    <t>オークション &gt; おもちゃ、ゲーム &gt; 水遊び</t>
  </si>
  <si>
    <t>0,24698,25180,25194</t>
  </si>
  <si>
    <t>竿受け</t>
  </si>
  <si>
    <t>オークション &gt; スポーツ、レジャー &gt; フィッシング &gt; 竿受け</t>
  </si>
  <si>
    <t>0,24698,25180,2084259313</t>
  </si>
  <si>
    <t>花火</t>
  </si>
  <si>
    <t>オークション &gt; おもちゃ、ゲーム &gt; 花火</t>
  </si>
  <si>
    <t>オークション &gt; スポーツ、レジャー &gt; フィッシング &gt; 船、ボート</t>
  </si>
  <si>
    <t>オークション &gt; ホビー、カルチャー &gt; ハンドクラフト、手工芸 &gt; ミシン</t>
  </si>
  <si>
    <t>0,24698,25180,26214</t>
  </si>
  <si>
    <t>0,24242,20924,2084008354</t>
  </si>
  <si>
    <t>おもちゃレンタル</t>
  </si>
  <si>
    <t>魚群探知機</t>
  </si>
  <si>
    <t>オークション &gt; おもちゃ、ゲーム &gt; おもちゃレンタル</t>
  </si>
  <si>
    <t>オークション &gt; スポーツ、レジャー &gt; フィッシング &gt; 魚群探知機</t>
  </si>
  <si>
    <t>0,24698,25180,2084045133</t>
  </si>
  <si>
    <t>オークション &gt; スポーツ、レジャー &gt; フィッシング &gt; ビデオ</t>
  </si>
  <si>
    <t>0,24698,25180,2084046841</t>
  </si>
  <si>
    <t>ビーズ細工</t>
  </si>
  <si>
    <t>ゲームレンタル</t>
  </si>
  <si>
    <t>オークション &gt; おもちゃ、ゲーム &gt; ゲームレンタル</t>
  </si>
  <si>
    <t>オークション &gt; ホビー、カルチャー &gt; ハンドクラフト、手工芸 &gt; ビーズ細工</t>
  </si>
  <si>
    <t>0,24242,20924,2084042445</t>
  </si>
  <si>
    <t>オークション &gt; スポーツ、レジャー &gt; フィッシング &gt; 本、雑誌</t>
  </si>
  <si>
    <t>0,24698,25180,2084008870</t>
  </si>
  <si>
    <t>フローター</t>
  </si>
  <si>
    <t>編物</t>
  </si>
  <si>
    <t>オークション &gt; スポーツ、レジャー &gt; フィッシング &gt; フローター</t>
  </si>
  <si>
    <t>オークション &gt; おもちゃ、ゲーム &gt; その他</t>
  </si>
  <si>
    <t>0,24698,25180,2084047681</t>
  </si>
  <si>
    <t>オークション &gt; ホビー、カルチャー &gt; ハンドクラフト、手工芸 &gt; 編物</t>
  </si>
  <si>
    <t>0,24242,20924,2084045848</t>
  </si>
  <si>
    <t>オークション &gt; スポーツ、レジャー &gt; フィッシング &gt; その他</t>
  </si>
  <si>
    <t>0,24698,25180,25196</t>
  </si>
  <si>
    <t>粘土工芸</t>
  </si>
  <si>
    <t>オークション &gt; ホビー、カルチャー &gt; ハンドクラフト、手工芸 &gt; 粘土工芸</t>
  </si>
  <si>
    <t>0,24242,20924,2084042444</t>
  </si>
  <si>
    <t>ニンテンドースイッチ</t>
  </si>
  <si>
    <t>オークション &gt; おもちゃ、ゲーム &gt; ゲーム &gt; テレビゲーム &gt; ニンテンドースイッチ</t>
  </si>
  <si>
    <t>レザークラフト</t>
  </si>
  <si>
    <t>オークション &gt; ホビー、カルチャー &gt; ハンドクラフト、手工芸 &gt; レザークラフト</t>
  </si>
  <si>
    <t>0,24242,20924,2084063304</t>
  </si>
  <si>
    <t>ペーパークラフト</t>
  </si>
  <si>
    <t>オークション &gt; ホビー、カルチャー &gt; ハンドクラフト、手工芸 &gt; ペーパークラフト</t>
  </si>
  <si>
    <t>ニンテンドークラシックミニ</t>
  </si>
  <si>
    <t>0,24242,20924,2084063305</t>
  </si>
  <si>
    <t>オークション &gt; おもちゃ、ゲーム &gt; ゲーム &gt; テレビゲーム &gt; ニンテンドークラシックミニ</t>
  </si>
  <si>
    <t>ニンテンドー3DS</t>
  </si>
  <si>
    <t>オークション &gt; おもちゃ、ゲーム &gt; ゲーム &gt; テレビゲーム &gt; ニンテンドー3DS</t>
  </si>
  <si>
    <t>アートフラワー、押し花</t>
  </si>
  <si>
    <t>オークション &gt; ホビー、カルチャー &gt; ハンドクラフト、手工芸 &gt; アートフラワー、押し花</t>
  </si>
  <si>
    <t>0,24242,20924,2084006705</t>
  </si>
  <si>
    <t>ニンテンドーDS</t>
  </si>
  <si>
    <t>オークション &gt; おもちゃ、ゲーム &gt; ゲーム &gt; テレビゲーム &gt; ニンテンドーDS</t>
  </si>
  <si>
    <t>Wii U</t>
  </si>
  <si>
    <t>オークション &gt; おもちゃ、ゲーム &gt; ゲーム &gt; テレビゲーム &gt; Wii U</t>
  </si>
  <si>
    <t>木工、ペイント</t>
  </si>
  <si>
    <t>オークション &gt; ホビー、カルチャー &gt; ハンドクラフト、手工芸 &gt; 木工、ペイント</t>
  </si>
  <si>
    <t>0,24242,20924,2084042440</t>
  </si>
  <si>
    <t>Wii</t>
  </si>
  <si>
    <t>オークション &gt; おもちゃ、ゲーム &gt; ゲーム &gt; テレビゲーム &gt; Wii</t>
  </si>
  <si>
    <t>ガラス工芸</t>
  </si>
  <si>
    <t>オークション &gt; ホビー、カルチャー &gt; ハンドクラフト、手工芸 &gt; ガラス工芸</t>
  </si>
  <si>
    <t>0,24242,20924,2084042442</t>
  </si>
  <si>
    <t>PS Vita</t>
  </si>
  <si>
    <t>オークション &gt; おもちゃ、ゲーム &gt; ゲーム &gt; テレビゲーム &gt; PS Vita</t>
  </si>
  <si>
    <t>シルバークレイ</t>
  </si>
  <si>
    <t>PSP（プレイステーション・ポータブル）</t>
  </si>
  <si>
    <t>船体</t>
  </si>
  <si>
    <t>オークション &gt; おもちゃ、ゲーム &gt; ゲーム &gt; テレビゲーム &gt; PSP（プレイステーション・ポータブル）</t>
  </si>
  <si>
    <t>オークション &gt; ホビー、カルチャー &gt; ハンドクラフト、手工芸 &gt; シルバークレイ</t>
  </si>
  <si>
    <t>オークション &gt; スポーツ、レジャー &gt; 船、ボート &gt; 船体</t>
  </si>
  <si>
    <t>0,24242,20924,2084305345</t>
  </si>
  <si>
    <t>0,24698,26214,26220</t>
  </si>
  <si>
    <t>プレイステーション4</t>
  </si>
  <si>
    <t>オークション &gt; おもちゃ、ゲーム &gt; ゲーム &gt; テレビゲーム &gt; プレイステーション4</t>
  </si>
  <si>
    <t>金属加工、彫金</t>
  </si>
  <si>
    <t>オークション &gt; スポーツ、レジャー &gt; 船、ボート &gt; アクセサリー</t>
  </si>
  <si>
    <t>オークション &gt; ホビー、カルチャー &gt; ハンドクラフト、手工芸 &gt; 金属加工、彫金</t>
  </si>
  <si>
    <t>0,24698,26214,26216</t>
  </si>
  <si>
    <t>0,24242,20924,2084042443</t>
  </si>
  <si>
    <t>プレイステーション 3</t>
  </si>
  <si>
    <t>オークション &gt; おもちゃ、ゲーム &gt; ゲーム &gt; テレビゲーム &gt; プレイステーション 3</t>
  </si>
  <si>
    <t>アンカー、係船用具</t>
  </si>
  <si>
    <t>プレイステーション2</t>
  </si>
  <si>
    <t>オークション &gt; スポーツ、レジャー &gt; 船、ボート &gt; アンカー、係船用具</t>
  </si>
  <si>
    <t>オークション &gt; おもちゃ、ゲーム &gt; ゲーム &gt; テレビゲーム &gt; プレイステーション2</t>
  </si>
  <si>
    <t>0,24698,26214,2084047899</t>
  </si>
  <si>
    <t>オークション &gt; ホビー、カルチャー &gt; ハンドクラフト、手工芸 &gt; キャンドル</t>
  </si>
  <si>
    <t>0,24242,20924,2084305332</t>
  </si>
  <si>
    <t>Xbox One</t>
  </si>
  <si>
    <t>オークション &gt; おもちゃ、ゲーム &gt; ゲーム &gt; テレビゲーム &gt; Xbox One</t>
  </si>
  <si>
    <t>デコパーツ</t>
  </si>
  <si>
    <t>オークション &gt; スポーツ、レジャー &gt; 船、ボート &gt; ウエア</t>
  </si>
  <si>
    <t>オークション &gt; ホビー、カルチャー &gt; ハンドクラフト、手工芸 &gt; デコパーツ</t>
  </si>
  <si>
    <t>0,24698,26214,2084047909</t>
  </si>
  <si>
    <t>0,24242,20924,2084063367</t>
  </si>
  <si>
    <t>Xbox 360</t>
  </si>
  <si>
    <t>オークション &gt; おもちゃ、ゲーム &gt; ゲーム &gt; テレビゲーム &gt; Xbox 360</t>
  </si>
  <si>
    <t>カスタムドール</t>
  </si>
  <si>
    <t>エンジン</t>
  </si>
  <si>
    <t>オークション &gt; ホビー、カルチャー &gt; ハンドクラフト、手工芸 &gt; カスタムドール</t>
  </si>
  <si>
    <t>オークション &gt; スポーツ、レジャー &gt; 船、ボート &gt; エンジン</t>
  </si>
  <si>
    <t>0,24242,20924,25864</t>
  </si>
  <si>
    <t>0,24698,26214,2084048306</t>
  </si>
  <si>
    <t>プレイステーション</t>
  </si>
  <si>
    <t>オークション &gt; おもちゃ、ゲーム &gt; ゲーム &gt; テレビゲーム &gt; プレイステーション</t>
  </si>
  <si>
    <t>手芸本</t>
  </si>
  <si>
    <t>オークション &gt; ホビー、カルチャー &gt; ハンドクラフト、手工芸 &gt; 手芸本</t>
  </si>
  <si>
    <t>0,24242,20924,2084008951</t>
  </si>
  <si>
    <t>トレーラー</t>
  </si>
  <si>
    <t>ゲームボーイアドバンス</t>
  </si>
  <si>
    <t>オークション &gt; スポーツ、レジャー &gt; 船、ボート &gt; トレーラー</t>
  </si>
  <si>
    <t>オークション &gt; おもちゃ、ゲーム &gt; ゲーム &gt; テレビゲーム &gt; ゲームボーイアドバンス</t>
  </si>
  <si>
    <t>0,24698,26214,2084036425</t>
  </si>
  <si>
    <t>オークション &gt; ホビー、カルチャー &gt; ハンドクラフト、手工芸 &gt; アート用品</t>
  </si>
  <si>
    <t>ゲームボーイミクロ</t>
  </si>
  <si>
    <t>オークション &gt; スポーツ、レジャー &gt; 船、ボート &gt; パーツ</t>
  </si>
  <si>
    <t>0,24242,20924,20124</t>
  </si>
  <si>
    <t>オークション &gt; おもちゃ、ゲーム &gt; ゲーム &gt; テレビゲーム &gt; ゲームボーイミクロ</t>
  </si>
  <si>
    <t>0,24698,26214,26218</t>
  </si>
  <si>
    <t>ゲームボーイ</t>
  </si>
  <si>
    <t>オークション &gt; ホビー、カルチャー &gt; ハンドクラフト、手工芸 &gt; マネキン</t>
  </si>
  <si>
    <t>オークション &gt; おもちゃ、ゲーム &gt; ゲーム &gt; テレビゲーム &gt; ゲームボーイ</t>
  </si>
  <si>
    <t>0,24242,20924,2084045790</t>
  </si>
  <si>
    <t>オークション &gt; スポーツ、レジャー &gt; 船、ボート &gt; メンテナンス</t>
  </si>
  <si>
    <t>0,24698,26214,2084047908</t>
  </si>
  <si>
    <t>ゲームキューブ</t>
  </si>
  <si>
    <t>救命器具</t>
  </si>
  <si>
    <t>オークション &gt; おもちゃ、ゲーム &gt; ゲーム &gt; テレビゲーム &gt; ゲームキューブ</t>
  </si>
  <si>
    <t>オークション &gt; スポーツ、レジャー &gt; 船、ボート &gt; 救命器具</t>
  </si>
  <si>
    <t>オークション &gt; ホビー、カルチャー &gt; ハンドクラフト、手工芸 &gt; 完成品</t>
  </si>
  <si>
    <t>0,24698,26214,2084047907</t>
  </si>
  <si>
    <t>0,24242,20924,2084220297</t>
  </si>
  <si>
    <t>NINTENDO 64</t>
  </si>
  <si>
    <t>オークション &gt; おもちゃ、ゲーム &gt; ゲーム &gt; テレビゲーム &gt; NINTENDO 64</t>
  </si>
  <si>
    <t>オークション &gt; スポーツ、レジャー &gt; 船、ボート &gt; 魚群探知機</t>
  </si>
  <si>
    <t>0,24698,26214,2084045133</t>
  </si>
  <si>
    <t>オークション &gt; ホビー、カルチャー &gt; ハンドクラフト、手工芸 &gt; その他</t>
  </si>
  <si>
    <t>0,24242,20924,2084042439</t>
  </si>
  <si>
    <t>スーパーファミコン</t>
  </si>
  <si>
    <t>水上オートバイ</t>
  </si>
  <si>
    <t>オークション &gt; おもちゃ、ゲーム &gt; ゲーム &gt; テレビゲーム &gt; スーパーファミコン</t>
  </si>
  <si>
    <t>オークション &gt; スポーツ、レジャー &gt; 船、ボート &gt; 水上オートバイ</t>
  </si>
  <si>
    <t>0,24698,26214,2084005447</t>
  </si>
  <si>
    <t>ファミコン</t>
  </si>
  <si>
    <t>燃料タンク</t>
  </si>
  <si>
    <t>オークション &gt; おもちゃ、ゲーム &gt; ゲーム &gt; テレビゲーム &gt; ファミコン</t>
  </si>
  <si>
    <t>オークション &gt; スポーツ、レジャー &gt; 船、ボート &gt; 燃料タンク</t>
  </si>
  <si>
    <t>0,24698,26214,2084209093</t>
  </si>
  <si>
    <t>Xbox</t>
  </si>
  <si>
    <t>オークション &gt; おもちゃ、ゲーム &gt; ゲーム &gt; テレビゲーム &gt; Xbox</t>
  </si>
  <si>
    <t>オークション &gt; スポーツ、レジャー &gt; 船、ボート &gt; アンティーク、コレクション</t>
  </si>
  <si>
    <t>0,24698,26214,21104</t>
  </si>
  <si>
    <t>セガ</t>
  </si>
  <si>
    <t>オークション &gt; おもちゃ、ゲーム &gt; ゲーム &gt; テレビゲーム &gt; セガ</t>
  </si>
  <si>
    <t>ネオジオ</t>
  </si>
  <si>
    <t>オークション &gt; おもちゃ、ゲーム &gt; ゲーム &gt; テレビゲーム &gt; ネオジオ</t>
  </si>
  <si>
    <t>OGK</t>
  </si>
  <si>
    <t>オークション &gt; スポーツ、レジャー &gt; スポーツサングラス &gt; OGK</t>
  </si>
  <si>
    <t>3DO</t>
  </si>
  <si>
    <t>0,24698,2084214045,2084246695</t>
  </si>
  <si>
    <t>オークション &gt; おもちゃ、ゲーム &gt; ゲーム &gt; テレビゲーム &gt; 3DO</t>
  </si>
  <si>
    <t>NEC</t>
  </si>
  <si>
    <t>zerorh+</t>
  </si>
  <si>
    <t>オークション &gt; おもちゃ、ゲーム &gt; ゲーム &gt; テレビゲーム &gt; NEC</t>
  </si>
  <si>
    <t>オークション &gt; スポーツ、レジャー &gt; スポーツサングラス &gt; zerorh+</t>
  </si>
  <si>
    <t>携帯型</t>
  </si>
  <si>
    <t>0,24698,2084214045,2084246694</t>
  </si>
  <si>
    <t>オークション &gt; おもちゃ、ゲーム &gt; ゲーム &gt; テレビゲーム &gt; 携帯型</t>
  </si>
  <si>
    <t>アーケードゲーム</t>
  </si>
  <si>
    <t>アーネット</t>
  </si>
  <si>
    <t>オークション &gt; おもちゃ、ゲーム &gt; ゲーム &gt; テレビゲーム &gt; アーケードゲーム</t>
  </si>
  <si>
    <t>オークション &gt; スポーツ、レジャー &gt; スポーツサングラス &gt; アーネット</t>
  </si>
  <si>
    <t>0,24698,2084214045,2084214052</t>
  </si>
  <si>
    <t>ゲーム音楽CD</t>
  </si>
  <si>
    <t>オークション &gt; おもちゃ、ゲーム &gt; ゲーム &gt; テレビゲーム &gt; ゲーム音楽CD</t>
  </si>
  <si>
    <t>アックス</t>
  </si>
  <si>
    <t>オークション &gt; スポーツ、レジャー &gt; スポーツサングラス &gt; アックス</t>
  </si>
  <si>
    <t>0,24698,2084214045,2084214050</t>
  </si>
  <si>
    <t>ゲーム攻略本</t>
  </si>
  <si>
    <t>オークション &gt; おもちゃ、ゲーム &gt; ゲーム &gt; テレビゲーム &gt; ゲーム攻略本</t>
  </si>
  <si>
    <t>アディダス</t>
  </si>
  <si>
    <t>オークション &gt; スポーツ、レジャー &gt; スポーツサングラス &gt; アディダス</t>
  </si>
  <si>
    <t>0,24698,2084214045,2084214047</t>
  </si>
  <si>
    <t>ゲーム雑誌</t>
  </si>
  <si>
    <t>オークション &gt; おもちゃ、ゲーム &gt; ゲーム &gt; テレビゲーム &gt; ゲーム雑誌</t>
  </si>
  <si>
    <t>オークリー</t>
  </si>
  <si>
    <t>オークション &gt; スポーツ、レジャー &gt; スポーツサングラス &gt; オークリー</t>
  </si>
  <si>
    <t>0,24698,2084214045,2084214334</t>
  </si>
  <si>
    <t>コールマン</t>
  </si>
  <si>
    <t>オークション &gt; おもちゃ、ゲーム &gt; ゲーム &gt; テレビゲーム &gt; テレホンカード</t>
  </si>
  <si>
    <t>オークション &gt; スポーツ、レジャー &gt; スポーツサングラス &gt; コールマン</t>
  </si>
  <si>
    <t>0,24698,2084214045,2084214053</t>
  </si>
  <si>
    <t>オークション &gt; おもちゃ、ゲーム &gt; ゲーム &gt; テレビゲーム &gt; その他</t>
  </si>
  <si>
    <t>スパイ</t>
  </si>
  <si>
    <t>オークション &gt; スポーツ、レジャー &gt; スポーツサングラス &gt; スパイ</t>
  </si>
  <si>
    <t>0,24698,2084214045,2084214051</t>
  </si>
  <si>
    <t>スポルディング</t>
  </si>
  <si>
    <t>オークション &gt; スポーツ、レジャー &gt; スポーツサングラス &gt; スポルディング</t>
  </si>
  <si>
    <t>0,24698,2084214045,2084246696</t>
  </si>
  <si>
    <t>アイカツ</t>
  </si>
  <si>
    <t>オークション &gt; おもちゃ、ゲーム &gt; ゲーム &gt; トレーディングカードゲーム &gt; アイカツ</t>
  </si>
  <si>
    <t>スワンズ</t>
  </si>
  <si>
    <t>オークション &gt; スポーツ、レジャー &gt; スポーツサングラス &gt; スワンズ</t>
  </si>
  <si>
    <t>0,24698,2084214045,2084214054</t>
  </si>
  <si>
    <t>ナイキ</t>
  </si>
  <si>
    <t>オークション &gt; スポーツ、レジャー &gt; スポーツサングラス &gt; ナイキ</t>
  </si>
  <si>
    <t>0,24698,2084214045,2084214046</t>
  </si>
  <si>
    <t>オーナーズホース</t>
  </si>
  <si>
    <t>オークション &gt; おもちゃ、ゲーム &gt; ゲーム &gt; トレーディングカードゲーム &gt; オーナーズホース</t>
  </si>
  <si>
    <t>ブラックフライ</t>
  </si>
  <si>
    <t>オークション &gt; スポーツ、レジャー &gt; スポーツサングラス &gt; ブラックフライ</t>
  </si>
  <si>
    <t>0,24698,2084214045,2084214055</t>
  </si>
  <si>
    <t>きらりんレボリューション</t>
  </si>
  <si>
    <t>ブリコ</t>
  </si>
  <si>
    <t>オークション &gt; おもちゃ、ゲーム &gt; ゲーム &gt; トレーディングカードゲーム &gt; きらりんレボリューション</t>
  </si>
  <si>
    <t>オークション &gt; スポーツ、レジャー &gt; スポーツサングラス &gt; ブリコ</t>
  </si>
  <si>
    <t>0,24698,2084214045,2084214049</t>
  </si>
  <si>
    <t>ルディプロジェクト</t>
  </si>
  <si>
    <t>オークション &gt; スポーツ、レジャー &gt; スポーツサングラス &gt; ルディプロジェクト</t>
  </si>
  <si>
    <t>カードファイト!!　ヴァンガード</t>
  </si>
  <si>
    <t>0,24698,2084214045,2084214057</t>
  </si>
  <si>
    <t>オークション &gt; おもちゃ、ゲーム &gt; ゲーム &gt; トレーディングカードゲーム &gt; カードファイト!!　ヴァンガード</t>
  </si>
  <si>
    <t>レイバン</t>
  </si>
  <si>
    <t>オークション &gt; スポーツ、レジャー &gt; スポーツサングラス &gt; レイバン</t>
  </si>
  <si>
    <t>0,24698,2084214045,2084214048</t>
  </si>
  <si>
    <t>ガンダムウォー</t>
  </si>
  <si>
    <t>オークション &gt; おもちゃ、ゲーム &gt; ゲーム &gt; トレーディングカードゲーム &gt; ガンダムウォー</t>
  </si>
  <si>
    <t>オークション &gt; スポーツ、レジャー &gt; スポーツサングラス &gt; その他</t>
  </si>
  <si>
    <t>0,24698,2084214045,2084214056</t>
  </si>
  <si>
    <t>ガンダムトライエイジ</t>
  </si>
  <si>
    <t>オークション &gt; おもちゃ、ゲーム &gt; ゲーム &gt; トレーディングカードゲーム &gt; ガンダムトライエイジ</t>
  </si>
  <si>
    <t>浮き輪、浮き具</t>
  </si>
  <si>
    <t>オークション &gt; おもちゃ、ゲーム &gt; 水遊び &gt; 浮き輪、浮き具</t>
  </si>
  <si>
    <t>0,25464,2084042420,2084042423</t>
  </si>
  <si>
    <t>キングオブプロレスリング</t>
  </si>
  <si>
    <t>オークション &gt; おもちゃ、ゲーム &gt; ゲーム &gt; トレーディングカードゲーム &gt; キングオブプロレスリング</t>
  </si>
  <si>
    <t>オークション &gt; おもちゃ、ゲーム &gt; 水遊び &gt; ゴムボート</t>
  </si>
  <si>
    <t>0,25464,2084042420,2084044885</t>
  </si>
  <si>
    <t>クルセイド</t>
  </si>
  <si>
    <t>オークション &gt; おもちゃ、ゲーム &gt; ゲーム &gt; トレーディングカードゲーム &gt; クルセイド</t>
  </si>
  <si>
    <t>ビーチパラソル</t>
  </si>
  <si>
    <t>オークション &gt; おもちゃ、ゲーム &gt; 水遊び &gt; ビーチパラソル</t>
  </si>
  <si>
    <t>0,25464,2084042420,2084208878</t>
  </si>
  <si>
    <t>仮面ライダーバトル ガンバライド</t>
  </si>
  <si>
    <t>オークション &gt; おもちゃ、ゲーム &gt; ゲーム &gt; トレーディングカードゲーム &gt; 仮面ライダーバトル ガンバライド</t>
  </si>
  <si>
    <t>ビーチボール</t>
  </si>
  <si>
    <t>オークション &gt; おもちゃ、ゲーム &gt; 水遊び &gt; ビーチボール</t>
  </si>
  <si>
    <t>0,25464,2084042420,2084042424</t>
  </si>
  <si>
    <t>Z/X ゼクス</t>
  </si>
  <si>
    <t>オークション &gt; おもちゃ、ゲーム &gt; ゲーム &gt; トレーディングカードゲーム &gt; Z/X ゼクス</t>
  </si>
  <si>
    <t>オークション &gt; おもちゃ、ゲーム &gt; 水遊び &gt; レジャーシート</t>
  </si>
  <si>
    <t>0,25464,2084042420,2084042422</t>
  </si>
  <si>
    <t>スーパー戦隊バトル ダイスオー</t>
  </si>
  <si>
    <t>オークション &gt; おもちゃ、ゲーム &gt; ゲーム &gt; トレーディングカードゲーム &gt; スーパー戦隊バトル ダイスオー</t>
  </si>
  <si>
    <t>家庭用プール</t>
  </si>
  <si>
    <t>オークション &gt; おもちゃ、ゲーム &gt; 水遊び &gt; 家庭用プール</t>
  </si>
  <si>
    <t>0,25464,2084042420,2084042421</t>
  </si>
  <si>
    <t>三国志大戦</t>
  </si>
  <si>
    <t>オークション &gt; おもちゃ、ゲーム &gt; ゲーム &gt; トレーディングカードゲーム &gt; 三国志大戦</t>
  </si>
  <si>
    <t>水鉄砲</t>
  </si>
  <si>
    <t>オークション &gt; おもちゃ、ゲーム &gt; 水遊び &gt; 水鉄砲</t>
  </si>
  <si>
    <t>0,25464,2084042420,2084042425</t>
  </si>
  <si>
    <t>神羅万象</t>
  </si>
  <si>
    <t>オークション &gt; おもちゃ、ゲーム &gt; ゲーム &gt; トレーディングカードゲーム &gt; 神羅万象</t>
  </si>
  <si>
    <t>乗用車</t>
  </si>
  <si>
    <t>オークション &gt; おもちゃ、ゲーム &gt; トイラジコン &gt; 乗用車</t>
  </si>
  <si>
    <t>プール利用券</t>
  </si>
  <si>
    <t>0,25464,2084251269,2084251274</t>
  </si>
  <si>
    <t>オークション &gt; おもちゃ、ゲーム &gt; 水遊び &gt; プール利用券</t>
  </si>
  <si>
    <t>0,25464,2084042420,2084042176</t>
  </si>
  <si>
    <t>戦国大戦</t>
  </si>
  <si>
    <t>オークション &gt; おもちゃ、ゲーム &gt; ゲーム &gt; トレーディングカードゲーム &gt; 戦国大戦</t>
  </si>
  <si>
    <t>レーシングカー</t>
  </si>
  <si>
    <t>オークション &gt; おもちゃ、ゲーム &gt; トイラジコン &gt; レーシングカー</t>
  </si>
  <si>
    <t>0,25464,2084251269,2084251273</t>
  </si>
  <si>
    <t>WCCF</t>
  </si>
  <si>
    <t>オークション &gt; おもちゃ、ゲーム &gt; ゲーム &gt; トレーディングカードゲーム &gt; WCCF</t>
  </si>
  <si>
    <t>持久系</t>
  </si>
  <si>
    <t>デジタルモンスター</t>
  </si>
  <si>
    <t>オークション &gt; スポーツ、レジャー &gt; サプリメント &gt; 持久系</t>
  </si>
  <si>
    <t>トラック、トレーラー</t>
  </si>
  <si>
    <t>0,24698,2084062737,2084062739</t>
  </si>
  <si>
    <t>オークション &gt; おもちゃ、ゲーム &gt; ゲーム &gt; トレーディングカードゲーム &gt; デジタルモンスター</t>
  </si>
  <si>
    <t>オークション &gt; おもちゃ、ゲーム &gt; トイラジコン &gt; トラック、トレーラー</t>
  </si>
  <si>
    <t>瞬発系</t>
  </si>
  <si>
    <t>オークション &gt; スポーツ、レジャー &gt; サプリメント &gt; 瞬発系</t>
  </si>
  <si>
    <t>0,25464,2084251269,2084251272</t>
  </si>
  <si>
    <t>0,24698,2084062737,2084062738</t>
  </si>
  <si>
    <t>デュエルマスターズ</t>
  </si>
  <si>
    <t>オークション &gt; おもちゃ、ゲーム &gt; ゲーム &gt; トレーディングカードゲーム &gt; デュエルマスターズ</t>
  </si>
  <si>
    <t>飛行機</t>
  </si>
  <si>
    <t>オークション &gt; おもちゃ、ゲーム &gt; トイラジコン &gt; 飛行機</t>
  </si>
  <si>
    <t>0,25464,2084251269,2084251271</t>
  </si>
  <si>
    <t>トリコ</t>
  </si>
  <si>
    <t>オークション &gt; おもちゃ、ゲーム &gt; ゲーム &gt; トレーディングカードゲーム &gt; トリコ</t>
  </si>
  <si>
    <t>ヘリコプター</t>
  </si>
  <si>
    <t>オークション &gt; おもちゃ、ゲーム &gt; トイラジコン &gt; ヘリコプター</t>
  </si>
  <si>
    <t>ドラゴンクエスト</t>
  </si>
  <si>
    <t>0,25464,2084251269,2084251270</t>
  </si>
  <si>
    <t>オークション &gt; おもちゃ、ゲーム &gt; ゲーム &gt; トレーディングカードゲーム &gt; ドラゴンクエスト</t>
  </si>
  <si>
    <t>オークション &gt; スポーツ、レジャー &gt; 旅行 &gt; 宿泊予約</t>
  </si>
  <si>
    <t>0,24698,2084042464,2084062636</t>
  </si>
  <si>
    <t>ドラゴンボール</t>
  </si>
  <si>
    <t>オークション &gt; おもちゃ、ゲーム &gt; ゲーム &gt; トレーディングカードゲーム &gt; ドラゴンボール</t>
  </si>
  <si>
    <t>ドローン</t>
  </si>
  <si>
    <t>オークション &gt; おもちゃ、ゲーム &gt; トイラジコン &gt; ドローン</t>
  </si>
  <si>
    <t>0,25464,2084251269,2084316145</t>
  </si>
  <si>
    <t>オークション &gt; スポーツ、レジャー &gt; 旅行 &gt; スーツケース、トランク</t>
  </si>
  <si>
    <t>0,24698,2084042464,2084008297</t>
  </si>
  <si>
    <t>超速変形ジャイロゼッター</t>
  </si>
  <si>
    <t>オークション &gt; おもちゃ、ゲーム &gt; ゲーム &gt; トレーディングカードゲーム &gt; 超速変形ジャイロゼッター</t>
  </si>
  <si>
    <t>ソフトウェア</t>
  </si>
  <si>
    <t>オークション &gt; スポーツ、レジャー &gt; 旅行 &gt; ソフトウェア</t>
  </si>
  <si>
    <t>戦車、軍用車両</t>
  </si>
  <si>
    <t>0,24698,2084042464,2084042469</t>
  </si>
  <si>
    <t>オークション &gt; おもちゃ、ゲーム &gt; トイラジコン &gt; 戦車、軍用車両</t>
  </si>
  <si>
    <t>NARUTO</t>
  </si>
  <si>
    <t>0,25464,2084251269,2084251276</t>
  </si>
  <si>
    <t>オークション &gt; おもちゃ、ゲーム &gt; ゲーム &gt; トレーディングカードゲーム &gt; NARUTO</t>
  </si>
  <si>
    <t>チケット、金券</t>
  </si>
  <si>
    <t>バトルスピリッツ</t>
  </si>
  <si>
    <t>オークション &gt; スポーツ、レジャー &gt; 旅行 &gt; チケット、金券</t>
  </si>
  <si>
    <t>オークション &gt; おもちゃ、ゲーム &gt; ゲーム &gt; トレーディングカードゲーム &gt; バトルスピリッツ</t>
  </si>
  <si>
    <t>オークション &gt; おもちゃ、ゲーム &gt; トイラジコン &gt; 船、ボート</t>
  </si>
  <si>
    <t>0,24698,2084042464,2084044348</t>
  </si>
  <si>
    <t>0,25464,2084251269,2084251275</t>
  </si>
  <si>
    <t>パニーニフットボールリーグ</t>
  </si>
  <si>
    <t>オークション &gt; おもちゃ、ゲーム &gt; ゲーム &gt; トレーディングカードゲーム &gt; パニーニフットボールリーグ</t>
  </si>
  <si>
    <t>オークション &gt; おもちゃ、ゲーム &gt; トイラジコン &gt; その他</t>
  </si>
  <si>
    <t>ファイナルファンタジーTCG</t>
  </si>
  <si>
    <t>オークション &gt; スポーツ、レジャー &gt; 旅行 &gt; ハンディGPS</t>
  </si>
  <si>
    <t>0,25464,2084251269,2084251277</t>
  </si>
  <si>
    <t>オークション &gt; おもちゃ、ゲーム &gt; ゲーム &gt; トレーディングカードゲーム &gt; ファイナルファンタジーTCG</t>
  </si>
  <si>
    <t>0,24698,2084042464,2084259454</t>
  </si>
  <si>
    <t>フットボールオールスターズ</t>
  </si>
  <si>
    <t>オークション &gt; おもちゃ、ゲーム &gt; ゲーム &gt; トレーディングカードゲーム &gt; フットボールオールスターズ</t>
  </si>
  <si>
    <t>オークション &gt; スポーツ、レジャー &gt; 旅行 &gt; ビデオ</t>
  </si>
  <si>
    <t>0,24698,2084042464,2084046995</t>
  </si>
  <si>
    <t>プリキュア</t>
  </si>
  <si>
    <t>オークション &gt; おもちゃ、ゲーム &gt; ゲーム &gt; トレーディングカードゲーム &gt; プリキュア</t>
  </si>
  <si>
    <t>オークション &gt; スポーツ、レジャー &gt; 旅行 &gt; 本、雑誌</t>
  </si>
  <si>
    <t>0,24698,2084042464,2084042468</t>
  </si>
  <si>
    <t>プリズムストーン</t>
  </si>
  <si>
    <t>オークション &gt; おもちゃ、ゲーム &gt; プラモデル &gt; キャラクター</t>
  </si>
  <si>
    <t>オークション &gt; おもちゃ、ゲーム &gt; ゲーム &gt; トレーディングカードゲーム &gt; プリズムストーン</t>
  </si>
  <si>
    <t>0,25464,2084250263,2084250334</t>
  </si>
  <si>
    <t>旅行用小物</t>
  </si>
  <si>
    <t>オークション &gt; スポーツ、レジャー &gt; 旅行 &gt; 旅行用小物</t>
  </si>
  <si>
    <t>0,24698,2084042464,2084047924</t>
  </si>
  <si>
    <t>プレシャスメモリーズ</t>
  </si>
  <si>
    <t>オークション &gt; おもちゃ、ゲーム &gt; ゲーム &gt; トレーディングカードゲーム &gt; プレシャスメモリーズ</t>
  </si>
  <si>
    <t>オークション &gt; おもちゃ、ゲーム &gt; プラモデル &gt; 自動車</t>
  </si>
  <si>
    <t>0,25464,2084250263,2084250264</t>
  </si>
  <si>
    <t>プロ野球オーナーズリーグ</t>
  </si>
  <si>
    <t>オークション &gt; おもちゃ、ゲーム &gt; ゲーム &gt; トレーディングカードゲーム &gt; プロ野球オーナーズリーグ</t>
  </si>
  <si>
    <t>オークション &gt; おもちゃ、ゲーム &gt; プラモデル &gt; 航空機</t>
  </si>
  <si>
    <t>オークション &gt; チケット、金券、宿泊予約 &gt; 興行チケット &gt; スポーツ &gt; アメリカンフットボール</t>
  </si>
  <si>
    <t>0,25464,2084250263,2084250307</t>
  </si>
  <si>
    <t>0,2084043920,22748,25430,25448</t>
  </si>
  <si>
    <t>ベースボールヒーローズ</t>
  </si>
  <si>
    <t>オークション &gt; おもちゃ、ゲーム &gt; ゲーム &gt; トレーディングカードゲーム &gt; ベースボールヒーローズ</t>
  </si>
  <si>
    <t>オークション &gt; チケット、金券、宿泊予約 &gt; 興行チケット &gt; スポーツ &gt; ゴルフ</t>
  </si>
  <si>
    <t>0,2084043920,22748,25430,25450</t>
  </si>
  <si>
    <t>オークション &gt; おもちゃ、ゲーム &gt; プラモデル &gt; オートバイ</t>
  </si>
  <si>
    <t>0,25464,2084250263,2084250299</t>
  </si>
  <si>
    <t>オークション &gt; チケット、金券、宿泊予約 &gt; 興行チケット &gt; スポーツ &gt; サッカー</t>
  </si>
  <si>
    <t>ポケモンカードゲーム</t>
  </si>
  <si>
    <t>0,2084043920,22748,25430,25456</t>
  </si>
  <si>
    <t>オークション &gt; おもちゃ、ゲーム &gt; ゲーム &gt; トレーディングカードゲーム &gt; ポケモンカードゲーム</t>
  </si>
  <si>
    <t>オークション &gt; おもちゃ、ゲーム &gt; プラモデル &gt; 戦車、軍用車両</t>
  </si>
  <si>
    <t>0,25464,2084250263,2084250325</t>
  </si>
  <si>
    <t>オークション &gt; チケット、金券、宿泊予約 &gt; 興行チケット &gt; スポーツ &gt; ソフトボール</t>
  </si>
  <si>
    <t>0,2084043920,22748,25430,2084045757</t>
  </si>
  <si>
    <t>ポケモントレッタ</t>
  </si>
  <si>
    <t>オークション &gt; おもちゃ、ゲーム &gt; ゲーム &gt; トレーディングカードゲーム &gt; ポケモントレッタ</t>
  </si>
  <si>
    <t>オークション &gt; おもちゃ、ゲーム &gt; プラモデル &gt; 船、ボート</t>
  </si>
  <si>
    <t>0,25464,2084250263,2084250317</t>
  </si>
  <si>
    <t>オークション &gt; チケット、金券、宿泊予約 &gt; 興行チケット &gt; スポーツ &gt; テニス</t>
  </si>
  <si>
    <t>0,2084043920,22748,25430,2084230533</t>
  </si>
  <si>
    <t>ポケモンバトリオ</t>
  </si>
  <si>
    <t>オークション &gt; おもちゃ、ゲーム &gt; ゲーム &gt; トレーディングカードゲーム &gt; ポケモンバトリオ</t>
  </si>
  <si>
    <t>オークション &gt; チケット、金券、宿泊予約 &gt; 興行チケット &gt; スポーツ &gt; バスケットボール</t>
  </si>
  <si>
    <t>0,2084043920,22748,25430,25442</t>
  </si>
  <si>
    <t>オークション &gt; おもちゃ、ゲーム &gt; プラモデル &gt; 鉄道</t>
  </si>
  <si>
    <t>0,25464,2084250263,2084250333</t>
  </si>
  <si>
    <t>ヴァイスシュヴァルツ</t>
  </si>
  <si>
    <t>オークション &gt; おもちゃ、ゲーム &gt; ゲーム &gt; トレーディングカードゲーム &gt; ヴァイスシュヴァルツ</t>
  </si>
  <si>
    <t>オークション &gt; チケット、金券、宿泊予約 &gt; 興行チケット &gt; スポーツ &gt; バレーボール</t>
  </si>
  <si>
    <t>0,2084043920,22748,25430,2084230534</t>
  </si>
  <si>
    <t>建築物</t>
  </si>
  <si>
    <t>百獣大戦 アニマルカイザー</t>
  </si>
  <si>
    <t>オークション &gt; おもちゃ、ゲーム &gt; プラモデル &gt; 建築物</t>
  </si>
  <si>
    <t>オークション &gt; おもちゃ、ゲーム &gt; ゲーム &gt; トレーディングカードゲーム &gt; 百獣大戦 アニマルカイザー</t>
  </si>
  <si>
    <t>モーターレース</t>
  </si>
  <si>
    <t>0,25464,2084250263,2084250967</t>
  </si>
  <si>
    <t>オークション &gt; チケット、金券、宿泊予約 &gt; 興行チケット &gt; スポーツ &gt; モーターレース</t>
  </si>
  <si>
    <t>0,2084043920,22748,25430,25438</t>
  </si>
  <si>
    <t>Magic: The Gathering</t>
  </si>
  <si>
    <t>オークション &gt; おもちゃ、ゲーム &gt; ゲーム &gt; トレーディングカードゲーム &gt; Magic: The Gathering</t>
  </si>
  <si>
    <t>オークション &gt; チケット、金券、宿泊予約 &gt; 興行チケット &gt; スポーツ &gt; 格闘技、プロレス</t>
  </si>
  <si>
    <t>0,2084043920,22748,25430,25458</t>
  </si>
  <si>
    <t>オークション &gt; おもちゃ、ゲーム &gt; プラモデル &gt; 生き物</t>
  </si>
  <si>
    <t>0,25464,2084250263,2084258738</t>
  </si>
  <si>
    <t>オークション &gt; チケット、金券、宿泊予約 &gt; 興行チケット &gt; スポーツ &gt; 野球</t>
  </si>
  <si>
    <t>遊戯王（コナミ）</t>
  </si>
  <si>
    <t>0,2084043920,22748,25430,2084045756</t>
  </si>
  <si>
    <t>オークション &gt; おもちゃ、ゲーム &gt; ゲーム &gt; トレーディングカードゲーム &gt; 遊戯王（コナミ）</t>
  </si>
  <si>
    <t>ミニ四駆</t>
  </si>
  <si>
    <t>オークション &gt; おもちゃ、ゲーム &gt; プラモデル &gt; ミニ四駆</t>
  </si>
  <si>
    <t>0,25464,2084250263,2084250966</t>
  </si>
  <si>
    <t>オークション &gt; チケット、金券、宿泊予約 &gt; 興行チケット &gt; スポーツ &gt; その他</t>
  </si>
  <si>
    <t>遊戯王（バンダイ）</t>
  </si>
  <si>
    <t>オークション &gt; おもちゃ、ゲーム &gt; ゲーム &gt; トレーディングカードゲーム &gt; 遊戯王（バンダイ）</t>
  </si>
  <si>
    <t>0,2084043920,22748,25430,25460</t>
  </si>
  <si>
    <t>オークション &gt; おもちゃ、ゲーム &gt; プラモデル &gt; 模型製作用品</t>
  </si>
  <si>
    <t>0,25464,2084250263,2084063789</t>
  </si>
  <si>
    <t>妖怪ウォッチ</t>
  </si>
  <si>
    <t>オークション &gt; おもちゃ、ゲーム &gt; ゲーム &gt; トレーディングカードゲーム &gt; 妖怪ウォッチ</t>
  </si>
  <si>
    <t>オークション &gt; おもちゃ、ゲーム &gt; プラモデル &gt; その他</t>
  </si>
  <si>
    <t>オークション &gt; チケット、金券、宿泊予約 &gt; ジャンル別 &gt; レジャー &gt; クオカード</t>
  </si>
  <si>
    <t>0,2084043920,2084044330,2084044344,2084046717</t>
  </si>
  <si>
    <t>0,25464,2084250263,2084250968</t>
  </si>
  <si>
    <t>オークション &gt; おもちゃ、ゲーム &gt; ゲーム &gt; トレーディングカードゲーム &gt; トレーディングカード</t>
  </si>
  <si>
    <t>ゴルフ場利用券</t>
  </si>
  <si>
    <t>オークション &gt; チケット、金券、宿泊予約 &gt; ジャンル別 &gt; レジャー &gt; ゴルフ場利用券</t>
  </si>
  <si>
    <t>0,2084043920,2084044330,2084044344,2084044985</t>
  </si>
  <si>
    <t>リセ</t>
  </si>
  <si>
    <t>オークション &gt; おもちゃ、ゲーム &gt; ゲーム &gt; トレーディングカードゲーム &gt; リセ</t>
  </si>
  <si>
    <t>プール券</t>
  </si>
  <si>
    <t>オークション &gt; チケット、金券、宿泊予約 &gt; ジャンル別 &gt; レジャー &gt; プール券</t>
  </si>
  <si>
    <t>0,2084043920,2084044330,2084044344,2084042176</t>
  </si>
  <si>
    <t>レンジャーズストライク</t>
  </si>
  <si>
    <t>オークション &gt; おもちゃ、ゲーム &gt; ホビーラジコン &gt; 自動車</t>
  </si>
  <si>
    <t>オークション &gt; おもちゃ、ゲーム &gt; ゲーム &gt; トレーディングカードゲーム &gt; レンジャーズストライク</t>
  </si>
  <si>
    <t>レジャーギフト券</t>
  </si>
  <si>
    <t>オークション &gt; チケット、金券、宿泊予約 &gt; ジャンル別 &gt; レジャー &gt; レジャーギフト券</t>
  </si>
  <si>
    <t>0,25464,2084251212,2084251213</t>
  </si>
  <si>
    <t>0,2084043920,2084044330,2084044344,2084044321</t>
  </si>
  <si>
    <t>ロード オブ ヴァーミリオン</t>
  </si>
  <si>
    <t>オークション &gt; おもちゃ、ゲーム &gt; ゲーム &gt; トレーディングカードゲーム &gt; ロード オブ ヴァーミリオン</t>
  </si>
  <si>
    <t>オークション &gt; チケット、金券、宿泊予約 &gt; ジャンル別 &gt; レジャー &gt; 宿泊予約</t>
  </si>
  <si>
    <t>オークション &gt; おもちゃ、ゲーム &gt; ホビーラジコン &gt; 飛行機</t>
  </si>
  <si>
    <t>0,2084043920,2084044330,2084044344,2084062636</t>
  </si>
  <si>
    <t>0,25464,2084251212,2084251245</t>
  </si>
  <si>
    <t>オークション &gt; おもちゃ、ゲーム &gt; ゲーム &gt; トレーディングカードゲーム &gt; ワンピース</t>
  </si>
  <si>
    <t>オークション &gt; チケット、金券、宿泊予約 &gt; ジャンル別 &gt; レジャー &gt; 遊園地、テーマパーク</t>
  </si>
  <si>
    <t>0,2084043920,2084044330,2084044344,25432</t>
  </si>
  <si>
    <t>オークション &gt; おもちゃ、ゲーム &gt; ホビーラジコン &gt; ヘリコプター</t>
  </si>
  <si>
    <t>0,25464,2084251212,2084251252</t>
  </si>
  <si>
    <t>オークション &gt; おもちゃ、ゲーム &gt; ゲーム &gt; トレーディングカードゲーム &gt; その他</t>
  </si>
  <si>
    <t>オークション &gt; おもちゃ、ゲーム &gt; ホビーラジコン &gt; ドローン</t>
  </si>
  <si>
    <t>0,25464,2084251212,2084316145</t>
  </si>
  <si>
    <t>オークション &gt; ホビー、カルチャー &gt; パチンコ、パチスロ &gt; ゲーム</t>
  </si>
  <si>
    <t>オークション &gt; おもちゃ、ゲーム &gt; ホビーラジコン &gt; 船、ボート</t>
  </si>
  <si>
    <t>0,24242,2084046936,2084048398</t>
  </si>
  <si>
    <t>0,25464,2084251212,2084251259</t>
  </si>
  <si>
    <t>パチスロ実機</t>
  </si>
  <si>
    <t>オークション &gt; ホビー、カルチャー &gt; パチンコ、パチスロ &gt; パチスロ実機</t>
  </si>
  <si>
    <t>0,24242,2084046936,2084046952</t>
  </si>
  <si>
    <t>オークション &gt; おもちゃ、ゲーム &gt; ホビーラジコン &gt; 戦車、軍用車両</t>
  </si>
  <si>
    <t>0,25464,2084251212,2084251260</t>
  </si>
  <si>
    <t>パチンコ実機</t>
  </si>
  <si>
    <t>オークション &gt; ホビー、カルチャー &gt; パチンコ、パチスロ &gt; パチンコ実機</t>
  </si>
  <si>
    <t>0,24242,2084046936,2084046951</t>
  </si>
  <si>
    <t>バッテリー、充電器</t>
  </si>
  <si>
    <t>オークション &gt; おもちゃ、ゲーム &gt; ホビーラジコン &gt; バッテリー、充電器</t>
  </si>
  <si>
    <t>0,25464,2084251212,2084251261</t>
  </si>
  <si>
    <t>オークション &gt; ホビー、カルチャー &gt; パチンコ、パチスロ &gt; ビデオ</t>
  </si>
  <si>
    <t>プロポ</t>
  </si>
  <si>
    <t>0,24242,2084046936,2084047014</t>
  </si>
  <si>
    <t>オークション &gt; おもちゃ、ゲーム &gt; ホビーラジコン &gt; プロポ</t>
  </si>
  <si>
    <t>0,25464,2084251212,2084251262</t>
  </si>
  <si>
    <t>オークション &gt; ホビー、カルチャー &gt; パチンコ、パチスロ &gt; 雑誌</t>
  </si>
  <si>
    <t>オークション &gt; おもちゃ、ゲーム &gt; ホビーラジコン &gt; 模型製作用品</t>
  </si>
  <si>
    <t>0,24242,2084046936,2084046944</t>
  </si>
  <si>
    <t>0,25464,2084251212,2084063789</t>
  </si>
  <si>
    <t>オークション &gt; おもちゃ、ゲーム &gt; ホビーラジコン &gt; その他</t>
  </si>
  <si>
    <t>オークション &gt; ホビー、カルチャー &gt; パチンコ、パチスロ &gt; 本</t>
  </si>
  <si>
    <t>0,25464,2084251212,2084251268</t>
  </si>
  <si>
    <t>0,24242,2084046936,2084046940</t>
  </si>
  <si>
    <t>オークション &gt; ホビー、カルチャー &gt; パチンコ、パチスロ &gt; その他</t>
  </si>
  <si>
    <t>0,24242,2084046936,2084047539</t>
  </si>
  <si>
    <t>オークション &gt; おもちゃ、ゲーム &gt; ミニカー &gt; 自動車</t>
  </si>
  <si>
    <t>0,25464,2084260113,2084260114</t>
  </si>
  <si>
    <t>オークション &gt; おもちゃ、ゲーム &gt; ミニカー &gt; オートバイ</t>
  </si>
  <si>
    <t>オークション &gt; スポーツ、レジャー &gt; 競艇 &gt; テレホンカード</t>
  </si>
  <si>
    <t>0,25464,2084260113,2084260189</t>
  </si>
  <si>
    <t>0,24698,2084048240,2084048505</t>
  </si>
  <si>
    <t>建設車両、作業車</t>
  </si>
  <si>
    <t>オークション &gt; おもちゃ、ゲーム &gt; ミニカー &gt; 建設車両、作業車</t>
  </si>
  <si>
    <t>0,25464,2084260113,2084260185</t>
  </si>
  <si>
    <t>オークション &gt; スポーツ、レジャー &gt; 競艇 &gt; ビデオ</t>
  </si>
  <si>
    <t>0,24698,2084048240,2084048508</t>
  </si>
  <si>
    <t>オークション &gt; おもちゃ、ゲーム &gt; ミニカー &gt; 航空機</t>
  </si>
  <si>
    <t>0,25464,2084260113,2084260186</t>
  </si>
  <si>
    <t>プロペラ</t>
  </si>
  <si>
    <t>オークション &gt; スポーツ、レジャー &gt; 競艇 &gt; プロペラ</t>
  </si>
  <si>
    <t>0,24698,2084048240,2084048507</t>
  </si>
  <si>
    <t>オークション &gt; おもちゃ、ゲーム &gt; ミニカー &gt; 戦車、軍用車両</t>
  </si>
  <si>
    <t>0,25464,2084260113,2084260191</t>
  </si>
  <si>
    <t>オークション &gt; おもちゃ、ゲーム &gt; ミニカー &gt; 船、ボート</t>
  </si>
  <si>
    <t>0,25464,2084260113,2084260190</t>
  </si>
  <si>
    <t>オークション &gt; スポーツ、レジャー &gt; 競艇 &gt; その他</t>
  </si>
  <si>
    <t>0,24698,2084048240,2084048510</t>
  </si>
  <si>
    <t>HOゲージ</t>
  </si>
  <si>
    <t>オークション &gt; おもちゃ、ゲーム &gt; 鉄道模型 &gt; HOゲージ</t>
  </si>
  <si>
    <t>0,25464,2084259579,2084259580</t>
  </si>
  <si>
    <t>Nゲージ</t>
  </si>
  <si>
    <t>オークション &gt; おもちゃ、ゲーム &gt; 鉄道模型 &gt; Nゲージ</t>
  </si>
  <si>
    <t>オークション &gt; スポーツ、レジャー &gt; 競馬 &gt; ぬいぐるみ</t>
  </si>
  <si>
    <t>0,25464,2084259579,2084259591</t>
  </si>
  <si>
    <t>0,24698,25407,2084048298</t>
  </si>
  <si>
    <t>Zゲージ</t>
  </si>
  <si>
    <t>オークション &gt; おもちゃ、ゲーム &gt; 鉄道模型 &gt; Zゲージ</t>
  </si>
  <si>
    <t>0,25464,2084259579,2084259619</t>
  </si>
  <si>
    <t>ゼッケン</t>
  </si>
  <si>
    <t>オークション &gt; スポーツ、レジャー &gt; 競馬 &gt; ゼッケン</t>
  </si>
  <si>
    <t>0,24698,25407,2084049601</t>
  </si>
  <si>
    <t>Gゲージ</t>
  </si>
  <si>
    <t>オークション &gt; おもちゃ、ゲーム &gt; 鉄道模型 &gt; Gゲージ</t>
  </si>
  <si>
    <t>0,25464,2084259579,2084259752</t>
  </si>
  <si>
    <t>レーシングプログラム</t>
  </si>
  <si>
    <t>オークション &gt; スポーツ、レジャー &gt; 競馬 &gt; レーシングプログラム</t>
  </si>
  <si>
    <t>0,24698,25407,2084046950</t>
  </si>
  <si>
    <t>Oゲージ</t>
  </si>
  <si>
    <t>オークション &gt; おもちゃ、ゲーム &gt; 鉄道模型 &gt; Oゲージ</t>
  </si>
  <si>
    <t>0,25464,2084259579,2084259751</t>
  </si>
  <si>
    <t>終了したレースの馬券</t>
  </si>
  <si>
    <t>オークション &gt; スポーツ、レジャー &gt; 競馬 &gt; 終了したレースの馬券</t>
  </si>
  <si>
    <t>0,24698,25407,2084046949</t>
  </si>
  <si>
    <t>Bトレインショーティ</t>
  </si>
  <si>
    <t>オークション &gt; おもちゃ、ゲーム &gt; 鉄道模型 &gt; Bトレインショーティ</t>
  </si>
  <si>
    <t>0,25464,2084259579,2084259620</t>
  </si>
  <si>
    <t>オークション &gt; スポーツ、レジャー &gt; 競馬 &gt; 本</t>
  </si>
  <si>
    <t>オークション &gt; おもちゃ、ゲーム &gt; 鉄道模型 &gt; その他</t>
  </si>
  <si>
    <t>0,24698,25407,2084046939</t>
  </si>
  <si>
    <t>0,25464,2084259579,2084259621</t>
  </si>
  <si>
    <t>オークション &gt; スポーツ、レジャー &gt; 競馬 &gt; DVD</t>
  </si>
  <si>
    <t>0,24698,25407,2084256905</t>
  </si>
  <si>
    <t>オークション &gt; スポーツ、レジャー &gt; 競馬 &gt; ビデオ</t>
  </si>
  <si>
    <t>0,24698,25407,2084046993</t>
  </si>
  <si>
    <t>オークション &gt; ホビー、カルチャー &gt; 模型製作用品 &gt; 工具</t>
  </si>
  <si>
    <t>0,24242,2084063789,2084063790</t>
  </si>
  <si>
    <t>オークション &gt; スポーツ、レジャー &gt; 競馬 &gt; テレホンカード</t>
  </si>
  <si>
    <t>0,24698,25407,2084005116</t>
  </si>
  <si>
    <t>塗装用品</t>
  </si>
  <si>
    <t>オークション &gt; ホビー、カルチャー &gt; 模型製作用品 &gt; 塗装用品</t>
  </si>
  <si>
    <t>0,24242,2084063789,2084063791</t>
  </si>
  <si>
    <t>オークション &gt; スポーツ、レジャー &gt; 競馬 &gt; 雑誌</t>
  </si>
  <si>
    <t>0,24698,25407,2084046947</t>
  </si>
  <si>
    <t>オークション &gt; ホビー、カルチャー &gt; 模型製作用品 &gt; 接着用品</t>
  </si>
  <si>
    <t>0,24242,2084063789,2084063795</t>
  </si>
  <si>
    <t>オークション &gt; スポーツ、レジャー &gt; 競馬 &gt; その他</t>
  </si>
  <si>
    <t>0,24698,25407,2084005139</t>
  </si>
  <si>
    <t>ユニフォーム</t>
  </si>
  <si>
    <t>オークション &gt; スポーツ、レジャー &gt; 競輪 &gt; ユニフォーム</t>
  </si>
  <si>
    <t>オークション &gt; ホビー、カルチャー &gt; 鉄道 &gt; カタログ、パンフレット</t>
  </si>
  <si>
    <t>0,24698,2084048304,2084048514</t>
  </si>
  <si>
    <t>0,24242,27753,2084007709</t>
  </si>
  <si>
    <t>オークション &gt; スポーツ、レジャー &gt; 競輪 &gt; 車体</t>
  </si>
  <si>
    <t>サウンド</t>
  </si>
  <si>
    <t>0,24698,2084048304,2084283224</t>
  </si>
  <si>
    <t>オークション &gt; ホビー、カルチャー &gt; 鉄道 &gt; サウンド</t>
  </si>
  <si>
    <t>0,24242,27753,2084019972</t>
  </si>
  <si>
    <t>フレーム</t>
  </si>
  <si>
    <t>オークション &gt; スポーツ、レジャー &gt; 競輪 &gt; フレーム</t>
  </si>
  <si>
    <t>0,24698,2084048304,2084229851</t>
  </si>
  <si>
    <t>オークション &gt; ホビー、カルチャー &gt; 鉄道 &gt; ビデオ</t>
  </si>
  <si>
    <t>0,24242,27753,2084019973</t>
  </si>
  <si>
    <t>オークション &gt; スポーツ、レジャー &gt; 競輪 &gt; テレホンカード</t>
  </si>
  <si>
    <t>0,24698,2084048304,2084048511</t>
  </si>
  <si>
    <t>オークション &gt; ホビー、カルチャー &gt; 鉄道 &gt; 写真</t>
  </si>
  <si>
    <t>オークション &gt; スポーツ、レジャー &gt; 競輪 &gt; その他</t>
  </si>
  <si>
    <t>0,24242,27753,2084007687</t>
  </si>
  <si>
    <t>0,24698,2084048304,2084048513</t>
  </si>
  <si>
    <t>切符</t>
  </si>
  <si>
    <t>オークション &gt; ホビー、カルチャー &gt; 鉄道 &gt; 切符</t>
  </si>
  <si>
    <t>0,24242,27753,2084007953</t>
  </si>
  <si>
    <t>鉄道プリベイドカード</t>
  </si>
  <si>
    <t>オークション &gt; ホビー、カルチャー &gt; 鉄道 &gt; 鉄道プリベイドカード</t>
  </si>
  <si>
    <t>0,24242,27753,2084007697</t>
  </si>
  <si>
    <t>オークション &gt; ホビー、カルチャー &gt; 鉄道 &gt; 廃品、放出品</t>
  </si>
  <si>
    <t>0,24242,27753,2084007710</t>
  </si>
  <si>
    <t>オークション &gt; ホビー、カルチャー &gt; 鉄道 &gt; 本、雑誌</t>
  </si>
  <si>
    <t>0,24242,27753,2084023873</t>
  </si>
  <si>
    <t>鉄道関連グッズ</t>
  </si>
  <si>
    <t>オークション &gt; ホビー、カルチャー &gt; 鉄道 &gt; 鉄道関連グッズ</t>
  </si>
  <si>
    <t>0,24242,27753,2084007714</t>
  </si>
  <si>
    <t>オークション &gt; ホビー、カルチャー &gt; 航空機 &gt; カタログ、パンフレット</t>
  </si>
  <si>
    <t>0,24242,26186,26188</t>
  </si>
  <si>
    <t>オークション &gt; ホビー、カルチャー &gt; 航空機 &gt; ビデオ</t>
  </si>
  <si>
    <t>0,24242,26186,2084047011</t>
  </si>
  <si>
    <t>オークション &gt; ホビー、カルチャー &gt; 航空機 &gt; 航空券</t>
  </si>
  <si>
    <t>0,24242,26186,26180</t>
  </si>
  <si>
    <t>オークション &gt; ホビー、カルチャー &gt; 航空機 &gt; 廃品、放出品</t>
  </si>
  <si>
    <t>0,24242,26186,26190</t>
  </si>
  <si>
    <t>オークション &gt; ホビー、カルチャー &gt; 航空機 &gt; 本、雑誌</t>
  </si>
  <si>
    <t>0,24242,26186,2084023870</t>
  </si>
  <si>
    <t>航空関連グッズ</t>
  </si>
  <si>
    <t>オークション &gt; ホビー、カルチャー &gt; 航空機 &gt; 航空関連グッズ</t>
  </si>
  <si>
    <t>0,24242,26186,27770</t>
  </si>
  <si>
    <t>オークション &gt; ホビー、カルチャー &gt; 航空機 &gt; その他</t>
  </si>
  <si>
    <t>0,24242,26186,2084007966</t>
  </si>
  <si>
    <t>オークション &gt; おもちゃ、ゲーム &gt; スロットカー &gt; 車体</t>
  </si>
  <si>
    <t>オークション &gt; おもちゃ、ゲーム &gt; スロットカー &gt; パーツ</t>
  </si>
  <si>
    <t>アクセサリ</t>
  </si>
  <si>
    <t>コース</t>
  </si>
  <si>
    <t>オークション &gt; おもちゃ、ゲーム &gt; スロットカー &gt; コース</t>
  </si>
  <si>
    <t>オークション &gt; ホビー、カルチャー &gt; アマチュア無線 &gt; アクセサリ</t>
  </si>
  <si>
    <t>0,24242,23761,2084036890</t>
  </si>
  <si>
    <t>オークション &gt; おもちゃ、ゲーム &gt; スロットカー &gt; その他</t>
  </si>
  <si>
    <t>オークション &gt; ホビー、カルチャー &gt; アマチュア無線 &gt; アンテナ</t>
  </si>
  <si>
    <t>0,24242,23761,23762</t>
  </si>
  <si>
    <t>トランシーバー</t>
  </si>
  <si>
    <t>オークション &gt; ホビー、カルチャー &gt; アマチュア無線 &gt; トランシーバー</t>
  </si>
  <si>
    <t>0,24242,23761,23763</t>
  </si>
  <si>
    <t>受信機</t>
  </si>
  <si>
    <t>オークション &gt; ホビー、カルチャー &gt; アマチュア無線 &gt; 受信機</t>
  </si>
  <si>
    <t>0,24242,23761,2084036891</t>
  </si>
  <si>
    <t>電子部品</t>
  </si>
  <si>
    <t>オークション &gt; ホビー、カルチャー &gt; アマチュア無線 &gt; 電子部品</t>
  </si>
  <si>
    <t>0,24242,23761,2084263358</t>
  </si>
  <si>
    <t>オークション &gt; ホビー、カルチャー &gt; アマチュア無線 &gt; その他</t>
  </si>
  <si>
    <t>0,24242,23761,23765</t>
  </si>
  <si>
    <t>車両単品</t>
  </si>
  <si>
    <t>オークション &gt; おもちゃ、ゲーム &gt; プラレール &gt; 車両単品</t>
  </si>
  <si>
    <t>レール部品</t>
  </si>
  <si>
    <t>オークション &gt; おもちゃ、ゲーム &gt; プラレール &gt; レール部品</t>
  </si>
  <si>
    <t>キャンプ、アウトドア</t>
  </si>
  <si>
    <t>オークション &gt; その他 &gt; レンタル &gt; スポーツ、レジャー &gt; キャンプ、アウトドア</t>
  </si>
  <si>
    <t>0,26084,2084307720,2084307762,2084307765</t>
  </si>
  <si>
    <t>オークション &gt; おもちゃ、ゲーム &gt; プラレール &gt; セット</t>
  </si>
  <si>
    <t>情景部品</t>
  </si>
  <si>
    <t>オークション &gt; その他 &gt; レンタル &gt; スポーツ、レジャー &gt; 自転車</t>
  </si>
  <si>
    <t>オークション &gt; おもちゃ、ゲーム &gt; プラレール &gt; 情景部品</t>
  </si>
  <si>
    <t>0,26084,2084307720,2084307762,2084307766</t>
  </si>
  <si>
    <t>カプセルプラレール</t>
  </si>
  <si>
    <t>オークション &gt; おもちゃ、ゲーム &gt; プラレール &gt; カプセルプラレール</t>
  </si>
  <si>
    <t>スキー、スノーボード</t>
  </si>
  <si>
    <t>オークション &gt; その他 &gt; レンタル &gt; スポーツ、レジャー &gt; スキー、スノーボード</t>
  </si>
  <si>
    <t>0,26084,2084307720,2084307762,2084307767</t>
  </si>
  <si>
    <t>オークション &gt; おもちゃ、ゲーム &gt; プラレール &gt; その他</t>
  </si>
  <si>
    <t>電動ガン</t>
  </si>
  <si>
    <t>オークション &gt; ホビー、カルチャー &gt; ミリタリー &gt; トイガン &gt; 電動ガン</t>
  </si>
  <si>
    <t>ガスガン</t>
  </si>
  <si>
    <t>オークション &gt; ホビー、カルチャー &gt; ミリタリー &gt; トイガン &gt; ガスガン</t>
  </si>
  <si>
    <t>エアガン</t>
  </si>
  <si>
    <t>オークション &gt; ホビー、カルチャー &gt; ミリタリー &gt; トイガン &gt; エアガン</t>
  </si>
  <si>
    <t>オークション &gt; 映画、ビデオ &gt; DVD</t>
  </si>
  <si>
    <t>オークション &gt; ホビー、カルチャー &gt; ミリタリー &gt; トイガン &gt; パーツ</t>
  </si>
  <si>
    <t>モデルガン</t>
  </si>
  <si>
    <t>オークション &gt; ホビー、カルチャー &gt; ミリタリー &gt; トイガン &gt; モデルガン</t>
  </si>
  <si>
    <t>ブルーレイ</t>
  </si>
  <si>
    <t>漫画、コミック</t>
  </si>
  <si>
    <t>オークション &gt; 映画、ビデオ &gt; ブルーレイ</t>
  </si>
  <si>
    <t>オークション &gt; 本、雑誌 &gt; 漫画、コミック</t>
  </si>
  <si>
    <t>0,21600,21636</t>
  </si>
  <si>
    <t>オークション &gt; ホビー、カルチャー &gt; ミリタリー &gt; トイガン &gt; その他</t>
  </si>
  <si>
    <t>オークション &gt; 映画、ビデオ &gt; VCD</t>
  </si>
  <si>
    <t>ビデオテープ</t>
  </si>
  <si>
    <t>オークション &gt; 映画、ビデオ &gt; ビデオテープ</t>
  </si>
  <si>
    <t>オークション &gt; 本、雑誌 &gt; 雑誌</t>
  </si>
  <si>
    <t>0,21600,21884</t>
  </si>
  <si>
    <t>オークション &gt; 映画、ビデオ &gt; レーザーディスク</t>
  </si>
  <si>
    <t>文学、小説</t>
  </si>
  <si>
    <t>オークション &gt; 本、雑誌 &gt; 文学、小説</t>
  </si>
  <si>
    <t>0,21600,2084008525</t>
  </si>
  <si>
    <t>映画音楽</t>
  </si>
  <si>
    <t>オークション &gt; 映画、ビデオ &gt; 映画音楽</t>
  </si>
  <si>
    <t>映画関連グッズ</t>
  </si>
  <si>
    <t>ノンフィクション、教養</t>
  </si>
  <si>
    <t>オークション &gt; 映画、ビデオ &gt; 映画関連グッズ</t>
  </si>
  <si>
    <t>オークション &gt; 本、雑誌 &gt; ノンフィクション、教養</t>
  </si>
  <si>
    <t>0,21600,2084008550</t>
  </si>
  <si>
    <t>地図、旅行ガイド</t>
  </si>
  <si>
    <t>オークション &gt; 映画、ビデオ &gt; チケット</t>
  </si>
  <si>
    <t>オークション &gt; 本、雑誌 &gt; 地図、旅行ガイド</t>
  </si>
  <si>
    <t>0,21600,21740</t>
  </si>
  <si>
    <t>映像制作</t>
  </si>
  <si>
    <t>オークション &gt; 映画、ビデオ &gt; 映像制作</t>
  </si>
  <si>
    <t>趣味、スポーツ、実用</t>
  </si>
  <si>
    <t>オークション &gt; 本、雑誌 &gt; 趣味、スポーツ、実用</t>
  </si>
  <si>
    <t>0,21600,2084008861</t>
  </si>
  <si>
    <t>住まい、暮らし、育児</t>
  </si>
  <si>
    <t>オークション &gt; 本、雑誌 &gt; 住まい、暮らし、育児</t>
  </si>
  <si>
    <t>0,21600,2084008935</t>
  </si>
  <si>
    <t>学習、教育</t>
  </si>
  <si>
    <t>オークション &gt; 本、雑誌 &gt; 学習、教育</t>
  </si>
  <si>
    <t>0,21600,21712</t>
  </si>
  <si>
    <t>オークション &gt; 映画、ビデオ &gt; DVD &gt; 映画</t>
  </si>
  <si>
    <t>オークション &gt; 本、雑誌 &gt; 児童書、絵本</t>
  </si>
  <si>
    <t>0,21600,21624</t>
  </si>
  <si>
    <t>アニメ</t>
  </si>
  <si>
    <t>コンピュータとインターネット</t>
  </si>
  <si>
    <t>オークション &gt; 映画、ビデオ &gt; DVD &gt; アニメ</t>
  </si>
  <si>
    <t>オークション &gt; 本、雑誌 &gt; コンピュータとインターネット</t>
  </si>
  <si>
    <t>0,21600,21700</t>
  </si>
  <si>
    <t>戦隊シリーズ</t>
  </si>
  <si>
    <t>オークション &gt; おもちゃ、ゲーム &gt; ヒーローごっこ、格闘 &gt; 戦隊シリーズ</t>
  </si>
  <si>
    <t>テレビドラマ</t>
  </si>
  <si>
    <t>オークション &gt; 映画、ビデオ &gt; DVD &gt; テレビドラマ</t>
  </si>
  <si>
    <t>自然科学と技術</t>
  </si>
  <si>
    <t>オークション &gt; 本、雑誌 &gt; 自然科学と技術</t>
  </si>
  <si>
    <t>アイドル</t>
  </si>
  <si>
    <t>0,21600,21820</t>
  </si>
  <si>
    <t>オークション &gt; 映画、ビデオ &gt; DVD &gt; アイドル</t>
  </si>
  <si>
    <t>仮面ライダー</t>
  </si>
  <si>
    <t>オークション &gt; おもちゃ、ゲーム &gt; ヒーローごっこ、格闘 &gt; 仮面ライダー</t>
  </si>
  <si>
    <t>趣味、実用</t>
  </si>
  <si>
    <t>オークション &gt; 映画、ビデオ &gt; DVD &gt; 趣味、実用</t>
  </si>
  <si>
    <t>健康と医学</t>
  </si>
  <si>
    <t>オークション &gt; 本、雑誌 &gt; 健康と医学</t>
  </si>
  <si>
    <t>0,21600,2084008989</t>
  </si>
  <si>
    <t>お笑い、バラエティ</t>
  </si>
  <si>
    <t>オークション &gt; 映画、ビデオ &gt; DVD &gt; お笑い、バラエティ</t>
  </si>
  <si>
    <t>オークション &gt; おもちゃ、ゲーム &gt; ヒーローごっこ、格闘 &gt; ウルトラマン</t>
  </si>
  <si>
    <t>アート、エンターテインメント</t>
  </si>
  <si>
    <t>オークション &gt; 映画、ビデオ &gt; DVD &gt; スポーツ、レジャー</t>
  </si>
  <si>
    <t>オークション &gt; 本、雑誌 &gt; アート、エンターテインメント</t>
  </si>
  <si>
    <t>0,21600,2084009036</t>
  </si>
  <si>
    <t>オークション &gt; おもちゃ、ゲーム &gt; ヒーローごっこ、格闘 &gt; フィギュア</t>
  </si>
  <si>
    <t>演劇、ミュージカル</t>
  </si>
  <si>
    <t>オークション &gt; 映画、ビデオ &gt; DVD &gt; 演劇、ミュージカル</t>
  </si>
  <si>
    <t>ビジネス、経済</t>
  </si>
  <si>
    <t>オークション &gt; 本、雑誌 &gt; ビジネス、経済</t>
  </si>
  <si>
    <t>オークション &gt; おもちゃ、ゲーム &gt; ヒーローごっこ、格闘 &gt; その他</t>
  </si>
  <si>
    <t>0,21600,2084008755</t>
  </si>
  <si>
    <t>キッズ、ファミリー</t>
  </si>
  <si>
    <t>オークション &gt; 映画、ビデオ &gt; DVD &gt; キッズ、ファミリー</t>
  </si>
  <si>
    <t>人文、社会</t>
  </si>
  <si>
    <t>オークション &gt; 本、雑誌 &gt; 人文、社会</t>
  </si>
  <si>
    <t>オークション &gt; 映画、ビデオ &gt; DVD &gt; 音楽</t>
  </si>
  <si>
    <t>オークション &gt; 映画、ビデオ &gt; DVD &gt; 特撮</t>
  </si>
  <si>
    <t>オークション &gt; おもちゃ、ゲーム &gt; ヒロイン、おしゃれ遊び &gt; プリキュア</t>
  </si>
  <si>
    <t>オークション &gt; 本、雑誌 &gt; 古書、古文書</t>
  </si>
  <si>
    <t>オークション &gt; 映画、ビデオ &gt; DVD &gt; その他</t>
  </si>
  <si>
    <t>0,21600,2084263670</t>
  </si>
  <si>
    <t>セーラームーン</t>
  </si>
  <si>
    <t>オークション &gt; おもちゃ、ゲーム &gt; ヒロイン、おしゃれ遊び &gt; セーラームーン</t>
  </si>
  <si>
    <t>オークション &gt; 本、雑誌 &gt; カレンダー</t>
  </si>
  <si>
    <t>0,21600,20072</t>
  </si>
  <si>
    <t>オークション &gt; おもちゃ、ゲーム &gt; ヒロイン、おしゃれ遊び &gt; その他</t>
  </si>
  <si>
    <t>オークション &gt; 映画、ビデオ &gt; ブルーレイ &gt; 映画</t>
  </si>
  <si>
    <t>スーパードルフィー</t>
  </si>
  <si>
    <t>オークション &gt; おもちゃ、ゲーム &gt; 人形、キャラクタードール &gt; スーパードルフィー</t>
  </si>
  <si>
    <t>オークション &gt; 本、雑誌 &gt; ブックカバー</t>
  </si>
  <si>
    <t>オークション &gt; 映画、ビデオ &gt; ブルーレイ &gt; テレビドラマ</t>
  </si>
  <si>
    <t>0,21600,2084063841</t>
  </si>
  <si>
    <t>ドルフィードリーム</t>
  </si>
  <si>
    <t>オークション &gt; おもちゃ、ゲーム &gt; 人形、キャラクタードール &gt; ドルフィードリーム</t>
  </si>
  <si>
    <t>オークション &gt; 映画、ビデオ &gt; ブルーレイ &gt; アニメ</t>
  </si>
  <si>
    <t>オークション &gt; おもちゃ、ゲーム &gt; 人形、キャラクタードール &gt; カスタムドール</t>
  </si>
  <si>
    <t>オークション &gt; 映画、ビデオ &gt; ブルーレイ &gt; お笑い、バラエティ</t>
  </si>
  <si>
    <t>オークション &gt; おもちゃ、ゲーム &gt; 人形、キャラクタードール &gt; キャラクタードール</t>
  </si>
  <si>
    <t>CDブック</t>
  </si>
  <si>
    <t>アイドル、グラビア</t>
  </si>
  <si>
    <t>オークション &gt; 映画、ビデオ &gt; ブルーレイ &gt; アイドル、グラビア</t>
  </si>
  <si>
    <t>オークション &gt; 本、雑誌 &gt; CDブック</t>
  </si>
  <si>
    <t>0,21600,2084047451</t>
  </si>
  <si>
    <t>着せかえ人形</t>
  </si>
  <si>
    <t>オークション &gt; おもちゃ、ゲーム &gt; 人形、キャラクタードール &gt; 着せかえ人形</t>
  </si>
  <si>
    <t>オークション &gt; 映画、ビデオ &gt; ブルーレイ &gt; キッズ、ファミリー</t>
  </si>
  <si>
    <t>日本人形</t>
  </si>
  <si>
    <t>オークション &gt; おもちゃ、ゲーム &gt; 人形、キャラクタードール &gt; 日本人形</t>
  </si>
  <si>
    <t>スポーツ、フィットネス</t>
  </si>
  <si>
    <t>ビスクドール</t>
  </si>
  <si>
    <t>オークション &gt; 映画、ビデオ &gt; ブルーレイ &gt; スポーツ、フィットネス</t>
  </si>
  <si>
    <t>オークション &gt; おもちゃ、ゲーム &gt; 人形、キャラクタードール &gt; ビスクドール</t>
  </si>
  <si>
    <t>ドールハウス</t>
  </si>
  <si>
    <t>ノンフィクション</t>
  </si>
  <si>
    <t>オークション &gt; おもちゃ、ゲーム &gt; 人形、キャラクタードール &gt; ドールハウス</t>
  </si>
  <si>
    <t>オークション &gt; 映画、ビデオ &gt; ブルーレイ &gt; ノンフィクション</t>
  </si>
  <si>
    <t>抱き人形、ベビー人形</t>
  </si>
  <si>
    <t>オークション &gt; おもちゃ、ゲーム &gt; 人形、キャラクタードール &gt; 抱き人形、ベビー人形</t>
  </si>
  <si>
    <t>オークション &gt; 映画、ビデオ &gt; ブルーレイ &gt; 演劇、ミュージカル</t>
  </si>
  <si>
    <t>手作り人形</t>
  </si>
  <si>
    <t>オークション &gt; おもちゃ、ゲーム &gt; 人形、キャラクタードール &gt; 手作り人形</t>
  </si>
  <si>
    <t>オークション &gt; 映画、ビデオ &gt; ブルーレイ &gt; 音楽</t>
  </si>
  <si>
    <t>オークション &gt; おもちゃ、ゲーム &gt; 人形、キャラクタードール &gt; ぬいぐるみ</t>
  </si>
  <si>
    <t>オークション &gt; 映画、ビデオ &gt; ブルーレイ &gt; 趣味、実用</t>
  </si>
  <si>
    <t>オークション &gt; おもちゃ、ゲーム &gt; 人形、キャラクタードール &gt; フィギュア</t>
  </si>
  <si>
    <t>オークション &gt; 映画、ビデオ &gt; ブルーレイ &gt; その他</t>
  </si>
  <si>
    <t>オークション &gt; おもちゃ、ゲーム &gt; 人形、キャラクタードール &gt; その他</t>
  </si>
  <si>
    <t>オークション &gt; おもちゃ、ゲーム &gt; ぬいぐるみ &gt; キャラクター</t>
  </si>
  <si>
    <t>SF、ファンタジー</t>
  </si>
  <si>
    <t>オークション &gt; 映画、ビデオ &gt; VCD &gt; SF、ファンタジー</t>
  </si>
  <si>
    <t>オークション &gt; おもちゃ、ゲーム &gt; ぬいぐるみ &gt; 動物</t>
  </si>
  <si>
    <t>アクション、アドベンチャー</t>
  </si>
  <si>
    <t>オークション &gt; 映画、ビデオ &gt; VCD &gt; アクション、アドベンチャー</t>
  </si>
  <si>
    <t>テディベア</t>
  </si>
  <si>
    <t>オークション &gt; おもちゃ、ゲーム &gt; ぬいぐるみ &gt; テディベア</t>
  </si>
  <si>
    <t>アニメーション</t>
  </si>
  <si>
    <t>オークション &gt; 映画、ビデオ &gt; VCD &gt; アニメーション</t>
  </si>
  <si>
    <t>あみぐるみ</t>
  </si>
  <si>
    <t>オークション &gt; おもちゃ、ゲーム &gt; ぬいぐるみ &gt; あみぐるみ</t>
  </si>
  <si>
    <t>コメディ</t>
  </si>
  <si>
    <t>オークション &gt; 映画、ビデオ &gt; VCD &gt; コメディ</t>
  </si>
  <si>
    <t>羊毛フェルト</t>
  </si>
  <si>
    <t>オークション &gt; おもちゃ、ゲーム &gt; ぬいぐるみ &gt; 羊毛フェルト</t>
  </si>
  <si>
    <t>サスペンス</t>
  </si>
  <si>
    <t>オークション &gt; 映画、ビデオ &gt; VCD &gt; サスペンス</t>
  </si>
  <si>
    <t>Ty ビーニーズ</t>
  </si>
  <si>
    <t>オークション &gt; おもちゃ、ゲーム &gt; ぬいぐるみ &gt; Ty ビーニーズ</t>
  </si>
  <si>
    <t>ドキュメンタリー</t>
  </si>
  <si>
    <t>オークション &gt; 映画、ビデオ &gt; VCD &gt; ドキュメンタリー</t>
  </si>
  <si>
    <t>ドラマ</t>
  </si>
  <si>
    <t>オークション &gt; 映画、ビデオ &gt; VCD &gt; ドラマ</t>
  </si>
  <si>
    <t>オークション &gt; おもちゃ、ゲーム &gt; ままごと &gt; キッチン用品</t>
  </si>
  <si>
    <t>オークション &gt; 本、雑誌 &gt; 雑誌 &gt; アート、エンターテインメント</t>
  </si>
  <si>
    <t>ホラー</t>
  </si>
  <si>
    <t>オークション &gt; 映画、ビデオ &gt; VCD &gt; ホラー</t>
  </si>
  <si>
    <t>食べ物</t>
  </si>
  <si>
    <t>オークション &gt; おもちゃ、ゲーム &gt; ままごと &gt; 食べ物</t>
  </si>
  <si>
    <t>ミュージカル</t>
  </si>
  <si>
    <t>オークション &gt; 映画、ビデオ &gt; VCD &gt; ミュージカル</t>
  </si>
  <si>
    <t>オークション &gt; 本、雑誌 &gt; 雑誌 &gt; コンピュータとインターネット</t>
  </si>
  <si>
    <t>ままごとセット</t>
  </si>
  <si>
    <t>西部劇</t>
  </si>
  <si>
    <t>オークション &gt; おもちゃ、ゲーム &gt; ままごと &gt; ままごとセット</t>
  </si>
  <si>
    <t>オークション &gt; 映画、ビデオ &gt; VCD &gt; 西部劇</t>
  </si>
  <si>
    <t>トレンド情報、タウンガイド</t>
  </si>
  <si>
    <t>オークション &gt; 本、雑誌 &gt; 雑誌 &gt; トレンド情報、タウンガイド</t>
  </si>
  <si>
    <t>戦争</t>
  </si>
  <si>
    <t>オークション &gt; 映画、ビデオ &gt; VCD &gt; 戦争</t>
  </si>
  <si>
    <t>ニュース、総合</t>
  </si>
  <si>
    <t>オークション &gt; 本、雑誌 &gt; 雑誌 &gt; ニュース、総合</t>
  </si>
  <si>
    <t>オークション &gt; 映画、ビデオ &gt; VCD &gt; 特撮</t>
  </si>
  <si>
    <t>オークション &gt; 本、雑誌 &gt; 雑誌 &gt; ファッション</t>
  </si>
  <si>
    <t>オークション &gt; 映画、ビデオ &gt; VCD &gt; その他</t>
  </si>
  <si>
    <t>外国語雑誌</t>
  </si>
  <si>
    <t>オークション &gt; 本、雑誌 &gt; 雑誌 &gt; 外国語雑誌</t>
  </si>
  <si>
    <t>オークション &gt; おもちゃ、ゲーム &gt; キャラクター玩具 &gt; アニメーション</t>
  </si>
  <si>
    <t>オークション &gt; 本、雑誌 &gt; 雑誌 &gt; 学習、教育</t>
  </si>
  <si>
    <t>オークション &gt; 映画、ビデオ &gt; ビデオテープ &gt; アイドル</t>
  </si>
  <si>
    <t>PostPet</t>
  </si>
  <si>
    <t>オークション &gt; 本、雑誌 &gt; 雑誌 &gt; 自然科学と技術</t>
  </si>
  <si>
    <t>オークション &gt; 映画、ビデオ &gt; ビデオテープ &gt; アニメ</t>
  </si>
  <si>
    <t>オークション &gt; おもちゃ、ゲーム &gt; キャラクター玩具 &gt; PostPet</t>
  </si>
  <si>
    <t>オークション &gt; 映画、ビデオ &gt; ビデオテープ &gt; スポーツ、レジャー</t>
  </si>
  <si>
    <t>オークション &gt; 本、雑誌 &gt; 雑誌 &gt; 趣味、スポーツ、実用</t>
  </si>
  <si>
    <t>きかんしゃトーマス</t>
  </si>
  <si>
    <t>オークション &gt; おもちゃ、ゲーム &gt; キャラクター玩具 &gt; きかんしゃトーマス</t>
  </si>
  <si>
    <t>オークション &gt; 映画、ビデオ &gt; ビデオテープ &gt; テレビドラマ</t>
  </si>
  <si>
    <t>たれぱんだ</t>
  </si>
  <si>
    <t>オークション &gt; おもちゃ、ゲーム &gt; キャラクター玩具 &gt; たれぱんだ</t>
  </si>
  <si>
    <t>オークション &gt; 本、雑誌 &gt; 雑誌 &gt; 住まい、暮らし、育児</t>
  </si>
  <si>
    <t>オークション &gt; 映画、ビデオ &gt; ビデオテープ &gt; ホビー、カルチャー</t>
  </si>
  <si>
    <t>オークション &gt; おもちゃ、ゲーム &gt; キャラクター玩具 &gt; ウルトラマン</t>
  </si>
  <si>
    <t>人文、社会、ノンフィクション</t>
  </si>
  <si>
    <t>オークション &gt; 本、雑誌 &gt; 雑誌 &gt; 人文、社会、ノンフィクション</t>
  </si>
  <si>
    <t>オークション &gt; 映画、ビデオ &gt; ビデオテープ &gt; 映画</t>
  </si>
  <si>
    <t>キューピー</t>
  </si>
  <si>
    <t>オークション &gt; おもちゃ、ゲーム &gt; キャラクター玩具 &gt; キューピー</t>
  </si>
  <si>
    <t>オークション &gt; 映画、ビデオ &gt; ビデオテープ &gt; 音楽</t>
  </si>
  <si>
    <t>オークション &gt; 本、雑誌 &gt; 雑誌 &gt; 文学、小説</t>
  </si>
  <si>
    <t>シナモロール</t>
  </si>
  <si>
    <t>オークション &gt; おもちゃ、ゲーム &gt; キャラクター玩具 &gt; シナモロール</t>
  </si>
  <si>
    <t>漫画､コミック</t>
  </si>
  <si>
    <t>オークション &gt; 映画、ビデオ &gt; ビデオテープ &gt; 特撮</t>
  </si>
  <si>
    <t>オークション &gt; 本、雑誌 &gt; 雑誌 &gt; 漫画､コミック</t>
  </si>
  <si>
    <t>スヌーピー、ピーナッツ</t>
  </si>
  <si>
    <t>オークション &gt; おもちゃ、ゲーム &gt; キャラクター玩具 &gt; スヌーピー、ピーナッツ</t>
  </si>
  <si>
    <t>オークション &gt; 映画、ビデオ &gt; ビデオテープ &gt; その他</t>
  </si>
  <si>
    <t>セサミストリート</t>
  </si>
  <si>
    <t>オークション &gt; おもちゃ、ゲーム &gt; キャラクター玩具 &gt; セサミストリート</t>
  </si>
  <si>
    <t>オークション &gt; おもちゃ、ゲーム &gt; キャラクター玩具 &gt; ディズニー</t>
  </si>
  <si>
    <t>小説一般</t>
  </si>
  <si>
    <t>オークション &gt; 本、雑誌 &gt; 文学、小説 &gt; 小説一般</t>
  </si>
  <si>
    <t>オークション &gt; 映画、ビデオ &gt; レーザーディスク &gt; SF、ファンタジー</t>
  </si>
  <si>
    <t>ナイトメア・ビフォア・クリスマス</t>
  </si>
  <si>
    <t>オークション &gt; おもちゃ、ゲーム &gt; キャラクター玩具 &gt; ナイトメア・ビフォア・クリスマス</t>
  </si>
  <si>
    <t>ライトノベル</t>
  </si>
  <si>
    <t>オークション &gt; 本、雑誌 &gt; 文学、小説 &gt; ライトノベル</t>
  </si>
  <si>
    <t>オークション &gt; 映画、ビデオ &gt; レーザーディスク &gt; アクション、アドベンチャー</t>
  </si>
  <si>
    <t>オークション &gt; おもちゃ、ゲーム &gt; キャラクター玩具 &gt; ハローキティ</t>
  </si>
  <si>
    <t>ロマンス、恋愛小説</t>
  </si>
  <si>
    <t>オークション &gt; 本、雑誌 &gt; 文学、小説 &gt; ロマンス、恋愛小説</t>
  </si>
  <si>
    <t>オークション &gt; 映画、ビデオ &gt; レーザーディスク &gt; アニメーション</t>
  </si>
  <si>
    <t>ペコちゃん</t>
  </si>
  <si>
    <t>オークション &gt; おもちゃ、ゲーム &gt; キャラクター玩具 &gt; ペコちゃん</t>
  </si>
  <si>
    <t>オークション &gt; 本、雑誌 &gt; 文学、小説 &gt; SF</t>
  </si>
  <si>
    <t>ミッフィー</t>
  </si>
  <si>
    <t>オークション &gt; おもちゃ、ゲーム &gt; キャラクター玩具 &gt; ミッフィー</t>
  </si>
  <si>
    <t>ファンタジー</t>
  </si>
  <si>
    <t>オークション &gt; 本、雑誌 &gt; 文学、小説 &gt; ファンタジー</t>
  </si>
  <si>
    <t>オークション &gt; 映画、ビデオ &gt; レーザーディスク &gt; コメディ</t>
  </si>
  <si>
    <t>リラックマ</t>
  </si>
  <si>
    <t>オークション &gt; 本、雑誌 &gt; 文学、小説 &gt; ホラー</t>
  </si>
  <si>
    <t>オークション &gt; おもちゃ、ゲーム &gt; キャラクター玩具 &gt; リラックマ</t>
  </si>
  <si>
    <t>サイレント</t>
  </si>
  <si>
    <t>オークション &gt; 映画、ビデオ &gt; レーザーディスク &gt; サイレント</t>
  </si>
  <si>
    <t>ミステリー</t>
  </si>
  <si>
    <t>オークション &gt; 本、雑誌 &gt; 文学、小説 &gt; ミステリー</t>
  </si>
  <si>
    <t>オークション &gt; おもちゃ、ゲーム &gt; キャラクター玩具 &gt; 仮面ライダー</t>
  </si>
  <si>
    <t>オークション &gt; 映画、ビデオ &gt; レーザーディスク &gt; サスペンス</t>
  </si>
  <si>
    <t>時代、歴史</t>
  </si>
  <si>
    <t>オークション &gt; 映画、ビデオ &gt; レーザーディスク &gt; ドキュメンタリー</t>
  </si>
  <si>
    <t>オークション &gt; 本、雑誌 &gt; 文学、小説 &gt; 時代、歴史</t>
  </si>
  <si>
    <t>純文学</t>
  </si>
  <si>
    <t>オークション &gt; 本、雑誌 &gt; 文学、小説 &gt; 純文学</t>
  </si>
  <si>
    <t>オークション &gt; 映画、ビデオ &gt; レーザーディスク &gt; ドラマ</t>
  </si>
  <si>
    <t>グリコ</t>
  </si>
  <si>
    <t>オークション &gt; おもちゃ、ゲーム &gt; 食玩、おまけ &gt; グリコ</t>
  </si>
  <si>
    <t>古典文学</t>
  </si>
  <si>
    <t>オークション &gt; 本、雑誌 &gt; 文学、小説 &gt; 古典文学</t>
  </si>
  <si>
    <t>ハリウッド古典</t>
  </si>
  <si>
    <t>オークション &gt; 映画、ビデオ &gt; レーザーディスク &gt; ハリウッド古典</t>
  </si>
  <si>
    <t>エッセイ、随筆</t>
  </si>
  <si>
    <t>オークション &gt; 本、雑誌 &gt; 文学、小説 &gt; エッセイ、随筆</t>
  </si>
  <si>
    <t>チョコエッグ</t>
  </si>
  <si>
    <t>オークション &gt; おもちゃ、ゲーム &gt; 食玩、おまけ &gt; チョコエッグ</t>
  </si>
  <si>
    <t>オークション &gt; 映画、ビデオ &gt; レーザーディスク &gt; ホラー</t>
  </si>
  <si>
    <t>ブックガイド、作家入門</t>
  </si>
  <si>
    <t>オークション &gt; 本、雑誌 &gt; 文学、小説 &gt; ブックガイド、作家入門</t>
  </si>
  <si>
    <t>ワールドタンクミュージアム</t>
  </si>
  <si>
    <t>オークション &gt; おもちゃ、ゲーム &gt; 食玩、おまけ &gt; ワールドタンクミュージアム</t>
  </si>
  <si>
    <t>海外文学研究</t>
  </si>
  <si>
    <t>オークション &gt; 本、雑誌 &gt; 文学、小説 &gt; 海外文学研究</t>
  </si>
  <si>
    <t>オークション &gt; 映画、ビデオ &gt; レーザーディスク &gt; ミュージカル</t>
  </si>
  <si>
    <t>ビックリマン</t>
  </si>
  <si>
    <t>オークション &gt; おもちゃ、ゲーム &gt; 食玩、おまけ &gt; ビックリマン</t>
  </si>
  <si>
    <t>国文学研究</t>
  </si>
  <si>
    <t>オークション &gt; 本、雑誌 &gt; 文学、小説 &gt; 国文学研究</t>
  </si>
  <si>
    <t>オークション &gt; おもちゃ、ゲーム &gt; 食玩、おまけ &gt; ファーストフードトイ</t>
  </si>
  <si>
    <t>オークション &gt; 映画、ビデオ &gt; レーザーディスク &gt; 音楽</t>
  </si>
  <si>
    <t>詩</t>
  </si>
  <si>
    <t>オークション &gt; おもちゃ、ゲーム &gt; 食玩、おまけ &gt; フィギュア</t>
  </si>
  <si>
    <t>オークション &gt; 本、雑誌 &gt; 文学、小説 &gt; 詩</t>
  </si>
  <si>
    <t>オークション &gt; おもちゃ、ゲーム &gt; 食玩、おまけ &gt; ミニカー</t>
  </si>
  <si>
    <t>子ども向け</t>
  </si>
  <si>
    <t>短歌、俳句</t>
  </si>
  <si>
    <t>オークション &gt; 映画、ビデオ &gt; レーザーディスク &gt; 子ども向け</t>
  </si>
  <si>
    <t>オークション &gt; 本、雑誌 &gt; 文学、小説 &gt; 短歌、俳句</t>
  </si>
  <si>
    <t>オークション &gt; おもちゃ、ゲーム &gt; 食玩、おまけ &gt; その他</t>
  </si>
  <si>
    <t>洋書、外国語書籍</t>
  </si>
  <si>
    <t>オークション &gt; 本、雑誌 &gt; 文学、小説 &gt; 洋書、外国語書籍</t>
  </si>
  <si>
    <t>オークション &gt; 映画、ビデオ &gt; レーザーディスク &gt; 時代劇</t>
  </si>
  <si>
    <t>ジグソーパズル</t>
  </si>
  <si>
    <t>オークション &gt; おもちゃ、ゲーム &gt; パズル &gt; ジグソーパズル</t>
  </si>
  <si>
    <t>オークション &gt; 映画、ビデオ &gt; レーザーディスク &gt; 西部劇</t>
  </si>
  <si>
    <t>ルービックキューブ</t>
  </si>
  <si>
    <t>オークション &gt; おもちゃ、ゲーム &gt; パズル &gt; ルービックキューブ</t>
  </si>
  <si>
    <t>知恵の輪</t>
  </si>
  <si>
    <t>オークション &gt; おもちゃ、ゲーム &gt; パズル &gt; 知恵の輪</t>
  </si>
  <si>
    <t>オークション &gt; 映画、ビデオ &gt; レーザーディスク &gt; 戦争</t>
  </si>
  <si>
    <t>サブカルチャー</t>
  </si>
  <si>
    <t>オークション &gt; 本、雑誌 &gt; ノンフィクション、教養 &gt; サブカルチャー</t>
  </si>
  <si>
    <t>立体パズル</t>
  </si>
  <si>
    <t>オークション &gt; おもちゃ、ゲーム &gt; パズル &gt; 立体パズル</t>
  </si>
  <si>
    <t>オークション &gt; 映画、ビデオ &gt; レーザーディスク &gt; 特撮</t>
  </si>
  <si>
    <t>オークション &gt; おもちゃ、ゲーム &gt; パズル &gt; その他</t>
  </si>
  <si>
    <t>オークション &gt; 本、雑誌 &gt; ノンフィクション、教養 &gt; ドキュメンタリー</t>
  </si>
  <si>
    <t>輸入盤</t>
  </si>
  <si>
    <t>オークション &gt; 映画、ビデオ &gt; レーザーディスク &gt; 輸入盤</t>
  </si>
  <si>
    <t>オークション &gt; 本、雑誌 &gt; ノンフィクション、教養 &gt; ノンフィクション</t>
  </si>
  <si>
    <t>オークション &gt; おもちゃ、ゲーム &gt; ゲーム &gt; テレビゲーム</t>
  </si>
  <si>
    <t>オークション &gt; 映画、ビデオ &gt; レーザーディスク &gt; その他</t>
  </si>
  <si>
    <t>雑学、知識</t>
  </si>
  <si>
    <t>オークション &gt; 本、雑誌 &gt; ノンフィクション、教養 &gt; 雑学、知識</t>
  </si>
  <si>
    <t>オークション &gt; おもちゃ、ゲーム &gt; ゲーム &gt; アーケードゲーム</t>
  </si>
  <si>
    <t>人生論、メンタルヘルス</t>
  </si>
  <si>
    <t>オークション &gt; 本、雑誌 &gt; ノンフィクション、教養 &gt; 人生論、メンタルヘルス</t>
  </si>
  <si>
    <t>オークション &gt; おもちゃ、ゲーム &gt; ゲーム &gt; トレーディングカードゲーム</t>
  </si>
  <si>
    <t>戦記、ミリタリー</t>
  </si>
  <si>
    <t>オークション &gt; 本、雑誌 &gt; ノンフィクション、教養 &gt; 戦記、ミリタリー</t>
  </si>
  <si>
    <t>カードゲーム</t>
  </si>
  <si>
    <t>オークション &gt; おもちゃ、ゲーム &gt; ゲーム &gt; カードゲーム</t>
  </si>
  <si>
    <t>CD</t>
  </si>
  <si>
    <t>オークション &gt; 映画、ビデオ &gt; 映画音楽 &gt; CD</t>
  </si>
  <si>
    <t>TRPG</t>
  </si>
  <si>
    <t>オークション &gt; おもちゃ、ゲーム &gt; ゲーム &gt; TRPG</t>
  </si>
  <si>
    <t>超常現象、オカルト</t>
  </si>
  <si>
    <t>オークション &gt; 本、雑誌 &gt; ノンフィクション、教養 &gt; 超常現象、オカルト</t>
  </si>
  <si>
    <t>ボードゲーム</t>
  </si>
  <si>
    <t>オークション &gt; おもちゃ、ゲーム &gt; ゲーム &gt; ボードゲーム</t>
  </si>
  <si>
    <t>伝記、人物評伝</t>
  </si>
  <si>
    <t>オークション &gt; 本、雑誌 &gt; ノンフィクション、教養 &gt; 伝記、人物評伝</t>
  </si>
  <si>
    <t>オークション &gt; おもちゃ、ゲーム &gt; ゲーム &gt; ダーツ</t>
  </si>
  <si>
    <t>オークション &gt; 映画、ビデオ &gt; 映画音楽 &gt; カセットテープ</t>
  </si>
  <si>
    <t>オークション &gt; おもちゃ、ゲーム &gt; ゲーム &gt; ビリヤード</t>
  </si>
  <si>
    <t>恋愛、結婚</t>
  </si>
  <si>
    <t>オークション &gt; 本、雑誌 &gt; ノンフィクション、教養 &gt; 恋愛、結婚</t>
  </si>
  <si>
    <t>ビンゴ</t>
  </si>
  <si>
    <t>オークション &gt; おもちゃ、ゲーム &gt; ゲーム &gt; ビンゴ</t>
  </si>
  <si>
    <t>オークション &gt; 映画、ビデオ &gt; 映画音楽 &gt; ビデオ</t>
  </si>
  <si>
    <t>麻雀</t>
  </si>
  <si>
    <t>オークション &gt; おもちゃ、ゲーム &gt; ゲーム &gt; 麻雀</t>
  </si>
  <si>
    <t>ポンジャン、ドンジャラ</t>
  </si>
  <si>
    <t>オークション &gt; おもちゃ、ゲーム &gt; ゲーム &gt; ポンジャン、ドンジャラ</t>
  </si>
  <si>
    <t>オークション &gt; 映画、ビデオ &gt; 映画音楽 &gt; レーザーディスク</t>
  </si>
  <si>
    <t>日本地図</t>
  </si>
  <si>
    <t>メダルゲーム</t>
  </si>
  <si>
    <t>オークション &gt; おもちゃ、ゲーム &gt; ゲーム &gt; メダルゲーム</t>
  </si>
  <si>
    <t>オークション &gt; 本、雑誌 &gt; 地図、旅行ガイド &gt; 日本地図</t>
  </si>
  <si>
    <t>オークション &gt; おもちゃ、ゲーム &gt; ゲーム &gt; ゲームレンタル</t>
  </si>
  <si>
    <t>オークション &gt; 映画、ビデオ &gt; 映画音楽 &gt; レコード</t>
  </si>
  <si>
    <t>道路地図</t>
  </si>
  <si>
    <t>オークション &gt; 本、雑誌 &gt; 地図、旅行ガイド &gt; 道路地図</t>
  </si>
  <si>
    <t>住宅地図</t>
  </si>
  <si>
    <t>オークション &gt; 本、雑誌 &gt; 地図、旅行ガイド &gt; 住宅地図</t>
  </si>
  <si>
    <t>手品</t>
  </si>
  <si>
    <t>オークション &gt; おもちゃ、ゲーム &gt; 手品、パーティグッズ &gt; 手品</t>
  </si>
  <si>
    <t>世界地図</t>
  </si>
  <si>
    <t>オークション &gt; 映画、ビデオ &gt; 映画関連グッズ &gt; サイン</t>
  </si>
  <si>
    <t>オークション &gt; 本、雑誌 &gt; 地図、旅行ガイド &gt; 世界地図</t>
  </si>
  <si>
    <t>旅行、レジャーガイド</t>
  </si>
  <si>
    <t>オークション &gt; 本、雑誌 &gt; 地図、旅行ガイド &gt; 旅行、レジャーガイド</t>
  </si>
  <si>
    <t>パーティグッズ</t>
  </si>
  <si>
    <t>オークション &gt; おもちゃ、ゲーム &gt; 手品、パーティグッズ &gt; パーティグッズ</t>
  </si>
  <si>
    <t>オークション &gt; 本、雑誌 &gt; 地図、旅行ガイド &gt; 古地図</t>
  </si>
  <si>
    <t>オークション &gt; 映画、ビデオ &gt; 映画関連グッズ &gt; チラシ</t>
  </si>
  <si>
    <t>オークション &gt; 本、雑誌 &gt; 地図、旅行ガイド &gt; その他</t>
  </si>
  <si>
    <t>LEGO</t>
  </si>
  <si>
    <t>オークション &gt; 映画、ビデオ &gt; 映画関連グッズ &gt; テレホンカード</t>
  </si>
  <si>
    <t>オークション &gt; おもちゃ、ゲーム &gt; ブロック、積木 &gt; LEGO</t>
  </si>
  <si>
    <t>キューブリック、ベアブリック</t>
  </si>
  <si>
    <t>オークション &gt; おもちゃ、ゲーム &gt; ブロック、積木 &gt; キューブリック、ベアブリック</t>
  </si>
  <si>
    <t>オークション &gt; 映画、ビデオ &gt; 映画関連グッズ &gt; パンフレット</t>
  </si>
  <si>
    <t>アウトドア</t>
  </si>
  <si>
    <t>ブロック</t>
  </si>
  <si>
    <t>オークション &gt; 本、雑誌 &gt; 趣味、スポーツ、実用 &gt; アウトドア</t>
  </si>
  <si>
    <t>オークション &gt; おもちゃ、ゲーム &gt; ブロック、積木 &gt; ブロック</t>
  </si>
  <si>
    <t>プレイモービル</t>
  </si>
  <si>
    <t>オークション &gt; 映画、ビデオ &gt; 映画関連グッズ &gt; ポスター</t>
  </si>
  <si>
    <t>オークション &gt; おもちゃ、ゲーム &gt; ブロック、積木 &gt; プレイモービル</t>
  </si>
  <si>
    <t>イラスト、カット</t>
  </si>
  <si>
    <t>オークション &gt; 本、雑誌 &gt; 趣味、スポーツ、実用 &gt; イラスト、カット</t>
  </si>
  <si>
    <t>積木</t>
  </si>
  <si>
    <t>オークション &gt; おもちゃ、ゲーム &gt; ブロック、積木 &gt; 積木</t>
  </si>
  <si>
    <t>オークション &gt; 本、雑誌 &gt; 趣味、スポーツ、実用 &gt; オーディオ</t>
  </si>
  <si>
    <t>オークション &gt; 映画、ビデオ &gt; 映画関連グッズ &gt; 写真</t>
  </si>
  <si>
    <t>オークション &gt; おもちゃ、ゲーム &gt; ブロック、積木 &gt; その他</t>
  </si>
  <si>
    <t>オークション &gt; 本、雑誌 &gt; 趣味、スポーツ、実用 &gt; オートバイ</t>
  </si>
  <si>
    <t>小道具、衣装</t>
  </si>
  <si>
    <t>オークション &gt; 映画、ビデオ &gt; 映画関連グッズ &gt; 小道具、衣装</t>
  </si>
  <si>
    <t>カメラ、ビデオ</t>
  </si>
  <si>
    <t>オークション &gt; 本、雑誌 &gt; 趣味、スポーツ、実用 &gt; カメラ、ビデオ</t>
  </si>
  <si>
    <t>オークション &gt; おもちゃ、ゲーム &gt; こま &gt; 一般</t>
  </si>
  <si>
    <t>ギャンブル</t>
  </si>
  <si>
    <t>オークション &gt; 本、雑誌 &gt; 趣味、スポーツ、実用 &gt; ギャンブル</t>
  </si>
  <si>
    <t>ベイブレード</t>
  </si>
  <si>
    <t>オークション &gt; 映画、ビデオ &gt; 映画関連グッズ &gt; 切り抜き</t>
  </si>
  <si>
    <t>オークション &gt; おもちゃ、ゲーム &gt; こま &gt; ベイブレード</t>
  </si>
  <si>
    <t>スピーチ</t>
  </si>
  <si>
    <t>オークション &gt; 本、雑誌 &gt; 趣味、スポーツ、実用 &gt; スピーチ</t>
  </si>
  <si>
    <t>台本</t>
  </si>
  <si>
    <t>オークション &gt; 映画、ビデオ &gt; 映画関連グッズ &gt; 台本</t>
  </si>
  <si>
    <t>オークション &gt; 本、雑誌 &gt; 趣味、スポーツ、実用 &gt; スポーツ</t>
  </si>
  <si>
    <t>ペット、動物</t>
  </si>
  <si>
    <t>オークション &gt; 本、雑誌 &gt; 趣味、スポーツ、実用 &gt; ペット、動物</t>
  </si>
  <si>
    <t>オークション &gt; 映画、ビデオ &gt; 映画関連グッズ &gt; その他</t>
  </si>
  <si>
    <t>囲碁、将棋</t>
  </si>
  <si>
    <t>オークション &gt; 本、雑誌 &gt; 趣味、スポーツ、実用 &gt; 囲碁、将棋</t>
  </si>
  <si>
    <t>オークション &gt; 本、雑誌 &gt; 趣味、スポーツ、実用 &gt; 花、園芸</t>
  </si>
  <si>
    <t>貨幣収集、切手収集</t>
  </si>
  <si>
    <t>オークション &gt; 本、雑誌 &gt; 趣味、スポーツ、実用 &gt; 貨幣収集、切手収集</t>
  </si>
  <si>
    <t>オークション &gt; 本、雑誌 &gt; 趣味、スポーツ、実用 &gt; 航空機</t>
  </si>
  <si>
    <t>邦画</t>
  </si>
  <si>
    <t>オークション &gt; チケット、金券、宿泊予約 &gt; 興行チケット &gt; 映画 &gt; 邦画</t>
  </si>
  <si>
    <t>オークション &gt; 本、雑誌 &gt; 趣味、スポーツ、実用 &gt; 自動車</t>
  </si>
  <si>
    <t>占い</t>
  </si>
  <si>
    <t>オークション &gt; 本、雑誌 &gt; 趣味、スポーツ、実用 &gt; 占い</t>
  </si>
  <si>
    <t>洋画</t>
  </si>
  <si>
    <t>船舶</t>
  </si>
  <si>
    <t>オークション &gt; チケット、金券、宿泊予約 &gt; 興行チケット &gt; 映画 &gt; 洋画</t>
  </si>
  <si>
    <t>オークション &gt; 本、雑誌 &gt; 趣味、スポーツ、実用 &gt; 船舶</t>
  </si>
  <si>
    <t>茶道</t>
  </si>
  <si>
    <t>オークション &gt; 本、雑誌 &gt; 趣味、スポーツ、実用 &gt; 茶道</t>
  </si>
  <si>
    <t>オークション &gt; チケット、金券、宿泊予約 &gt; 興行チケット &gt; 映画 &gt; その他</t>
  </si>
  <si>
    <t>釣り、フィッシング</t>
  </si>
  <si>
    <t>オークション &gt; 本、雑誌 &gt; 趣味、スポーツ、実用 &gt; 釣り、フィッシング</t>
  </si>
  <si>
    <t>オークション &gt; 本、雑誌 &gt; 趣味、スポーツ、実用 &gt; 鉄道</t>
  </si>
  <si>
    <t>名づけ、姓名判断</t>
  </si>
  <si>
    <t>オークション &gt; 本、雑誌 &gt; 趣味、スポーツ、実用 &gt; 名づけ、姓名判断</t>
  </si>
  <si>
    <t>たいこ</t>
  </si>
  <si>
    <t>オークション &gt; おもちゃ、ゲーム &gt; 楽器玩具 &gt; たいこ</t>
  </si>
  <si>
    <t>模型、プラモデル、ラジコン</t>
  </si>
  <si>
    <t>オークション &gt; 本、雑誌 &gt; 趣味、スポーツ、実用 &gt; 模型、プラモデル、ラジコン</t>
  </si>
  <si>
    <t>ピアノ</t>
  </si>
  <si>
    <t>オークション &gt; おもちゃ、ゲーム &gt; 楽器玩具 &gt; ピアノ</t>
  </si>
  <si>
    <t>オークション &gt; 本、雑誌 &gt; 趣味、スポーツ、実用 &gt; 旅行、レジャーガイド</t>
  </si>
  <si>
    <t>笛、ラッパ</t>
  </si>
  <si>
    <t>オークション &gt; おもちゃ、ゲーム &gt; 楽器玩具 &gt; 笛、ラッパ</t>
  </si>
  <si>
    <t>オークション &gt; 本、雑誌 &gt; 趣味、スポーツ、実用 &gt; その他</t>
  </si>
  <si>
    <t>オークション &gt; おもちゃ、ゲーム &gt; 楽器玩具 &gt; 楽器、器材</t>
  </si>
  <si>
    <t>オークション &gt; おもちゃ、ゲーム &gt; 楽器玩具 &gt; その他</t>
  </si>
  <si>
    <t>しつけ、育児</t>
  </si>
  <si>
    <t>オークション &gt; 本、雑誌 &gt; 住まい、暮らし、育児 &gt; しつけ、育児</t>
  </si>
  <si>
    <t>インテリア、家づくり</t>
  </si>
  <si>
    <t>オークション &gt; 本、雑誌 &gt; 住まい、暮らし、育児 &gt; インテリア、家づくり</t>
  </si>
  <si>
    <t>三輪車</t>
  </si>
  <si>
    <t>オークション &gt; おもちゃ、ゲーム &gt; 乗用玩具 &gt; 三輪車</t>
  </si>
  <si>
    <t>オークション &gt; 本、雑誌 &gt; 住まい、暮らし、育児 &gt; ダイエット</t>
  </si>
  <si>
    <t>キックボード</t>
  </si>
  <si>
    <t>オークション &gt; おもちゃ、ゲーム &gt; 乗用玩具 &gt; キックボード</t>
  </si>
  <si>
    <t>ファッション、美容</t>
  </si>
  <si>
    <t>オークション &gt; 本、雑誌 &gt; 住まい、暮らし、育児 &gt; ファッション、美容</t>
  </si>
  <si>
    <t>家事、マナー</t>
  </si>
  <si>
    <t>オークション &gt; 本、雑誌 &gt; 住まい、暮らし、育児 &gt; 家事、マナー</t>
  </si>
  <si>
    <t>オークション &gt; おもちゃ、ゲーム &gt; 乗用玩具 &gt; ベビー用</t>
  </si>
  <si>
    <t>家庭医学</t>
  </si>
  <si>
    <t>一輪車</t>
  </si>
  <si>
    <t>オークション &gt; 本、雑誌 &gt; 住まい、暮らし、育児 &gt; 家庭医学</t>
  </si>
  <si>
    <t>オークション &gt; おもちゃ、ゲーム &gt; 乗用玩具 &gt; 一輪車</t>
  </si>
  <si>
    <t>オークション &gt; 本、雑誌 &gt; 住まい、暮らし、育児 &gt; 花、園芸</t>
  </si>
  <si>
    <t>オークション &gt; おもちゃ、ゲーム &gt; 乗用玩具 &gt; 自転車、サイクリング</t>
  </si>
  <si>
    <t>オークション &gt; 家電、AV、カメラ &gt; 映像機器</t>
  </si>
  <si>
    <t>健康法</t>
  </si>
  <si>
    <t>オークション &gt; 本、雑誌 &gt; 住まい、暮らし、育児 &gt; 健康法</t>
  </si>
  <si>
    <t>オークション &gt; おもちゃ、ゲーム &gt; 乗用玩具 &gt; その他</t>
  </si>
  <si>
    <t>オークション &gt; 本、雑誌 &gt; 住まい、暮らし、育児 &gt; 雑誌</t>
  </si>
  <si>
    <t>オークション &gt; 家電、AV、カメラ &gt; オーディオ機器</t>
  </si>
  <si>
    <t>手紙、文書</t>
  </si>
  <si>
    <t>オークション &gt; 本、雑誌 &gt; 住まい、暮らし、育児 &gt; 手紙、文書</t>
  </si>
  <si>
    <t>カメラ、光学機器</t>
  </si>
  <si>
    <t>オークション &gt; 家電、AV、カメラ &gt; カメラ、光学機器</t>
  </si>
  <si>
    <t>オークション &gt; 本、雑誌 &gt; 住まい、暮らし、育児 &gt; 酒、ドリンク</t>
  </si>
  <si>
    <t>文字、ことば</t>
  </si>
  <si>
    <t>オークション &gt; おもちゃ、ゲーム &gt; 知育玩具 &gt; 文字、ことば</t>
  </si>
  <si>
    <t>女性の医学</t>
  </si>
  <si>
    <t>オークション &gt; 本、雑誌 &gt; 住まい、暮らし、育児 &gt; 女性の医学</t>
  </si>
  <si>
    <t>かず、計算</t>
  </si>
  <si>
    <t>オークション &gt; おもちゃ、ゲーム &gt; 知育玩具 &gt; かず、計算</t>
  </si>
  <si>
    <t>携帯電話、スマートフォン</t>
  </si>
  <si>
    <t>妊娠、出産</t>
  </si>
  <si>
    <t>オークション &gt; 家電、AV、カメラ &gt; 携帯電話、スマートフォン</t>
  </si>
  <si>
    <t>オークション &gt; 本、雑誌 &gt; 住まい、暮らし、育児 &gt; 妊娠、出産</t>
  </si>
  <si>
    <t>リズム、音楽</t>
  </si>
  <si>
    <t>オークション &gt; おもちゃ、ゲーム &gt; 知育玩具 &gt; リズム、音楽</t>
  </si>
  <si>
    <t>料理、レシピ</t>
  </si>
  <si>
    <t>オークション &gt; 本、雑誌 &gt; 住まい、暮らし、育児 &gt; 料理、レシピ</t>
  </si>
  <si>
    <t>スマートウォッチ、ウェアラブル端末</t>
  </si>
  <si>
    <t>英語</t>
  </si>
  <si>
    <t>オークション &gt; 家電、AV、カメラ &gt; スマートウォッチ、ウェアラブル端末</t>
  </si>
  <si>
    <t>オークション &gt; 本、雑誌 &gt; 住まい、暮らし、育児 &gt; 恋愛、結婚</t>
  </si>
  <si>
    <t>オークション &gt; おもちゃ、ゲーム &gt; 知育玩具 &gt; 英語</t>
  </si>
  <si>
    <t>和洋裁、手芸</t>
  </si>
  <si>
    <t>オークション &gt; 本、雑誌 &gt; 住まい、暮らし、育児 &gt; 和洋裁、手芸</t>
  </si>
  <si>
    <t>カルタ</t>
  </si>
  <si>
    <t>オークション &gt; おもちゃ、ゲーム &gt; 知育玩具 &gt; カルタ</t>
  </si>
  <si>
    <t>オークション &gt; 家電、AV、カメラ &gt; 防犯カメラ</t>
  </si>
  <si>
    <t>オークション &gt; おもちゃ、ゲーム &gt; 知育玩具 &gt; パズル</t>
  </si>
  <si>
    <t>オークション &gt; おもちゃ、ゲーム &gt; 知育玩具 &gt; ブロック、積木</t>
  </si>
  <si>
    <t>オークション &gt; 家電、AV、カメラ &gt; キッチン、食卓</t>
  </si>
  <si>
    <t>リファレンス、辞書</t>
  </si>
  <si>
    <t>オークション &gt; 本、雑誌 &gt; 学習、教育 &gt; リファレンス、辞書</t>
  </si>
  <si>
    <t>学習参考書</t>
  </si>
  <si>
    <t>オークション &gt; おもちゃ、ゲーム &gt; 知育玩具 &gt; 学習参考書</t>
  </si>
  <si>
    <t>知育絵本、学習絵本</t>
  </si>
  <si>
    <t>オークション &gt; おもちゃ、ゲーム &gt; 知育玩具 &gt; 知育絵本、学習絵本</t>
  </si>
  <si>
    <t>洗濯、アイロン</t>
  </si>
  <si>
    <t>オークション &gt; 本、雑誌 &gt; 学習、教育 &gt; 学習参考書</t>
  </si>
  <si>
    <t>オークション &gt; 家電、AV、カメラ &gt; 洗濯、アイロン</t>
  </si>
  <si>
    <t>オークション &gt; おもちゃ、ゲーム &gt; 知育玩具 &gt; その他</t>
  </si>
  <si>
    <t>教育書、保育書</t>
  </si>
  <si>
    <t>オークション &gt; 本、雑誌 &gt; 学習、教育 &gt; 教育書、保育書</t>
  </si>
  <si>
    <t>掃除</t>
  </si>
  <si>
    <t>オークション &gt; 家電、AV、カメラ &gt; 掃除</t>
  </si>
  <si>
    <t>教科書</t>
  </si>
  <si>
    <t>オークション &gt; 本、雑誌 &gt; 学習、教育 &gt; 教科書</t>
  </si>
  <si>
    <t>語学</t>
  </si>
  <si>
    <t>オークション &gt; 本、雑誌 &gt; 学習、教育 &gt; 語学</t>
  </si>
  <si>
    <t>問題集</t>
  </si>
  <si>
    <t>オークション &gt; 本、雑誌 &gt; 学習、教育 &gt; 問題集</t>
  </si>
  <si>
    <t>キッズコンピュータ</t>
  </si>
  <si>
    <t>オークション &gt; 家電、AV、カメラ &gt; 冷暖房、空調</t>
  </si>
  <si>
    <t>オークション &gt; おもちゃ、ゲーム &gt; 電子玩具 &gt; キッズコンピュータ</t>
  </si>
  <si>
    <t>専門書（自然科学と技術）</t>
  </si>
  <si>
    <t>オークション &gt; 本、雑誌 &gt; 学習、教育 &gt; 専門書（自然科学と技術）</t>
  </si>
  <si>
    <t>専門書（人文、社会）</t>
  </si>
  <si>
    <t>オークション &gt; 本、雑誌 &gt; 学習、教育 &gt; 専門書（人文、社会）</t>
  </si>
  <si>
    <t>オークション &gt; おもちゃ、ゲーム &gt; 電子玩具 &gt; テレビゲーム</t>
  </si>
  <si>
    <t>バーチャルペット</t>
  </si>
  <si>
    <t>オークション &gt; おもちゃ、ゲーム &gt; 電子玩具 &gt; バーチャルペット</t>
  </si>
  <si>
    <t>オークション &gt; 家電、AV、カメラ &gt; 美容、健康</t>
  </si>
  <si>
    <t>学研電子ブロック</t>
  </si>
  <si>
    <t>オークション &gt; おもちゃ、ゲーム &gt; 電子玩具 &gt; 学研電子ブロック</t>
  </si>
  <si>
    <t>児童電子手帳</t>
  </si>
  <si>
    <t>オークション &gt; おもちゃ、ゲーム &gt; 電子玩具 &gt; 児童電子手帳</t>
  </si>
  <si>
    <t>オークション &gt; 家電、AV、カメラ &gt; 電話、ファクシミリ</t>
  </si>
  <si>
    <t>オークション &gt; おもちゃ、ゲーム &gt; 電子玩具 &gt; その他</t>
  </si>
  <si>
    <t>すべり台</t>
  </si>
  <si>
    <t>オークション &gt; 家電、AV、カメラ &gt; OA機器</t>
  </si>
  <si>
    <t>オークション &gt; おもちゃ、ゲーム &gt; 遊具 &gt; すべり台</t>
  </si>
  <si>
    <t>ジャングルジム</t>
  </si>
  <si>
    <t>オークション &gt; おもちゃ、ゲーム &gt; 遊具 &gt; ジャングルジム</t>
  </si>
  <si>
    <t>オークション &gt; 家電、AV、カメラ &gt; シュレッダー</t>
  </si>
  <si>
    <t>ブランコ</t>
  </si>
  <si>
    <t>オークション &gt; おもちゃ、ゲーム &gt; 遊具 &gt; ブランコ</t>
  </si>
  <si>
    <t>オークション &gt; おもちゃ、ゲーム &gt; 遊具 &gt; その他</t>
  </si>
  <si>
    <t>オークション &gt; 家電、AV、カメラ &gt; 電子辞書</t>
  </si>
  <si>
    <t>スター・ウォーズシリーズ</t>
  </si>
  <si>
    <t>オークション &gt; おもちゃ、ゲーム &gt; SF &gt; スター・ウォーズシリーズ</t>
  </si>
  <si>
    <t>オークション &gt; 家電、AV、カメラ &gt; 電卓</t>
  </si>
  <si>
    <t>オークション &gt; おもちゃ、ゲーム &gt; SF &gt; その他</t>
  </si>
  <si>
    <t>Mac</t>
  </si>
  <si>
    <t>オークション &gt; 本、雑誌 &gt; コンピュータとインターネット &gt; Mac</t>
  </si>
  <si>
    <t>電池、バッテリー、充電器</t>
  </si>
  <si>
    <t>オークション &gt; 家電、AV、カメラ &gt; 電池、バッテリー、充電器</t>
  </si>
  <si>
    <t>マクドナルド</t>
  </si>
  <si>
    <t>OS</t>
  </si>
  <si>
    <t>オークション &gt; おもちゃ、ゲーム &gt; ファーストフードトイ &gt; マクドナルド</t>
  </si>
  <si>
    <t>オークション &gt; 本、雑誌 &gt; コンピュータとインターネット &gt; OS</t>
  </si>
  <si>
    <t>オークション &gt; 家電、AV、カメラ &gt; 変圧器、アダプター</t>
  </si>
  <si>
    <t>ケンタッキー・フライド・チキン</t>
  </si>
  <si>
    <t>オークション &gt; おもちゃ、ゲーム &gt; ファーストフードトイ &gt; ケンタッキー・フライド・チキン</t>
  </si>
  <si>
    <t>アプリケーション</t>
  </si>
  <si>
    <t>オークション &gt; 本、雑誌 &gt; コンピュータとインターネット &gt; アプリケーション</t>
  </si>
  <si>
    <t>バーガーキング</t>
  </si>
  <si>
    <t>オークション &gt; おもちゃ、ゲーム &gt; ファーストフードトイ &gt; バーガーキング</t>
  </si>
  <si>
    <t>ミスタードーナツ</t>
  </si>
  <si>
    <t>オークション &gt; おもちゃ、ゲーム &gt; ファーストフードトイ &gt; ミスタードーナツ</t>
  </si>
  <si>
    <t>インターネット、通信</t>
  </si>
  <si>
    <t>オークション &gt; 本、雑誌 &gt; コンピュータとインターネット &gt; インターネット、通信</t>
  </si>
  <si>
    <t>オークション &gt; おもちゃ、ゲーム &gt; ファーストフードトイ &gt; その他</t>
  </si>
  <si>
    <t>オークション &gt; 家電、AV、カメラ &gt; 電子部品</t>
  </si>
  <si>
    <t>コンピュータ資格試験</t>
  </si>
  <si>
    <t>オークション &gt; 本、雑誌 &gt; コンピュータとインターネット &gt; コンピュータ資格試験</t>
  </si>
  <si>
    <t>システム設計、開発</t>
  </si>
  <si>
    <t>オークション &gt; 本、雑誌 &gt; コンピュータとインターネット &gt; システム設計、開発</t>
  </si>
  <si>
    <t>オークション &gt; 家電、AV、カメラ &gt; テレビゲーム</t>
  </si>
  <si>
    <t>デジタルクリエイト</t>
  </si>
  <si>
    <t>オークション &gt; 本、雑誌 &gt; コンピュータとインターネット &gt; デジタルクリエイト</t>
  </si>
  <si>
    <t>パソコン、周辺機器</t>
  </si>
  <si>
    <r>
      <t>&gt;</t>
    </r>
    <r>
      <rPr>
        <sz val="8"/>
        <color rgb="FF000000"/>
        <rFont val="Courier New"/>
        <family val="3"/>
      </rPr>
      <t>オークション &gt; 家電、AV、カメラ &gt; パソコン、周辺機器</t>
    </r>
  </si>
  <si>
    <t>ハードウエア</t>
  </si>
  <si>
    <t>オークション &gt; 本、雑誌 &gt; コンピュータとインターネット &gt; ハードウエア</t>
  </si>
  <si>
    <t>言語</t>
  </si>
  <si>
    <t>オークション &gt; 本、雑誌 &gt; コンピュータとインターネット &gt; 言語</t>
  </si>
  <si>
    <t>家庭用電化製品</t>
  </si>
  <si>
    <t>オークション &gt; 家電、AV、カメラ &gt; 家庭用電化製品</t>
  </si>
  <si>
    <t>オークション &gt; 本、雑誌 &gt; コンピュータとインターネット &gt; 雑誌</t>
  </si>
  <si>
    <t>オークション &gt; 家電、AV、カメラ &gt; 照明器具</t>
  </si>
  <si>
    <t>化学</t>
  </si>
  <si>
    <t>オークション &gt; 本、雑誌 &gt; 自然科学と技術 &gt; 化学</t>
  </si>
  <si>
    <t>時計</t>
  </si>
  <si>
    <t>オークション &gt; 家電、AV、カメラ &gt; 時計</t>
  </si>
  <si>
    <t>科学</t>
  </si>
  <si>
    <t>オークション &gt; 本、雑誌 &gt; 自然科学と技術 &gt; 科学</t>
  </si>
  <si>
    <t>オークション &gt; 家電、AV、カメラ &gt; アマチュア無線</t>
  </si>
  <si>
    <t>環境</t>
  </si>
  <si>
    <t>オークション &gt; 本、雑誌 &gt; 自然科学と技術 &gt; 環境</t>
  </si>
  <si>
    <t>工学</t>
  </si>
  <si>
    <t>オークション &gt; 本、雑誌 &gt; 自然科学と技術 &gt; 工学</t>
  </si>
  <si>
    <t>オークション &gt; 家電、AV、カメラ &gt; その他</t>
  </si>
  <si>
    <t>オークション &gt; 本、雑誌 &gt; 自然科学と技術 &gt; 雑誌</t>
  </si>
  <si>
    <t>数学</t>
  </si>
  <si>
    <t>オークション &gt; 本、雑誌 &gt; 自然科学と技術 &gt; 数学</t>
  </si>
  <si>
    <t>生物学</t>
  </si>
  <si>
    <t>オークション &gt; 本、雑誌 &gt; 自然科学と技術 &gt; 生物学</t>
  </si>
  <si>
    <t>地学</t>
  </si>
  <si>
    <t>オークション &gt; 本、雑誌 &gt; 自然科学と技術 &gt; 地学</t>
  </si>
  <si>
    <t>オークション &gt; 家電、AV、カメラ &gt; 映像機器 &gt; テレビ</t>
  </si>
  <si>
    <t>0,23632,23880,23884</t>
  </si>
  <si>
    <t>天文、宇宙</t>
  </si>
  <si>
    <t>オークション &gt; 本、雑誌 &gt; 自然科学と技術 &gt; 天文、宇宙</t>
  </si>
  <si>
    <t>農学</t>
  </si>
  <si>
    <t>プロジェクター</t>
  </si>
  <si>
    <t>オークション &gt; 本、雑誌 &gt; 自然科学と技術 &gt; 農学</t>
  </si>
  <si>
    <t>オークション &gt; 家電、AV、カメラ &gt; 映像機器 &gt; プロジェクター</t>
  </si>
  <si>
    <t>0,23632,23880,2084018963</t>
  </si>
  <si>
    <t>物理学</t>
  </si>
  <si>
    <t>オークション &gt; 本、雑誌 &gt; 自然科学と技術 &gt; 物理学</t>
  </si>
  <si>
    <t>ブルーレイレコーダー</t>
  </si>
  <si>
    <t>オークション &gt; 家電、AV、カメラ &gt; 映像機器 &gt; ブルーレイレコーダー</t>
  </si>
  <si>
    <t>0,23632,23880,2084230819</t>
  </si>
  <si>
    <t>ブルーレイプレーヤー</t>
  </si>
  <si>
    <t>オークション &gt; 家電、AV、カメラ &gt; 映像機器 &gt; ブルーレイプレーヤー</t>
  </si>
  <si>
    <t>0,23632,23880,2084284115</t>
  </si>
  <si>
    <t>DVDレコーダー</t>
  </si>
  <si>
    <t>オークション &gt; 音楽 &gt; CD</t>
  </si>
  <si>
    <t>オークション &gt; 家電、AV、カメラ &gt; 映像機器 &gt; DVDレコーダー</t>
  </si>
  <si>
    <t>0,23632,23880,2084048827</t>
  </si>
  <si>
    <t>オークション &gt; 本、雑誌 &gt; 健康と医学 &gt; ダイエット</t>
  </si>
  <si>
    <t>DVDプレーヤー</t>
  </si>
  <si>
    <t>オークション &gt; 家電、AV、カメラ &gt; 映像機器 &gt; DVDプレーヤー</t>
  </si>
  <si>
    <t>0,23632,23880,23928</t>
  </si>
  <si>
    <t>オークション &gt; 音楽 &gt; レコード</t>
  </si>
  <si>
    <t>医学</t>
  </si>
  <si>
    <t>オークション &gt; 本、雑誌 &gt; 健康と医学 &gt; 医学</t>
  </si>
  <si>
    <t>オークション &gt; 家電、AV、カメラ &gt; 映像機器 &gt; アンテナ</t>
  </si>
  <si>
    <t>0,23632,23880,2084018964</t>
  </si>
  <si>
    <t>オークション &gt; 音楽 &gt; カセットテープ</t>
  </si>
  <si>
    <t>オークション &gt; 本、雑誌 &gt; 健康と医学 &gt; 家庭医学</t>
  </si>
  <si>
    <t>オークション &gt; 家電、AV、カメラ &gt; 映像機器 &gt; チューナー</t>
  </si>
  <si>
    <t>0,23632,23880,2084018965</t>
  </si>
  <si>
    <t>オークション &gt; 音楽 &gt; DVD</t>
  </si>
  <si>
    <t>看護学</t>
  </si>
  <si>
    <t>オークション &gt; 本、雑誌 &gt; 健康と医学 &gt; 看護学</t>
  </si>
  <si>
    <t>記録メディア</t>
  </si>
  <si>
    <t>オークション &gt; 家電、AV、カメラ &gt; 映像機器 &gt; 記録メディア</t>
  </si>
  <si>
    <t>0,23632,23880,2084239218</t>
  </si>
  <si>
    <t>オークション &gt; 本、雑誌 &gt; 健康と医学 &gt; 健康法</t>
  </si>
  <si>
    <t>オークション &gt; 音楽 &gt; ブルーレイ</t>
  </si>
  <si>
    <t>映像用ケーブル</t>
  </si>
  <si>
    <t>オークション &gt; 家電、AV、カメラ &gt; 映像機器 &gt; 映像用ケーブル</t>
  </si>
  <si>
    <t>0,23632,23880,2084221807</t>
  </si>
  <si>
    <t>オークション &gt; 本、雑誌 &gt; 健康と医学 &gt; 雑誌</t>
  </si>
  <si>
    <t>オークション &gt; 音楽 &gt; ビデオ</t>
  </si>
  <si>
    <t>LDプレーヤー</t>
  </si>
  <si>
    <t>オークション &gt; 家電、AV、カメラ &gt; 映像機器 &gt; LDプレーヤー</t>
  </si>
  <si>
    <t>0,23632,23880,23932</t>
  </si>
  <si>
    <t>オークション &gt; 本、雑誌 &gt; 健康と医学 &gt; 女性の医学</t>
  </si>
  <si>
    <t>ビデオカメラ</t>
  </si>
  <si>
    <t>オークション &gt; 音楽 &gt; レーザーディスク</t>
  </si>
  <si>
    <t>オークション &gt; 家電、AV、カメラ &gt; 映像機器 &gt; ビデオカメラ</t>
  </si>
  <si>
    <t>オークション &gt; 本、雑誌 &gt; 健康と医学 &gt; 妊娠、出産</t>
  </si>
  <si>
    <t>0,23632,23880,23936</t>
  </si>
  <si>
    <t>福祉</t>
  </si>
  <si>
    <t>オークション &gt; 本、雑誌 &gt; 健康と医学 &gt; 福祉</t>
  </si>
  <si>
    <t>オークション &gt; 家電、AV、カメラ &gt; 映像機器 &gt; ビデオデッキ</t>
  </si>
  <si>
    <r>
      <t>SP盤</t>
    </r>
    <r>
      <rPr>
        <sz val="8"/>
        <color theme="1"/>
        <rFont val="Courier New"/>
        <family val="3"/>
      </rPr>
      <t>&lt;</t>
    </r>
  </si>
  <si>
    <t>0,23632,23880,23900</t>
  </si>
  <si>
    <t>オークション &gt; 音楽 &gt; SP盤</t>
  </si>
  <si>
    <t>薬学</t>
  </si>
  <si>
    <t>オークション &gt; 本、雑誌 &gt; 健康と医学 &gt; 薬学</t>
  </si>
  <si>
    <t>オークション &gt; 家電、AV、カメラ &gt; 映像機器 &gt; リモコン</t>
  </si>
  <si>
    <t>0,23632,23880,2084205438</t>
  </si>
  <si>
    <t>オークション &gt; 音楽 &gt; 楽器、器材</t>
  </si>
  <si>
    <t>AVアンプ</t>
  </si>
  <si>
    <t>オークション &gt; 家電、AV、カメラ &gt; 映像機器 &gt; AVアンプ</t>
  </si>
  <si>
    <t>0,23632,23880,2084037424</t>
  </si>
  <si>
    <t>テレビ台、AVボード</t>
  </si>
  <si>
    <t>オークション &gt; 家電、AV、カメラ &gt; 映像機器 &gt; テレビ台、AVボード</t>
  </si>
  <si>
    <t>金券、チケット</t>
  </si>
  <si>
    <t>0,23632,23880,2084015554</t>
  </si>
  <si>
    <t>オークション &gt; 音楽 &gt; 金券、チケット</t>
  </si>
  <si>
    <t>オークション &gt; 家電、AV、カメラ &gt; 映像機器 &gt; その他</t>
  </si>
  <si>
    <t>0,23632,23880,2084051816</t>
  </si>
  <si>
    <t>オークション &gt; 本、雑誌 &gt; アート、エンターテインメント &gt; アニメーション</t>
  </si>
  <si>
    <t>オークション &gt; 音楽 &gt; 本、雑誌</t>
  </si>
  <si>
    <t>オークション &gt; 本、雑誌 &gt; アート、エンターテインメント &gt; ゲーム攻略本</t>
  </si>
  <si>
    <t>記念品、思い出の品</t>
  </si>
  <si>
    <t>デザイン</t>
  </si>
  <si>
    <t>オークション &gt; 音楽 &gt; 記念品、思い出の品</t>
  </si>
  <si>
    <t>オークション &gt; 本、雑誌 &gt; アート、エンターテインメント &gt; デザイン</t>
  </si>
  <si>
    <t>バレエ、ダンス</t>
  </si>
  <si>
    <t>オークション &gt; 本、雑誌 &gt; アート、エンターテインメント &gt; バレエ、ダンス</t>
  </si>
  <si>
    <t>映画、テレビ</t>
  </si>
  <si>
    <t>オークション &gt; 本、雑誌 &gt; アート、エンターテインメント &gt; 映画、テレビ</t>
  </si>
  <si>
    <t>ポータブルプレーヤー</t>
  </si>
  <si>
    <t>オークション &gt; 家電、AV、カメラ &gt; オーディオ機器 &gt; ポータブルプレーヤー</t>
  </si>
  <si>
    <t>0,23632,23764,23848</t>
  </si>
  <si>
    <t>演劇</t>
  </si>
  <si>
    <t>オークション &gt; 本、雑誌 &gt; アート、エンターテインメント &gt; 演劇</t>
  </si>
  <si>
    <t>ヘッドフォン、イヤフォン</t>
  </si>
  <si>
    <t>音楽、楽譜</t>
  </si>
  <si>
    <t>オークション &gt; 家電、AV、カメラ &gt; オーディオ機器 &gt; ヘッドフォン、イヤフォン</t>
  </si>
  <si>
    <t>オークション &gt; 本、雑誌 &gt; アート、エンターテインメント &gt; 音楽、楽譜</t>
  </si>
  <si>
    <t>0,23632,23764,23804</t>
  </si>
  <si>
    <t>オークション &gt; 本、雑誌 &gt; アート、エンターテインメント &gt; 絵画</t>
  </si>
  <si>
    <t>音楽制作</t>
  </si>
  <si>
    <t>オークション &gt; 音楽 &gt; 音楽制作</t>
  </si>
  <si>
    <t>オークション &gt; 家電、AV、カメラ &gt; オーディオ機器 &gt; アンプ</t>
  </si>
  <si>
    <t>0,23632,23764,23792</t>
  </si>
  <si>
    <t>芸術、美術史</t>
  </si>
  <si>
    <t>オークション &gt; 本、雑誌 &gt; アート、エンターテインメント &gt; 芸術、美術史</t>
  </si>
  <si>
    <t>オークション &gt; 家電、AV、カメラ &gt; オーディオ機器 &gt; スピーカー</t>
  </si>
  <si>
    <t>0,23632,23764,23812</t>
  </si>
  <si>
    <t>オークション &gt; 本、雑誌 &gt; アート、エンターテインメント &gt; 工芸</t>
  </si>
  <si>
    <t>写真技法</t>
  </si>
  <si>
    <t>オークション &gt; 本、雑誌 &gt; アート、エンターテインメント &gt; 写真技法</t>
  </si>
  <si>
    <t>CDデッキ</t>
  </si>
  <si>
    <t>オークション &gt; 家電、AV、カメラ &gt; オーディオ機器 &gt; CDデッキ</t>
  </si>
  <si>
    <t>0,23632,23764,23772</t>
  </si>
  <si>
    <t>ジャパニーズポップス</t>
  </si>
  <si>
    <t>オークション &gt; 音楽 &gt; CD &gt; ジャパニーズポップス</t>
  </si>
  <si>
    <t>オークション &gt; 本、雑誌 &gt; アート、エンターテインメント &gt; 写真集</t>
  </si>
  <si>
    <t>オークション &gt; 家電、AV、カメラ &gt; オーディオ機器 &gt; DJ機器</t>
  </si>
  <si>
    <t>0,23632,23764,2084261081</t>
  </si>
  <si>
    <t>ロック、ポップス（洋楽）</t>
  </si>
  <si>
    <t>オークション &gt; 音楽 &gt; CD &gt; ロック、ポップス（洋楽）</t>
  </si>
  <si>
    <t>書道</t>
  </si>
  <si>
    <t>ターンテーブル</t>
  </si>
  <si>
    <t>オークション &gt; 音楽 &gt; CD &gt; 映画音楽</t>
  </si>
  <si>
    <t>オークション &gt; 本、雑誌 &gt; アート、エンターテインメント &gt; 書道</t>
  </si>
  <si>
    <t>オークション &gt; 家電、AV、カメラ &gt; オーディオ機器 &gt; ターンテーブル</t>
  </si>
  <si>
    <t>0,23632,23764,23824</t>
  </si>
  <si>
    <t>アニメソング</t>
  </si>
  <si>
    <t>オークション &gt; 音楽 &gt; CD &gt; アニメソング</t>
  </si>
  <si>
    <t>精神世界</t>
  </si>
  <si>
    <t>オークション &gt; 本、雑誌 &gt; アート、エンターテインメント &gt; 精神世界</t>
  </si>
  <si>
    <t>システムコンポ</t>
  </si>
  <si>
    <t>オークション &gt; 家電、AV、カメラ &gt; オーディオ機器 &gt; システムコンポ</t>
  </si>
  <si>
    <t>0,23632,23764,23816</t>
  </si>
  <si>
    <t>ジャズ</t>
  </si>
  <si>
    <t>伝統芸能、落語</t>
  </si>
  <si>
    <t>オークション &gt; 音楽 &gt; CD &gt; ジャズ</t>
  </si>
  <si>
    <t>オークション &gt; 本、雑誌 &gt; アート、エンターテインメント &gt; 伝統芸能、落語</t>
  </si>
  <si>
    <t>音響用ケーブル</t>
  </si>
  <si>
    <t>オークション &gt; 家電、AV、カメラ &gt; オーディオ機器 &gt; 音響用ケーブル</t>
  </si>
  <si>
    <t>0,23632,23764,2084221806</t>
  </si>
  <si>
    <t>版画、彫刻</t>
  </si>
  <si>
    <t>オークション &gt; 本、雑誌 &gt; アート、エンターテインメント &gt; 版画、彫刻</t>
  </si>
  <si>
    <t>クラシック</t>
  </si>
  <si>
    <r>
      <t>&gt;</t>
    </r>
    <r>
      <rPr>
        <sz val="8"/>
        <color rgb="FF000000"/>
        <rFont val="Courier New"/>
        <family val="3"/>
      </rPr>
      <t>オークション &gt; 音楽 &gt; CD &gt; クラシック</t>
    </r>
  </si>
  <si>
    <t>MDデッキ</t>
  </si>
  <si>
    <t>オークション &gt; 家電、AV、カメラ &gt; オーディオ機器 &gt; MDデッキ</t>
  </si>
  <si>
    <t>0,23632,23764,2084024097</t>
  </si>
  <si>
    <t>ワールドミュージック</t>
  </si>
  <si>
    <t>オークション &gt; 音楽 &gt; CD &gt; ワールドミュージック</t>
  </si>
  <si>
    <t>オークション &gt; 本、雑誌 &gt; アート、エンターテインメント &gt; その他</t>
  </si>
  <si>
    <t>ゲーム音楽</t>
  </si>
  <si>
    <t>オークション &gt; 音楽 &gt; CD &gt; ゲーム音楽</t>
  </si>
  <si>
    <t>カセットデッキ</t>
  </si>
  <si>
    <t>オークション &gt; 家電、AV、カメラ &gt; オーディオ機器 &gt; カセットデッキ</t>
  </si>
  <si>
    <t>0,23632,23764,23832</t>
  </si>
  <si>
    <t>クラブ、ダンス</t>
  </si>
  <si>
    <t>オークション &gt; 音楽 &gt; CD &gt; クラブ、ダンス</t>
  </si>
  <si>
    <t>R&amp;B、ソウル</t>
  </si>
  <si>
    <t>オークション &gt; 音楽 &gt; CD &gt; R&amp;B、ソウル</t>
  </si>
  <si>
    <t>DAT機器</t>
  </si>
  <si>
    <t>オークション &gt; 家電、AV、カメラ &gt; オーディオ機器 &gt; DAT機器</t>
  </si>
  <si>
    <t>0,23632,23764,2084286800</t>
  </si>
  <si>
    <t>ラップ、ヒップホップ</t>
  </si>
  <si>
    <t>オークション &gt; 音楽 &gt; CD &gt; ラップ、ヒップホップ</t>
  </si>
  <si>
    <t>テレビドラマサントラ</t>
  </si>
  <si>
    <t>オークション &gt; 音楽 &gt; CD &gt; テレビドラマサントラ</t>
  </si>
  <si>
    <t>オープンリールデッキ</t>
  </si>
  <si>
    <t>ビジネス</t>
  </si>
  <si>
    <t>オークション &gt; 家電、AV、カメラ &gt; オーディオ機器 &gt; オープンリールデッキ</t>
  </si>
  <si>
    <t>オークション &gt; 本、雑誌 &gt; ビジネス、経済 &gt; ビジネス</t>
  </si>
  <si>
    <t>0,23632,23764,2084286799</t>
  </si>
  <si>
    <t>ヒーリング、ニューエイジ</t>
  </si>
  <si>
    <t>オークション &gt; 音楽 &gt; CD &gt; ヒーリング、ニューエイジ</t>
  </si>
  <si>
    <t>ICレコーダー</t>
  </si>
  <si>
    <t>オークション &gt; 家電、AV、カメラ &gt; オーディオ機器 &gt; ICレコーダー</t>
  </si>
  <si>
    <t>ブルース</t>
  </si>
  <si>
    <t>0,23632,23764,2084024108</t>
  </si>
  <si>
    <t>資格試験</t>
  </si>
  <si>
    <t>オークション &gt; 音楽 &gt; CD &gt; ブルース</t>
  </si>
  <si>
    <t>オークション &gt; 本、雑誌 &gt; ビジネス、経済 &gt; 資格試験</t>
  </si>
  <si>
    <t>演歌</t>
  </si>
  <si>
    <t>オークション &gt; 音楽 &gt; CD &gt; 演歌</t>
  </si>
  <si>
    <t>オークション &gt; 家電、AV、カメラ &gt; オーディオ機器 &gt; ラジオ</t>
  </si>
  <si>
    <t>就職試験</t>
  </si>
  <si>
    <t>オークション &gt; 本、雑誌 &gt; ビジネス、経済 &gt; 就職試験</t>
  </si>
  <si>
    <t>0,23632,23764,2084024137</t>
  </si>
  <si>
    <t>演芸、落語</t>
  </si>
  <si>
    <t>オークション &gt; 音楽 &gt; CD &gt; 演芸、落語</t>
  </si>
  <si>
    <t>経済学</t>
  </si>
  <si>
    <t>オークション &gt; 本、雑誌 &gt; ビジネス、経済 &gt; 経済学</t>
  </si>
  <si>
    <t>宗教音楽</t>
  </si>
  <si>
    <t>オークション &gt; 音楽 &gt; CD &gt; 宗教音楽</t>
  </si>
  <si>
    <t>オークション &gt; 家電、AV、カメラ &gt; オーディオ機器 &gt; 電子部品</t>
  </si>
  <si>
    <t>0,23632,23764,2084263358</t>
  </si>
  <si>
    <t>童謡、教育</t>
  </si>
  <si>
    <t>オークション &gt; 音楽 &gt; CD &gt; 童謡、教育</t>
  </si>
  <si>
    <t>朗読</t>
  </si>
  <si>
    <t>オークション &gt; 音楽 &gt; CD &gt; 朗読</t>
  </si>
  <si>
    <t>DTM、DAW機器</t>
  </si>
  <si>
    <t>オークション &gt; 家電、AV、カメラ &gt; オーディオ機器 &gt; DTM、DAW機器</t>
  </si>
  <si>
    <t>0,23632,23764,22544</t>
  </si>
  <si>
    <t>オークション &gt; 音楽 &gt; CD &gt; CDブック</t>
  </si>
  <si>
    <t>オークション &gt; 本、雑誌 &gt; 人文、社会 &gt; 語学</t>
  </si>
  <si>
    <t>イコライザー</t>
  </si>
  <si>
    <t>オークション &gt; 音楽 &gt; CD &gt; その他</t>
  </si>
  <si>
    <t>オークション &gt; 家電、AV、カメラ &gt; オーディオ機器 &gt; イコライザー</t>
  </si>
  <si>
    <t>0,23632,23764,23800</t>
  </si>
  <si>
    <t>宗教</t>
  </si>
  <si>
    <t>オーディオ関連書籍</t>
  </si>
  <si>
    <t>オークション &gt; 本、雑誌 &gt; 人文、社会 &gt; 宗教</t>
  </si>
  <si>
    <t>オークション &gt; 家電、AV、カメラ &gt; オーディオ機器 &gt; オーディオ関連書籍</t>
  </si>
  <si>
    <t>0,23632,23764,21608</t>
  </si>
  <si>
    <t>心理学</t>
  </si>
  <si>
    <t>オークション &gt; 本、雑誌 &gt; 人文、社会 &gt; 心理学</t>
  </si>
  <si>
    <t>オークション &gt; 家電、AV、カメラ &gt; オーディオ機器 &gt; カーオーディオ</t>
  </si>
  <si>
    <t>オークション &gt; 音楽 &gt; レコード &gt; R&amp;B、ソウル</t>
  </si>
  <si>
    <t>0,23632,23764,23852</t>
  </si>
  <si>
    <t>図書館、博物館</t>
  </si>
  <si>
    <t>オークション &gt; 本、雑誌 &gt; 人文、社会 &gt; 図書館、博物館</t>
  </si>
  <si>
    <t>オークション &gt; 音楽 &gt; レコード &gt; アニメソング</t>
  </si>
  <si>
    <t>哲学、思想</t>
  </si>
  <si>
    <t>カラオケ機器</t>
  </si>
  <si>
    <t>オークション &gt; 本、雑誌 &gt; 人文、社会 &gt; 哲学、思想</t>
  </si>
  <si>
    <t>オークション &gt; 家電、AV、カメラ &gt; オーディオ機器 &gt; カラオケ機器</t>
  </si>
  <si>
    <t>オークション &gt; 音楽 &gt; レコード &gt; クラシック</t>
  </si>
  <si>
    <t>0,23632,23764,2084048479</t>
  </si>
  <si>
    <t>オークション &gt; 音楽 &gt; レコード &gt; クラブ、ダンス</t>
  </si>
  <si>
    <t>オークション &gt; 本、雑誌 &gt; 人文、社会 &gt; 経営学</t>
  </si>
  <si>
    <t>オークション &gt; 音楽 &gt; レコード &gt; ゲーム音楽</t>
  </si>
  <si>
    <t>オークション &gt; 家電、AV、カメラ &gt; オーディオ機器 &gt; チューナー</t>
  </si>
  <si>
    <t>0,23632,23764,23820</t>
  </si>
  <si>
    <t>オークション &gt; 音楽 &gt; レコード &gt; ジャズ</t>
  </si>
  <si>
    <t>オークション &gt; 本、雑誌 &gt; 人文、社会 &gt; 経済学</t>
  </si>
  <si>
    <t>マイクロフォン</t>
  </si>
  <si>
    <t>オークション &gt; 音楽 &gt; レコード &gt; ジャパニーズポップス</t>
  </si>
  <si>
    <t>オークション &gt; 家電、AV、カメラ &gt; オーディオ機器 &gt; マイクロフォン</t>
  </si>
  <si>
    <t>0,23632,23764,2084024007</t>
  </si>
  <si>
    <t>社会学</t>
  </si>
  <si>
    <t>オークション &gt; 本、雑誌 &gt; 人文、社会 &gt; 社会学</t>
  </si>
  <si>
    <t>オークション &gt; 音楽 &gt; レコード &gt; ヒーリング、ニューエイジ</t>
  </si>
  <si>
    <t>社会問題</t>
  </si>
  <si>
    <t>記録媒体</t>
  </si>
  <si>
    <t>オークション &gt; 本、雑誌 &gt; 人文、社会 &gt; 社会問題</t>
  </si>
  <si>
    <t>オークション &gt; 家電、AV、カメラ &gt; オーディオ機器 &gt; 記録媒体</t>
  </si>
  <si>
    <t>オークション &gt; 音楽 &gt; レコード &gt; ブルース</t>
  </si>
  <si>
    <t>0,23632,23764,2084024120</t>
  </si>
  <si>
    <t>オークション &gt; 音楽 &gt; レコード &gt; ラップ、ヒップホップ</t>
  </si>
  <si>
    <t>政治学</t>
  </si>
  <si>
    <t>オークション &gt; 本、雑誌 &gt; 人文、社会 &gt; 政治学</t>
  </si>
  <si>
    <t>レゲエ</t>
  </si>
  <si>
    <t>オークション &gt; 音楽 &gt; レコード &gt; レゲエ</t>
  </si>
  <si>
    <t>地理</t>
  </si>
  <si>
    <t>オークション &gt; 家電、AV、カメラ &gt; オーディオ機器 &gt; 雑誌</t>
  </si>
  <si>
    <t>オークション &gt; 本、雑誌 &gt; 人文、社会 &gt; 地理</t>
  </si>
  <si>
    <t>0,23632,23764,2084008122</t>
  </si>
  <si>
    <t>オークション &gt; 音楽 &gt; レコード &gt; ロック、ポップス（洋楽）</t>
  </si>
  <si>
    <t>オークション &gt; 本、雑誌 &gt; 人文、社会 &gt; 福祉</t>
  </si>
  <si>
    <t>オークション &gt; 音楽 &gt; レコード &gt; ワールドミュージック</t>
  </si>
  <si>
    <t>オークション &gt; 家電、AV、カメラ &gt; オーディオ機器 &gt; 蓄音機</t>
  </si>
  <si>
    <t>0,23632,23764,2084048439</t>
  </si>
  <si>
    <t>オークション &gt; 音楽 &gt; レコード &gt; 映画音楽</t>
  </si>
  <si>
    <t>文化、民俗</t>
  </si>
  <si>
    <t>オークション &gt; 本、雑誌 &gt; 人文、社会 &gt; 文化、民俗</t>
  </si>
  <si>
    <t>オークション &gt; 音楽 &gt; レコード &gt; 演歌</t>
  </si>
  <si>
    <t>オークション &gt; 家電、AV、カメラ &gt; オーディオ機器 &gt; リモコン</t>
  </si>
  <si>
    <t>0,23632,23764,2084205443</t>
  </si>
  <si>
    <t>オークション &gt; 音楽 &gt; レコード &gt; 童謡、教育</t>
  </si>
  <si>
    <t>法律</t>
  </si>
  <si>
    <t>オークション &gt; 本、雑誌 &gt; 人文、社会 &gt; 法律</t>
  </si>
  <si>
    <t>オークション &gt; 音楽 &gt; レコード &gt; その他</t>
  </si>
  <si>
    <t>オークション &gt; 家電、AV、カメラ &gt; オーディオ機器 &gt; その他</t>
  </si>
  <si>
    <t>0,23632,23764,23828</t>
  </si>
  <si>
    <t>歴史</t>
  </si>
  <si>
    <t>オークション &gt; 本、雑誌 &gt; 人文、社会 &gt; 歴史</t>
  </si>
  <si>
    <t>和書</t>
  </si>
  <si>
    <t>オークション &gt; 本、雑誌 &gt; 古書、古文書 &gt; 和書</t>
  </si>
  <si>
    <t>オークション &gt; 音楽 &gt; カセットテープ &gt; R&amp;B、ソウル</t>
  </si>
  <si>
    <t>デジタルカメラ</t>
  </si>
  <si>
    <t>オークション &gt; 家電、AV、カメラ &gt; カメラ、光学機器 &gt; デジタルカメラ</t>
  </si>
  <si>
    <t>洋書</t>
  </si>
  <si>
    <t>オークション &gt; 音楽 &gt; カセットテープ &gt; アニメソング</t>
  </si>
  <si>
    <t>オークション &gt; 本、雑誌 &gt; 古書、古文書 &gt; 洋書</t>
  </si>
  <si>
    <t>オークション &gt; 音楽 &gt; カセットテープ &gt; クラシック</t>
  </si>
  <si>
    <t>フィルムカメラ</t>
  </si>
  <si>
    <t>オークション &gt; 家電、AV、カメラ &gt; カメラ、光学機器 &gt; フィルムカメラ</t>
  </si>
  <si>
    <t>オークション &gt; 本、雑誌 &gt; 古書、古文書 &gt; 古地図</t>
  </si>
  <si>
    <t>オークション &gt; 音楽 &gt; カセットテープ &gt; クラブ、ダンス</t>
  </si>
  <si>
    <t>オークション &gt; 音楽 &gt; カセットテープ &gt; ゲーム音楽</t>
  </si>
  <si>
    <t>オークション &gt; 音楽 &gt; カセットテープ &gt; ジャズ</t>
  </si>
  <si>
    <t>オークション &gt; 家電、AV、カメラ &gt; カメラ、光学機器 &gt; ビデオカメラ</t>
  </si>
  <si>
    <t>オークション &gt; 音楽 &gt; カセットテープ &gt; ジャパニーズポップス</t>
  </si>
  <si>
    <t>オークション &gt; 音楽 &gt; カセットテープ &gt; ブルース</t>
  </si>
  <si>
    <t>オークション &gt; 音楽 &gt; カセットテープ &gt; ラップ、ヒップホップ</t>
  </si>
  <si>
    <t>レンズ</t>
  </si>
  <si>
    <t>オークション &gt; 家電、AV、カメラ &gt; カメラ、光学機器 &gt; レンズ</t>
  </si>
  <si>
    <t>オークション &gt; アンティーク、コレクション &gt; 印刷物 &gt; カレンダー &gt; コミック、アニメーション</t>
  </si>
  <si>
    <t>オークション &gt; 音楽 &gt; カセットテープ &gt; ロック、ポップス（洋楽）</t>
  </si>
  <si>
    <t>オークション &gt; 音楽 &gt; カセットテープ &gt; ワールドミュージック</t>
  </si>
  <si>
    <t>オークション &gt; 家電、AV、カメラ &gt; カメラ、光学機器 &gt; アクセサリー</t>
  </si>
  <si>
    <t>オークション &gt; 音楽 &gt; カセットテープ &gt; 映画音楽</t>
  </si>
  <si>
    <t>オークション &gt; アンティーク、コレクション &gt; 印刷物 &gt; カレンダー &gt; ミュージシャン</t>
  </si>
  <si>
    <t>オークション &gt; 音楽 &gt; カセットテープ &gt; 童謡、教育</t>
  </si>
  <si>
    <t>記録用メモリ</t>
  </si>
  <si>
    <t>オークション &gt; 音楽 &gt; カセットテープ &gt; その他</t>
  </si>
  <si>
    <t>オークション &gt; 家電、AV、カメラ &gt; カメラ、光学機器 &gt; 記録用メモリ</t>
  </si>
  <si>
    <t>オークション &gt; アンティーク、コレクション &gt; 印刷物 &gt; カレンダー &gt; 絵画</t>
  </si>
  <si>
    <t>オークション &gt; アンティーク、コレクション &gt; 印刷物 &gt; カレンダー &gt; 芸能人、タレント</t>
  </si>
  <si>
    <t>デジタルフォトフレーム</t>
  </si>
  <si>
    <t>オークション &gt; 家電、AV、カメラ &gt; カメラ、光学機器 &gt; デジタルフォトフレーム</t>
  </si>
  <si>
    <t>オークション &gt; アンティーク、コレクション &gt; 印刷物 &gt; カレンダー &gt; 航空機</t>
  </si>
  <si>
    <t>オークション &gt; 音楽 &gt; DVD &gt; ジャパニーズポップス</t>
  </si>
  <si>
    <t>フィルム</t>
  </si>
  <si>
    <t>オークション &gt; 家電、AV、カメラ &gt; カメラ、光学機器 &gt; フィルム</t>
  </si>
  <si>
    <t>オークション &gt; 音楽 &gt; DVD &gt; ロック、ポップス（洋楽）</t>
  </si>
  <si>
    <t>オークション &gt; アンティーク、コレクション &gt; 印刷物 &gt; カレンダー &gt; 鉄道</t>
  </si>
  <si>
    <t>説明書</t>
  </si>
  <si>
    <t>オークション &gt; 家電、AV、カメラ &gt; カメラ、光学機器 &gt; 説明書</t>
  </si>
  <si>
    <t>オークション &gt; 音楽 &gt; DVD &gt; ジャズ</t>
  </si>
  <si>
    <t>オークション &gt; アンティーク、コレクション &gt; 印刷物 &gt; カレンダー &gt; 動物</t>
  </si>
  <si>
    <t>オークション &gt; 音楽 &gt; DVD &gt; クラシック</t>
  </si>
  <si>
    <t>カタログ</t>
  </si>
  <si>
    <t>オークション &gt; アンティーク、コレクション &gt; 印刷物 &gt; カレンダー &gt; 風景</t>
  </si>
  <si>
    <t>オークション &gt; 家電、AV、カメラ &gt; カメラ、光学機器 &gt; カタログ</t>
  </si>
  <si>
    <r>
      <t>&gt;</t>
    </r>
    <r>
      <rPr>
        <sz val="8"/>
        <color rgb="FF000000"/>
        <rFont val="Courier New"/>
        <family val="3"/>
      </rPr>
      <t>その他</t>
    </r>
  </si>
  <si>
    <t>オークション &gt; 音楽 &gt; DVD &gt; その他</t>
  </si>
  <si>
    <t>オークション &gt; アンティーク、コレクション &gt; 印刷物 &gt; カレンダー &gt; 卓上カレンダー</t>
  </si>
  <si>
    <t>顕微鏡</t>
  </si>
  <si>
    <t>オークション &gt; 家電、AV、カメラ &gt; カメラ、光学機器 &gt; 顕微鏡</t>
  </si>
  <si>
    <t>オークション &gt; 音楽 &gt; ブルーレイ &gt; ジャズ</t>
  </si>
  <si>
    <t>オークション &gt; アンティーク、コレクション &gt; 印刷物 &gt; カレンダー &gt; その他</t>
  </si>
  <si>
    <t>オークション &gt; 家電、AV、カメラ &gt; カメラ、光学機器 &gt; 双眼鏡</t>
  </si>
  <si>
    <t>オークション &gt; 音楽 &gt; ブルーレイ &gt; ミュージカル</t>
  </si>
  <si>
    <t>オークション &gt; 音楽 &gt; ブルーレイ &gt; その他</t>
  </si>
  <si>
    <t>オペラグラス</t>
  </si>
  <si>
    <t>オークション &gt; 家電、AV、カメラ &gt; カメラ、光学機器 &gt; オペラグラス</t>
  </si>
  <si>
    <t>オークション &gt; 音楽 &gt; ビデオ &gt; R&amp;B、ソウル</t>
  </si>
  <si>
    <t>単眼鏡</t>
  </si>
  <si>
    <t>オークション &gt; 家電、AV、カメラ &gt; カメラ、光学機器 &gt; 単眼鏡</t>
  </si>
  <si>
    <t>オークション &gt; 音楽 &gt; ビデオ &gt; アニメソング</t>
  </si>
  <si>
    <t>オークション &gt; 音楽 &gt; ビデオ &gt; クラシック</t>
  </si>
  <si>
    <t>オークション &gt; 音楽 &gt; ビデオ &gt; クラブ、ダンス</t>
  </si>
  <si>
    <t>オークション &gt; 音楽 &gt; ビデオ &gt; ゲーム音楽</t>
  </si>
  <si>
    <t>オークション &gt; 家電、AV、カメラ &gt; カメラ、光学機器 &gt; ドローン</t>
  </si>
  <si>
    <t>オークション &gt; 音楽 &gt; ビデオ &gt; ジャズ</t>
  </si>
  <si>
    <t>オークション &gt; 音楽 &gt; ビデオ &gt; ジャパニーズポップス</t>
  </si>
  <si>
    <t>望遠鏡</t>
  </si>
  <si>
    <t>オークション &gt; 音楽 &gt; ビデオ &gt; ブルース</t>
  </si>
  <si>
    <t>オークション &gt; 家電、AV、カメラ &gt; カメラ、光学機器 &gt; 望遠鏡</t>
  </si>
  <si>
    <t>オークション &gt; 音楽 &gt; ビデオ &gt; ラップ、ヒップホップ</t>
  </si>
  <si>
    <t>オークション &gt; 音楽 &gt; ビデオ &gt; ロック、ポップス（洋楽）</t>
  </si>
  <si>
    <t>オークション &gt; 家電、AV、カメラ &gt; カメラ、光学機器 &gt; 本</t>
  </si>
  <si>
    <t>オークション &gt; 音楽 &gt; ビデオ &gt; ワールドミュージック</t>
  </si>
  <si>
    <t>オークション &gt; 音楽 &gt; ビデオ &gt; 映画音楽</t>
  </si>
  <si>
    <t>オークション &gt; 音楽 &gt; ビデオ &gt; 童謡、教育</t>
  </si>
  <si>
    <t>写真制作</t>
  </si>
  <si>
    <t>オークション &gt; 家電、AV、カメラ &gt; カメラ、光学機器 &gt; 写真制作</t>
  </si>
  <si>
    <t>オークション &gt; 音楽 &gt; ビデオ &gt; その他</t>
  </si>
  <si>
    <t>カメラレンタル</t>
  </si>
  <si>
    <t>オークション &gt; 家電、AV、カメラ &gt; カメラ、光学機器 &gt; カメラレンタル</t>
  </si>
  <si>
    <t>オークション &gt; 音楽 &gt; レーザーディスク &gt; R&amp;B、ソウル</t>
  </si>
  <si>
    <t>オークション &gt; 音楽 &gt; レーザーディスク &gt; アニメソング</t>
  </si>
  <si>
    <t>オークション &gt; 音楽 &gt; レーザーディスク &gt; クラシッ</t>
  </si>
  <si>
    <t>パソコン</t>
  </si>
  <si>
    <t>オークション &gt; コンピュータ &gt; パソコン</t>
  </si>
  <si>
    <t>クラブ、ダン</t>
  </si>
  <si>
    <t>オークション &gt; 音楽 &gt; レーザーディスク &gt; クラブ、ダンス</t>
  </si>
  <si>
    <t>スマートフォン本体</t>
  </si>
  <si>
    <t>オークション &gt; 家電、AV、カメラ &gt; 携帯電話、スマートフォン &gt; スマートフォン本体</t>
  </si>
  <si>
    <t>オークション &gt; 音楽 &gt; レーザーディスク &gt; ゲーム音楽</t>
  </si>
  <si>
    <t>オークション &gt; 音楽 &gt; レーザーディスク &gt; ジャズ</t>
  </si>
  <si>
    <t>オークション &gt; 音楽 &gt; レーザーディスク &gt; ジャパニーズポップス</t>
  </si>
  <si>
    <r>
      <t>&gt;</t>
    </r>
    <r>
      <rPr>
        <sz val="8"/>
        <color rgb="FF000000"/>
        <rFont val="Courier New"/>
        <family val="3"/>
      </rPr>
      <t>タブレット</t>
    </r>
  </si>
  <si>
    <t>オークション &gt; 音楽 &gt; レーザーディスク &gt; ブルース</t>
  </si>
  <si>
    <t>オークション &gt; 音楽 &gt; レーザーディスク &gt; ラップ、ヒップホップ</t>
  </si>
  <si>
    <t>オークション &gt; 家電、AV、カメラ &gt; 携帯電話、スマートフォン &gt; スマートウォッチ本体</t>
  </si>
  <si>
    <t>オークション &gt; コンピュータ &gt; タブレット</t>
  </si>
  <si>
    <t>オークション &gt; 音楽 &gt; レーザーディスク &gt; ロック、ポップス（洋楽）</t>
  </si>
  <si>
    <t>オークション &gt; 音楽 &gt; レーザーディスク &gt; ワールドミュージック</t>
  </si>
  <si>
    <t>オークション &gt; 音楽 &gt; レーザーディスク &gt; 映画音楽</t>
  </si>
  <si>
    <t>携帯電話本体</t>
  </si>
  <si>
    <t>スマートフォン、携帯電話</t>
  </si>
  <si>
    <t>オークション &gt; コンピュータ &gt; スマートフォン、携帯電話</t>
  </si>
  <si>
    <t>オークション &gt; 家電、AV、カメラ &gt; 携帯電話、スマートフォン &gt; 携帯電話本体</t>
  </si>
  <si>
    <t>オークション &gt; 音楽 &gt; レーザーディスク &gt; 童謡、教育</t>
  </si>
  <si>
    <t>オークション &gt; 音楽 &gt; レーザーディスク &gt; その他</t>
  </si>
  <si>
    <t>PHS本体</t>
  </si>
  <si>
    <t>電子ブックリーダー</t>
  </si>
  <si>
    <t>オークション &gt; 家電、AV、カメラ &gt; 携帯電話、スマートフォン &gt; PHS本体</t>
  </si>
  <si>
    <t>オークション &gt; コンピュータ &gt; 電子ブックリーダー</t>
  </si>
  <si>
    <t>オークション &gt; 家電、AV、カメラ &gt; 携帯電話、スマートフォン &gt; バッテリー、充電器</t>
  </si>
  <si>
    <t>オークション &gt; アンティーク、コレクション &gt; 蓄音機 &gt; SP盤 &gt; クラシック</t>
  </si>
  <si>
    <t>オークション &gt; アンティーク、コレクション &gt; 蓄音機 &gt; SP盤 &gt; ジャズ</t>
  </si>
  <si>
    <t>オークション &gt; コンピュータ &gt; デジタルカメラ</t>
  </si>
  <si>
    <t>オークション &gt; 家電、AV、カメラ &gt; 携帯電話、スマートフォン &gt; アクセサリー</t>
  </si>
  <si>
    <t>オークション &gt; アンティーク、コレクション &gt; 蓄音機 &gt; SP盤 &gt; その他</t>
  </si>
  <si>
    <t>モックアップ</t>
  </si>
  <si>
    <t>オークション &gt; 家電、AV、カメラ &gt; 携帯電話、スマートフォン &gt; モックアップ</t>
  </si>
  <si>
    <t>周辺機器</t>
  </si>
  <si>
    <t>オークション &gt; コンピュータ &gt; 周辺機器</t>
  </si>
  <si>
    <t>タブレット端末</t>
  </si>
  <si>
    <t>オークション &gt; 家電、AV、カメラ &gt; 携帯電話、スマートフォン &gt; タブレット端末</t>
  </si>
  <si>
    <t>オークション &gt; コンピュータ &gt; ソフトウエア</t>
  </si>
  <si>
    <t>オークション &gt; 家電、AV、カメラ &gt; 携帯電話、スマートフォン &gt; ヘッドフォン、イヤフォン</t>
  </si>
  <si>
    <t>サプライ</t>
  </si>
  <si>
    <t>オークション &gt; 家電、AV、カメラ &gt; 携帯電話、スマートフォン &gt; その他</t>
  </si>
  <si>
    <t>オークション &gt; コンピュータ &gt; サプライ</t>
  </si>
  <si>
    <r>
      <t>&gt;</t>
    </r>
    <r>
      <rPr>
        <sz val="8"/>
        <color rgb="FF000000"/>
        <rFont val="Courier New"/>
        <family val="3"/>
      </rPr>
      <t>打楽器</t>
    </r>
  </si>
  <si>
    <r>
      <t>レコーディング、PA機器</t>
    </r>
    <r>
      <rPr>
        <sz val="8"/>
        <color theme="1"/>
        <rFont val="Courier New"/>
        <family val="3"/>
      </rPr>
      <t>&lt;</t>
    </r>
  </si>
  <si>
    <t>オークション &gt; ホビー、カルチャー &gt; 楽器、器材 &gt; DTM、DA</t>
  </si>
  <si>
    <t>オークション &gt; コンピュータ &gt; パーツ</t>
  </si>
  <si>
    <t>オークション &gt; 家電、AV、カメラ &gt; スマートウォッチ、ウェアラブル端末 &gt; スマートウォッチ本体</t>
  </si>
  <si>
    <t>0,23632,2084316074,2084316075</t>
  </si>
  <si>
    <t>サーバー</t>
  </si>
  <si>
    <t>オークション &gt; コンピュータ &gt; サーバー</t>
  </si>
  <si>
    <t>オークション &gt; 家電、AV、カメラ &gt; スマートウォッチ、ウェアラブル端末 &gt; アクセサリー</t>
  </si>
  <si>
    <t>0,23632,2084316074,2084316076</t>
  </si>
  <si>
    <t>ワークステーション</t>
  </si>
  <si>
    <t>オークション &gt; コンピュータ &gt; ワークステーション</t>
  </si>
  <si>
    <t>オークション &gt; 家電、AV、カメラ &gt; スマートウォッチ、ウェアラブル端末 &gt; その他</t>
  </si>
  <si>
    <t>0,23632,2084316074,2084316077</t>
  </si>
  <si>
    <t>PDA</t>
  </si>
  <si>
    <t>オークション &gt; コンピュータ &gt; PDA</t>
  </si>
  <si>
    <t>ポケットコンピュータ</t>
  </si>
  <si>
    <t>オークション &gt; コンピュータ &gt; ポケットコンピュータ</t>
  </si>
  <si>
    <r>
      <t>&gt;</t>
    </r>
    <r>
      <rPr>
        <sz val="8"/>
        <color rgb="FF000000"/>
        <rFont val="Courier New"/>
        <family val="3"/>
      </rPr>
      <t>オークション &gt; ホビー、カルチャー &gt; 楽器、器材 &gt; その他</t>
    </r>
  </si>
  <si>
    <t>ドメイン名</t>
  </si>
  <si>
    <t>オークション &gt; コンピュータ &gt; ドメイン名</t>
  </si>
  <si>
    <t>パソコンデスク</t>
  </si>
  <si>
    <t>オークション &gt; コンピュータ &gt; パソコンデスク</t>
  </si>
  <si>
    <t>オークション &gt; 家電、AV、カメラ &gt; キッチン、食卓 &gt; かき氷機</t>
  </si>
  <si>
    <t>オペラ</t>
  </si>
  <si>
    <t>オークション &gt; チケット、金券、宿泊予約 &gt; ジャンル別 &gt; 音楽 &gt; オペラ</t>
  </si>
  <si>
    <t>コンピュータ、インターネット雑誌</t>
  </si>
  <si>
    <t>オークション &gt; コンピュータ &gt; コンピュータ、インターネット雑誌</t>
  </si>
  <si>
    <t>アルカリイオン整水器</t>
  </si>
  <si>
    <t>オークション &gt; 家電、AV、カメラ &gt; キッチン、食卓 &gt; アルカリイオン整水器</t>
  </si>
  <si>
    <r>
      <t>&gt;</t>
    </r>
    <r>
      <rPr>
        <sz val="8"/>
        <color rgb="FF000000"/>
        <rFont val="Courier New"/>
        <family val="3"/>
      </rPr>
      <t>オークション &gt; チケット、金券、宿泊予約 &gt; ジャンル別 &gt; 音楽 &gt; クラシック</t>
    </r>
  </si>
  <si>
    <t>オークション &gt; コンピュータ &gt; 本</t>
  </si>
  <si>
    <t>オークション &gt; チケット、金券、宿泊予約 &gt; ジャンル別 &gt; 音楽 &gt; ジャズ</t>
  </si>
  <si>
    <t>オーブン</t>
  </si>
  <si>
    <t>オークション &gt; チケット、金券、宿泊予約 &gt; ジャンル別 &gt; 音楽 &gt; ジャパニーズポップス</t>
  </si>
  <si>
    <t>オークション &gt; 家電、AV、カメラ &gt; キッチン、食卓 &gt; オーブン</t>
  </si>
  <si>
    <t>オークション &gt; コンピュータ &gt; その他</t>
  </si>
  <si>
    <t>ミュージックフェスティバル</t>
  </si>
  <si>
    <t>オークション &gt; チケット、金券、宿泊予約 &gt; ジャンル別 &gt; 音楽 &gt; ミュージックフェスティバル</t>
  </si>
  <si>
    <r>
      <t>&gt;</t>
    </r>
    <r>
      <rPr>
        <sz val="8"/>
        <color rgb="FF000000"/>
        <rFont val="Courier New"/>
        <family val="3"/>
      </rPr>
      <t>オークション &gt; チケット、金券、宿泊予約 &gt; ジャンル別 &gt; 音楽 &gt; 演歌</t>
    </r>
  </si>
  <si>
    <t>コーヒーメーカー</t>
  </si>
  <si>
    <t>オークション &gt; 家電、AV、カメラ &gt; キッチン、食卓 &gt; コーヒーメーカー</t>
  </si>
  <si>
    <t>オークション &gt; チケット、金券、宿泊予約 &gt; ジャンル別 &gt; 音楽 &gt; 音楽ギフト券</t>
  </si>
  <si>
    <t>洋楽</t>
  </si>
  <si>
    <t>オークション &gt; チケット、金券、宿泊予約 &gt; ジャンル別 &gt; 音楽 &gt; 洋楽</t>
  </si>
  <si>
    <t>Windows</t>
  </si>
  <si>
    <t>オークション &gt; コンピュータ &gt; パソコン &gt; Windows</t>
  </si>
  <si>
    <t>ジューサー、ミキサー</t>
  </si>
  <si>
    <t>オークション &gt; チケット、金券、宿泊予約 &gt; ジャンル別 &gt; 音楽 &gt; その他</t>
  </si>
  <si>
    <t>オークション &gt; 家電、AV、カメラ &gt; キッチン、食卓 &gt; ジューサー、ミキサー</t>
  </si>
  <si>
    <t>オークション &gt; コンピュータ &gt; パソコン &gt; Mac</t>
  </si>
  <si>
    <t>オークション &gt; 家電、AV、カメラ &gt; キッチン、食卓 &gt; トースター</t>
  </si>
  <si>
    <t>PC-98</t>
  </si>
  <si>
    <t>オークション &gt; コンピュータ &gt; パソコン &gt; PC-98</t>
  </si>
  <si>
    <t>FM TOWNS</t>
  </si>
  <si>
    <t>オークション &gt; コンピュータ &gt; パソコン &gt; FM TOWNS</t>
  </si>
  <si>
    <t>フードプロセッサー</t>
  </si>
  <si>
    <t>X68000</t>
  </si>
  <si>
    <t>オークション &gt; コンピュータ &gt; パソコン &gt; X68000</t>
  </si>
  <si>
    <t>オークション &gt; 家電、AV、カメラ &gt; キッチン、食卓 &gt; フードプロセッサー</t>
  </si>
  <si>
    <t>音楽評論</t>
  </si>
  <si>
    <t>MSX</t>
  </si>
  <si>
    <t>オークション &gt; 本、雑誌 &gt; アート、エンターテインメント &gt; 音楽、楽譜 &gt; 音楽評論</t>
  </si>
  <si>
    <t>オークション &gt; コンピュータ &gt; パソコン &gt; MSX</t>
  </si>
  <si>
    <t>オークション &gt; コンピュータ &gt; パソコン &gt; その他</t>
  </si>
  <si>
    <t>ホームベーカリー</t>
  </si>
  <si>
    <t>オークション &gt; 本、雑誌 &gt; アート、エンターテインメント &gt; 音楽、楽譜 &gt; 楽譜</t>
  </si>
  <si>
    <t>オークション &gt; 家電、AV、カメラ &gt; キッチン、食卓 &gt; ホームベーカリー</t>
  </si>
  <si>
    <t>音楽教育、指導</t>
  </si>
  <si>
    <t>Apple</t>
  </si>
  <si>
    <t>オークション &gt; コンピュータ &gt; タブレット &gt; Apple</t>
  </si>
  <si>
    <t>オークション &gt; 本、雑誌 &gt; アート、エンターテインメント &gt; 音楽、楽譜 &gt; 音楽教育、指導</t>
  </si>
  <si>
    <t>カラオケ、歌本</t>
  </si>
  <si>
    <t>アンドロイド</t>
  </si>
  <si>
    <t>オークション &gt; コンピュータ &gt; タブレット &gt; アンドロイド</t>
  </si>
  <si>
    <t>オークション &gt; 本、雑誌 &gt; アート、エンターテインメント &gt; 音楽、楽譜 &gt; カラオケ、歌本</t>
  </si>
  <si>
    <t>ホットプレート、グリルパン</t>
  </si>
  <si>
    <t>オークション &gt; コンピュータ &gt; タブレット &gt; Windows</t>
  </si>
  <si>
    <t>オークション &gt; 家電、AV、カメラ &gt; キッチン、食卓 &gt; ホットプレート、グリルパン</t>
  </si>
  <si>
    <t>オークション &gt; 本、雑誌 &gt; アート、エンターテインメント &gt; 音楽、楽譜 &gt; ミュージシャンの本</t>
  </si>
  <si>
    <t>オークション &gt; コンピュータ &gt; タブレット &gt; 電子ブックリーダー</t>
  </si>
  <si>
    <t>オークション &gt; 本、雑誌 &gt; アート、エンターテインメント &gt; 音楽、楽譜 &gt; 雑誌</t>
  </si>
  <si>
    <t>レンジ、コンロ</t>
  </si>
  <si>
    <t>オークション &gt; 家電、AV、カメラ &gt; キッチン、食卓 &gt; レンジ、コンロ</t>
  </si>
  <si>
    <t>NTTドコモ</t>
  </si>
  <si>
    <t>オークション &gt; 家電、AV、カメラ &gt; 携帯電話、スマートフォン &gt; 携帯電話本体 &gt; NTTドコモ</t>
  </si>
  <si>
    <t>au</t>
  </si>
  <si>
    <t>オークション &gt; 家電、AV、カメラ &gt; 携帯電話、スマートフォン &gt; 携帯電話本体 &gt; au</t>
  </si>
  <si>
    <t>ワインセラー</t>
  </si>
  <si>
    <t>ソフトバンク</t>
  </si>
  <si>
    <t>オークション &gt; 家電、AV、カメラ &gt; 携帯電話、スマートフォン &gt; 携帯電話本体 &gt; ソフトバンク</t>
  </si>
  <si>
    <t>オークション &gt; 家電、AV、カメラ &gt; キッチン、食卓 &gt; ワインセラー</t>
  </si>
  <si>
    <t>ワイモバイル</t>
  </si>
  <si>
    <t>オークション &gt; 家電、AV、カメラ &gt; 携帯電話、スマートフォン &gt; 携帯電話本体 &gt; ワイモバイル</t>
  </si>
  <si>
    <t>ウィルコム</t>
  </si>
  <si>
    <t>オークション &gt; 家電、AV、カメラ &gt; 携帯電話、スマートフォン &gt; 携帯電話本体 &gt; ウィルコム</t>
  </si>
  <si>
    <t>海外用携帯</t>
  </si>
  <si>
    <t>オークション &gt; 家電、AV、カメラ &gt; 携帯電話、スマートフォン &gt; 携帯電話本体 &gt; 海外用携帯</t>
  </si>
  <si>
    <t>オークション &gt; 家電、AV、カメラ &gt; キッチン、食卓 &gt; 給湯設備</t>
  </si>
  <si>
    <t>オークション &gt; 家電、AV、カメラ &gt; 携帯電話、スマートフォン &gt; 携帯電話本体 &gt; スマートフォン本体</t>
  </si>
  <si>
    <t>食器洗い機、食器乾燥機</t>
  </si>
  <si>
    <t>オークション &gt; 家電、AV、カメラ &gt; キッチン、食卓 &gt; 食器洗い機、食器乾燥機</t>
  </si>
  <si>
    <r>
      <t>サイン</t>
    </r>
    <r>
      <rPr>
        <sz val="8"/>
        <color theme="1"/>
        <rFont val="Courier New"/>
        <family val="3"/>
      </rPr>
      <t>&lt;</t>
    </r>
  </si>
  <si>
    <t>デジタル一眼</t>
  </si>
  <si>
    <t>オークション &gt; 家電、AV、カメラ &gt; カメラ、光学機器 &gt; デジタルカメラ &gt; デジタル一眼</t>
  </si>
  <si>
    <t>炊飯器</t>
  </si>
  <si>
    <t>オークション &gt; 家電、AV、カメラ &gt; キッチン、食卓 &gt; 炊飯器</t>
  </si>
  <si>
    <t>ミラーレス一眼</t>
  </si>
  <si>
    <t>オークション &gt; 家電、AV、カメラ &gt; カメラ、光学機器 &gt; デジタルカメラ &gt; ミラーレス一眼</t>
  </si>
  <si>
    <t>コンパクトデジタルカメラ</t>
  </si>
  <si>
    <t>オークション &gt; 家電、AV、カメラ &gt; カメラ、光学機器 &gt; デジタルカメラ &gt; コンパクトデジタルカメラ</t>
  </si>
  <si>
    <t>生ごみ処理機</t>
  </si>
  <si>
    <t>オークション &gt; 家電、AV、カメラ &gt; キッチン、食卓 &gt; 生ごみ処理機</t>
  </si>
  <si>
    <t>オークション &gt; 家電、AV、カメラ &gt; カメラ、光学機器 &gt; デジタルカメラ &gt; バッテリー、充電器</t>
  </si>
  <si>
    <t>パソコン接続キット</t>
  </si>
  <si>
    <t>オークション &gt; 家電、AV、カメラ &gt; カメラ、光学機器 &gt; デジタルカメラ &gt; パソコン接続キット</t>
  </si>
  <si>
    <t>オークション &gt; 家電、AV、カメラ &gt; カメラ、光学機器 &gt; デジタルカメラ &gt; 説明書</t>
  </si>
  <si>
    <t>精米機</t>
  </si>
  <si>
    <t>オークション &gt; 家電、AV、カメラ &gt; キッチン、食卓 &gt; 精米機</t>
  </si>
  <si>
    <t>オークション &gt; 家電、AV、カメラ &gt; カメラ、光学機器 &gt; デジタルカメラ &gt; カタログ</t>
  </si>
  <si>
    <t>カードリーダー</t>
  </si>
  <si>
    <t>オークション &gt; 家電、AV、カメラ &gt; カメラ、光学機器 &gt; デジタルカメラ &gt; カードリーダー</t>
  </si>
  <si>
    <t>電気ケトル</t>
  </si>
  <si>
    <t>オークション &gt; 家電、AV、カメラ &gt; カメラ、光学機器 &gt; デジタルカメラ &gt; 記録用メモリ</t>
  </si>
  <si>
    <t>オークション &gt; 家電、AV、カメラ &gt; キッチン、食卓 &gt; 電気ケトル</t>
  </si>
  <si>
    <t>オークション &gt; 家電、AV、カメラ &gt; カメラ、光学機器 &gt; デジタルカメラ &gt; デジタルフォトフレーム</t>
  </si>
  <si>
    <t>電気ポット</t>
  </si>
  <si>
    <t>オークション &gt; 家電、AV、カメラ &gt; キッチン、食卓 &gt; 電気ポット</t>
  </si>
  <si>
    <t>ハードディスク</t>
  </si>
  <si>
    <t>オークション &gt; コンピュータ &gt; 周辺機器 &gt; ハードディスク</t>
  </si>
  <si>
    <t>電子レンジ</t>
  </si>
  <si>
    <t>オークション &gt; 家電、AV、カメラ &gt; キッチン、食卓 &gt; 電子レンジ</t>
  </si>
  <si>
    <t>SSD</t>
  </si>
  <si>
    <t>オークション &gt; コンピュータ &gt; 周辺機器 &gt; SSD</t>
  </si>
  <si>
    <t>オークション &gt; コンピュータ &gt; 周辺機器 &gt; 記録用メモリ</t>
  </si>
  <si>
    <t>ブルーレイドライブ</t>
  </si>
  <si>
    <t>オークション &gt; コンピュータ &gt; 周辺機器 &gt; ブルーレイドライブ</t>
  </si>
  <si>
    <t>電動式コーヒーミル</t>
  </si>
  <si>
    <t>オークション &gt; 家電、AV、カメラ &gt; キッチン、食卓 &gt; 電動式コーヒーミル</t>
  </si>
  <si>
    <t>DVDドライブ</t>
  </si>
  <si>
    <t>オークション &gt; コンピュータ &gt; 周辺機器 &gt; DVDドライブ</t>
  </si>
  <si>
    <t>CDドライブ</t>
  </si>
  <si>
    <t>オークション &gt; コンピュータ &gt; 周辺機器 &gt; CDドライブ</t>
  </si>
  <si>
    <t>MOドライブ</t>
  </si>
  <si>
    <t>オークション &gt; コンピュータ &gt; 周辺機器 &gt; MOドライブ</t>
  </si>
  <si>
    <t>テープ装置</t>
  </si>
  <si>
    <t>オークション &gt; コンピュータ &gt; 周辺機器 &gt; テープ装置</t>
  </si>
  <si>
    <t>オークション &gt; 家電、AV、カメラ &gt; キッチン、食卓 &gt; 冷蔵庫</t>
  </si>
  <si>
    <t>フロッピーディスクドライブ</t>
  </si>
  <si>
    <t>オークション &gt; コンピュータ &gt; 周辺機器 &gt; フロッピーディスクドライブ</t>
  </si>
  <si>
    <t>冷凍庫</t>
  </si>
  <si>
    <t>モニタ</t>
  </si>
  <si>
    <t>オークション &gt; 家電、AV、カメラ &gt; キッチン、食卓 &gt; 冷凍庫</t>
  </si>
  <si>
    <t>オークション &gt; コンピュータ &gt; 周辺機器 &gt; モニタ</t>
  </si>
  <si>
    <t>プリンタ、プロッタ</t>
  </si>
  <si>
    <t>オークション &gt; コンピュータ &gt; 周辺機器 &gt; プリンタ、プロッタ</t>
  </si>
  <si>
    <t>複合機</t>
  </si>
  <si>
    <t>オークション &gt; コンピュータ &gt; 周辺機器 &gt; 複合機</t>
  </si>
  <si>
    <t>オークション &gt; 家電、AV、カメラ &gt; キッチン、食卓 &gt; その他</t>
  </si>
  <si>
    <t>ネットワーク</t>
  </si>
  <si>
    <t>オークション &gt; コンピュータ &gt; 周辺機器 &gt; ネットワーク</t>
  </si>
  <si>
    <t>入力装置</t>
  </si>
  <si>
    <t>オークション &gt; コンピュータ &gt; 周辺機器 &gt; 入力装置</t>
  </si>
  <si>
    <t>スキャナ</t>
  </si>
  <si>
    <t>オークション &gt; コンピュータ &gt; 周辺機器 &gt; スキャナ</t>
  </si>
  <si>
    <t>オークション &gt; コンピュータ &gt; 周辺機器 &gt; サウンド</t>
  </si>
  <si>
    <t>デジタル映像機器</t>
  </si>
  <si>
    <t>オークション &gt; コンピュータ &gt; 周辺機器 &gt; デジタル映像機器</t>
  </si>
  <si>
    <t>UPS、無停電電源装置</t>
  </si>
  <si>
    <t>オークション &gt; コンピュータ &gt; 周辺機器 &gt; UPS、無停電電源装置</t>
  </si>
  <si>
    <t>Mac用</t>
  </si>
  <si>
    <t>オークション &gt; コンピュータ &gt; 周辺機器 &gt; Mac用</t>
  </si>
  <si>
    <t>オークション &gt; 家電、AV、カメラ &gt; 洗濯、アイロン &gt; アイロン</t>
  </si>
  <si>
    <t>ワークステーション用</t>
  </si>
  <si>
    <t>0,23632,2084042675,2084008355</t>
  </si>
  <si>
    <t>オークション &gt; コンピュータ &gt; 周辺機器 &gt; ワークステーション用</t>
  </si>
  <si>
    <t>オークション &gt; コンピュータ &gt; 周辺機器 &gt; その他</t>
  </si>
  <si>
    <t>ズボンプレッサー</t>
  </si>
  <si>
    <t>オークション &gt; 家電、AV、カメラ &gt; 洗濯、アイロン &gt; ズボンプレッサー</t>
  </si>
  <si>
    <t>0,23632,2084042675,2084061483</t>
  </si>
  <si>
    <t>オークション &gt; 家電、AV、カメラ &gt; 洗濯、アイロン &gt; ミシン</t>
  </si>
  <si>
    <t>0,23632,2084042675,2084008354</t>
  </si>
  <si>
    <t>ダウンロード版</t>
  </si>
  <si>
    <t>オークション &gt; コンピュータ &gt; ソフトウエア &gt; ダウンロード版</t>
  </si>
  <si>
    <t>衣類乾燥機</t>
  </si>
  <si>
    <t>パッケージ版</t>
  </si>
  <si>
    <t>オークション &gt; 家電、AV、カメラ &gt; 洗濯、アイロン &gt; 衣類乾燥機</t>
  </si>
  <si>
    <t>0,23632,2084042675,2084042682</t>
  </si>
  <si>
    <r>
      <t>オークション &gt; コンピュータ &gt; ソフトウエア &gt; パッケージ版</t>
    </r>
    <r>
      <rPr>
        <sz val="8"/>
        <color theme="1"/>
        <rFont val="Courier New"/>
        <family val="3"/>
      </rPr>
      <t>&lt;</t>
    </r>
  </si>
  <si>
    <t>オークション &gt; 家電、AV、カメラ &gt; 洗濯、アイロン &gt; 洗濯機</t>
  </si>
  <si>
    <t>0,23632,2084042675,24454</t>
  </si>
  <si>
    <t>オークション &gt; 家電、AV、カメラ &gt; 洗濯、アイロン &gt; その他</t>
  </si>
  <si>
    <t>プリンタ用サプライ</t>
  </si>
  <si>
    <t>オークション &gt; コンピュータ &gt; サプライ &gt; プリンタ用サプライ</t>
  </si>
  <si>
    <t>0,23632,2084042675,2084061484</t>
  </si>
  <si>
    <r>
      <t>&gt;</t>
    </r>
    <r>
      <rPr>
        <sz val="8"/>
        <color rgb="FF000000"/>
        <rFont val="Courier New"/>
        <family val="3"/>
      </rPr>
      <t>記録用メモリ</t>
    </r>
  </si>
  <si>
    <t>オークション &gt; コンピュータ &gt; サプライ &gt; 記録用メモリ</t>
  </si>
  <si>
    <t>記録用ディスク</t>
  </si>
  <si>
    <t>オークション &gt; コンピュータ &gt; サプライ &gt; 記録用ディスク</t>
  </si>
  <si>
    <t>ケース</t>
  </si>
  <si>
    <t>オークション &gt; コンピュータ &gt; サプライ &gt; ケース</t>
  </si>
  <si>
    <t>シール、ステッカー</t>
  </si>
  <si>
    <t>オークション &gt; コンピュータ &gt; サプライ &gt; シール、ステッカー</t>
  </si>
  <si>
    <t>クリーナー、掃除用品</t>
  </si>
  <si>
    <t>オークション &gt; コンピュータ &gt; サプライ &gt; クリーナー、掃除用品</t>
  </si>
  <si>
    <t>掃除機一般</t>
  </si>
  <si>
    <t>オークション &gt; 家電、AV、カメラ &gt; 掃除 &gt; 掃除機一般</t>
  </si>
  <si>
    <t>マウスパッド</t>
  </si>
  <si>
    <t>オークション &gt; コンピュータ &gt; サプライ &gt; マウスパッド</t>
  </si>
  <si>
    <t>0,23632,24450,2084213158</t>
  </si>
  <si>
    <t>コードレスタイプ</t>
  </si>
  <si>
    <t>オークション &gt; 家電、AV、カメラ &gt; 掃除 &gt; コードレスタイプ</t>
  </si>
  <si>
    <t>0,23632,24450,2084213159</t>
  </si>
  <si>
    <t>サイクロンタイプ</t>
  </si>
  <si>
    <t>オークション &gt; 家電、AV、カメラ &gt; 掃除 &gt; サイクロンタイプ</t>
  </si>
  <si>
    <t>0,23632,24450,2084213161</t>
  </si>
  <si>
    <t>CPU</t>
  </si>
  <si>
    <t>オークション &gt; コンピュータ &gt; パーツ &gt; CPU</t>
  </si>
  <si>
    <t>メモリ</t>
  </si>
  <si>
    <t>オークション &gt; コンピュータ &gt; パーツ &gt; メモリ</t>
  </si>
  <si>
    <t>スチームタイプ</t>
  </si>
  <si>
    <t>オークション &gt; 家電、AV、カメラ &gt; 掃除 &gt; スチームタイプ</t>
  </si>
  <si>
    <t>カード</t>
  </si>
  <si>
    <t>オークション &gt; コンピュータ &gt; パーツ &gt; カード</t>
  </si>
  <si>
    <t>0,23632,24450,2084245310</t>
  </si>
  <si>
    <t>オークション &gt; コンピュータ &gt; パーツ &gt; ケース</t>
  </si>
  <si>
    <t>電源、ACアダプタ</t>
  </si>
  <si>
    <t>ロボットタイプ</t>
  </si>
  <si>
    <t>オークション &gt; コンピュータ &gt; パーツ &gt; 電源、ACアダプタ</t>
  </si>
  <si>
    <t>オークション &gt; 家電、AV、カメラ &gt; 掃除 &gt; ロボットタイプ</t>
  </si>
  <si>
    <t>0,23632,24450,2084245309</t>
  </si>
  <si>
    <t>ケーブル、コネクタ</t>
  </si>
  <si>
    <t>オークション &gt; コンピュータ &gt; パーツ &gt; ケーブル、コネクタ</t>
  </si>
  <si>
    <t>オークション &gt; コンピュータ &gt; パーツ &gt; Mac用</t>
  </si>
  <si>
    <t>オークション &gt; 家電、AV、カメラ &gt; 掃除 &gt; その他</t>
  </si>
  <si>
    <t>ベアボーンキット</t>
  </si>
  <si>
    <t>オークション &gt; コンピュータ &gt; パーツ &gt; ベアボーンキット</t>
  </si>
  <si>
    <t>0,23632,24450,2084213160</t>
  </si>
  <si>
    <t>オークション &gt; コンピュータ &gt; パーツ &gt; ワークステーション用</t>
  </si>
  <si>
    <t>冷却装置</t>
  </si>
  <si>
    <t>オークション &gt; コンピュータ &gt; パーツ &gt; 冷却装置</t>
  </si>
  <si>
    <t>サーバー本体</t>
  </si>
  <si>
    <t>オークション &gt; コンピュータ &gt; サーバー &gt; サーバー本体</t>
  </si>
  <si>
    <t>サーバーラック</t>
  </si>
  <si>
    <t>オークション &gt; コンピュータ &gt; サーバー &gt; サーバーラック</t>
  </si>
  <si>
    <t>オークション &gt; コンピュータ &gt; サーバー &gt; その他</t>
  </si>
  <si>
    <t>エアコン</t>
  </si>
  <si>
    <t>オークション &gt; 家電、AV、カメラ &gt; 冷暖房、空調 &gt; エアコン</t>
  </si>
  <si>
    <t>デル</t>
  </si>
  <si>
    <t>オークション &gt; コンピュータ &gt; ワークステーション &gt; デル</t>
  </si>
  <si>
    <t>空気清浄器</t>
  </si>
  <si>
    <t>オークション &gt; 家電、AV、カメラ &gt; 冷暖房、空調 &gt; 空気清浄器</t>
  </si>
  <si>
    <t>HP</t>
  </si>
  <si>
    <t>オークション &gt; コンピュータ &gt; ワークステーション &gt; HP</t>
  </si>
  <si>
    <t>SUN</t>
  </si>
  <si>
    <t>オークション &gt; コンピュータ &gt; ワークステーション &gt; SUN</t>
  </si>
  <si>
    <t>冷風扇</t>
  </si>
  <si>
    <t>IBM、レノボ</t>
  </si>
  <si>
    <t>オークション &gt; コンピュータ &gt; ワークステーション &gt; IBM、レノボ</t>
  </si>
  <si>
    <t>オークション &gt; 家電、AV、カメラ &gt; 冷暖房、空調 &gt; 冷風扇</t>
  </si>
  <si>
    <t>SGI</t>
  </si>
  <si>
    <t>オークション &gt; コンピュータ &gt; ワークステーション &gt; SGI</t>
  </si>
  <si>
    <r>
      <t>&gt;</t>
    </r>
    <r>
      <rPr>
        <sz val="8"/>
        <color rgb="FF000000"/>
        <rFont val="Courier New"/>
        <family val="3"/>
      </rPr>
      <t>パーツ</t>
    </r>
  </si>
  <si>
    <t>オークション &gt; コンピュータ &gt; ワークステーション &gt; パーツ</t>
  </si>
  <si>
    <t>オークション &gt; 家電、AV、カメラ &gt; 冷暖房、空調 &gt; 扇風機</t>
  </si>
  <si>
    <t>オークション &gt; コンピュータ &gt; ワークステーション &gt; 周辺機器</t>
  </si>
  <si>
    <t>オークション &gt; コンピュータ &gt; ワークステーション &gt; その他</t>
  </si>
  <si>
    <t>サーキュレーター</t>
  </si>
  <si>
    <t>オークション &gt; 家電、AV、カメラ &gt; 冷暖房、空調 &gt; サーキュレーター</t>
  </si>
  <si>
    <t>CLIE</t>
  </si>
  <si>
    <t>オークション &gt; コンピュータ &gt; PDA &gt; CLIE</t>
  </si>
  <si>
    <t>加湿器、除湿器</t>
  </si>
  <si>
    <t>オークション &gt; 家電、AV、カメラ &gt; 冷暖房、空調 &gt; 加湿器、除湿器</t>
  </si>
  <si>
    <t>PDA用ケース</t>
  </si>
  <si>
    <t>オークション &gt; コンピュータ &gt; PDA &gt; PDA用ケース</t>
  </si>
  <si>
    <t>こたつ</t>
  </si>
  <si>
    <t>Palmシリーズ</t>
  </si>
  <si>
    <t>オークション &gt; コンピュータ &gt; PDA &gt; Palmシリーズ</t>
  </si>
  <si>
    <t>オークション &gt; 家電、AV、カメラ &gt; 冷暖房、空調 &gt; こたつ</t>
  </si>
  <si>
    <t>Windows CE</t>
  </si>
  <si>
    <t>オークション &gt; コンピュータ &gt; PDA &gt; Windows CE</t>
  </si>
  <si>
    <t>オイルヒーター</t>
  </si>
  <si>
    <t>ザウルス</t>
  </si>
  <si>
    <t>オークション &gt; コンピュータ &gt; PDA &gt; ザウルス</t>
  </si>
  <si>
    <t>オークション &gt; 家電、AV、カメラ &gt; 冷暖房、空調 &gt; オイルヒーター</t>
  </si>
  <si>
    <t>ポケットボード</t>
  </si>
  <si>
    <t>オークション &gt; コンピュータ &gt; PDA &gt; ポケットボード</t>
  </si>
  <si>
    <r>
      <t>&gt;</t>
    </r>
    <r>
      <rPr>
        <sz val="8"/>
        <color rgb="FF000000"/>
        <rFont val="Courier New"/>
        <family val="3"/>
      </rPr>
      <t>オークション &gt; コンピュータ &gt; PDA &gt; その他</t>
    </r>
  </si>
  <si>
    <t>ストーブ</t>
  </si>
  <si>
    <t>オークション &gt; 家電、AV、カメラ &gt; 冷暖房、空調 &gt; ストーブ</t>
  </si>
  <si>
    <t>オークション &gt; 住まい、インテリア &gt; 家具、インテリア &gt; 机 &gt; パソコンデスク &gt; セット</t>
  </si>
  <si>
    <t>ファンヒーター</t>
  </si>
  <si>
    <t>オークション &gt; 家電、AV、カメラ &gt; 冷暖房、空調 &gt; ファンヒーター</t>
  </si>
  <si>
    <t>オークション &gt; 住まい、インテリア &gt; 家具、インテリア &gt; 机 &gt; パソコンデスク &gt; 一般</t>
  </si>
  <si>
    <t>座卓</t>
  </si>
  <si>
    <t>オークション &gt; 住まい、インテリア &gt; 家具、インテリア &gt; 机 &gt; パソコンデスク &gt; 座卓</t>
  </si>
  <si>
    <t>ホットカーペット</t>
  </si>
  <si>
    <t>オークション &gt; 家電、AV、カメラ &gt; 冷暖房、空調 &gt; ホットカーペット</t>
  </si>
  <si>
    <t>キャビネット、デスクワゴン</t>
  </si>
  <si>
    <t>オークション &gt; 住まい、インテリア &gt; 家具、インテリア &gt; 机 &gt; パソコンデスク &gt; キャビネット、デスクワゴン</t>
  </si>
  <si>
    <t>ホットマット</t>
  </si>
  <si>
    <t>オークション &gt; 家電、AV、カメラ &gt; 冷暖房、空調 &gt; ホットマット</t>
  </si>
  <si>
    <t>パソコン一般</t>
  </si>
  <si>
    <t>オークション &gt; 本、雑誌 &gt; 雑誌 &gt; コンピュータとインターネット &gt; パソコン一般</t>
  </si>
  <si>
    <t>電気あんか</t>
  </si>
  <si>
    <t>オークション &gt; 家電、AV、カメラ &gt; 冷暖房、空調 &gt; 電気あんか</t>
  </si>
  <si>
    <r>
      <t>Mac関連誌</t>
    </r>
    <r>
      <rPr>
        <sz val="8"/>
        <color theme="1"/>
        <rFont val="Courier New"/>
        <family val="3"/>
      </rPr>
      <t>&lt;</t>
    </r>
  </si>
  <si>
    <t>オークション &gt; 本、雑誌 &gt; 雑誌 &gt; コンピュータとインターネット &gt; Mac関連誌</t>
  </si>
  <si>
    <t>電気ヒーター</t>
  </si>
  <si>
    <t>Windows関連誌</t>
  </si>
  <si>
    <t>オークション &gt; 本、雑誌 &gt; 雑誌 &gt; コンピュータとインターネット &gt; Windows関連誌</t>
  </si>
  <si>
    <t>オークション &gt; 家電、AV、カメラ &gt; 冷暖房、空調 &gt; 電気ヒーター</t>
  </si>
  <si>
    <t>オークション &gt; 本、雑誌 &gt; 雑誌 &gt; コンピュータとインターネット &gt; インターネット、通信</t>
  </si>
  <si>
    <t>コンピュータミュージック、DTM</t>
  </si>
  <si>
    <t>オークション &gt; 本、雑誌 &gt; 雑誌 &gt; コンピュータとインターネット &gt; コンピュータミュージック、DTM</t>
  </si>
  <si>
    <t>電気毛布、電気ひざ掛け</t>
  </si>
  <si>
    <t>オークション &gt; 家電、AV、カメラ &gt; 冷暖房、空調 &gt; 電気毛布、電気ひざ掛け</t>
  </si>
  <si>
    <t>パソコンゲーム</t>
  </si>
  <si>
    <t>オークション &gt; 本、雑誌 &gt; 雑誌 &gt; コンピュータとインターネット &gt; パソコンゲー</t>
  </si>
  <si>
    <t>ふとん乾燥機</t>
  </si>
  <si>
    <t>オークション &gt; 家電、AV、カメラ &gt; 冷暖房、空調 &gt; ふとん乾燥機</t>
  </si>
  <si>
    <t>換気扇</t>
  </si>
  <si>
    <t>オークション &gt; 家電、AV、カメラ &gt; 冷暖房、空調 &gt; 換気扇</t>
  </si>
  <si>
    <t>オークション &gt; 家電、AV、カメラ &gt; 冷暖房、空調 &gt; その他</t>
  </si>
  <si>
    <t>フットバス</t>
  </si>
  <si>
    <t>オークション &gt; 家電、AV、カメラ &gt; 美容、健康 &gt; フットバス</t>
  </si>
  <si>
    <r>
      <t>オークション &gt; 本、雑誌 &gt; コンピュータとインターネット &gt; 雑誌</t>
    </r>
    <r>
      <rPr>
        <sz val="8"/>
        <color theme="1"/>
        <rFont val="Courier New"/>
        <family val="3"/>
      </rPr>
      <t>&lt;</t>
    </r>
  </si>
  <si>
    <t>オークション &gt; 家電、AV、カメラ &gt; 美容、健康 &gt; ヘアアイロン</t>
  </si>
  <si>
    <t>ヘアカーラー</t>
  </si>
  <si>
    <t>オークション &gt; 家電、AV、カメラ &gt; 美容、健康 &gt; ヘアカーラー</t>
  </si>
  <si>
    <t>オークション &gt; 家電、AV、カメラ &gt; 美容、健康 &gt; ヘアドライヤー</t>
  </si>
  <si>
    <t>オークション &gt; 家電、AV、カメラ &gt; 美容、健康 &gt; マッサージ機</t>
  </si>
  <si>
    <t>オークション &gt; 家電、AV、カメラ &gt; 美容、健康 &gt; 体脂肪計</t>
  </si>
  <si>
    <t>電気シェーバー</t>
  </si>
  <si>
    <t>オークション &gt; 家電、AV、カメラ &gt; 美容、健康 &gt; 電気シェーバー</t>
  </si>
  <si>
    <t>オークション &gt; 家電、AV、カメラ &gt; 美容、健康 &gt; 電動歯ブラシ</t>
  </si>
  <si>
    <t>オークション &gt; 家電、AV、カメラ &gt; 美容、健康 &gt; 美容機器</t>
  </si>
  <si>
    <t>オークション &gt; 家電、AV、カメラ &gt; 美容、健康 &gt; その他</t>
  </si>
  <si>
    <t>電話機一般</t>
  </si>
  <si>
    <t>オークション &gt; 家電、AV、カメラ &gt; 電話、ファクシミリ &gt; 電話機一般</t>
  </si>
  <si>
    <t>0,23632,2084042672,23956</t>
  </si>
  <si>
    <t>ファクシミリホン</t>
  </si>
  <si>
    <t>オークション &gt; 家電、AV、カメラ &gt; 電話、ファクシミリ &gt; ファクシミリホン</t>
  </si>
  <si>
    <t>0,23632,2084042672,2084032436</t>
  </si>
  <si>
    <t>携帯電話、PHS</t>
  </si>
  <si>
    <t>オークション &gt; 家電、AV、カメラ &gt; 電話、ファクシミリ &gt; 携帯電話、PHS</t>
  </si>
  <si>
    <t>0,23632,2084042672,23960</t>
  </si>
  <si>
    <t>留守番電話</t>
  </si>
  <si>
    <t>オークション &gt; 家電、AV、カメラ &gt; 電話、ファクシミリ &gt; 留守番電話</t>
  </si>
  <si>
    <t>0,23632,2084042672,2084032435</t>
  </si>
  <si>
    <t>テレビ電話</t>
  </si>
  <si>
    <t>オークション &gt; 家電、AV、カメラ &gt; 電話、ファクシミリ &gt; テレビ電話</t>
  </si>
  <si>
    <t>0,23632,2084042672,2084048549</t>
  </si>
  <si>
    <t>オークション &gt; 家電、AV、カメラ &gt; 電話、ファクシミリ &gt; ビジネスフォン</t>
  </si>
  <si>
    <t>0,23632,2084042672,2084198552</t>
  </si>
  <si>
    <t>オークション &gt; 家電、AV、カメラ &gt; 電話、ファクシミリ &gt; 周辺機器</t>
  </si>
  <si>
    <t>0,23632,2084042672,2084032434</t>
  </si>
  <si>
    <t>オークション &gt; 家電、AV、カメラ &gt; 電話、ファクシミリ &gt; 複合機、コピー機</t>
  </si>
  <si>
    <t>0,23632,2084042672,22916</t>
  </si>
  <si>
    <t>オークション &gt; 家電、AV、カメラ &gt; 電話、ファクシミリ &gt; テレホンカード</t>
  </si>
  <si>
    <t>0,23632,2084042672,23968</t>
  </si>
  <si>
    <t>オークション &gt; 事務、店舗用品 &gt; OA機器 &gt; 電子辞書 &gt; カシオ</t>
  </si>
  <si>
    <t>キヤノン</t>
  </si>
  <si>
    <t>オークション &gt; 事務、店舗用品 &gt; OA機器 &gt; 電子辞書 &gt; キヤノン</t>
  </si>
  <si>
    <t>オークション &gt; 事務、店舗用品 &gt; OA機器 &gt; 電子辞書 &gt; シチズン</t>
  </si>
  <si>
    <t>シャープ</t>
  </si>
  <si>
    <t>オークション &gt; 事務、店舗用品 &gt; OA機器 &gt; 電子辞書 &gt; シャープ</t>
  </si>
  <si>
    <t>オークション &gt; 事務、店舗用品 &gt; OA機器 &gt; 電子辞書 &gt; セイコー</t>
  </si>
  <si>
    <t>ソニー</t>
  </si>
  <si>
    <t>オークション &gt; 事務、店舗用品 &gt; OA機器 &gt; 電子辞書 &gt; ソニー</t>
  </si>
  <si>
    <t>オークション &gt; 事務、店舗用品 &gt; OA機器 &gt; 電子辞書 &gt; その他</t>
  </si>
  <si>
    <t>アマダナ</t>
  </si>
  <si>
    <t>オークション &gt; 事務、店舗用品 &gt; OA機器 &gt; 電卓 &gt; アマダナ</t>
  </si>
  <si>
    <t>オークション &gt; 事務、店舗用品 &gt; OA機器 &gt; 電卓 &gt; カシオ</t>
  </si>
  <si>
    <t>オークション &gt; 事務、店舗用品 &gt; OA機器 &gt; 電卓 &gt; シチズン</t>
  </si>
  <si>
    <t>オークション &gt; 事務、店舗用品 &gt; OA機器 &gt; 電卓 &gt; シャープ</t>
  </si>
  <si>
    <t>オークション &gt; 事務、店舗用品 &gt; OA機器 &gt; 電卓 &gt; その他</t>
  </si>
  <si>
    <t>オークション &gt; 家電、AV、カメラ &gt; 電池、バッテリー、充電器 &gt; 一般</t>
  </si>
  <si>
    <t>アルカリ乾電池</t>
  </si>
  <si>
    <t>オークション &gt; 家電、AV、カメラ &gt; 電池、バッテリー、充電器 &gt; アルカリ乾電池</t>
  </si>
  <si>
    <t>充電池</t>
  </si>
  <si>
    <t>オークション &gt; 家電、AV、カメラ &gt; 電池、バッテリー、充電器 &gt; 充電池</t>
  </si>
  <si>
    <t>ソーラーパネル、太陽電池</t>
  </si>
  <si>
    <t>オークション &gt; 家電、AV、カメラ &gt; 電池、バッテリー、充電器 &gt; ソーラーパネル、太陽電池</t>
  </si>
  <si>
    <t>ビデオカメラ用</t>
  </si>
  <si>
    <t>オークション &gt; 家電、AV、カメラ &gt; 電池、バッテリー、充電器 &gt; ビデオカメラ用</t>
  </si>
  <si>
    <t>携帯電話、PHS用</t>
  </si>
  <si>
    <t>オークション &gt; 家電、AV、カメラ &gt; 電池、バッテリー、充電器 &gt; 携帯電話、PHS用</t>
  </si>
  <si>
    <t>時計用</t>
  </si>
  <si>
    <t>オークション &gt; 家電、AV、カメラ &gt; 電池、バッテリー、充電器 &gt; 時計用</t>
  </si>
  <si>
    <t>LED</t>
  </si>
  <si>
    <t>オークション &gt; 家電、AV、カメラ &gt; 電子部品 &gt; LED</t>
  </si>
  <si>
    <t>コイル</t>
  </si>
  <si>
    <t>オークション &gt; 家電、AV、カメラ &gt; 電子部品 &gt; コイル</t>
  </si>
  <si>
    <t>コンデンサ</t>
  </si>
  <si>
    <t>オークション &gt; 家電、AV、カメラ &gt; 電子部品 &gt; コンデンサ</t>
  </si>
  <si>
    <t>可変抵抗</t>
  </si>
  <si>
    <t>オークション &gt; 家電、AV、カメラ &gt; 電子部品 &gt; 可変抵抗</t>
  </si>
  <si>
    <t>固定抵抗</t>
  </si>
  <si>
    <t>オークション &gt; 家電、AV、カメラ &gt; 電子部品 &gt; 固定抵抗</t>
  </si>
  <si>
    <t>スイッチ</t>
  </si>
  <si>
    <t>オークション &gt; 家電、AV、カメラ &gt; 電子部品 &gt; スイッチ</t>
  </si>
  <si>
    <t>スイッチング電源</t>
  </si>
  <si>
    <t>オークション &gt; 家電、AV、カメラ &gt; 電子部品 &gt; スイッチング電源</t>
  </si>
  <si>
    <t>ダイオード</t>
  </si>
  <si>
    <t>オークション &gt; 家電、AV、カメラ &gt; 電子部品 &gt; ダイオード</t>
  </si>
  <si>
    <t>トランジスタ</t>
  </si>
  <si>
    <t>オークション &gt; 家電、AV、カメラ &gt; 電子部品 &gt; トランジスタ</t>
  </si>
  <si>
    <t>バリスタ</t>
  </si>
  <si>
    <t>オークション &gt; 家電、AV、カメラ &gt; 電子部品 &gt; バリスタ</t>
  </si>
  <si>
    <t>ヒートシンク</t>
  </si>
  <si>
    <t>オークション &gt; 家電、AV、カメラ &gt; 電子部品 &gt; ヒートシンク</t>
  </si>
  <si>
    <t>ヒューズ</t>
  </si>
  <si>
    <t>オークション &gt; 家電、AV、カメラ &gt; 電子部品 &gt; ヒューズ</t>
  </si>
  <si>
    <t>プリント基板</t>
  </si>
  <si>
    <t>オークション &gt; 家電、AV、カメラ &gt; 電子部品 &gt; プリント基板</t>
  </si>
  <si>
    <t>メーター</t>
  </si>
  <si>
    <t>オークション &gt; 家電、AV、カメラ &gt; 電子部品 &gt; メーター</t>
  </si>
  <si>
    <t>リレー</t>
  </si>
  <si>
    <t>オークション &gt; 家電、AV、カメラ &gt; 電子部品 &gt; リレー</t>
  </si>
  <si>
    <t>コネクタ</t>
  </si>
  <si>
    <t>オークション &gt; 家電、AV、カメラ &gt; 電子部品 &gt; コネクタ</t>
  </si>
  <si>
    <t>オークション &gt; 家電、AV、カメラ &gt; 電子部品 &gt; スピーカー</t>
  </si>
  <si>
    <t>ピックアップ</t>
  </si>
  <si>
    <t>オークション &gt; 家電、AV、カメラ &gt; 電子部品 &gt; ピックアップ</t>
  </si>
  <si>
    <t>集積回路</t>
  </si>
  <si>
    <t>オークション &gt; 家電、AV、カメラ &gt; 電子部品 &gt; 集積回路</t>
  </si>
  <si>
    <t>端子台</t>
  </si>
  <si>
    <t>オークション &gt; 家電、AV、カメラ &gt; 電子部品 &gt; 端子台</t>
  </si>
  <si>
    <t>オークション &gt; 家電、AV、カメラ &gt; 電子部品 &gt; その他</t>
  </si>
  <si>
    <t>0,25464,27727,22844,2084315793</t>
  </si>
  <si>
    <t>0,25464,27727,22844,2084315791</t>
  </si>
  <si>
    <t>0,25464,27727,22844,2084290226</t>
  </si>
  <si>
    <t>0,25464,27727,22844,2084056539</t>
  </si>
  <si>
    <t>0,25464,27727,22844,2084310052</t>
  </si>
  <si>
    <t>0,25464,27727,22844,2084217064</t>
  </si>
  <si>
    <t>0,25464,27727,22844,2084301277</t>
  </si>
  <si>
    <t>0,25464,27727,22844,2084057109</t>
  </si>
  <si>
    <t>0,25464,27727,22844,2084313826</t>
  </si>
  <si>
    <t>0,25464,27727,22844,2084216435</t>
  </si>
  <si>
    <t>0,25464,27727,22844,2084006668</t>
  </si>
  <si>
    <t>0,25464,27727,22844,2084314664</t>
  </si>
  <si>
    <t>0,25464,27727,22844,2084235546</t>
  </si>
  <si>
    <t>0,25464,27727,22844,22860</t>
  </si>
  <si>
    <t>0,25464,27727,22844,2084041580</t>
  </si>
  <si>
    <t>0,25464,27727,22844,2084063616</t>
  </si>
  <si>
    <t>0,25464,27727,22844,27812</t>
  </si>
  <si>
    <t>0,25464,27727,22844,2084045784</t>
  </si>
  <si>
    <t>0,25464,27727,22844,22850</t>
  </si>
  <si>
    <t>0,25464,27727,22844,22852</t>
  </si>
  <si>
    <t>0,25464,27727,22844,22853</t>
  </si>
  <si>
    <t>0,25464,27727,22844,2084047852</t>
  </si>
  <si>
    <t>0,25464,27727,22844,40505</t>
  </si>
  <si>
    <t>0,25464,27727,22844,2084005537</t>
  </si>
  <si>
    <t>0,25464,27727,22844,2084005532</t>
  </si>
  <si>
    <t>0,25464,27727,22844,2084006676</t>
  </si>
  <si>
    <t>0,25464,27727,22844,22864</t>
  </si>
  <si>
    <t>0,25464,27727,22844,2084047781</t>
  </si>
  <si>
    <t>0,25464,27727,22844,2084005147</t>
  </si>
  <si>
    <t>0,25464,27727,22844,2084009067</t>
  </si>
  <si>
    <t>0,25464,27727,22844,2084047654</t>
  </si>
  <si>
    <t>0,25464,27727,22844,2084005119</t>
  </si>
  <si>
    <t>0,25464,27727,22844,22892</t>
  </si>
  <si>
    <t>タブレット</t>
  </si>
  <si>
    <t>蛍光灯、電球</t>
  </si>
  <si>
    <t>オークション &gt; 住まい、インテリア &gt; 家具、インテリア &gt; 照明 &gt; 蛍光灯、電球</t>
  </si>
  <si>
    <t>天井照明</t>
  </si>
  <si>
    <t>オークション &gt; 住まい、インテリア &gt; 家具、インテリア &gt; 照明 &gt; 天井照明</t>
  </si>
  <si>
    <t>フロアスタンド</t>
  </si>
  <si>
    <t>オークション &gt; 住まい、インテリア &gt; 家具、インテリア &gt; 照明 &gt; フロアスタンド</t>
  </si>
  <si>
    <t>卓上スタンド</t>
  </si>
  <si>
    <t>オークション &gt; 住まい、インテリア &gt; 家具、インテリア &gt; 照明 &gt; 卓上スタンド</t>
  </si>
  <si>
    <t>オークション &gt; 住まい、インテリア &gt; 家具、インテリア &gt; 照明 &gt; デスク用タスクライト</t>
  </si>
  <si>
    <t>あんどん</t>
  </si>
  <si>
    <t>オークション &gt; 住まい、インテリア &gt; 家具、インテリア &gt; 照明 &gt; あんどん</t>
  </si>
  <si>
    <t>アロマライト、ランプ</t>
  </si>
  <si>
    <t>オークション &gt; 住まい、インテリア &gt; 家具、インテリア &gt; 照明 &gt; アロマライト、ランプ</t>
  </si>
  <si>
    <t>屋外用ライト</t>
  </si>
  <si>
    <t>オークション &gt; 住まい、インテリア &gt; 家具、インテリア &gt; 照明 &gt; 屋外用ライト</t>
  </si>
  <si>
    <t>イルミネーション</t>
  </si>
  <si>
    <t>オークション &gt; 住まい、インテリア &gt; 家具、インテリア &gt; 照明 &gt; イルミネーション</t>
  </si>
  <si>
    <t>オークション &gt; 住まい、インテリア &gt; 家具、インテリア &gt; 照明 &gt; ガーデンライト</t>
  </si>
  <si>
    <t>センサー付き照明</t>
  </si>
  <si>
    <t>オークション &gt; 住まい、インテリア &gt; 家具、インテリア &gt; 照明 &gt; センサー付き照明</t>
  </si>
  <si>
    <t>特殊用</t>
  </si>
  <si>
    <t>オークション &gt; 住まい、インテリア &gt; 家具、インテリア &gt; 照明 &gt; 特殊用</t>
  </si>
  <si>
    <t>配線ダクトレール</t>
  </si>
  <si>
    <t>オークション &gt; 住まい、インテリア &gt; 家具、インテリア &gt; 照明 &gt; 配線ダクトレール</t>
  </si>
  <si>
    <t>配線ダクトレール用ライト</t>
  </si>
  <si>
    <t>オークション &gt; 住まい、インテリア &gt; 家具、インテリア &gt; 照明 &gt; 配線ダクトレール用ライト</t>
  </si>
  <si>
    <t>スポットライト</t>
  </si>
  <si>
    <t>オークション &gt; 住まい、インテリア &gt; 家具、インテリア &gt; 照明 &gt; スポットライト</t>
  </si>
  <si>
    <t>オークション &gt; 住まい、インテリア &gt; 家具、インテリア &gt; 照明 &gt; その他</t>
  </si>
  <si>
    <t>オークション &gt; 家電、AV、カメラ &gt; 時計 &gt; キャラクター腕時計</t>
  </si>
  <si>
    <t>オークション &gt; 家電、AV、カメラ &gt; 時計 &gt; スマートウォッチ本体</t>
  </si>
  <si>
    <t>オークション &gt; 家電、AV、カメラ &gt; 時計 &gt; ブランド腕時計</t>
  </si>
  <si>
    <t>一般腕時計（女性用）</t>
  </si>
  <si>
    <t>オークション &gt; 家電、AV、カメラ &gt; 時計 &gt; 一般腕時計（女性用）</t>
  </si>
  <si>
    <t>一般腕時計（男女兼用）</t>
  </si>
  <si>
    <t>オークション &gt; 家電、AV、カメラ &gt; 時計 &gt; 一般腕時計（男女兼用）</t>
  </si>
  <si>
    <t>一般腕時計（男性用）</t>
  </si>
  <si>
    <t>オークション &gt; 家電、AV、カメラ &gt; 時計 &gt; 一般腕時計（男性用）</t>
  </si>
  <si>
    <t>オークション &gt; 家電、AV、カメラ &gt; 時計 &gt; 懐中時計</t>
  </si>
  <si>
    <t>オークション &gt; 家電、AV、カメラ &gt; 時計 &gt; 置時計、掛時計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</si>
</sst>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Arial"/>
    </font>
    <font>
      <sz val="8"/>
      <color rgb="FF881280"/>
      <name val="Courier New"/>
      <family val="3"/>
    </font>
    <font>
      <sz val="8"/>
      <color rgb="FF212529"/>
      <name val="Arial"/>
      <family val="2"/>
    </font>
    <font>
      <sz val="11"/>
      <color rgb="FF000000"/>
      <name val="Inconsolata"/>
    </font>
    <font>
      <sz val="20"/>
      <color rgb="FF212529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8"/>
      <color rgb="FF000000"/>
      <name val="Courier New"/>
      <family val="3"/>
    </font>
    <font>
      <sz val="11"/>
      <color theme="1"/>
      <name val="Calibri"/>
      <family val="2"/>
    </font>
    <font>
      <sz val="8"/>
      <color theme="1"/>
      <name val="Courier New"/>
      <family val="3"/>
    </font>
    <font>
      <sz val="8"/>
      <color theme="1"/>
      <name val="Arial"/>
      <family val="2"/>
    </font>
    <font>
      <b/>
      <sz val="8"/>
      <color rgb="FF212529"/>
      <name val="Arial"/>
      <family val="2"/>
    </font>
    <font>
      <sz val="20"/>
      <color theme="1"/>
      <name val="Arial"/>
      <family val="2"/>
    </font>
    <font>
      <sz val="11"/>
      <color rgb="FF212529"/>
      <name val="Calibri"/>
      <family val="2"/>
    </font>
    <font>
      <sz val="11"/>
      <color rgb="FF212529"/>
      <name val="Arial"/>
      <family val="2"/>
    </font>
    <font>
      <sz val="7"/>
      <color rgb="FF333333"/>
      <name val="Arial"/>
      <family val="2"/>
    </font>
    <font>
      <sz val="18"/>
      <color rgb="FF212529"/>
      <name val="Arial"/>
      <family val="2"/>
    </font>
    <font>
      <sz val="20"/>
      <color rgb="FF000000"/>
      <name val="Courier New"/>
      <family val="3"/>
    </font>
    <font>
      <sz val="11"/>
      <color rgb="FF212529"/>
      <name val="Arial"/>
      <family val="2"/>
    </font>
    <font>
      <sz val="11"/>
      <name val="Arial"/>
      <family val="2"/>
    </font>
    <font>
      <sz val="8"/>
      <color rgb="FF212529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44546A"/>
        <bgColor rgb="FF44546A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0CECE"/>
        <bgColor rgb="FFD0CECE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AEABAB"/>
        <bgColor rgb="FFAEABAB"/>
      </patternFill>
    </fill>
    <fill>
      <patternFill patternType="solid">
        <fgColor rgb="FF7030A0"/>
        <bgColor rgb="FF7030A0"/>
      </patternFill>
    </fill>
    <fill>
      <patternFill patternType="solid">
        <fgColor rgb="FFADB9CA"/>
        <bgColor rgb="FFADB9CA"/>
      </patternFill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8EAADB"/>
        <bgColor rgb="FF8EAADB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  <fill>
      <patternFill patternType="solid">
        <fgColor rgb="FF8496B0"/>
        <bgColor rgb="FF8496B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C8C8C8"/>
        <bgColor rgb="FFC8C8C8"/>
      </patternFill>
    </fill>
    <fill>
      <patternFill patternType="solid">
        <fgColor rgb="FF0033CC"/>
        <bgColor rgb="FF0033CC"/>
      </patternFill>
    </fill>
    <fill>
      <patternFill patternType="solid">
        <fgColor rgb="FF757070"/>
        <bgColor rgb="FF757070"/>
      </patternFill>
    </fill>
    <fill>
      <patternFill patternType="solid">
        <fgColor rgb="FF2E75B5"/>
        <bgColor rgb="FF2E75B5"/>
      </patternFill>
    </fill>
    <fill>
      <patternFill patternType="solid">
        <fgColor rgb="FFA5A5A5"/>
        <bgColor rgb="FFA5A5A5"/>
      </patternFill>
    </fill>
    <fill>
      <patternFill patternType="solid">
        <fgColor rgb="FFBF9000"/>
        <bgColor rgb="FFBF9000"/>
      </patternFill>
    </fill>
    <fill>
      <patternFill patternType="solid">
        <fgColor rgb="FF2F5496"/>
        <bgColor rgb="FF2F5496"/>
      </patternFill>
    </fill>
    <fill>
      <patternFill patternType="solid">
        <fgColor rgb="FF1E4E79"/>
        <bgColor rgb="FF1E4E79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3A3838"/>
        <bgColor rgb="FF3A3838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6" fillId="0" borderId="0" xfId="0" applyFont="1" applyAlignment="1"/>
    <xf numFmtId="0" fontId="6" fillId="0" borderId="0" xfId="0" applyFont="1"/>
    <xf numFmtId="0" fontId="7" fillId="3" borderId="5" xfId="0" applyFont="1" applyFill="1" applyBorder="1"/>
    <xf numFmtId="0" fontId="8" fillId="3" borderId="5" xfId="0" applyFont="1" applyFill="1" applyBorder="1"/>
    <xf numFmtId="0" fontId="7" fillId="4" borderId="5" xfId="0" applyFont="1" applyFill="1" applyBorder="1"/>
    <xf numFmtId="0" fontId="7" fillId="7" borderId="5" xfId="0" applyFont="1" applyFill="1" applyBorder="1"/>
    <xf numFmtId="0" fontId="2" fillId="9" borderId="1" xfId="0" applyFont="1" applyFill="1" applyBorder="1" applyAlignment="1">
      <alignment horizontal="center" vertical="top" wrapText="1"/>
    </xf>
    <xf numFmtId="0" fontId="7" fillId="5" borderId="5" xfId="0" applyFont="1" applyFill="1" applyBorder="1"/>
    <xf numFmtId="0" fontId="7" fillId="8" borderId="5" xfId="0" applyFont="1" applyFill="1" applyBorder="1"/>
    <xf numFmtId="0" fontId="7" fillId="6" borderId="5" xfId="0" applyFont="1" applyFill="1" applyBorder="1"/>
    <xf numFmtId="0" fontId="7" fillId="10" borderId="5" xfId="0" applyFont="1" applyFill="1" applyBorder="1"/>
    <xf numFmtId="0" fontId="7" fillId="9" borderId="5" xfId="0" applyFont="1" applyFill="1" applyBorder="1"/>
    <xf numFmtId="0" fontId="7" fillId="11" borderId="5" xfId="0" applyFont="1" applyFill="1" applyBorder="1"/>
    <xf numFmtId="0" fontId="7" fillId="12" borderId="5" xfId="0" applyFont="1" applyFill="1" applyBorder="1"/>
    <xf numFmtId="0" fontId="9" fillId="12" borderId="5" xfId="0" applyFont="1" applyFill="1" applyBorder="1"/>
    <xf numFmtId="0" fontId="8" fillId="12" borderId="5" xfId="0" applyFont="1" applyFill="1" applyBorder="1"/>
    <xf numFmtId="0" fontId="7" fillId="13" borderId="5" xfId="0" applyFont="1" applyFill="1" applyBorder="1"/>
    <xf numFmtId="0" fontId="8" fillId="13" borderId="5" xfId="0" applyFont="1" applyFill="1" applyBorder="1"/>
    <xf numFmtId="0" fontId="7" fillId="14" borderId="5" xfId="0" applyFont="1" applyFill="1" applyBorder="1"/>
    <xf numFmtId="0" fontId="8" fillId="14" borderId="5" xfId="0" applyFont="1" applyFill="1" applyBorder="1"/>
    <xf numFmtId="0" fontId="7" fillId="15" borderId="5" xfId="0" applyFont="1" applyFill="1" applyBorder="1"/>
    <xf numFmtId="0" fontId="8" fillId="15" borderId="5" xfId="0" applyFont="1" applyFill="1" applyBorder="1"/>
    <xf numFmtId="0" fontId="7" fillId="16" borderId="5" xfId="0" applyFont="1" applyFill="1" applyBorder="1"/>
    <xf numFmtId="0" fontId="8" fillId="16" borderId="5" xfId="0" applyFont="1" applyFill="1" applyBorder="1"/>
    <xf numFmtId="0" fontId="7" fillId="17" borderId="5" xfId="0" applyFont="1" applyFill="1" applyBorder="1"/>
    <xf numFmtId="0" fontId="8" fillId="17" borderId="5" xfId="0" applyFont="1" applyFill="1" applyBorder="1"/>
    <xf numFmtId="0" fontId="7" fillId="18" borderId="5" xfId="0" applyFont="1" applyFill="1" applyBorder="1"/>
    <xf numFmtId="0" fontId="8" fillId="18" borderId="5" xfId="0" applyFont="1" applyFill="1" applyBorder="1"/>
    <xf numFmtId="0" fontId="7" fillId="19" borderId="5" xfId="0" applyFont="1" applyFill="1" applyBorder="1"/>
    <xf numFmtId="0" fontId="8" fillId="19" borderId="5" xfId="0" applyFont="1" applyFill="1" applyBorder="1"/>
    <xf numFmtId="0" fontId="7" fillId="20" borderId="5" xfId="0" applyFont="1" applyFill="1" applyBorder="1"/>
    <xf numFmtId="0" fontId="2" fillId="10" borderId="1" xfId="0" applyFont="1" applyFill="1" applyBorder="1" applyAlignment="1">
      <alignment horizontal="center" vertical="top" wrapText="1"/>
    </xf>
    <xf numFmtId="0" fontId="8" fillId="20" borderId="5" xfId="0" applyFont="1" applyFill="1" applyBorder="1"/>
    <xf numFmtId="0" fontId="2" fillId="21" borderId="1" xfId="0" applyFont="1" applyFill="1" applyBorder="1" applyAlignment="1">
      <alignment horizontal="center" vertical="top" wrapText="1"/>
    </xf>
    <xf numFmtId="0" fontId="7" fillId="22" borderId="5" xfId="0" applyFont="1" applyFill="1" applyBorder="1"/>
    <xf numFmtId="0" fontId="2" fillId="23" borderId="1" xfId="0" applyFont="1" applyFill="1" applyBorder="1" applyAlignment="1">
      <alignment horizontal="center" vertical="top" wrapText="1"/>
    </xf>
    <xf numFmtId="0" fontId="8" fillId="22" borderId="5" xfId="0" applyFont="1" applyFill="1" applyBorder="1"/>
    <xf numFmtId="0" fontId="7" fillId="24" borderId="5" xfId="0" applyFont="1" applyFill="1" applyBorder="1"/>
    <xf numFmtId="0" fontId="2" fillId="25" borderId="1" xfId="0" applyFont="1" applyFill="1" applyBorder="1" applyAlignment="1">
      <alignment horizontal="center" vertical="top" wrapText="1"/>
    </xf>
    <xf numFmtId="0" fontId="8" fillId="24" borderId="5" xfId="0" applyFont="1" applyFill="1" applyBorder="1"/>
    <xf numFmtId="0" fontId="2" fillId="26" borderId="1" xfId="0" applyFont="1" applyFill="1" applyBorder="1" applyAlignment="1">
      <alignment horizontal="center" vertical="top" wrapText="1"/>
    </xf>
    <xf numFmtId="0" fontId="7" fillId="27" borderId="5" xfId="0" applyFont="1" applyFill="1" applyBorder="1"/>
    <xf numFmtId="0" fontId="8" fillId="27" borderId="5" xfId="0" applyFont="1" applyFill="1" applyBorder="1"/>
    <xf numFmtId="0" fontId="2" fillId="28" borderId="1" xfId="0" applyFont="1" applyFill="1" applyBorder="1" applyAlignment="1">
      <alignment horizontal="center" vertical="top" wrapText="1"/>
    </xf>
    <xf numFmtId="0" fontId="7" fillId="29" borderId="5" xfId="0" applyFont="1" applyFill="1" applyBorder="1"/>
    <xf numFmtId="0" fontId="8" fillId="29" borderId="5" xfId="0" applyFont="1" applyFill="1" applyBorder="1"/>
    <xf numFmtId="0" fontId="2" fillId="30" borderId="1" xfId="0" applyFont="1" applyFill="1" applyBorder="1" applyAlignment="1">
      <alignment horizontal="center" vertical="top" wrapText="1"/>
    </xf>
    <xf numFmtId="0" fontId="7" fillId="31" borderId="5" xfId="0" applyFont="1" applyFill="1" applyBorder="1"/>
    <xf numFmtId="0" fontId="8" fillId="31" borderId="5" xfId="0" applyFont="1" applyFill="1" applyBorder="1"/>
    <xf numFmtId="0" fontId="2" fillId="32" borderId="1" xfId="0" applyFont="1" applyFill="1" applyBorder="1" applyAlignment="1">
      <alignment horizontal="center" vertical="top" wrapText="1"/>
    </xf>
    <xf numFmtId="0" fontId="7" fillId="33" borderId="5" xfId="0" applyFont="1" applyFill="1" applyBorder="1"/>
    <xf numFmtId="0" fontId="8" fillId="33" borderId="5" xfId="0" applyFont="1" applyFill="1" applyBorder="1"/>
    <xf numFmtId="0" fontId="2" fillId="34" borderId="1" xfId="0" applyFont="1" applyFill="1" applyBorder="1" applyAlignment="1">
      <alignment horizontal="center" vertical="top" wrapText="1"/>
    </xf>
    <xf numFmtId="0" fontId="2" fillId="35" borderId="1" xfId="0" applyFont="1" applyFill="1" applyBorder="1" applyAlignment="1">
      <alignment horizontal="center" vertical="top" wrapText="1"/>
    </xf>
    <xf numFmtId="0" fontId="7" fillId="36" borderId="5" xfId="0" applyFont="1" applyFill="1" applyBorder="1"/>
    <xf numFmtId="0" fontId="2" fillId="36" borderId="1" xfId="0" applyFont="1" applyFill="1" applyBorder="1" applyAlignment="1">
      <alignment horizontal="center" vertical="top" wrapText="1"/>
    </xf>
    <xf numFmtId="0" fontId="2" fillId="37" borderId="1" xfId="0" applyFont="1" applyFill="1" applyBorder="1" applyAlignment="1">
      <alignment horizontal="center" vertical="top" wrapText="1"/>
    </xf>
    <xf numFmtId="0" fontId="8" fillId="36" borderId="5" xfId="0" applyFont="1" applyFill="1" applyBorder="1"/>
    <xf numFmtId="0" fontId="2" fillId="38" borderId="1" xfId="0" applyFont="1" applyFill="1" applyBorder="1" applyAlignment="1">
      <alignment horizontal="center" vertical="top" wrapText="1"/>
    </xf>
    <xf numFmtId="0" fontId="2" fillId="39" borderId="1" xfId="0" applyFont="1" applyFill="1" applyBorder="1" applyAlignment="1">
      <alignment horizontal="center" vertical="top" wrapText="1"/>
    </xf>
    <xf numFmtId="0" fontId="8" fillId="40" borderId="5" xfId="0" applyFont="1" applyFill="1" applyBorder="1"/>
    <xf numFmtId="0" fontId="10" fillId="35" borderId="1" xfId="0" applyFont="1" applyFill="1" applyBorder="1" applyAlignment="1">
      <alignment horizontal="center" vertical="top" wrapText="1"/>
    </xf>
    <xf numFmtId="0" fontId="2" fillId="41" borderId="1" xfId="0" applyFont="1" applyFill="1" applyBorder="1" applyAlignment="1">
      <alignment horizontal="center" vertical="top" wrapText="1"/>
    </xf>
    <xf numFmtId="0" fontId="7" fillId="0" borderId="0" xfId="0" applyFont="1"/>
    <xf numFmtId="0" fontId="9" fillId="0" borderId="0" xfId="0" applyFont="1"/>
    <xf numFmtId="0" fontId="2" fillId="42" borderId="1" xfId="0" applyFont="1" applyFill="1" applyBorder="1" applyAlignment="1">
      <alignment horizontal="center" vertical="top" wrapText="1"/>
    </xf>
    <xf numFmtId="0" fontId="2" fillId="43" borderId="1" xfId="0" applyFont="1" applyFill="1" applyBorder="1" applyAlignment="1">
      <alignment horizontal="center" vertical="top" wrapText="1"/>
    </xf>
    <xf numFmtId="0" fontId="2" fillId="33" borderId="1" xfId="0" applyFont="1" applyFill="1" applyBorder="1" applyAlignment="1">
      <alignment horizontal="center" vertical="top" wrapText="1"/>
    </xf>
    <xf numFmtId="0" fontId="2" fillId="44" borderId="1" xfId="0" applyFont="1" applyFill="1" applyBorder="1" applyAlignment="1">
      <alignment horizontal="center" vertical="top" wrapText="1"/>
    </xf>
    <xf numFmtId="0" fontId="2" fillId="45" borderId="1" xfId="0" applyFont="1" applyFill="1" applyBorder="1" applyAlignment="1">
      <alignment horizontal="center" vertical="top" wrapText="1"/>
    </xf>
    <xf numFmtId="0" fontId="2" fillId="46" borderId="1" xfId="0" applyFont="1" applyFill="1" applyBorder="1" applyAlignment="1">
      <alignment horizontal="center" vertical="top" wrapText="1"/>
    </xf>
    <xf numFmtId="0" fontId="2" fillId="47" borderId="1" xfId="0" applyFont="1" applyFill="1" applyBorder="1" applyAlignment="1">
      <alignment horizontal="center" vertical="top" wrapText="1"/>
    </xf>
    <xf numFmtId="0" fontId="2" fillId="24" borderId="1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2" fillId="0" borderId="1" xfId="0" applyFont="1" applyBorder="1"/>
    <xf numFmtId="0" fontId="10" fillId="45" borderId="1" xfId="0" applyFont="1" applyFill="1" applyBorder="1" applyAlignment="1">
      <alignment horizontal="center" vertical="top" wrapText="1"/>
    </xf>
    <xf numFmtId="0" fontId="2" fillId="48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top" wrapText="1"/>
    </xf>
    <xf numFmtId="0" fontId="14" fillId="8" borderId="1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horizontal="center" vertical="top" wrapText="1"/>
    </xf>
    <xf numFmtId="0" fontId="14" fillId="10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vertical="top" wrapText="1"/>
    </xf>
    <xf numFmtId="0" fontId="14" fillId="21" borderId="1" xfId="0" applyFont="1" applyFill="1" applyBorder="1" applyAlignment="1">
      <alignment horizontal="center" vertical="top" wrapText="1"/>
    </xf>
    <xf numFmtId="0" fontId="14" fillId="23" borderId="1" xfId="0" applyFont="1" applyFill="1" applyBorder="1" applyAlignment="1">
      <alignment horizontal="center" vertical="top" wrapText="1"/>
    </xf>
    <xf numFmtId="0" fontId="14" fillId="25" borderId="1" xfId="0" applyFont="1" applyFill="1" applyBorder="1" applyAlignment="1">
      <alignment horizontal="center" vertical="top" wrapText="1"/>
    </xf>
    <xf numFmtId="0" fontId="14" fillId="26" borderId="1" xfId="0" applyFont="1" applyFill="1" applyBorder="1" applyAlignment="1">
      <alignment horizontal="center" vertical="top" wrapText="1"/>
    </xf>
    <xf numFmtId="0" fontId="14" fillId="28" borderId="1" xfId="0" applyFont="1" applyFill="1" applyBorder="1" applyAlignment="1">
      <alignment horizontal="center" vertical="top" wrapText="1"/>
    </xf>
    <xf numFmtId="0" fontId="14" fillId="30" borderId="1" xfId="0" applyFont="1" applyFill="1" applyBorder="1" applyAlignment="1">
      <alignment horizontal="center" vertical="top" wrapText="1"/>
    </xf>
    <xf numFmtId="0" fontId="14" fillId="32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horizontal="center" vertical="top" wrapText="1"/>
    </xf>
    <xf numFmtId="0" fontId="14" fillId="38" borderId="1" xfId="0" applyFont="1" applyFill="1" applyBorder="1" applyAlignment="1">
      <alignment horizontal="center" vertical="top" wrapText="1"/>
    </xf>
    <xf numFmtId="0" fontId="14" fillId="36" borderId="1" xfId="0" applyFont="1" applyFill="1" applyBorder="1" applyAlignment="1">
      <alignment horizontal="center" vertical="top" wrapText="1"/>
    </xf>
    <xf numFmtId="0" fontId="14" fillId="33" borderId="1" xfId="0" applyFont="1" applyFill="1" applyBorder="1" applyAlignment="1">
      <alignment horizontal="center" vertical="top" wrapText="1"/>
    </xf>
    <xf numFmtId="0" fontId="14" fillId="44" borderId="1" xfId="0" applyFont="1" applyFill="1" applyBorder="1" applyAlignment="1">
      <alignment horizontal="center" vertical="top" wrapText="1"/>
    </xf>
    <xf numFmtId="0" fontId="14" fillId="45" borderId="1" xfId="0" applyFont="1" applyFill="1" applyBorder="1" applyAlignment="1">
      <alignment horizontal="center" vertical="top" wrapText="1"/>
    </xf>
    <xf numFmtId="0" fontId="14" fillId="42" borderId="1" xfId="0" applyFont="1" applyFill="1" applyBorder="1" applyAlignment="1">
      <alignment horizontal="center" vertical="top" wrapText="1"/>
    </xf>
    <xf numFmtId="0" fontId="2" fillId="31" borderId="1" xfId="0" applyFont="1" applyFill="1" applyBorder="1" applyAlignment="1">
      <alignment horizontal="center" vertical="top" wrapText="1"/>
    </xf>
    <xf numFmtId="0" fontId="14" fillId="31" borderId="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left" vertical="center" wrapText="1"/>
    </xf>
    <xf numFmtId="0" fontId="8" fillId="0" borderId="1" xfId="0" applyFont="1" applyBorder="1"/>
    <xf numFmtId="0" fontId="14" fillId="4" borderId="1" xfId="0" applyFont="1" applyFill="1" applyBorder="1" applyAlignment="1">
      <alignment horizontal="center" vertical="top" wrapText="1"/>
    </xf>
    <xf numFmtId="0" fontId="8" fillId="3" borderId="1" xfId="0" applyFont="1" applyFill="1" applyBorder="1"/>
    <xf numFmtId="0" fontId="8" fillId="4" borderId="1" xfId="0" applyFont="1" applyFill="1" applyBorder="1"/>
    <xf numFmtId="0" fontId="8" fillId="7" borderId="1" xfId="0" applyFont="1" applyFill="1" applyBorder="1"/>
    <xf numFmtId="0" fontId="8" fillId="5" borderId="1" xfId="0" applyFont="1" applyFill="1" applyBorder="1"/>
    <xf numFmtId="0" fontId="8" fillId="8" borderId="1" xfId="0" applyFont="1" applyFill="1" applyBorder="1"/>
    <xf numFmtId="0" fontId="14" fillId="47" borderId="1" xfId="0" applyFont="1" applyFill="1" applyBorder="1" applyAlignment="1">
      <alignment horizontal="center" vertical="top" wrapText="1"/>
    </xf>
    <xf numFmtId="0" fontId="8" fillId="6" borderId="1" xfId="0" applyFont="1" applyFill="1" applyBorder="1"/>
    <xf numFmtId="0" fontId="8" fillId="10" borderId="1" xfId="0" applyFont="1" applyFill="1" applyBorder="1"/>
    <xf numFmtId="0" fontId="8" fillId="9" borderId="1" xfId="0" applyFont="1" applyFill="1" applyBorder="1"/>
    <xf numFmtId="0" fontId="2" fillId="18" borderId="1" xfId="0" applyFont="1" applyFill="1" applyBorder="1" applyAlignment="1">
      <alignment horizontal="center" vertical="top" wrapText="1"/>
    </xf>
    <xf numFmtId="0" fontId="8" fillId="18" borderId="1" xfId="0" applyFont="1" applyFill="1" applyBorder="1"/>
    <xf numFmtId="0" fontId="2" fillId="19" borderId="1" xfId="0" applyFont="1" applyFill="1" applyBorder="1" applyAlignment="1">
      <alignment horizontal="center" vertical="top" wrapText="1"/>
    </xf>
    <xf numFmtId="0" fontId="8" fillId="19" borderId="1" xfId="0" applyFont="1" applyFill="1" applyBorder="1"/>
    <xf numFmtId="0" fontId="8" fillId="41" borderId="1" xfId="0" applyFont="1" applyFill="1" applyBorder="1"/>
    <xf numFmtId="0" fontId="2" fillId="27" borderId="1" xfId="0" applyFont="1" applyFill="1" applyBorder="1" applyAlignment="1">
      <alignment horizontal="center" vertical="top" wrapText="1"/>
    </xf>
    <xf numFmtId="0" fontId="8" fillId="27" borderId="1" xfId="0" applyFont="1" applyFill="1" applyBorder="1"/>
    <xf numFmtId="0" fontId="8" fillId="45" borderId="1" xfId="0" applyFont="1" applyFill="1" applyBorder="1"/>
    <xf numFmtId="0" fontId="8" fillId="44" borderId="1" xfId="0" applyFont="1" applyFill="1" applyBorder="1"/>
    <xf numFmtId="0" fontId="8" fillId="33" borderId="1" xfId="0" applyFont="1" applyFill="1" applyBorder="1"/>
    <xf numFmtId="0" fontId="8" fillId="36" borderId="1" xfId="0" applyFont="1" applyFill="1" applyBorder="1"/>
    <xf numFmtId="0" fontId="2" fillId="49" borderId="1" xfId="0" applyFont="1" applyFill="1" applyBorder="1" applyAlignment="1">
      <alignment horizontal="center" vertical="top" wrapText="1"/>
    </xf>
    <xf numFmtId="0" fontId="8" fillId="49" borderId="1" xfId="0" applyFont="1" applyFill="1" applyBorder="1"/>
    <xf numFmtId="0" fontId="8" fillId="48" borderId="1" xfId="0" applyFont="1" applyFill="1" applyBorder="1"/>
    <xf numFmtId="0" fontId="8" fillId="43" borderId="1" xfId="0" applyFont="1" applyFill="1" applyBorder="1"/>
    <xf numFmtId="0" fontId="2" fillId="50" borderId="1" xfId="0" applyFont="1" applyFill="1" applyBorder="1" applyAlignment="1">
      <alignment horizontal="center" vertical="top" wrapText="1"/>
    </xf>
    <xf numFmtId="0" fontId="8" fillId="50" borderId="1" xfId="0" applyFont="1" applyFill="1" applyBorder="1"/>
    <xf numFmtId="0" fontId="2" fillId="51" borderId="1" xfId="0" applyFont="1" applyFill="1" applyBorder="1" applyAlignment="1">
      <alignment horizontal="center" vertical="top" wrapText="1"/>
    </xf>
    <xf numFmtId="0" fontId="8" fillId="51" borderId="1" xfId="0" applyFont="1" applyFill="1" applyBorder="1"/>
    <xf numFmtId="0" fontId="8" fillId="34" borderId="1" xfId="0" applyFont="1" applyFill="1" applyBorder="1"/>
    <xf numFmtId="0" fontId="2" fillId="12" borderId="1" xfId="0" applyFont="1" applyFill="1" applyBorder="1" applyAlignment="1">
      <alignment horizontal="center" vertical="top" wrapText="1"/>
    </xf>
    <xf numFmtId="0" fontId="8" fillId="12" borderId="1" xfId="0" applyFont="1" applyFill="1" applyBorder="1"/>
    <xf numFmtId="0" fontId="2" fillId="52" borderId="1" xfId="0" applyFont="1" applyFill="1" applyBorder="1" applyAlignment="1">
      <alignment horizontal="center" vertical="top" wrapText="1"/>
    </xf>
    <xf numFmtId="0" fontId="8" fillId="52" borderId="1" xfId="0" applyFont="1" applyFill="1" applyBorder="1"/>
    <xf numFmtId="0" fontId="2" fillId="53" borderId="1" xfId="0" applyFont="1" applyFill="1" applyBorder="1" applyAlignment="1">
      <alignment horizontal="center" vertical="top" wrapText="1"/>
    </xf>
    <xf numFmtId="0" fontId="8" fillId="53" borderId="1" xfId="0" applyFont="1" applyFill="1" applyBorder="1"/>
    <xf numFmtId="0" fontId="2" fillId="54" borderId="1" xfId="0" applyFont="1" applyFill="1" applyBorder="1" applyAlignment="1">
      <alignment horizontal="center" vertical="top" wrapText="1"/>
    </xf>
    <xf numFmtId="0" fontId="8" fillId="54" borderId="1" xfId="0" applyFont="1" applyFill="1" applyBorder="1"/>
    <xf numFmtId="0" fontId="2" fillId="55" borderId="1" xfId="0" applyFont="1" applyFill="1" applyBorder="1" applyAlignment="1">
      <alignment horizontal="center" vertical="top" wrapText="1"/>
    </xf>
    <xf numFmtId="0" fontId="8" fillId="55" borderId="1" xfId="0" applyFont="1" applyFill="1" applyBorder="1"/>
    <xf numFmtId="0" fontId="2" fillId="56" borderId="1" xfId="0" applyFont="1" applyFill="1" applyBorder="1" applyAlignment="1">
      <alignment horizontal="center" vertical="top" wrapText="1"/>
    </xf>
    <xf numFmtId="0" fontId="8" fillId="56" borderId="1" xfId="0" applyFont="1" applyFill="1" applyBorder="1"/>
    <xf numFmtId="0" fontId="2" fillId="57" borderId="1" xfId="0" applyFont="1" applyFill="1" applyBorder="1" applyAlignment="1">
      <alignment horizontal="center" vertical="top" wrapText="1"/>
    </xf>
    <xf numFmtId="0" fontId="8" fillId="57" borderId="1" xfId="0" applyFont="1" applyFill="1" applyBorder="1"/>
    <xf numFmtId="0" fontId="8" fillId="38" borderId="1" xfId="0" applyFont="1" applyFill="1" applyBorder="1"/>
    <xf numFmtId="0" fontId="8" fillId="35" borderId="1" xfId="0" applyFont="1" applyFill="1" applyBorder="1"/>
    <xf numFmtId="0" fontId="8" fillId="32" borderId="1" xfId="0" applyFont="1" applyFill="1" applyBorder="1"/>
    <xf numFmtId="0" fontId="8" fillId="28" borderId="1" xfId="0" applyFont="1" applyFill="1" applyBorder="1"/>
    <xf numFmtId="0" fontId="8" fillId="26" borderId="1" xfId="0" applyFont="1" applyFill="1" applyBorder="1"/>
    <xf numFmtId="0" fontId="8" fillId="25" borderId="1" xfId="0" applyFont="1" applyFill="1" applyBorder="1"/>
    <xf numFmtId="0" fontId="8" fillId="23" borderId="1" xfId="0" applyFont="1" applyFill="1" applyBorder="1"/>
    <xf numFmtId="0" fontId="8" fillId="21" borderId="1" xfId="0" applyFont="1" applyFill="1" applyBorder="1"/>
    <xf numFmtId="0" fontId="8" fillId="40" borderId="1" xfId="0" applyFont="1" applyFill="1" applyBorder="1"/>
    <xf numFmtId="0" fontId="15" fillId="0" borderId="0" xfId="0" applyFont="1" applyAlignment="1">
      <alignment horizontal="left" vertical="center"/>
    </xf>
    <xf numFmtId="0" fontId="14" fillId="41" borderId="1" xfId="0" applyFont="1" applyFill="1" applyBorder="1" applyAlignment="1">
      <alignment horizontal="center" vertical="top" wrapText="1"/>
    </xf>
    <xf numFmtId="0" fontId="14" fillId="34" borderId="1" xfId="0" applyFont="1" applyFill="1" applyBorder="1" applyAlignment="1">
      <alignment horizontal="center" vertical="top" wrapText="1"/>
    </xf>
    <xf numFmtId="0" fontId="8" fillId="40" borderId="10" xfId="0" applyFont="1" applyFill="1" applyBorder="1"/>
    <xf numFmtId="0" fontId="8" fillId="4" borderId="5" xfId="0" applyFont="1" applyFill="1" applyBorder="1"/>
    <xf numFmtId="0" fontId="8" fillId="7" borderId="5" xfId="0" applyFont="1" applyFill="1" applyBorder="1"/>
    <xf numFmtId="0" fontId="8" fillId="5" borderId="5" xfId="0" applyFont="1" applyFill="1" applyBorder="1"/>
    <xf numFmtId="0" fontId="8" fillId="8" borderId="5" xfId="0" applyFont="1" applyFill="1" applyBorder="1"/>
    <xf numFmtId="0" fontId="8" fillId="6" borderId="5" xfId="0" applyFont="1" applyFill="1" applyBorder="1"/>
    <xf numFmtId="0" fontId="8" fillId="10" borderId="5" xfId="0" applyFont="1" applyFill="1" applyBorder="1"/>
    <xf numFmtId="0" fontId="8" fillId="9" borderId="5" xfId="0" applyFont="1" applyFill="1" applyBorder="1"/>
    <xf numFmtId="0" fontId="7" fillId="49" borderId="5" xfId="0" applyFont="1" applyFill="1" applyBorder="1"/>
    <xf numFmtId="0" fontId="8" fillId="49" borderId="5" xfId="0" applyFont="1" applyFill="1" applyBorder="1"/>
    <xf numFmtId="0" fontId="7" fillId="58" borderId="5" xfId="0" applyFont="1" applyFill="1" applyBorder="1"/>
    <xf numFmtId="0" fontId="8" fillId="58" borderId="5" xfId="0" applyFont="1" applyFill="1" applyBorder="1"/>
    <xf numFmtId="0" fontId="7" fillId="59" borderId="5" xfId="0" applyFont="1" applyFill="1" applyBorder="1"/>
    <xf numFmtId="0" fontId="8" fillId="59" borderId="5" xfId="0" applyFont="1" applyFill="1" applyBorder="1"/>
    <xf numFmtId="0" fontId="7" fillId="60" borderId="5" xfId="0" applyFont="1" applyFill="1" applyBorder="1"/>
    <xf numFmtId="0" fontId="8" fillId="60" borderId="5" xfId="0" applyFont="1" applyFill="1" applyBorder="1"/>
    <xf numFmtId="0" fontId="7" fillId="50" borderId="5" xfId="0" applyFont="1" applyFill="1" applyBorder="1"/>
    <xf numFmtId="0" fontId="8" fillId="50" borderId="5" xfId="0" applyFont="1" applyFill="1" applyBorder="1"/>
    <xf numFmtId="0" fontId="7" fillId="51" borderId="5" xfId="0" applyFont="1" applyFill="1" applyBorder="1"/>
    <xf numFmtId="0" fontId="8" fillId="51" borderId="5" xfId="0" applyFont="1" applyFill="1" applyBorder="1"/>
    <xf numFmtId="0" fontId="7" fillId="34" borderId="5" xfId="0" applyFont="1" applyFill="1" applyBorder="1"/>
    <xf numFmtId="0" fontId="8" fillId="34" borderId="5" xfId="0" applyFont="1" applyFill="1" applyBorder="1"/>
    <xf numFmtId="0" fontId="7" fillId="21" borderId="5" xfId="0" applyFont="1" applyFill="1" applyBorder="1"/>
    <xf numFmtId="0" fontId="8" fillId="21" borderId="5" xfId="0" applyFont="1" applyFill="1" applyBorder="1"/>
    <xf numFmtId="0" fontId="7" fillId="61" borderId="5" xfId="0" applyFont="1" applyFill="1" applyBorder="1"/>
    <xf numFmtId="0" fontId="8" fillId="61" borderId="5" xfId="0" applyFont="1" applyFill="1" applyBorder="1"/>
    <xf numFmtId="0" fontId="7" fillId="23" borderId="5" xfId="0" applyFont="1" applyFill="1" applyBorder="1"/>
    <xf numFmtId="0" fontId="8" fillId="23" borderId="5" xfId="0" applyFont="1" applyFill="1" applyBorder="1"/>
    <xf numFmtId="0" fontId="7" fillId="25" borderId="5" xfId="0" applyFont="1" applyFill="1" applyBorder="1"/>
    <xf numFmtId="0" fontId="8" fillId="25" borderId="5" xfId="0" applyFont="1" applyFill="1" applyBorder="1"/>
    <xf numFmtId="0" fontId="7" fillId="26" borderId="5" xfId="0" applyFont="1" applyFill="1" applyBorder="1"/>
    <xf numFmtId="0" fontId="9" fillId="26" borderId="5" xfId="0" applyFont="1" applyFill="1" applyBorder="1"/>
    <xf numFmtId="0" fontId="8" fillId="26" borderId="5" xfId="0" applyFont="1" applyFill="1" applyBorder="1"/>
    <xf numFmtId="0" fontId="7" fillId="28" borderId="5" xfId="0" applyFont="1" applyFill="1" applyBorder="1"/>
    <xf numFmtId="0" fontId="8" fillId="28" borderId="5" xfId="0" applyFont="1" applyFill="1" applyBorder="1"/>
    <xf numFmtId="0" fontId="7" fillId="30" borderId="5" xfId="0" applyFont="1" applyFill="1" applyBorder="1"/>
    <xf numFmtId="0" fontId="8" fillId="30" borderId="5" xfId="0" applyFont="1" applyFill="1" applyBorder="1"/>
    <xf numFmtId="0" fontId="7" fillId="35" borderId="5" xfId="0" applyFont="1" applyFill="1" applyBorder="1"/>
    <xf numFmtId="0" fontId="8" fillId="35" borderId="5" xfId="0" applyFont="1" applyFill="1" applyBorder="1"/>
    <xf numFmtId="0" fontId="7" fillId="38" borderId="5" xfId="0" applyFont="1" applyFill="1" applyBorder="1"/>
    <xf numFmtId="0" fontId="8" fillId="38" borderId="5" xfId="0" applyFont="1" applyFill="1" applyBorder="1"/>
    <xf numFmtId="0" fontId="7" fillId="42" borderId="5" xfId="0" applyFont="1" applyFill="1" applyBorder="1"/>
    <xf numFmtId="0" fontId="8" fillId="42" borderId="5" xfId="0" applyFont="1" applyFill="1" applyBorder="1"/>
    <xf numFmtId="0" fontId="8" fillId="11" borderId="5" xfId="0" applyFont="1" applyFill="1" applyBorder="1"/>
    <xf numFmtId="0" fontId="7" fillId="48" borderId="5" xfId="0" applyFont="1" applyFill="1" applyBorder="1"/>
    <xf numFmtId="0" fontId="8" fillId="48" borderId="5" xfId="0" applyFont="1" applyFill="1" applyBorder="1"/>
    <xf numFmtId="0" fontId="9" fillId="11" borderId="5" xfId="0" applyFont="1" applyFill="1" applyBorder="1"/>
    <xf numFmtId="0" fontId="7" fillId="62" borderId="5" xfId="0" applyFont="1" applyFill="1" applyBorder="1"/>
    <xf numFmtId="0" fontId="8" fillId="62" borderId="5" xfId="0" applyFont="1" applyFill="1" applyBorder="1"/>
    <xf numFmtId="0" fontId="7" fillId="63" borderId="5" xfId="0" applyFont="1" applyFill="1" applyBorder="1"/>
    <xf numFmtId="0" fontId="8" fillId="63" borderId="5" xfId="0" applyFont="1" applyFill="1" applyBorder="1"/>
    <xf numFmtId="0" fontId="7" fillId="64" borderId="5" xfId="0" applyFont="1" applyFill="1" applyBorder="1"/>
    <xf numFmtId="0" fontId="8" fillId="64" borderId="5" xfId="0" applyFont="1" applyFill="1" applyBorder="1"/>
    <xf numFmtId="0" fontId="11" fillId="2" borderId="5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0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5" fillId="0" borderId="3" xfId="0" applyFont="1" applyBorder="1"/>
    <xf numFmtId="0" fontId="5" fillId="0" borderId="4" xfId="0" applyFont="1" applyBorder="1"/>
    <xf numFmtId="0" fontId="18" fillId="3" borderId="2" xfId="0" applyFont="1" applyFill="1" applyBorder="1" applyAlignment="1">
      <alignment horizontal="center" vertical="top"/>
    </xf>
    <xf numFmtId="0" fontId="19" fillId="0" borderId="3" xfId="0" applyFont="1" applyBorder="1" applyAlignment="1"/>
    <xf numFmtId="0" fontId="19" fillId="0" borderId="4" xfId="0" applyFont="1" applyBorder="1" applyAlignment="1"/>
    <xf numFmtId="0" fontId="4" fillId="7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45" borderId="2" xfId="0" applyFont="1" applyFill="1" applyBorder="1" applyAlignment="1">
      <alignment horizontal="center" vertical="top" wrapText="1"/>
    </xf>
    <xf numFmtId="0" fontId="4" fillId="36" borderId="2" xfId="0" applyFont="1" applyFill="1" applyBorder="1" applyAlignment="1">
      <alignment horizontal="center" vertical="top" wrapText="1"/>
    </xf>
    <xf numFmtId="0" fontId="4" fillId="33" borderId="2" xfId="0" applyFont="1" applyFill="1" applyBorder="1" applyAlignment="1">
      <alignment horizontal="center" vertical="top" wrapText="1"/>
    </xf>
    <xf numFmtId="0" fontId="4" fillId="43" borderId="2" xfId="0" applyFont="1" applyFill="1" applyBorder="1" applyAlignment="1">
      <alignment horizontal="center" vertical="top" wrapText="1"/>
    </xf>
    <xf numFmtId="0" fontId="4" fillId="34" borderId="2" xfId="0" applyFont="1" applyFill="1" applyBorder="1" applyAlignment="1">
      <alignment horizontal="center" vertical="top" wrapText="1"/>
    </xf>
    <xf numFmtId="0" fontId="12" fillId="35" borderId="2" xfId="0" applyFont="1" applyFill="1" applyBorder="1" applyAlignment="1">
      <alignment horizontal="center" vertical="top" wrapText="1"/>
    </xf>
    <xf numFmtId="0" fontId="4" fillId="28" borderId="2" xfId="0" applyFont="1" applyFill="1" applyBorder="1" applyAlignment="1">
      <alignment horizontal="center" vertical="top" wrapText="1"/>
    </xf>
    <xf numFmtId="0" fontId="4" fillId="30" borderId="2" xfId="0" applyFont="1" applyFill="1" applyBorder="1" applyAlignment="1">
      <alignment horizontal="center" vertical="top" wrapText="1"/>
    </xf>
    <xf numFmtId="0" fontId="4" fillId="32" borderId="2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top" wrapText="1"/>
    </xf>
    <xf numFmtId="0" fontId="4" fillId="23" borderId="2" xfId="0" applyFont="1" applyFill="1" applyBorder="1" applyAlignment="1">
      <alignment horizontal="center" vertical="top" wrapText="1"/>
    </xf>
    <xf numFmtId="0" fontId="4" fillId="26" borderId="2" xfId="0" applyFont="1" applyFill="1" applyBorder="1" applyAlignment="1">
      <alignment horizontal="center" vertical="top" wrapText="1"/>
    </xf>
    <xf numFmtId="0" fontId="4" fillId="35" borderId="2" xfId="0" applyFont="1" applyFill="1" applyBorder="1" applyAlignment="1">
      <alignment horizontal="center" vertical="top" wrapText="1"/>
    </xf>
    <xf numFmtId="0" fontId="4" fillId="10" borderId="2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/>
    <xf numFmtId="0" fontId="4" fillId="26" borderId="11" xfId="0" applyFont="1" applyFill="1" applyBorder="1" applyAlignment="1">
      <alignment horizontal="center" vertical="top" wrapText="1"/>
    </xf>
    <xf numFmtId="0" fontId="4" fillId="25" borderId="11" xfId="0" applyFont="1" applyFill="1" applyBorder="1" applyAlignment="1">
      <alignment horizontal="center" vertical="top" wrapText="1"/>
    </xf>
    <xf numFmtId="0" fontId="4" fillId="21" borderId="2" xfId="0" applyFont="1" applyFill="1" applyBorder="1" applyAlignment="1">
      <alignment horizontal="center" vertical="top" wrapText="1"/>
    </xf>
    <xf numFmtId="0" fontId="4" fillId="37" borderId="2" xfId="0" applyFont="1" applyFill="1" applyBorder="1" applyAlignment="1">
      <alignment horizontal="center" vertical="top" wrapText="1"/>
    </xf>
    <xf numFmtId="0" fontId="4" fillId="44" borderId="2" xfId="0" applyFont="1" applyFill="1" applyBorder="1" applyAlignment="1">
      <alignment horizontal="center" vertical="top" wrapText="1"/>
    </xf>
    <xf numFmtId="0" fontId="4" fillId="25" borderId="2" xfId="0" applyFont="1" applyFill="1" applyBorder="1" applyAlignment="1">
      <alignment horizontal="center" vertical="top" wrapText="1"/>
    </xf>
    <xf numFmtId="0" fontId="4" fillId="47" borderId="2" xfId="0" applyFont="1" applyFill="1" applyBorder="1" applyAlignment="1">
      <alignment horizontal="center" vertical="top" wrapText="1"/>
    </xf>
    <xf numFmtId="0" fontId="4" fillId="41" borderId="2" xfId="0" applyFont="1" applyFill="1" applyBorder="1" applyAlignment="1">
      <alignment horizontal="center" vertical="top" wrapText="1"/>
    </xf>
    <xf numFmtId="0" fontId="16" fillId="41" borderId="2" xfId="0" applyFont="1" applyFill="1" applyBorder="1" applyAlignment="1">
      <alignment horizontal="center" vertical="top" wrapText="1"/>
    </xf>
    <xf numFmtId="0" fontId="4" fillId="21" borderId="7" xfId="0" applyFont="1" applyFill="1" applyBorder="1" applyAlignment="1">
      <alignment horizontal="center" vertical="top" wrapText="1"/>
    </xf>
    <xf numFmtId="0" fontId="5" fillId="0" borderId="8" xfId="0" applyFont="1" applyBorder="1"/>
    <xf numFmtId="0" fontId="5" fillId="0" borderId="9" xfId="0" applyFont="1" applyBorder="1"/>
    <xf numFmtId="0" fontId="4" fillId="42" borderId="2" xfId="0" applyFont="1" applyFill="1" applyBorder="1" applyAlignment="1">
      <alignment horizontal="center" vertical="top" wrapText="1"/>
    </xf>
    <xf numFmtId="0" fontId="4" fillId="38" borderId="2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top" wrapText="1"/>
    </xf>
    <xf numFmtId="0" fontId="4" fillId="18" borderId="2" xfId="0" applyFont="1" applyFill="1" applyBorder="1" applyAlignment="1">
      <alignment horizontal="center" vertical="top" wrapText="1"/>
    </xf>
    <xf numFmtId="0" fontId="4" fillId="19" borderId="2" xfId="0" applyFont="1" applyFill="1" applyBorder="1" applyAlignment="1">
      <alignment horizontal="center" vertical="top" wrapText="1"/>
    </xf>
    <xf numFmtId="0" fontId="4" fillId="50" borderId="2" xfId="0" applyFont="1" applyFill="1" applyBorder="1" applyAlignment="1">
      <alignment horizontal="center" vertical="top" wrapText="1"/>
    </xf>
    <xf numFmtId="0" fontId="4" fillId="48" borderId="2" xfId="0" applyFont="1" applyFill="1" applyBorder="1" applyAlignment="1">
      <alignment horizontal="center" vertical="top" wrapText="1"/>
    </xf>
    <xf numFmtId="0" fontId="4" fillId="27" borderId="2" xfId="0" applyFont="1" applyFill="1" applyBorder="1" applyAlignment="1">
      <alignment horizontal="center" vertical="top" wrapText="1"/>
    </xf>
    <xf numFmtId="0" fontId="4" fillId="49" borderId="2" xfId="0" applyFont="1" applyFill="1" applyBorder="1" applyAlignment="1">
      <alignment horizontal="center" vertical="top" wrapText="1"/>
    </xf>
    <xf numFmtId="0" fontId="4" fillId="52" borderId="2" xfId="0" applyFont="1" applyFill="1" applyBorder="1" applyAlignment="1">
      <alignment horizontal="center" vertical="top" wrapText="1"/>
    </xf>
    <xf numFmtId="0" fontId="4" fillId="53" borderId="2" xfId="0" applyFont="1" applyFill="1" applyBorder="1" applyAlignment="1">
      <alignment horizontal="center" vertical="top" wrapText="1"/>
    </xf>
    <xf numFmtId="0" fontId="4" fillId="54" borderId="2" xfId="0" applyFont="1" applyFill="1" applyBorder="1" applyAlignment="1">
      <alignment horizontal="center" vertical="top" wrapText="1"/>
    </xf>
    <xf numFmtId="0" fontId="4" fillId="55" borderId="2" xfId="0" applyFont="1" applyFill="1" applyBorder="1" applyAlignment="1">
      <alignment horizontal="center" vertical="top" wrapText="1"/>
    </xf>
    <xf numFmtId="0" fontId="4" fillId="57" borderId="2" xfId="0" applyFont="1" applyFill="1" applyBorder="1" applyAlignment="1">
      <alignment horizontal="center" vertical="top" wrapText="1"/>
    </xf>
    <xf numFmtId="0" fontId="4" fillId="56" borderId="2" xfId="0" applyFont="1" applyFill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top" wrapText="1"/>
    </xf>
    <xf numFmtId="0" fontId="4" fillId="51" borderId="2" xfId="0" applyFont="1" applyFill="1" applyBorder="1" applyAlignment="1">
      <alignment horizontal="center" vertical="top" wrapText="1"/>
    </xf>
    <xf numFmtId="0" fontId="4" fillId="32" borderId="7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/>
    </xf>
    <xf numFmtId="0" fontId="17" fillId="29" borderId="2" xfId="0" applyFont="1" applyFill="1" applyBorder="1" applyAlignment="1">
      <alignment horizontal="center"/>
    </xf>
    <xf numFmtId="0" fontId="17" fillId="24" borderId="2" xfId="0" applyFont="1" applyFill="1" applyBorder="1" applyAlignment="1">
      <alignment horizontal="center"/>
    </xf>
    <xf numFmtId="0" fontId="17" fillId="27" borderId="2" xfId="0" applyFont="1" applyFill="1" applyBorder="1" applyAlignment="1">
      <alignment horizontal="center"/>
    </xf>
    <xf numFmtId="0" fontId="17" fillId="16" borderId="2" xfId="0" applyFont="1" applyFill="1" applyBorder="1" applyAlignment="1">
      <alignment horizontal="center"/>
    </xf>
    <xf numFmtId="0" fontId="17" fillId="63" borderId="2" xfId="0" applyFont="1" applyFill="1" applyBorder="1" applyAlignment="1">
      <alignment horizontal="center"/>
    </xf>
    <xf numFmtId="0" fontId="17" fillId="64" borderId="2" xfId="0" applyFont="1" applyFill="1" applyBorder="1" applyAlignment="1">
      <alignment horizontal="center"/>
    </xf>
    <xf numFmtId="0" fontId="17" fillId="17" borderId="2" xfId="0" applyFont="1" applyFill="1" applyBorder="1" applyAlignment="1">
      <alignment horizontal="center"/>
    </xf>
    <xf numFmtId="0" fontId="17" fillId="18" borderId="2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17" fillId="62" borderId="2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49" borderId="2" xfId="0" applyFont="1" applyFill="1" applyBorder="1" applyAlignment="1">
      <alignment horizontal="center"/>
    </xf>
    <xf numFmtId="0" fontId="17" fillId="30" borderId="2" xfId="0" applyFont="1" applyFill="1" applyBorder="1" applyAlignment="1">
      <alignment horizontal="center"/>
    </xf>
    <xf numFmtId="0" fontId="17" fillId="35" borderId="2" xfId="0" applyFont="1" applyFill="1" applyBorder="1" applyAlignment="1">
      <alignment horizontal="center"/>
    </xf>
    <xf numFmtId="0" fontId="17" fillId="60" borderId="2" xfId="0" applyFont="1" applyFill="1" applyBorder="1" applyAlignment="1">
      <alignment horizontal="center"/>
    </xf>
    <xf numFmtId="0" fontId="17" fillId="59" borderId="2" xfId="0" applyFont="1" applyFill="1" applyBorder="1" applyAlignment="1">
      <alignment horizontal="center"/>
    </xf>
    <xf numFmtId="0" fontId="17" fillId="58" borderId="2" xfId="0" applyFont="1" applyFill="1" applyBorder="1" applyAlignment="1">
      <alignment horizontal="center"/>
    </xf>
    <xf numFmtId="0" fontId="17" fillId="51" borderId="2" xfId="0" applyFont="1" applyFill="1" applyBorder="1" applyAlignment="1">
      <alignment horizontal="center"/>
    </xf>
    <xf numFmtId="0" fontId="17" fillId="38" borderId="2" xfId="0" applyFont="1" applyFill="1" applyBorder="1" applyAlignment="1">
      <alignment horizontal="center"/>
    </xf>
    <xf numFmtId="0" fontId="17" fillId="34" borderId="2" xfId="0" applyFont="1" applyFill="1" applyBorder="1" applyAlignment="1">
      <alignment horizontal="center"/>
    </xf>
    <xf numFmtId="0" fontId="17" fillId="21" borderId="7" xfId="0" applyFont="1" applyFill="1" applyBorder="1" applyAlignment="1">
      <alignment horizontal="center"/>
    </xf>
    <xf numFmtId="0" fontId="17" fillId="28" borderId="2" xfId="0" applyFont="1" applyFill="1" applyBorder="1" applyAlignment="1">
      <alignment horizontal="center"/>
    </xf>
    <xf numFmtId="0" fontId="17" fillId="26" borderId="2" xfId="0" applyFont="1" applyFill="1" applyBorder="1" applyAlignment="1">
      <alignment horizontal="center"/>
    </xf>
    <xf numFmtId="0" fontId="17" fillId="23" borderId="2" xfId="0" applyFont="1" applyFill="1" applyBorder="1" applyAlignment="1">
      <alignment horizontal="center"/>
    </xf>
    <xf numFmtId="0" fontId="17" fillId="25" borderId="2" xfId="0" applyFont="1" applyFill="1" applyBorder="1" applyAlignment="1">
      <alignment horizontal="center"/>
    </xf>
    <xf numFmtId="0" fontId="17" fillId="48" borderId="2" xfId="0" applyFont="1" applyFill="1" applyBorder="1" applyAlignment="1">
      <alignment horizontal="center"/>
    </xf>
    <xf numFmtId="0" fontId="17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B1" workbookViewId="0">
      <selection activeCell="C2" sqref="C2"/>
    </sheetView>
  </sheetViews>
  <sheetFormatPr defaultColWidth="12.59765625" defaultRowHeight="15" customHeight="1"/>
  <cols>
    <col min="1" max="1" width="12.69921875" customWidth="1"/>
    <col min="2" max="2" width="27.69921875" customWidth="1"/>
    <col min="3" max="3" width="41.69921875" customWidth="1"/>
    <col min="4" max="4" width="12.59765625" customWidth="1"/>
    <col min="5" max="5" width="28.09765625" customWidth="1"/>
    <col min="6" max="6" width="27.8984375" customWidth="1"/>
    <col min="7" max="7" width="38.796875" customWidth="1"/>
    <col min="8" max="8" width="53.69921875" customWidth="1"/>
    <col min="9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0" t="s">
        <v>119</v>
      </c>
      <c r="F1" s="10" t="s">
        <v>122</v>
      </c>
    </row>
    <row r="2" spans="1:8" ht="14.25" customHeight="1">
      <c r="A2" s="12">
        <v>23336</v>
      </c>
      <c r="B2" s="13" t="s">
        <v>127</v>
      </c>
      <c r="C2" s="12" t="s">
        <v>131</v>
      </c>
      <c r="D2" s="12" t="s">
        <v>132</v>
      </c>
      <c r="E2" s="11" t="str">
        <f ca="1">IFERROR(__xludf.DUMMYFUNCTION("GOOGLETRANSLATE(B2,""ja"",""vi"")"),"máy tính")</f>
        <v>máy tính</v>
      </c>
      <c r="F2" s="3" t="str">
        <f ca="1">IFERROR(__xludf.DUMMYFUNCTION("GOOGLETRANSLATE(C2,""ja"",""vi"")"),"Đấu giá&gt; máy tính")</f>
        <v>Đấu giá&gt; máy tính</v>
      </c>
      <c r="G2" t="str">
        <f ca="1">CONCATENATE(CHAR(34)&amp;"",A2,""&amp;CHAR(34)," : ", CHAR(34)&amp;"",E2,""&amp;CHAR(34),",")</f>
        <v>"23336" : "máy tính",</v>
      </c>
      <c r="H2" s="229" t="str">
        <f>CONCATENATE("&lt;li class=",CHAR(34)&amp;"","menu-item-has-children 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class="menu-item-has-children "&gt;&lt;a class="text-cut" href="javascript:;"(click)="categoryEvent(23336)"&gt;{{"23336" | translate}}&lt;/a&gt;&lt;/li&gt;</v>
      </c>
    </row>
    <row r="3" spans="1:8" ht="14.25" customHeight="1">
      <c r="A3" s="14">
        <v>23632</v>
      </c>
      <c r="B3" s="14" t="s">
        <v>138</v>
      </c>
      <c r="C3" s="14" t="s">
        <v>141</v>
      </c>
      <c r="D3" s="14" t="s">
        <v>142</v>
      </c>
      <c r="E3" s="11" t="str">
        <f ca="1">IFERROR(__xludf.DUMMYFUNCTION("GOOGLETRANSLATE(B3,""ja"",""vi"")"),"thiết bị điện tử tiêu dùng, AV, camera")</f>
        <v>thiết bị điện tử tiêu dùng, AV, camera</v>
      </c>
      <c r="F3" s="3" t="str">
        <f ca="1">IFERROR(__xludf.DUMMYFUNCTION("GOOGLETRANSLATE(C3,""ja"",""vi"")"),"Đấu giá&gt; thiết bị điện tử tiêu dùng, AV, rùa")</f>
        <v>Đấu giá&gt; thiết bị điện tử tiêu dùng, AV, rùa</v>
      </c>
      <c r="G3" s="227" t="str">
        <f t="shared" ref="G3:G25" ca="1" si="0">CONCATENATE(CHAR(34)&amp;"",A3,""&amp;CHAR(34)," : ", CHAR(34)&amp;"",E3,""&amp;CHAR(34),",")</f>
        <v>"23632" : "thiết bị điện tử tiêu dùng, AV, camera",</v>
      </c>
      <c r="H3" s="229" t="str">
        <f t="shared" ref="H3:H26" si="1">CONCATENATE("&lt;li class=",CHAR(34)&amp;"","menu-item-has-children 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class="menu-item-has-children "&gt;&lt;a class="text-cut" href="javascript:;"(click)="categoryEvent(23632)"&gt;{{"23632" | translate}}&lt;/a&gt;&lt;/li&gt;</v>
      </c>
    </row>
    <row r="4" spans="1:8" ht="14.25" customHeight="1">
      <c r="A4" s="15">
        <v>22152</v>
      </c>
      <c r="B4" s="15" t="s">
        <v>150</v>
      </c>
      <c r="C4" s="15" t="s">
        <v>152</v>
      </c>
      <c r="D4" s="15" t="s">
        <v>153</v>
      </c>
      <c r="E4" s="11" t="str">
        <f ca="1">IFERROR(__xludf.DUMMYFUNCTION("GOOGLETRANSLATE(B4,""ja"",""vi"")"),"nhạc")</f>
        <v>nhạc</v>
      </c>
      <c r="F4" s="3" t="str">
        <f ca="1">IFERROR(__xludf.DUMMYFUNCTION("GOOGLETRANSLATE(C4,""ja"",""vi"")"),"Đấu giá&gt; Âm nhạc")</f>
        <v>Đấu giá&gt; Âm nhạc</v>
      </c>
      <c r="G4" s="227" t="str">
        <f t="shared" ca="1" si="0"/>
        <v>"22152" : "nhạc",</v>
      </c>
      <c r="H4" s="229" t="str">
        <f t="shared" si="1"/>
        <v>&lt;li class="menu-item-has-children "&gt;&lt;a class="text-cut" href="javascript:;"(click)="categoryEvent(22152)"&gt;{{"22152" | translate}}&lt;/a&gt;&lt;/li&gt;</v>
      </c>
    </row>
    <row r="5" spans="1:8" ht="14.25" customHeight="1">
      <c r="A5" s="17">
        <v>21600</v>
      </c>
      <c r="B5" s="17" t="s">
        <v>162</v>
      </c>
      <c r="C5" s="17" t="s">
        <v>163</v>
      </c>
      <c r="D5" s="17" t="s">
        <v>164</v>
      </c>
      <c r="E5" s="11" t="str">
        <f ca="1">IFERROR(__xludf.DUMMYFUNCTION("GOOGLETRANSLATE(B5,""ja"",""vi"")"),"Sách, tạp chí")</f>
        <v>Sách, tạp chí</v>
      </c>
      <c r="F5" s="3" t="str">
        <f ca="1">IFERROR(__xludf.DUMMYFUNCTION("GOOGLETRANSLATE(C5,""ja"",""vi"")"),"Đấu giá&gt; cuốn sách, tạp chí")</f>
        <v>Đấu giá&gt; cuốn sách, tạp chí</v>
      </c>
      <c r="G5" s="227" t="str">
        <f t="shared" ca="1" si="0"/>
        <v>"21600" : "Sách, tạp chí",</v>
      </c>
      <c r="H5" s="229" t="str">
        <f t="shared" si="1"/>
        <v>&lt;li class="menu-item-has-children "&gt;&lt;a class="text-cut" href="javascript:;"(click)="categoryEvent(21600)"&gt;{{"21600" | translate}}&lt;/a&gt;&lt;/li&gt;</v>
      </c>
    </row>
    <row r="6" spans="1:8" ht="14.25" customHeight="1">
      <c r="A6" s="18">
        <v>21964</v>
      </c>
      <c r="B6" s="18" t="s">
        <v>168</v>
      </c>
      <c r="C6" s="18" t="s">
        <v>172</v>
      </c>
      <c r="D6" s="18" t="s">
        <v>173</v>
      </c>
      <c r="E6" s="11" t="str">
        <f ca="1">IFERROR(__xludf.DUMMYFUNCTION("GOOGLETRANSLATE(B6,""ja"",""vi"")"),"Phim, video")</f>
        <v>Phim, video</v>
      </c>
      <c r="F6" s="3" t="str">
        <f ca="1">IFERROR(__xludf.DUMMYFUNCTION("GOOGLETRANSLATE(C6,""ja"",""vi"")"),"Đấu giá&gt; Phim, Video")</f>
        <v>Đấu giá&gt; Phim, Video</v>
      </c>
      <c r="G6" s="227" t="str">
        <f t="shared" ca="1" si="0"/>
        <v>"21964" : "Phim, video",</v>
      </c>
      <c r="H6" s="229" t="str">
        <f t="shared" si="1"/>
        <v>&lt;li class="menu-item-has-children "&gt;&lt;a class="text-cut" href="javascript:;"(click)="categoryEvent(21964)"&gt;{{"21964" | translate}}&lt;/a&gt;&lt;/li&gt;</v>
      </c>
    </row>
    <row r="7" spans="1:8" ht="14.25" customHeight="1">
      <c r="A7" s="19">
        <v>25464</v>
      </c>
      <c r="B7" s="19" t="s">
        <v>184</v>
      </c>
      <c r="C7" s="19" t="s">
        <v>186</v>
      </c>
      <c r="D7" s="19" t="s">
        <v>188</v>
      </c>
      <c r="E7" s="11" t="str">
        <f ca="1">IFERROR(__xludf.DUMMYFUNCTION("GOOGLETRANSLATE(B7,""ja"",""vi"")"),"Đồ chơi, trò chơi")</f>
        <v>Đồ chơi, trò chơi</v>
      </c>
      <c r="F7" s="3" t="str">
        <f ca="1">IFERROR(__xludf.DUMMYFUNCTION("GOOGLETRANSLATE(C7,""ja"",""vi"")"),"Đấu giá&gt; đồ chơi, trò chơi")</f>
        <v>Đấu giá&gt; đồ chơi, trò chơi</v>
      </c>
      <c r="G7" s="227" t="str">
        <f t="shared" ca="1" si="0"/>
        <v>"25464" : "Đồ chơi, trò chơi",</v>
      </c>
      <c r="H7" s="229" t="str">
        <f t="shared" si="1"/>
        <v>&lt;li class="menu-item-has-children "&gt;&lt;a class="text-cut" href="javascript:;"(click)="categoryEvent(25464)"&gt;{{"25464" | translate}}&lt;/a&gt;&lt;/li&gt;</v>
      </c>
    </row>
    <row r="8" spans="1:8" ht="14.25" customHeight="1">
      <c r="A8" s="20">
        <v>24242</v>
      </c>
      <c r="B8" s="20" t="s">
        <v>195</v>
      </c>
      <c r="C8" s="20" t="s">
        <v>196</v>
      </c>
      <c r="D8" s="20" t="s">
        <v>199</v>
      </c>
      <c r="E8" s="11" t="str">
        <f ca="1">IFERROR(__xludf.DUMMYFUNCTION("GOOGLETRANSLATE(B8,""ja"",""vi"")"),"Sở thích, Văn hóa")</f>
        <v>Sở thích, Văn hóa</v>
      </c>
      <c r="F8" s="3" t="str">
        <f ca="1">IFERROR(__xludf.DUMMYFUNCTION("GOOGLETRANSLATE(C8,""ja"",""vi"")"),"Đấu giá&gt; sở thích, văn hóa")</f>
        <v>Đấu giá&gt; sở thích, văn hóa</v>
      </c>
      <c r="G8" s="227" t="str">
        <f t="shared" ca="1" si="0"/>
        <v>"24242" : "Sở thích, Văn hóa",</v>
      </c>
      <c r="H8" s="229" t="str">
        <f t="shared" si="1"/>
        <v>&lt;li class="menu-item-has-children "&gt;&lt;a class="text-cut" href="javascript:;"(click)="categoryEvent(24242)"&gt;{{"24242" | translate}}&lt;/a&gt;&lt;/li&gt;</v>
      </c>
    </row>
    <row r="9" spans="1:8" ht="14.25" customHeight="1">
      <c r="A9" s="21">
        <v>20000</v>
      </c>
      <c r="B9" s="21" t="s">
        <v>205</v>
      </c>
      <c r="C9" s="21" t="s">
        <v>206</v>
      </c>
      <c r="D9" s="21" t="s">
        <v>207</v>
      </c>
      <c r="E9" s="11" t="str">
        <f ca="1">IFERROR(__xludf.DUMMYFUNCTION("GOOGLETRANSLATE(B9,""ja"",""vi"")"),"Antique, bộ sưu tập")</f>
        <v>Antique, bộ sưu tập</v>
      </c>
      <c r="F9" s="3" t="str">
        <f ca="1">IFERROR(__xludf.DUMMYFUNCTION("GOOGLETRANSLATE(C9,""ja"",""vi"")"),"Đấu giá&gt; cổ, bộ sưu tập")</f>
        <v>Đấu giá&gt; cổ, bộ sưu tập</v>
      </c>
      <c r="G9" s="227" t="str">
        <f t="shared" ca="1" si="0"/>
        <v>"20000" : "Antique, bộ sưu tập",</v>
      </c>
      <c r="H9" s="229" t="str">
        <f t="shared" si="1"/>
        <v>&lt;li class="menu-item-has-children "&gt;&lt;a class="text-cut" href="javascript:;"(click)="categoryEvent(20000)"&gt;{{"20000" | translate}}&lt;/a&gt;&lt;/li&gt;</v>
      </c>
    </row>
    <row r="10" spans="1:8" ht="14.25" customHeight="1">
      <c r="A10" s="22">
        <v>24698</v>
      </c>
      <c r="B10" s="22" t="s">
        <v>165</v>
      </c>
      <c r="C10" s="22" t="s">
        <v>218</v>
      </c>
      <c r="D10" s="22" t="s">
        <v>219</v>
      </c>
      <c r="E10" s="11" t="str">
        <f ca="1">IFERROR(__xludf.DUMMYFUNCTION("GOOGLETRANSLATE(B10,""ja"",""vi"")"),"Thể thao, giải trí")</f>
        <v>Thể thao, giải trí</v>
      </c>
      <c r="F10" s="3" t="str">
        <f ca="1">IFERROR(__xludf.DUMMYFUNCTION("GOOGLETRANSLATE(C10,""ja"",""vi"")"),"Đấu giá&gt; thể thao, giải trí")</f>
        <v>Đấu giá&gt; thể thao, giải trí</v>
      </c>
      <c r="G10" s="227" t="str">
        <f t="shared" ca="1" si="0"/>
        <v>"24698" : "Thể thao, giải trí",</v>
      </c>
      <c r="H10" s="229" t="str">
        <f t="shared" si="1"/>
        <v>&lt;li class="menu-item-has-children "&gt;&lt;a class="text-cut" href="javascript:;"(click)="categoryEvent(24698)"&gt;{{"24698" | translate}}&lt;/a&gt;&lt;/li&gt;</v>
      </c>
    </row>
    <row r="11" spans="1:8" ht="14.25" customHeight="1">
      <c r="A11" s="23">
        <v>26318</v>
      </c>
      <c r="B11" s="23" t="s">
        <v>225</v>
      </c>
      <c r="C11" s="24" t="s">
        <v>228</v>
      </c>
      <c r="D11" s="25" t="str">
        <f t="shared" ref="D11:D26" si="2">CONCATENATE("0,",A11)</f>
        <v>0,26318</v>
      </c>
      <c r="E11" s="11" t="str">
        <f ca="1">IFERROR(__xludf.DUMMYFUNCTION("GOOGLETRANSLATE(B11,""ja"",""vi"")"),"Ô tô, xe máy")</f>
        <v>Ô tô, xe máy</v>
      </c>
      <c r="F11" s="3" t="str">
        <f ca="1">IFERROR(__xludf.DUMMYFUNCTION("GOOGLETRANSLATE(C11,""ja"",""vi"")"),"&gt; Đấu giá&gt; ô tô, xe máy")</f>
        <v>&gt; Đấu giá&gt; ô tô, xe máy</v>
      </c>
      <c r="G11" s="227" t="str">
        <f t="shared" ca="1" si="0"/>
        <v>"26318" : "Ô tô, xe máy",</v>
      </c>
      <c r="H11" s="229" t="str">
        <f t="shared" si="1"/>
        <v>&lt;li class="menu-item-has-children "&gt;&lt;a class="text-cut" href="javascript:;"(click)="categoryEvent(26318)"&gt;{{"26318" | translate}}&lt;/a&gt;&lt;/li&gt;</v>
      </c>
    </row>
    <row r="12" spans="1:8" ht="14.25" customHeight="1">
      <c r="A12" s="26">
        <v>23000</v>
      </c>
      <c r="B12" s="26" t="s">
        <v>174</v>
      </c>
      <c r="C12" s="26" t="s">
        <v>252</v>
      </c>
      <c r="D12" s="27" t="str">
        <f t="shared" si="2"/>
        <v>0,23000</v>
      </c>
      <c r="E12" s="11" t="str">
        <f ca="1">IFERROR(__xludf.DUMMYFUNCTION("GOOGLETRANSLATE(B12,""ja"",""vi"")"),"kiểu")</f>
        <v>kiểu</v>
      </c>
      <c r="F12" s="3" t="str">
        <f ca="1">IFERROR(__xludf.DUMMYFUNCTION("GOOGLETRANSLATE(C12,""ja"",""vi"")"),"Đấu giá&gt; Thời trang")</f>
        <v>Đấu giá&gt; Thời trang</v>
      </c>
      <c r="G12" s="227" t="str">
        <f t="shared" ca="1" si="0"/>
        <v>"23000" : "kiểu",</v>
      </c>
      <c r="H12" s="229" t="str">
        <f t="shared" si="1"/>
        <v>&lt;li class="menu-item-has-children "&gt;&lt;a class="text-cut" href="javascript:;"(click)="categoryEvent(23000)"&gt;{{"23000" | translate}}&lt;/a&gt;&lt;/li&gt;</v>
      </c>
    </row>
    <row r="13" spans="1:8" ht="14.25" customHeight="1">
      <c r="A13" s="28">
        <v>23140</v>
      </c>
      <c r="B13" s="28" t="s">
        <v>264</v>
      </c>
      <c r="C13" s="28" t="s">
        <v>266</v>
      </c>
      <c r="D13" s="29" t="str">
        <f t="shared" si="2"/>
        <v>0,23140</v>
      </c>
      <c r="E13" s="11" t="str">
        <f ca="1">IFERROR(__xludf.DUMMYFUNCTION("GOOGLETRANSLATE(B13,""ja"",""vi"")"),"Phụ kiện, đồng hồ")</f>
        <v>Phụ kiện, đồng hồ</v>
      </c>
      <c r="F13" s="3" t="str">
        <f ca="1">IFERROR(__xludf.DUMMYFUNCTION("GOOGLETRANSLATE(C13,""ja"",""vi"")"),"Đấu giá&gt; phụ kiện, khi")</f>
        <v>Đấu giá&gt; phụ kiện, khi</v>
      </c>
      <c r="G13" s="227" t="str">
        <f t="shared" ca="1" si="0"/>
        <v>"23140" : "Phụ kiện, đồng hồ",</v>
      </c>
      <c r="H13" s="229" t="str">
        <f t="shared" si="1"/>
        <v>&lt;li class="menu-item-has-children "&gt;&lt;a class="text-cut" href="javascript:;"(click)="categoryEvent(23140)"&gt;{{"23140" | translate}}&lt;/a&gt;&lt;/li&gt;</v>
      </c>
    </row>
    <row r="14" spans="1:8" ht="14.25" customHeight="1">
      <c r="A14" s="30">
        <v>42177</v>
      </c>
      <c r="B14" s="30" t="s">
        <v>272</v>
      </c>
      <c r="C14" s="30" t="s">
        <v>273</v>
      </c>
      <c r="D14" s="31" t="str">
        <f t="shared" si="2"/>
        <v>0,42177</v>
      </c>
      <c r="E14" s="11" t="str">
        <f ca="1">IFERROR(__xludf.DUMMYFUNCTION("GOOGLETRANSLATE(B14,""ja"",""vi"")"),"Làm đẹp, chăm sóc sức khỏe")</f>
        <v>Làm đẹp, chăm sóc sức khỏe</v>
      </c>
      <c r="F14" s="3" t="str">
        <f ca="1">IFERROR(__xludf.DUMMYFUNCTION("GOOGLETRANSLATE(C14,""ja"",""vi"")"),"Đấu giá&gt; làm đẹp, chăm sóc sức khỏe")</f>
        <v>Đấu giá&gt; làm đẹp, chăm sóc sức khỏe</v>
      </c>
      <c r="G14" s="227" t="str">
        <f t="shared" ca="1" si="0"/>
        <v>"42177" : "Làm đẹp, chăm sóc sức khỏe",</v>
      </c>
      <c r="H14" s="229" t="str">
        <f t="shared" si="1"/>
        <v>&lt;li class="menu-item-has-children "&gt;&lt;a class="text-cut" href="javascript:;"(click)="categoryEvent(42177)"&gt;{{"42177" | translate}}&lt;/a&gt;&lt;/li&gt;</v>
      </c>
    </row>
    <row r="15" spans="1:8" ht="14.25" customHeight="1">
      <c r="A15" s="32">
        <v>23976</v>
      </c>
      <c r="B15" s="32" t="s">
        <v>274</v>
      </c>
      <c r="C15" s="32" t="s">
        <v>275</v>
      </c>
      <c r="D15" s="33" t="str">
        <f t="shared" si="2"/>
        <v>0,23976</v>
      </c>
      <c r="E15" s="11" t="str">
        <f ca="1">IFERROR(__xludf.DUMMYFUNCTION("GOOGLETRANSLATE(B15,""ja"",""vi"")"),"Thực phẩm, đồ uống")</f>
        <v>Thực phẩm, đồ uống</v>
      </c>
      <c r="F15" s="3" t="str">
        <f ca="1">IFERROR(__xludf.DUMMYFUNCTION("GOOGLETRANSLATE(C15,""ja"",""vi"")"),"Đấu giá&gt; Thực phẩm, đồ uống")</f>
        <v>Đấu giá&gt; Thực phẩm, đồ uống</v>
      </c>
      <c r="G15" s="227" t="str">
        <f t="shared" ca="1" si="0"/>
        <v>"23976" : "Thực phẩm, đồ uống",</v>
      </c>
      <c r="H15" s="229" t="str">
        <f t="shared" si="1"/>
        <v>&lt;li class="menu-item-has-children "&gt;&lt;a class="text-cut" href="javascript:;"(click)="categoryEvent(23976)"&gt;{{"23976" | translate}}&lt;/a&gt;&lt;/li&gt;</v>
      </c>
    </row>
    <row r="16" spans="1:8" ht="14.25" customHeight="1">
      <c r="A16" s="34">
        <v>24198</v>
      </c>
      <c r="B16" s="34" t="s">
        <v>220</v>
      </c>
      <c r="C16" s="34" t="s">
        <v>276</v>
      </c>
      <c r="D16" s="35" t="str">
        <f t="shared" si="2"/>
        <v>0,24198</v>
      </c>
      <c r="E16" s="11" t="str">
        <f ca="1">IFERROR(__xludf.DUMMYFUNCTION("GOOGLETRANSLATE(B16,""ja"",""vi"")"),"Nhà, nội thất")</f>
        <v>Nhà, nội thất</v>
      </c>
      <c r="F16" s="3" t="str">
        <f ca="1">IFERROR(__xludf.DUMMYFUNCTION("GOOGLETRANSLATE(C16,""ja"",""vi"")"),"Đấu giá&gt; nhà, nội thất")</f>
        <v>Đấu giá&gt; nhà, nội thất</v>
      </c>
      <c r="G16" s="227" t="str">
        <f t="shared" ca="1" si="0"/>
        <v>"24198" : "Nhà, nội thất",</v>
      </c>
      <c r="H16" s="229" t="str">
        <f t="shared" si="1"/>
        <v>&lt;li class="menu-item-has-children "&gt;&lt;a class="text-cut" href="javascript:;"(click)="categoryEvent(24198)"&gt;{{"24198" | translate}}&lt;/a&gt;&lt;/li&gt;</v>
      </c>
    </row>
    <row r="17" spans="1:8" ht="14.25" customHeight="1">
      <c r="A17" s="36">
        <v>2084055844</v>
      </c>
      <c r="B17" s="36" t="s">
        <v>285</v>
      </c>
      <c r="C17" s="36" t="s">
        <v>288</v>
      </c>
      <c r="D17" s="37" t="str">
        <f t="shared" si="2"/>
        <v>0,2084055844</v>
      </c>
      <c r="E17" s="11" t="str">
        <f ca="1">IFERROR(__xludf.DUMMYFUNCTION("GOOGLETRANSLATE(B17,""ja"",""vi"")"),"Vật nuôi, sinh vật")</f>
        <v>Vật nuôi, sinh vật</v>
      </c>
      <c r="F17" s="3" t="str">
        <f ca="1">IFERROR(__xludf.DUMMYFUNCTION("GOOGLETRANSLATE(C17,""ja"",""vi"")"),"Đấu giá&gt; có thú nuôi, sinh vật")</f>
        <v>Đấu giá&gt; có thú nuôi, sinh vật</v>
      </c>
      <c r="G17" s="227" t="str">
        <f t="shared" ca="1" si="0"/>
        <v>"2084055844" : "Vật nuôi, sinh vật",</v>
      </c>
      <c r="H17" s="229" t="str">
        <f t="shared" si="1"/>
        <v>&lt;li class="menu-item-has-children "&gt;&lt;a class="text-cut" href="javascript:;"(click)="categoryEvent(2084055844)"&gt;{{"2084055844" | translate}}&lt;/a&gt;&lt;/li&gt;</v>
      </c>
    </row>
    <row r="18" spans="1:8" ht="14.25" customHeight="1">
      <c r="A18" s="38">
        <v>22896</v>
      </c>
      <c r="B18" s="38" t="s">
        <v>213</v>
      </c>
      <c r="C18" s="38" t="s">
        <v>309</v>
      </c>
      <c r="D18" s="39" t="str">
        <f t="shared" si="2"/>
        <v>0,22896</v>
      </c>
      <c r="E18" s="11" t="str">
        <f ca="1">IFERROR(__xludf.DUMMYFUNCTION("GOOGLETRANSLATE(B18,""ja"",""vi"")"),"Văn phòng, vật tư cửa hàng")</f>
        <v>Văn phòng, vật tư cửa hàng</v>
      </c>
      <c r="F18" s="3" t="str">
        <f ca="1">IFERROR(__xludf.DUMMYFUNCTION("GOOGLETRANSLATE(C18,""ja"",""vi"")"),"Đấu giá&gt; văn phòng, vật tư cửa hàng")</f>
        <v>Đấu giá&gt; văn phòng, vật tư cửa hàng</v>
      </c>
      <c r="G18" s="227" t="str">
        <f t="shared" ca="1" si="0"/>
        <v>"22896" : "Văn phòng, vật tư cửa hàng",</v>
      </c>
      <c r="H18" s="229" t="str">
        <f t="shared" si="1"/>
        <v>&lt;li class="menu-item-has-children "&gt;&lt;a class="text-cut" href="javascript:;"(click)="categoryEvent(22896)"&gt;{{"22896" | translate}}&lt;/a&gt;&lt;/li&gt;</v>
      </c>
    </row>
    <row r="19" spans="1:8" ht="14.25" customHeight="1">
      <c r="A19" s="40">
        <v>26086</v>
      </c>
      <c r="B19" s="40" t="s">
        <v>318</v>
      </c>
      <c r="C19" s="40" t="s">
        <v>319</v>
      </c>
      <c r="D19" s="42" t="str">
        <f t="shared" si="2"/>
        <v>0,26086</v>
      </c>
      <c r="E19" s="11" t="str">
        <f ca="1">IFERROR(__xludf.DUMMYFUNCTION("GOOGLETRANSLATE(B19,""ja"",""vi"")"),"Hoa, làm vườn")</f>
        <v>Hoa, làm vườn</v>
      </c>
      <c r="F19" s="3" t="str">
        <f ca="1">IFERROR(__xludf.DUMMYFUNCTION("GOOGLETRANSLATE(C19,""ja"",""vi"")"),"Đấu giá&gt; hoa, làm vườn")</f>
        <v>Đấu giá&gt; hoa, làm vườn</v>
      </c>
      <c r="G19" s="227" t="str">
        <f t="shared" ca="1" si="0"/>
        <v>"26086" : "Hoa, làm vườn",</v>
      </c>
      <c r="H19" s="229" t="str">
        <f t="shared" si="1"/>
        <v>&lt;li class="menu-item-has-children "&gt;&lt;a class="text-cut" href="javascript:;"(click)="categoryEvent(26086)"&gt;{{"26086" | translate}}&lt;/a&gt;&lt;/li&gt;</v>
      </c>
    </row>
    <row r="20" spans="1:8" ht="14.25" customHeight="1">
      <c r="A20" s="44">
        <v>2084043920</v>
      </c>
      <c r="B20" s="44" t="s">
        <v>337</v>
      </c>
      <c r="C20" s="44" t="s">
        <v>338</v>
      </c>
      <c r="D20" s="46" t="str">
        <f t="shared" si="2"/>
        <v>0,2084043920</v>
      </c>
      <c r="E20" s="11" t="str">
        <f ca="1">IFERROR(__xludf.DUMMYFUNCTION("GOOGLETRANSLATE(B20,""ja"",""vi"")"),"Vé, chứng từ đặt phòng khách sạn,")</f>
        <v>Vé, chứng từ đặt phòng khách sạn,</v>
      </c>
      <c r="F20" s="3" t="str">
        <f ca="1">IFERROR(__xludf.DUMMYFUNCTION("GOOGLETRANSLATE(C20,""ja"",""vi"")"),"Đấu giá vé, chứng từ đặt phòng khách sạn,&gt;")</f>
        <v>Đấu giá vé, chứng từ đặt phòng khách sạn,&gt;</v>
      </c>
      <c r="G20" s="227" t="str">
        <f t="shared" ca="1" si="0"/>
        <v>"2084043920" : "Vé, chứng từ đặt phòng khách sạn,",</v>
      </c>
      <c r="H20" s="229" t="str">
        <f t="shared" si="1"/>
        <v>&lt;li class="menu-item-has-children "&gt;&lt;a class="text-cut" href="javascript:;"(click)="categoryEvent(2084043920)"&gt;{{"2084043920" | translate}}&lt;/a&gt;&lt;/li&gt;</v>
      </c>
    </row>
    <row r="21" spans="1:8" ht="14.25" customHeight="1">
      <c r="A21" s="47">
        <v>24202</v>
      </c>
      <c r="B21" s="47" t="s">
        <v>347</v>
      </c>
      <c r="C21" s="47" t="s">
        <v>348</v>
      </c>
      <c r="D21" s="49" t="str">
        <f t="shared" si="2"/>
        <v>0,24202</v>
      </c>
      <c r="E21" s="11" t="str">
        <f ca="1">IFERROR(__xludf.DUMMYFUNCTION("GOOGLETRANSLATE(B21,""ja"",""vi"")"),"nguồn cung cấp con")</f>
        <v>nguồn cung cấp con</v>
      </c>
      <c r="F21" s="3" t="str">
        <f ca="1">IFERROR(__xludf.DUMMYFUNCTION("GOOGLETRANSLATE(C21,""ja"",""vi"")"),"Đấu giá&gt; Sản phẩm bé")</f>
        <v>Đấu giá&gt; Sản phẩm bé</v>
      </c>
      <c r="G21" s="227" t="str">
        <f t="shared" ca="1" si="0"/>
        <v>"24202" : "nguồn cung cấp con",</v>
      </c>
      <c r="H21" s="229" t="str">
        <f t="shared" si="1"/>
        <v>&lt;li class="menu-item-has-children "&gt;&lt;a class="text-cut" href="javascript:;"(click)="categoryEvent(24202)"&gt;{{"24202" | translate}}&lt;/a&gt;&lt;/li&gt;</v>
      </c>
    </row>
    <row r="22" spans="1:8" ht="14.25" customHeight="1">
      <c r="A22" s="51">
        <v>2084032594</v>
      </c>
      <c r="B22" s="51" t="s">
        <v>361</v>
      </c>
      <c r="C22" s="51" t="s">
        <v>362</v>
      </c>
      <c r="D22" s="52" t="str">
        <f t="shared" si="2"/>
        <v>0,2084032594</v>
      </c>
      <c r="E22" s="11" t="str">
        <f ca="1">IFERROR(__xludf.DUMMYFUNCTION("GOOGLETRANSLATE(B22,""ja"",""vi"")"),"Talent Hàng")</f>
        <v>Talent Hàng</v>
      </c>
      <c r="F22" s="3" t="str">
        <f ca="1">IFERROR(__xludf.DUMMYFUNCTION("GOOGLETRANSLATE(C22,""ja"",""vi"")"),"Đấu giá&gt; hàng Talent")</f>
        <v>Đấu giá&gt; hàng Talent</v>
      </c>
      <c r="G22" s="227" t="str">
        <f t="shared" ca="1" si="0"/>
        <v>"2084032594" : "Talent Hàng",</v>
      </c>
      <c r="H22" s="229" t="str">
        <f t="shared" si="1"/>
        <v>&lt;li class="menu-item-has-children "&gt;&lt;a class="text-cut" href="javascript:;"(click)="categoryEvent(2084032594)"&gt;{{"2084032594" | translate}}&lt;/a&gt;&lt;/li&gt;</v>
      </c>
    </row>
    <row r="23" spans="1:8" ht="14.25" customHeight="1">
      <c r="A23" s="54">
        <v>20060</v>
      </c>
      <c r="B23" s="54" t="s">
        <v>369</v>
      </c>
      <c r="C23" s="54" t="s">
        <v>370</v>
      </c>
      <c r="D23" s="55" t="str">
        <f t="shared" si="2"/>
        <v>0,20060</v>
      </c>
      <c r="E23" s="11" t="str">
        <f ca="1">IFERROR(__xludf.DUMMYFUNCTION("GOOGLETRANSLATE(B23,""ja"",""vi"")"),"Truyện tranh, phim hoạt hình hàng hóa")</f>
        <v>Truyện tranh, phim hoạt hình hàng hóa</v>
      </c>
      <c r="F23" s="3" t="str">
        <f ca="1">IFERROR(__xludf.DUMMYFUNCTION("GOOGLETRANSLATE(C23,""ja"",""vi"")"),"Đấu giá&gt; truyện tranh, phim hoạt hình hàng hóa")</f>
        <v>Đấu giá&gt; truyện tranh, phim hoạt hình hàng hóa</v>
      </c>
      <c r="G23" s="227" t="str">
        <f t="shared" ca="1" si="0"/>
        <v>"20060" : "Truyện tranh, phim hoạt hình hàng hóa",</v>
      </c>
      <c r="H23" s="229" t="str">
        <f t="shared" si="1"/>
        <v>&lt;li class="menu-item-has-children "&gt;&lt;a class="text-cut" href="javascript:;"(click)="categoryEvent(20060)"&gt;{{"20060" | translate}}&lt;/a&gt;&lt;/li&gt;</v>
      </c>
    </row>
    <row r="24" spans="1:8" ht="14.25" customHeight="1">
      <c r="A24" s="57">
        <v>2084060731</v>
      </c>
      <c r="B24" s="57" t="s">
        <v>183</v>
      </c>
      <c r="C24" s="57" t="s">
        <v>374</v>
      </c>
      <c r="D24" s="58" t="str">
        <f t="shared" si="2"/>
        <v>0,2084060731</v>
      </c>
      <c r="E24" s="11" t="str">
        <f ca="1">IFERROR(__xludf.DUMMYFUNCTION("GOOGLETRANSLATE(B24,""ja"",""vi"")"),"Bất động sản")</f>
        <v>Bất động sản</v>
      </c>
      <c r="F24" s="3" t="str">
        <f ca="1">IFERROR(__xludf.DUMMYFUNCTION("GOOGLETRANSLATE(C24,""ja"",""vi"")"),"Đấu giá&gt; Bất động sản")</f>
        <v>Đấu giá&gt; Bất động sản</v>
      </c>
      <c r="G24" s="227" t="str">
        <f t="shared" ca="1" si="0"/>
        <v>"2084060731" : "Bất động sản",</v>
      </c>
      <c r="H24" s="229" t="str">
        <f t="shared" si="1"/>
        <v>&lt;li class="menu-item-has-children "&gt;&lt;a class="text-cut" href="javascript:;"(click)="categoryEvent(2084060731)"&gt;{{"2084060731" | translate}}&lt;/a&gt;&lt;/li&gt;</v>
      </c>
    </row>
    <row r="25" spans="1:8" ht="14.25" customHeight="1">
      <c r="A25" s="60">
        <v>2084217893</v>
      </c>
      <c r="B25" s="60" t="s">
        <v>382</v>
      </c>
      <c r="C25" s="60" t="s">
        <v>384</v>
      </c>
      <c r="D25" s="61" t="str">
        <f t="shared" si="2"/>
        <v>0,2084217893</v>
      </c>
      <c r="E25" s="11" t="str">
        <f ca="1">IFERROR(__xludf.DUMMYFUNCTION("GOOGLETRANSLATE(B25,""ja"",""vi"")"),"bố thí")</f>
        <v>bố thí</v>
      </c>
      <c r="F25" s="3" t="str">
        <f ca="1">IFERROR(__xludf.DUMMYFUNCTION("GOOGLETRANSLATE(C25,""ja"",""vi"")"),"Đấu giá&gt; từ thiện")</f>
        <v>Đấu giá&gt; từ thiện</v>
      </c>
      <c r="G25" s="227" t="str">
        <f t="shared" ca="1" si="0"/>
        <v>"2084217893" : "bố thí",</v>
      </c>
      <c r="H25" s="229" t="str">
        <f t="shared" si="1"/>
        <v>&lt;li class="menu-item-has-children "&gt;&lt;a class="text-cut" href="javascript:;"(click)="categoryEvent(2084217893)"&gt;{{"2084217893" | translate}}&lt;/a&gt;&lt;/li&gt;</v>
      </c>
    </row>
    <row r="26" spans="1:8" ht="14.25" customHeight="1">
      <c r="A26" s="64">
        <v>26084</v>
      </c>
      <c r="B26" s="64" t="s">
        <v>16</v>
      </c>
      <c r="C26" s="64" t="s">
        <v>392</v>
      </c>
      <c r="D26" s="67" t="str">
        <f t="shared" si="2"/>
        <v>0,26084</v>
      </c>
      <c r="E26" s="11" t="str">
        <f ca="1">IFERROR(__xludf.DUMMYFUNCTION("GOOGLETRANSLATE(B26,""ja"",""vi"")"),"nếu không thì")</f>
        <v>nếu không thì</v>
      </c>
      <c r="F26" s="3" t="str">
        <f ca="1">IFERROR(__xludf.DUMMYFUNCTION("GOOGLETRANSLATE(C26,""ja"",""vi"")"),"Đấu giá&gt; Khác")</f>
        <v>Đấu giá&gt; Khác</v>
      </c>
      <c r="G26" s="227" t="str">
        <f ca="1">CONCATENATE(CHAR(34)&amp;"",A26,""&amp;CHAR(34)," : ", CHAR(34)&amp;"",E26,""&amp;CHAR(34),",")</f>
        <v>"26084" : "nếu không thì",</v>
      </c>
      <c r="H26" s="229" t="str">
        <f t="shared" si="1"/>
        <v>&lt;li class="menu-item-has-children "&gt;&lt;a class="text-cut" href="javascript:;"(click)="categoryEvent(26084)"&gt;{{"26084" | translate}}&lt;/a&gt;&lt;/li&gt;</v>
      </c>
    </row>
    <row r="27" spans="1:8" ht="14.25" customHeight="1">
      <c r="D27" s="70"/>
    </row>
    <row r="28" spans="1:8" ht="14.25" customHeight="1">
      <c r="D28" s="70"/>
    </row>
    <row r="29" spans="1:8" ht="14.25" customHeight="1">
      <c r="D29" s="70"/>
    </row>
    <row r="30" spans="1:8" ht="14.25" customHeight="1">
      <c r="D30" s="70"/>
    </row>
    <row r="31" spans="1:8" ht="14.25" customHeight="1">
      <c r="D31" s="70"/>
    </row>
    <row r="32" spans="1:8" ht="14.25" customHeight="1">
      <c r="A32" s="73"/>
      <c r="B32" s="73"/>
      <c r="C32" s="73"/>
      <c r="D32" s="70"/>
    </row>
    <row r="33" spans="1:4" ht="14.25" customHeight="1">
      <c r="A33" s="73"/>
      <c r="B33" s="74"/>
      <c r="C33" s="73"/>
      <c r="D33" s="70"/>
    </row>
    <row r="34" spans="1:4" ht="14.25" customHeight="1">
      <c r="A34" s="73"/>
      <c r="B34" s="73"/>
      <c r="C34" s="73"/>
      <c r="D34" s="70"/>
    </row>
    <row r="35" spans="1:4" ht="14.25" customHeight="1">
      <c r="A35" s="73"/>
      <c r="B35" s="73"/>
      <c r="C35" s="73"/>
      <c r="D35" s="70"/>
    </row>
    <row r="36" spans="1:4" ht="14.25" customHeight="1">
      <c r="A36" s="73"/>
      <c r="B36" s="73"/>
      <c r="C36" s="73"/>
      <c r="D36" s="70"/>
    </row>
    <row r="37" spans="1:4" ht="14.25" customHeight="1">
      <c r="A37" s="73"/>
      <c r="B37" s="73"/>
      <c r="C37" s="73"/>
      <c r="D37" s="70"/>
    </row>
    <row r="38" spans="1:4" ht="14.25" customHeight="1">
      <c r="A38" s="73"/>
      <c r="B38" s="73"/>
      <c r="C38" s="73"/>
      <c r="D38" s="70"/>
    </row>
    <row r="39" spans="1:4" ht="14.25" customHeight="1">
      <c r="A39" s="73"/>
      <c r="B39" s="73"/>
      <c r="C39" s="73"/>
      <c r="D39" s="70"/>
    </row>
    <row r="40" spans="1:4" ht="14.25" customHeight="1">
      <c r="A40" s="73"/>
      <c r="B40" s="73"/>
      <c r="C40" s="73"/>
      <c r="D40" s="70"/>
    </row>
    <row r="41" spans="1:4" ht="14.25" customHeight="1">
      <c r="A41" s="73"/>
      <c r="B41" s="73"/>
      <c r="C41" s="73"/>
      <c r="D41" s="70"/>
    </row>
    <row r="42" spans="1:4" ht="14.25" customHeight="1">
      <c r="A42" s="73"/>
      <c r="B42" s="73"/>
      <c r="C42" s="73"/>
      <c r="D42" s="70"/>
    </row>
    <row r="43" spans="1:4" ht="14.25" customHeight="1">
      <c r="A43" s="73"/>
      <c r="B43" s="73"/>
      <c r="C43" s="73"/>
      <c r="D43" s="70"/>
    </row>
    <row r="44" spans="1:4" ht="14.25" customHeight="1">
      <c r="A44" s="73"/>
      <c r="B44" s="73"/>
      <c r="C44" s="73"/>
      <c r="D44" s="70"/>
    </row>
    <row r="45" spans="1:4" ht="14.25" customHeight="1">
      <c r="A45" s="73"/>
      <c r="B45" s="73"/>
      <c r="C45" s="73"/>
      <c r="D45" s="70"/>
    </row>
    <row r="46" spans="1:4" ht="14.25" customHeight="1">
      <c r="A46" s="73"/>
      <c r="B46" s="73"/>
      <c r="C46" s="73"/>
      <c r="D46" s="70"/>
    </row>
    <row r="47" spans="1:4" ht="14.25" customHeight="1">
      <c r="A47" s="73"/>
      <c r="B47" s="73"/>
      <c r="C47" s="73"/>
      <c r="D47" s="70"/>
    </row>
    <row r="48" spans="1:4" ht="14.25" customHeight="1">
      <c r="A48" s="73"/>
      <c r="B48" s="73"/>
      <c r="C48" s="73"/>
      <c r="D48" s="70"/>
    </row>
    <row r="49" spans="1:4" ht="14.25" customHeight="1">
      <c r="A49" s="73"/>
      <c r="B49" s="73"/>
      <c r="C49" s="73"/>
      <c r="D49" s="70"/>
    </row>
    <row r="50" spans="1:4" ht="14.25" customHeight="1"/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9.8984375" customWidth="1"/>
    <col min="2" max="2" width="8" customWidth="1"/>
    <col min="3" max="3" width="14.69921875" customWidth="1"/>
    <col min="4" max="4" width="18.3984375" customWidth="1"/>
    <col min="5" max="5" width="11.5" customWidth="1"/>
    <col min="6" max="6" width="31.69921875" customWidth="1"/>
    <col min="7" max="7" width="26.796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2084200287</v>
      </c>
      <c r="B2" s="2" t="s">
        <v>1217</v>
      </c>
      <c r="C2" s="2" t="s">
        <v>1218</v>
      </c>
      <c r="D2" s="2" t="s">
        <v>1219</v>
      </c>
      <c r="E2" s="3" t="str">
        <f ca="1">IFERROR(__xludf.DUMMYFUNCTION("GOOGLETRANSLATE(B2,""ja"",""vi"")"),"nông nghiệp")</f>
        <v>nông nghiệp</v>
      </c>
      <c r="F2" s="3" t="str">
        <f ca="1">IFERROR(__xludf.DUMMYFUNCTION("GOOGLETRANSLATE(C2,""ja"",""vi"")"),"Đấu giá&gt; hoa, làm vườn&gt; nông nghiệp")</f>
        <v>Đấu giá&gt; hoa, làm vườn&gt; nông nghiệp</v>
      </c>
      <c r="G2" s="229" t="str">
        <f ca="1">CONCATENATE(CHAR(34)&amp;"",A2,""&amp;CHAR(34)," : ", CHAR(34)&amp;"",E2,""&amp;CHAR(34),",")</f>
        <v>"2084200287" : "nông nghiệp",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href="javascript:;"(click)="categoryEvent(2084200287)"&gt;{{"2084200287" | translate}}&lt;/a&gt;&lt;/li&gt;</v>
      </c>
    </row>
    <row r="3" spans="1:8" ht="14.25" customHeight="1">
      <c r="A3" s="4">
        <v>2084006704</v>
      </c>
      <c r="B3" s="4" t="s">
        <v>1225</v>
      </c>
      <c r="C3" s="4" t="s">
        <v>1226</v>
      </c>
      <c r="D3" s="4" t="s">
        <v>1227</v>
      </c>
      <c r="E3" s="3" t="str">
        <f ca="1">IFERROR(__xludf.DUMMYFUNCTION("GOOGLETRANSLATE(B3,""ja"",""vi"")"),"nghề làm vườn")</f>
        <v>nghề làm vườn</v>
      </c>
      <c r="F3" s="3" t="str">
        <f ca="1">IFERROR(__xludf.DUMMYFUNCTION("GOOGLETRANSLATE(C3,""ja"",""vi"")"),"Đấu giá&gt; hoa, làm vườn&gt; Làm vườn")</f>
        <v>Đấu giá&gt; hoa, làm vườn&gt; Làm vườn</v>
      </c>
      <c r="G3" s="229" t="str">
        <f t="shared" ref="G3:G66" ca="1" si="0">CONCATENATE(CHAR(34)&amp;"",A3,""&amp;CHAR(34)," : ", CHAR(34)&amp;"",E3,""&amp;CHAR(34),",")</f>
        <v>"2084006704" : "nghề làm vườn",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href="javascript:;"(click)="categoryEvent(2084006704)"&gt;{{"2084006704" | translate}}&lt;/a&gt;&lt;/li&gt;</v>
      </c>
    </row>
    <row r="4" spans="1:8" ht="14.25" customHeight="1">
      <c r="A4" s="5">
        <v>2084006711</v>
      </c>
      <c r="B4" s="5" t="s">
        <v>1232</v>
      </c>
      <c r="C4" s="5" t="s">
        <v>1233</v>
      </c>
      <c r="D4" s="5" t="s">
        <v>1234</v>
      </c>
      <c r="E4" s="3" t="str">
        <f ca="1">IFERROR(__xludf.DUMMYFUNCTION("GOOGLETRANSLATE(B4,""ja"",""vi"")"),"sắp xếp")</f>
        <v>sắp xếp</v>
      </c>
      <c r="F4" s="3" t="str">
        <f ca="1">IFERROR(__xludf.DUMMYFUNCTION("GOOGLETRANSLATE(C4,""ja"",""vi"")"),"Đấu giá&gt; hoa, làm vườn&gt; sắp xếp")</f>
        <v>Đấu giá&gt; hoa, làm vườn&gt; sắp xếp</v>
      </c>
      <c r="G4" s="229" t="str">
        <f t="shared" ca="1" si="0"/>
        <v>"2084006711" : "sắp xếp",</v>
      </c>
      <c r="H4" s="229" t="str">
        <f t="shared" si="1"/>
        <v>&lt;li class="col-md-3"&gt;&lt;a class="text-cut" href="javascript:;"(click)="categoryEvent(2084006711)"&gt;{{"2084006711" | translate}}&lt;/a&gt;&lt;/li&gt;</v>
      </c>
    </row>
    <row r="5" spans="1:8" ht="14.25" customHeight="1">
      <c r="A5" s="8">
        <v>2084006710</v>
      </c>
      <c r="B5" s="8" t="s">
        <v>1239</v>
      </c>
      <c r="C5" s="8" t="s">
        <v>1240</v>
      </c>
      <c r="D5" s="8" t="s">
        <v>1241</v>
      </c>
      <c r="E5" s="3" t="str">
        <f ca="1">IFERROR(__xludf.DUMMYFUNCTION("GOOGLETRANSLATE(B5,""ja"",""vi"")"),"hoa cắt cành, bó hoa")</f>
        <v>hoa cắt cành, bó hoa</v>
      </c>
      <c r="F5" s="3" t="str">
        <f ca="1">IFERROR(__xludf.DUMMYFUNCTION("GOOGLETRANSLATE(C5,""ja"",""vi"")"),"Đấu giá&gt; hoa, làm vườn&gt; cắt hoa, bó hoa")</f>
        <v>Đấu giá&gt; hoa, làm vườn&gt; cắt hoa, bó hoa</v>
      </c>
      <c r="G5" s="229" t="str">
        <f t="shared" ca="1" si="0"/>
        <v>"2084006710" : "hoa cắt cành, bó hoa",</v>
      </c>
      <c r="H5" s="229" t="str">
        <f t="shared" si="1"/>
        <v>&lt;li class="col-md-3"&gt;&lt;a class="text-cut" href="javascript:;"(click)="categoryEvent(2084006710)"&gt;{{"2084006710" | translate}}&lt;/a&gt;&lt;/li&gt;</v>
      </c>
    </row>
    <row r="6" spans="1:8" ht="14.25" customHeight="1">
      <c r="A6" s="6">
        <v>2084048020</v>
      </c>
      <c r="B6" s="6" t="s">
        <v>1245</v>
      </c>
      <c r="C6" s="6" t="s">
        <v>1251</v>
      </c>
      <c r="D6" s="6" t="s">
        <v>1252</v>
      </c>
      <c r="E6" s="3" t="str">
        <f ca="1">IFERROR(__xludf.DUMMYFUNCTION("GOOGLETRANSLATE(B6,""ja"",""vi"")"),"Bonsai")</f>
        <v>Bonsai</v>
      </c>
      <c r="F6" s="3" t="str">
        <f ca="1">IFERROR(__xludf.DUMMYFUNCTION("GOOGLETRANSLATE(C6,""ja"",""vi"")"),"Đấu giá&gt; hoa, làm vườn&gt; cây cảnh")</f>
        <v>Đấu giá&gt; hoa, làm vườn&gt; cây cảnh</v>
      </c>
      <c r="G6" s="229" t="str">
        <f t="shared" ca="1" si="0"/>
        <v>"2084048020" : "Bonsai",</v>
      </c>
      <c r="H6" s="229" t="str">
        <f t="shared" si="1"/>
        <v>&lt;li class="col-md-3"&gt;&lt;a class="text-cut" href="javascript:;"(click)="categoryEvent(2084048020)"&gt;{{"2084048020" | translate}}&lt;/a&gt;&lt;/li&gt;</v>
      </c>
    </row>
    <row r="7" spans="1:8" ht="14.25" customHeight="1">
      <c r="A7" s="9">
        <v>2084048017</v>
      </c>
      <c r="B7" s="9" t="s">
        <v>1256</v>
      </c>
      <c r="C7" s="9" t="s">
        <v>1257</v>
      </c>
      <c r="D7" s="9" t="s">
        <v>1260</v>
      </c>
      <c r="E7" s="3" t="str">
        <f ca="1">IFERROR(__xludf.DUMMYFUNCTION("GOOGLETRANSLATE(B7,""ja"",""vi"")"),"cây trong nhà")</f>
        <v>cây trong nhà</v>
      </c>
      <c r="F7" s="3" t="str">
        <f ca="1">IFERROR(__xludf.DUMMYFUNCTION("GOOGLETRANSLATE(C7,""ja"",""vi"")"),"Đấu giá&gt; hoa, làm vườn&gt; cây trang trí")</f>
        <v>Đấu giá&gt; hoa, làm vườn&gt; cây trang trí</v>
      </c>
      <c r="G7" s="229" t="str">
        <f t="shared" ca="1" si="0"/>
        <v>"2084048017" : "cây trong nhà",</v>
      </c>
      <c r="H7" s="229" t="str">
        <f t="shared" si="1"/>
        <v>&lt;li class="col-md-3"&gt;&lt;a class="text-cut" href="javascript:;"(click)="categoryEvent(2084048017)"&gt;{{"2084048017" | translate}}&lt;/a&gt;&lt;/li&gt;</v>
      </c>
    </row>
    <row r="8" spans="1:8" ht="14.25" customHeight="1">
      <c r="A8" s="7">
        <v>2084006709</v>
      </c>
      <c r="B8" s="7" t="s">
        <v>1265</v>
      </c>
      <c r="C8" s="7" t="s">
        <v>1267</v>
      </c>
      <c r="D8" s="7" t="s">
        <v>1269</v>
      </c>
      <c r="E8" s="3" t="str">
        <f ca="1">IFERROR(__xludf.DUMMYFUNCTION("GOOGLETRANSLATE(B8,""ja"",""vi"")"),"cây trồng trong chậu")</f>
        <v>cây trồng trong chậu</v>
      </c>
      <c r="F8" s="3" t="str">
        <f ca="1">IFERROR(__xludf.DUMMYFUNCTION("GOOGLETRANSLATE(C8,""ja"",""vi"")"),"Đấu giá&gt; hoa, làm vườn&gt; chậu cây")</f>
        <v>Đấu giá&gt; hoa, làm vườn&gt; chậu cây</v>
      </c>
      <c r="G8" s="229" t="str">
        <f t="shared" ca="1" si="0"/>
        <v>"2084006709" : "cây trồng trong chậu",</v>
      </c>
      <c r="H8" s="229" t="str">
        <f t="shared" si="1"/>
        <v>&lt;li class="col-md-3"&gt;&lt;a class="text-cut" href="javascript:;"(click)="categoryEvent(2084006709)"&gt;{{"2084006709" | translate}}&lt;/a&gt;&lt;/li&gt;</v>
      </c>
    </row>
    <row r="9" spans="1:8" ht="14.25" customHeight="1">
      <c r="A9" s="41">
        <v>2084006703</v>
      </c>
      <c r="B9" s="41" t="s">
        <v>1272</v>
      </c>
      <c r="C9" s="41" t="s">
        <v>1273</v>
      </c>
      <c r="D9" s="41" t="s">
        <v>1275</v>
      </c>
      <c r="E9" s="3" t="str">
        <f ca="1">IFERROR(__xludf.DUMMYFUNCTION("GOOGLETRANSLATE(B9,""ja"",""vi"")"),"Ueki, vườn")</f>
        <v>Ueki, vườn</v>
      </c>
      <c r="F9" s="3" t="str">
        <f ca="1">IFERROR(__xludf.DUMMYFUNCTION("GOOGLETRANSLATE(C9,""ja"",""vi"")"),"Đấu giá&gt; hoa, làm vườn&gt; Ueki, vườn")</f>
        <v>Đấu giá&gt; hoa, làm vườn&gt; Ueki, vườn</v>
      </c>
      <c r="G9" s="229" t="str">
        <f t="shared" ca="1" si="0"/>
        <v>"2084006703" : "Ueki, vườn",</v>
      </c>
      <c r="H9" s="229" t="str">
        <f t="shared" si="1"/>
        <v>&lt;li class="col-md-3"&gt;&lt;a class="text-cut" href="javascript:;"(click)="categoryEvent(2084006703)"&gt;{{"2084006703" | translate}}&lt;/a&gt;&lt;/li&gt;</v>
      </c>
    </row>
    <row r="10" spans="1:8" ht="14.25" customHeight="1">
      <c r="A10" s="16">
        <v>2084206880</v>
      </c>
      <c r="B10" s="16" t="s">
        <v>1279</v>
      </c>
      <c r="C10" s="16" t="s">
        <v>1280</v>
      </c>
      <c r="D10" s="16" t="s">
        <v>1282</v>
      </c>
      <c r="E10" s="3" t="str">
        <f ca="1">IFERROR(__xludf.DUMMYFUNCTION("GOOGLETRANSLATE(B10,""ja"",""vi"")"),"Landscaping công cụ, vật liệu")</f>
        <v>Landscaping công cụ, vật liệu</v>
      </c>
      <c r="F10" s="3" t="str">
        <f ca="1">IFERROR(__xludf.DUMMYFUNCTION("GOOGLETRANSLATE(C10,""ja"",""vi"")"),"Đấu giá&gt; hoa, làm vườn&gt; công cụ cây cảnh, vật liệu")</f>
        <v>Đấu giá&gt; hoa, làm vườn&gt; công cụ cây cảnh, vật liệu</v>
      </c>
      <c r="G10" s="229" t="str">
        <f t="shared" ca="1" si="0"/>
        <v>"2084206880" : "Landscaping công cụ, vật liệu",</v>
      </c>
      <c r="H10" s="229" t="str">
        <f t="shared" si="1"/>
        <v>&lt;li class="col-md-3"&gt;&lt;a class="text-cut" href="javascript:;"(click)="categoryEvent(2084206880)"&gt;{{"2084206880" | translate}}&lt;/a&gt;&lt;/li&gt;</v>
      </c>
    </row>
    <row r="11" spans="1:8" ht="14.25" customHeight="1">
      <c r="A11" s="43">
        <v>2084048857</v>
      </c>
      <c r="B11" s="43" t="s">
        <v>1289</v>
      </c>
      <c r="C11" s="43" t="s">
        <v>1290</v>
      </c>
      <c r="D11" s="43" t="s">
        <v>1292</v>
      </c>
      <c r="E11" s="3" t="str">
        <f ca="1">IFERROR(__xludf.DUMMYFUNCTION("GOOGLETRANSLATE(B11,""ja"",""vi"")"),"bảo quản")</f>
        <v>bảo quản</v>
      </c>
      <c r="F11" s="3" t="str">
        <f ca="1">IFERROR(__xludf.DUMMYFUNCTION("GOOGLETRANSLATE(C11,""ja"",""vi"")"),"Đấu giá&gt; hoa, làm vườn&gt; hoa bảo quản")</f>
        <v>Đấu giá&gt; hoa, làm vườn&gt; hoa bảo quản</v>
      </c>
      <c r="G11" s="229" t="str">
        <f t="shared" ca="1" si="0"/>
        <v>"2084048857" : "bảo quản",</v>
      </c>
      <c r="H11" s="229" t="str">
        <f t="shared" si="1"/>
        <v>&lt;li class="col-md-3"&gt;&lt;a class="text-cut" href="javascript:;"(click)="categoryEvent(2084048857)"&gt;{{"2084048857" | translate}}&lt;/a&gt;&lt;/li&gt;</v>
      </c>
    </row>
    <row r="12" spans="1:8" ht="14.25" customHeight="1">
      <c r="A12" s="45">
        <v>2084006708</v>
      </c>
      <c r="B12" s="45" t="s">
        <v>1298</v>
      </c>
      <c r="C12" s="45" t="s">
        <v>1300</v>
      </c>
      <c r="D12" s="45" t="s">
        <v>1301</v>
      </c>
      <c r="E12" s="3" t="str">
        <f ca="1">IFERROR(__xludf.DUMMYFUNCTION("GOOGLETRANSLATE(B12,""ja"",""vi"")"),"hoa khô")</f>
        <v>hoa khô</v>
      </c>
      <c r="F12" s="3" t="str">
        <f ca="1">IFERROR(__xludf.DUMMYFUNCTION("GOOGLETRANSLATE(C12,""ja"",""vi"")"),"Đấu giá&gt; hoa, làm vườn&gt; hoa khô")</f>
        <v>Đấu giá&gt; hoa, làm vườn&gt; hoa khô</v>
      </c>
      <c r="G12" s="229" t="str">
        <f t="shared" ca="1" si="0"/>
        <v>"2084006708" : "hoa khô",</v>
      </c>
      <c r="H12" s="229" t="str">
        <f t="shared" si="1"/>
        <v>&lt;li class="col-md-3"&gt;&lt;a class="text-cut" href="javascript:;"(click)="categoryEvent(2084006708)"&gt;{{"2084006708" | translate}}&lt;/a&gt;&lt;/li&gt;</v>
      </c>
    </row>
    <row r="13" spans="1:8" ht="14.25" customHeight="1">
      <c r="A13" s="48">
        <v>2084047125</v>
      </c>
      <c r="B13" s="48" t="s">
        <v>1304</v>
      </c>
      <c r="C13" s="48" t="s">
        <v>1306</v>
      </c>
      <c r="D13" s="48" t="s">
        <v>1308</v>
      </c>
      <c r="E13" s="3" t="str">
        <f ca="1">IFERROR(__xludf.DUMMYFUNCTION("GOOGLETRANSLATE(B13,""ja"",""vi"")"),"cho thuê")</f>
        <v>cho thuê</v>
      </c>
      <c r="F13" s="3" t="str">
        <f ca="1">IFERROR(__xludf.DUMMYFUNCTION("GOOGLETRANSLATE(C13,""ja"",""vi"")"),"Đấu giá&gt; hoa, làm vườn&gt; thuê")</f>
        <v>Đấu giá&gt; hoa, làm vườn&gt; thuê</v>
      </c>
      <c r="G13" s="229" t="str">
        <f t="shared" ca="1" si="0"/>
        <v>"2084047125" : "cho thuê",</v>
      </c>
      <c r="H13" s="229" t="str">
        <f t="shared" si="1"/>
        <v>&lt;li class="col-md-3"&gt;&lt;a class="text-cut" href="javascript:;"(click)="categoryEvent(2084047125)"&gt;{{"2084047125" | translate}}&lt;/a&gt;&lt;/li&gt;</v>
      </c>
    </row>
    <row r="14" spans="1:8" ht="14.25" customHeight="1">
      <c r="A14" s="50">
        <v>2084048858</v>
      </c>
      <c r="B14" s="50" t="s">
        <v>1310</v>
      </c>
      <c r="C14" s="50" t="s">
        <v>1312</v>
      </c>
      <c r="D14" s="50" t="s">
        <v>1313</v>
      </c>
      <c r="E14" s="3" t="str">
        <f ca="1">IFERROR(__xludf.DUMMYFUNCTION("GOOGLETRANSLATE(B14,""ja"",""vi"")"),"ép hoa")</f>
        <v>ép hoa</v>
      </c>
      <c r="F14" s="3" t="str">
        <f ca="1">IFERROR(__xludf.DUMMYFUNCTION("GOOGLETRANSLATE(C14,""ja"",""vi"")"),"Đấu giá&gt; hoa, làm vườn&gt; hoa ép")</f>
        <v>Đấu giá&gt; hoa, làm vườn&gt; hoa ép</v>
      </c>
      <c r="G14" s="229" t="str">
        <f t="shared" ca="1" si="0"/>
        <v>"2084048858" : "ép hoa",</v>
      </c>
      <c r="H14" s="229" t="str">
        <f t="shared" si="1"/>
        <v>&lt;li class="col-md-3"&gt;&lt;a class="text-cut" href="javascript:;"(click)="categoryEvent(2084048858)"&gt;{{"2084048858" | translate}}&lt;/a&gt;&lt;/li&gt;</v>
      </c>
    </row>
    <row r="15" spans="1:8" ht="14.25" customHeight="1">
      <c r="A15" s="53">
        <v>2084006705</v>
      </c>
      <c r="B15" s="53" t="s">
        <v>1315</v>
      </c>
      <c r="C15" s="53" t="s">
        <v>1317</v>
      </c>
      <c r="D15" s="53" t="s">
        <v>1318</v>
      </c>
      <c r="E15" s="3" t="str">
        <f ca="1">IFERROR(__xludf.DUMMYFUNCTION("GOOGLETRANSLATE(B15,""ja"",""vi"")"),"hoa nhân tạo")</f>
        <v>hoa nhân tạo</v>
      </c>
      <c r="F15" s="3" t="str">
        <f ca="1">IFERROR(__xludf.DUMMYFUNCTION("GOOGLETRANSLATE(C15,""ja"",""vi"")"),"Đấu giá&gt; hoa, làm vườn&gt; hoa giả")</f>
        <v>Đấu giá&gt; hoa, làm vườn&gt; hoa giả</v>
      </c>
      <c r="G15" s="229" t="str">
        <f t="shared" ca="1" si="0"/>
        <v>"2084006705" : "hoa nhân tạo",</v>
      </c>
      <c r="H15" s="229" t="str">
        <f t="shared" si="1"/>
        <v>&lt;li class="col-md-3"&gt;&lt;a class="text-cut" href="javascript:;"(click)="categoryEvent(2084006705)"&gt;{{"2084006705" | translate}}&lt;/a&gt;&lt;/li&gt;</v>
      </c>
    </row>
    <row r="16" spans="1:8" ht="14.25" customHeight="1">
      <c r="A16" s="56">
        <v>2084024334</v>
      </c>
      <c r="B16" s="56" t="s">
        <v>1321</v>
      </c>
      <c r="C16" s="56" t="s">
        <v>1322</v>
      </c>
      <c r="D16" s="56" t="s">
        <v>1323</v>
      </c>
      <c r="E16" s="3" t="str">
        <f ca="1">IFERROR(__xludf.DUMMYFUNCTION("GOOGLETRANSLATE(B16,""ja"",""vi"")"),"cái bình")</f>
        <v>cái bình</v>
      </c>
      <c r="F16" s="3" t="str">
        <f ca="1">IFERROR(__xludf.DUMMYFUNCTION("GOOGLETRANSLATE(C16,""ja"",""vi"")"),"Đấu giá&gt; hoa, làm vườn&gt; bình")</f>
        <v>Đấu giá&gt; hoa, làm vườn&gt; bình</v>
      </c>
      <c r="G16" s="229" t="str">
        <f t="shared" ca="1" si="0"/>
        <v>"2084024334" : "cái bình",</v>
      </c>
      <c r="H16" s="229" t="str">
        <f t="shared" si="1"/>
        <v>&lt;li class="col-md-3"&gt;&lt;a class="text-cut" href="javascript:;"(click)="categoryEvent(2084024334)"&gt;{{"2084024334" | translate}}&lt;/a&gt;&lt;/li&gt;</v>
      </c>
    </row>
    <row r="17" spans="1:8" ht="14.25" customHeight="1">
      <c r="A17" s="59">
        <v>2084047772</v>
      </c>
      <c r="B17" s="59" t="s">
        <v>1326</v>
      </c>
      <c r="C17" s="59" t="s">
        <v>1327</v>
      </c>
      <c r="D17" s="59" t="s">
        <v>1328</v>
      </c>
      <c r="E17" s="3" t="str">
        <f ca="1">IFERROR(__xludf.DUMMYFUNCTION("GOOGLETRANSLATE(B17,""ja"",""vi"")"),"sách liên quan")</f>
        <v>sách liên quan</v>
      </c>
      <c r="F17" s="3" t="str">
        <f ca="1">IFERROR(__xludf.DUMMYFUNCTION("GOOGLETRANSLATE(C17,""ja"",""vi"")"),"Đấu giá&gt; hoa, làm vườn&gt; sách liên quan")</f>
        <v>Đấu giá&gt; hoa, làm vườn&gt; sách liên quan</v>
      </c>
      <c r="G17" s="229" t="str">
        <f t="shared" ca="1" si="0"/>
        <v>"2084047772" : "sách liên quan",</v>
      </c>
      <c r="H17" s="229" t="str">
        <f t="shared" si="1"/>
        <v>&lt;li class="col-md-3"&gt;&lt;a class="text-cut" href="javascript:;"(click)="categoryEvent(2084047772)"&gt;{{"2084047772" | translate}}&lt;/a&gt;&lt;/li&gt;</v>
      </c>
    </row>
    <row r="18" spans="1:8" ht="14.25" customHeight="1">
      <c r="A18" s="63">
        <v>2084006706</v>
      </c>
      <c r="B18" s="63" t="s">
        <v>16</v>
      </c>
      <c r="C18" s="63" t="s">
        <v>1329</v>
      </c>
      <c r="D18" s="63" t="s">
        <v>1330</v>
      </c>
      <c r="E18" s="3" t="str">
        <f ca="1">IFERROR(__xludf.DUMMYFUNCTION("GOOGLETRANSLATE(B18,""ja"",""vi"")"),"nếu không thì")</f>
        <v>nếu không thì</v>
      </c>
      <c r="F18" s="3" t="str">
        <f ca="1">IFERROR(__xludf.DUMMYFUNCTION("GOOGLETRANSLATE(C18,""ja"",""vi"")"),"Đấu giá&gt; hoa, làm vườn&gt; Khác")</f>
        <v>Đấu giá&gt; hoa, làm vườn&gt; Khác</v>
      </c>
      <c r="G18" s="229" t="str">
        <f t="shared" ca="1" si="0"/>
        <v>"2084006706" : "nếu không thì",</v>
      </c>
      <c r="H18" s="229" t="str">
        <f t="shared" si="1"/>
        <v>&lt;li class="col-md-3"&gt;&lt;a class="text-cut" href="javascript:;"(click)="categoryEvent(2084006706)"&gt;{{"2084006706" | translate}}&lt;/a&gt;&lt;/li&gt;</v>
      </c>
    </row>
    <row r="19" spans="1:8" ht="14.25" customHeight="1">
      <c r="E19" s="3"/>
      <c r="F19" s="3"/>
      <c r="G19" s="229"/>
      <c r="H19" s="229"/>
    </row>
    <row r="20" spans="1:8" ht="24" customHeight="1">
      <c r="A20" s="231">
        <v>2084200287</v>
      </c>
      <c r="B20" s="232"/>
      <c r="C20" s="232"/>
      <c r="D20" s="233"/>
      <c r="E20" s="3"/>
      <c r="F20" s="3"/>
      <c r="G20" s="229"/>
      <c r="H20" s="229"/>
    </row>
    <row r="21" spans="1:8" ht="14.25" customHeight="1">
      <c r="A21" s="2">
        <v>2084252938</v>
      </c>
      <c r="B21" s="2" t="s">
        <v>1337</v>
      </c>
      <c r="C21" s="2" t="s">
        <v>1339</v>
      </c>
      <c r="D21" s="2" t="s">
        <v>1343</v>
      </c>
      <c r="E21" s="3" t="str">
        <f ca="1">IFERROR(__xludf.DUMMYFUNCTION("GOOGLETRANSLATE(B21,""ja"",""vi"")"),"máy móc nông nghiệp")</f>
        <v>máy móc nông nghiệp</v>
      </c>
      <c r="F21" s="3" t="str">
        <f ca="1">IFERROR(__xludf.DUMMYFUNCTION("GOOGLETRANSLATE(C21,""ja"",""vi"")"),"Đấu giá&gt; hoa, làm vườn&gt; nông nghiệp&gt; máy móc nông nghiệp")</f>
        <v>Đấu giá&gt; hoa, làm vườn&gt; nông nghiệp&gt; máy móc nông nghiệp</v>
      </c>
      <c r="G21" s="229" t="str">
        <f t="shared" ca="1" si="0"/>
        <v>"2084252938" : "máy móc nông nghiệp",</v>
      </c>
      <c r="H21" s="229" t="str">
        <f t="shared" si="1"/>
        <v>&lt;li class="col-md-3"&gt;&lt;a class="text-cut" href="javascript:;"(click)="categoryEvent(2084252938)"&gt;{{"2084252938" | translate}}&lt;/a&gt;&lt;/li&gt;</v>
      </c>
    </row>
    <row r="22" spans="1:8" ht="14.25" customHeight="1">
      <c r="A22" s="2">
        <v>2084252942</v>
      </c>
      <c r="B22" s="2" t="s">
        <v>1347</v>
      </c>
      <c r="C22" s="2" t="s">
        <v>1350</v>
      </c>
      <c r="D22" s="2" t="s">
        <v>1352</v>
      </c>
      <c r="E22" s="3" t="str">
        <f ca="1">IFERROR(__xludf.DUMMYFUNCTION("GOOGLETRANSLATE(B22,""ja"",""vi"")"),"vật tư nông nghiệp")</f>
        <v>vật tư nông nghiệp</v>
      </c>
      <c r="F22" s="3" t="str">
        <f ca="1">IFERROR(__xludf.DUMMYFUNCTION("GOOGLETRANSLATE(C22,""ja"",""vi"")"),"Đấu giá&gt; hoa, làm vườn&gt; nông nghiệp&gt; vật tư nông nghiệp")</f>
        <v>Đấu giá&gt; hoa, làm vườn&gt; nông nghiệp&gt; vật tư nông nghiệp</v>
      </c>
      <c r="G22" s="229" t="str">
        <f t="shared" ca="1" si="0"/>
        <v>"2084252942" : "vật tư nông nghiệp",</v>
      </c>
      <c r="H22" s="229" t="str">
        <f t="shared" si="1"/>
        <v>&lt;li class="col-md-3"&gt;&lt;a class="text-cut" href="javascript:;"(click)="categoryEvent(2084252942)"&gt;{{"2084252942" | translate}}&lt;/a&gt;&lt;/li&gt;</v>
      </c>
    </row>
    <row r="23" spans="1:8" ht="14.25" customHeight="1">
      <c r="A23" s="2">
        <v>2084252941</v>
      </c>
      <c r="B23" s="2" t="s">
        <v>1357</v>
      </c>
      <c r="C23" s="2" t="s">
        <v>1358</v>
      </c>
      <c r="D23" s="2" t="s">
        <v>1359</v>
      </c>
      <c r="E23" s="3" t="str">
        <f ca="1">IFERROR(__xludf.DUMMYFUNCTION("GOOGLETRANSLATE(B23,""ja"",""vi"")"),"Hiệu ứng nhà kính, nhà vinyl")</f>
        <v>Hiệu ứng nhà kính, nhà vinyl</v>
      </c>
      <c r="F23" s="3" t="str">
        <f ca="1">IFERROR(__xludf.DUMMYFUNCTION("GOOGLETRANSLATE(C23,""ja"",""vi"")"),"Đấu giá&gt; hoa, làm vườn&gt; nông nghiệp&gt; hiệu ứng nhà kính, nhà vinyl")</f>
        <v>Đấu giá&gt; hoa, làm vườn&gt; nông nghiệp&gt; hiệu ứng nhà kính, nhà vinyl</v>
      </c>
      <c r="G23" s="229" t="str">
        <f t="shared" ca="1" si="0"/>
        <v>"2084252941" : "Hiệu ứng nhà kính, nhà vinyl",</v>
      </c>
      <c r="H23" s="229" t="str">
        <f t="shared" si="1"/>
        <v>&lt;li class="col-md-3"&gt;&lt;a class="text-cut" href="javascript:;"(click)="categoryEvent(2084252941)"&gt;{{"2084252941" | translate}}&lt;/a&gt;&lt;/li&gt;</v>
      </c>
    </row>
    <row r="24" spans="1:8" ht="14.25" customHeight="1">
      <c r="A24" s="2">
        <v>2084206921</v>
      </c>
      <c r="B24" s="2" t="s">
        <v>1362</v>
      </c>
      <c r="C24" s="2" t="s">
        <v>1363</v>
      </c>
      <c r="D24" s="2" t="s">
        <v>1364</v>
      </c>
      <c r="E24" s="3" t="str">
        <f ca="1">IFERROR(__xludf.DUMMYFUNCTION("GOOGLETRANSLATE(B24,""ja"",""vi"")"),"thuốc làm vườn")</f>
        <v>thuốc làm vườn</v>
      </c>
      <c r="F24" s="3" t="str">
        <f ca="1">IFERROR(__xludf.DUMMYFUNCTION("GOOGLETRANSLATE(C24,""ja"",""vi"")"),"Đấu giá&gt; hoa, làm vườn&gt; nông nghiệp&gt; thuốc làm vườn")</f>
        <v>Đấu giá&gt; hoa, làm vườn&gt; nông nghiệp&gt; thuốc làm vườn</v>
      </c>
      <c r="G24" s="229" t="str">
        <f t="shared" ca="1" si="0"/>
        <v>"2084206921" : "thuốc làm vườn",</v>
      </c>
      <c r="H24" s="229" t="str">
        <f t="shared" si="1"/>
        <v>&lt;li class="col-md-3"&gt;&lt;a class="text-cut" href="javascript:;"(click)="categoryEvent(2084206921)"&gt;{{"2084206921" | translate}}&lt;/a&gt;&lt;/li&gt;</v>
      </c>
    </row>
    <row r="25" spans="1:8" ht="14.25" customHeight="1">
      <c r="A25" s="2">
        <v>2084207591</v>
      </c>
      <c r="B25" s="2" t="s">
        <v>1365</v>
      </c>
      <c r="C25" s="2" t="s">
        <v>1367</v>
      </c>
      <c r="D25" s="2" t="s">
        <v>1369</v>
      </c>
      <c r="E25" s="3" t="str">
        <f ca="1">IFERROR(__xludf.DUMMYFUNCTION("GOOGLETRANSLATE(B25,""ja"",""vi"")"),"máy rửa cao áp")</f>
        <v>máy rửa cao áp</v>
      </c>
      <c r="F25" s="3" t="str">
        <f ca="1">IFERROR(__xludf.DUMMYFUNCTION("GOOGLETRANSLATE(C25,""ja"",""vi"")"),"Đấu giá&gt; hoa, làm vườn&gt; nông nghiệp&gt; áp lực cao máy giặt")</f>
        <v>Đấu giá&gt; hoa, làm vườn&gt; nông nghiệp&gt; áp lực cao máy giặt</v>
      </c>
      <c r="G25" s="229" t="str">
        <f t="shared" ca="1" si="0"/>
        <v>"2084207591" : "máy rửa cao áp",</v>
      </c>
      <c r="H25" s="229" t="str">
        <f t="shared" si="1"/>
        <v>&lt;li class="col-md-3"&gt;&lt;a class="text-cut" href="javascript:;"(click)="categoryEvent(2084207591)"&gt;{{"2084207591" | translate}}&lt;/a&gt;&lt;/li&gt;</v>
      </c>
    </row>
    <row r="26" spans="1:8" ht="14.25" customHeight="1">
      <c r="A26" s="2">
        <v>2084206887</v>
      </c>
      <c r="B26" s="2" t="s">
        <v>1374</v>
      </c>
      <c r="C26" s="2" t="s">
        <v>1377</v>
      </c>
      <c r="D26" s="2" t="s">
        <v>1378</v>
      </c>
      <c r="E26" s="3" t="str">
        <f ca="1">IFERROR(__xludf.DUMMYFUNCTION("GOOGLETRANSLATE(B26,""ja"",""vi"")"),"loài")</f>
        <v>loài</v>
      </c>
      <c r="F26" s="3" t="str">
        <f ca="1">IFERROR(__xludf.DUMMYFUNCTION("GOOGLETRANSLATE(C26,""ja"",""vi"")"),"Đấu giá&gt; hoa, làm vườn&gt; nông nghiệp&gt; loài")</f>
        <v>Đấu giá&gt; hoa, làm vườn&gt; nông nghiệp&gt; loài</v>
      </c>
      <c r="G26" s="229" t="str">
        <f t="shared" ca="1" si="0"/>
        <v>"2084206887" : "loài",</v>
      </c>
      <c r="H26" s="229" t="str">
        <f t="shared" si="1"/>
        <v>&lt;li class="col-md-3"&gt;&lt;a class="text-cut" href="javascript:;"(click)="categoryEvent(2084206887)"&gt;{{"2084206887" | translate}}&lt;/a&gt;&lt;/li&gt;</v>
      </c>
    </row>
    <row r="27" spans="1:8" ht="14.25" customHeight="1">
      <c r="A27" s="2">
        <v>2084206923</v>
      </c>
      <c r="B27" s="2" t="s">
        <v>1383</v>
      </c>
      <c r="C27" s="2" t="s">
        <v>1385</v>
      </c>
      <c r="D27" s="2" t="s">
        <v>1386</v>
      </c>
      <c r="E27" s="3" t="str">
        <f ca="1">IFERROR(__xludf.DUMMYFUNCTION("GOOGLETRANSLATE(B27,""ja"",""vi"")"),"Phân bón, đất")</f>
        <v>Phân bón, đất</v>
      </c>
      <c r="F27" s="3" t="str">
        <f ca="1">IFERROR(__xludf.DUMMYFUNCTION("GOOGLETRANSLATE(C27,""ja"",""vi"")"),"Đấu giá&gt; hoa, làm vườn&gt; nông nghiệp&gt; Phân bón, đất")</f>
        <v>Đấu giá&gt; hoa, làm vườn&gt; nông nghiệp&gt; Phân bón, đất</v>
      </c>
      <c r="G27" s="229" t="str">
        <f t="shared" ca="1" si="0"/>
        <v>"2084206923" : "Phân bón, đất",</v>
      </c>
      <c r="H27" s="229" t="str">
        <f t="shared" si="1"/>
        <v>&lt;li class="col-md-3"&gt;&lt;a class="text-cut" href="javascript:;"(click)="categoryEvent(2084206923)"&gt;{{"2084206923" | translate}}&lt;/a&gt;&lt;/li&gt;</v>
      </c>
    </row>
    <row r="28" spans="1:8" ht="14.25" customHeight="1">
      <c r="A28" s="2">
        <v>2084206897</v>
      </c>
      <c r="B28" s="2" t="s">
        <v>1391</v>
      </c>
      <c r="C28" s="2" t="s">
        <v>1393</v>
      </c>
      <c r="D28" s="2" t="s">
        <v>1394</v>
      </c>
      <c r="E28" s="3" t="str">
        <f ca="1">IFERROR(__xludf.DUMMYFUNCTION("GOOGLETRANSLATE(B28,""ja"",""vi"")"),"cây giống")</f>
        <v>cây giống</v>
      </c>
      <c r="F28" s="3" t="str">
        <f ca="1">IFERROR(__xludf.DUMMYFUNCTION("GOOGLETRANSLATE(C28,""ja"",""vi"")"),"Đấu giá&gt; hoa, làm vườn&gt; nông nghiệp&gt; cây giống")</f>
        <v>Đấu giá&gt; hoa, làm vườn&gt; nông nghiệp&gt; cây giống</v>
      </c>
      <c r="G28" s="229" t="str">
        <f t="shared" ca="1" si="0"/>
        <v>"2084206897" : "cây giống",</v>
      </c>
      <c r="H28" s="229" t="str">
        <f t="shared" si="1"/>
        <v>&lt;li class="col-md-3"&gt;&lt;a class="text-cut" href="javascript:;"(click)="categoryEvent(2084206897)"&gt;{{"2084206897" | translate}}&lt;/a&gt;&lt;/li&gt;</v>
      </c>
    </row>
    <row r="29" spans="1:8" ht="14.25" customHeight="1">
      <c r="A29" s="2">
        <v>2084252939</v>
      </c>
      <c r="B29" s="2" t="s">
        <v>16</v>
      </c>
      <c r="C29" s="2" t="s">
        <v>1400</v>
      </c>
      <c r="D29" s="2" t="s">
        <v>1401</v>
      </c>
      <c r="E29" s="3" t="str">
        <f ca="1">IFERROR(__xludf.DUMMYFUNCTION("GOOGLETRANSLATE(B29,""ja"",""vi"")"),"nếu không thì")</f>
        <v>nếu không thì</v>
      </c>
      <c r="F29" s="3" t="str">
        <f ca="1">IFERROR(__xludf.DUMMYFUNCTION("GOOGLETRANSLATE(C29,""ja"",""vi"")"),"Đấu giá&gt; hoa, làm vườn&gt; nông nghiệp&gt; Khác")</f>
        <v>Đấu giá&gt; hoa, làm vườn&gt; nông nghiệp&gt; Khác</v>
      </c>
      <c r="G29" s="229" t="str">
        <f t="shared" ca="1" si="0"/>
        <v>"2084252939" : "nếu không thì",</v>
      </c>
      <c r="H29" s="229" t="str">
        <f t="shared" si="1"/>
        <v>&lt;li class="col-md-3"&gt;&lt;a class="text-cut" href="javascript:;"(click)="categoryEvent(2084252939)"&gt;{{"2084252939" | translate}}&lt;/a&gt;&lt;/li&gt;</v>
      </c>
    </row>
    <row r="30" spans="1:8" ht="14.25" customHeight="1">
      <c r="E30" s="3"/>
      <c r="F30" s="3"/>
      <c r="G30" s="229"/>
      <c r="H30" s="229"/>
    </row>
    <row r="31" spans="1:8" ht="26.4" customHeight="1">
      <c r="A31" s="239">
        <v>2084006704</v>
      </c>
      <c r="B31" s="232"/>
      <c r="C31" s="232"/>
      <c r="D31" s="233"/>
      <c r="E31" s="3"/>
      <c r="F31" s="3"/>
      <c r="G31" s="229"/>
      <c r="H31" s="229"/>
    </row>
    <row r="32" spans="1:8" ht="14.25" customHeight="1">
      <c r="A32" s="2">
        <v>2084206882</v>
      </c>
      <c r="B32" s="2" t="s">
        <v>1413</v>
      </c>
      <c r="C32" s="2" t="s">
        <v>1414</v>
      </c>
      <c r="D32" s="2" t="s">
        <v>1419</v>
      </c>
      <c r="E32" s="3" t="str">
        <f ca="1">IFERROR(__xludf.DUMMYFUNCTION("GOOGLETRANSLATE(B32,""ja"",""vi"")"),"bóng đèn")</f>
        <v>bóng đèn</v>
      </c>
      <c r="F32" s="3" t="str">
        <f ca="1">IFERROR(__xludf.DUMMYFUNCTION("GOOGLETRANSLATE(C32,""ja"",""vi"")"),"Đấu giá&gt; hoa, làm vườn&gt; làm vườn&gt; bóng đèn")</f>
        <v>Đấu giá&gt; hoa, làm vườn&gt; làm vườn&gt; bóng đèn</v>
      </c>
      <c r="G32" s="229" t="str">
        <f t="shared" ca="1" si="0"/>
        <v>"2084206882" : "bóng đèn",</v>
      </c>
      <c r="H32" s="229" t="str">
        <f t="shared" si="1"/>
        <v>&lt;li class="col-md-3"&gt;&lt;a class="text-cut" href="javascript:;"(click)="categoryEvent(2084206882)"&gt;{{"2084206882" | translate}}&lt;/a&gt;&lt;/li&gt;</v>
      </c>
    </row>
    <row r="33" spans="1:8" ht="14.25" customHeight="1">
      <c r="A33" s="2">
        <v>2084206897</v>
      </c>
      <c r="B33" s="2" t="s">
        <v>1391</v>
      </c>
      <c r="C33" s="2" t="s">
        <v>1425</v>
      </c>
      <c r="D33" s="2" t="s">
        <v>1426</v>
      </c>
      <c r="E33" s="3" t="str">
        <f ca="1">IFERROR(__xludf.DUMMYFUNCTION("GOOGLETRANSLATE(B33,""ja"",""vi"")"),"cây giống")</f>
        <v>cây giống</v>
      </c>
      <c r="F33" s="3" t="str">
        <f ca="1">IFERROR(__xludf.DUMMYFUNCTION("GOOGLETRANSLATE(C33,""ja"",""vi"")"),"Đấu giá&gt; hoa, làm vườn&gt; làm vườn&gt; cây giống")</f>
        <v>Đấu giá&gt; hoa, làm vườn&gt; làm vườn&gt; cây giống</v>
      </c>
      <c r="G33" s="229" t="str">
        <f t="shared" ca="1" si="0"/>
        <v>"2084206897" : "cây giống",</v>
      </c>
      <c r="H33" s="229" t="str">
        <f t="shared" si="1"/>
        <v>&lt;li class="col-md-3"&gt;&lt;a class="text-cut" href="javascript:;"(click)="categoryEvent(2084206897)"&gt;{{"2084206897" | translate}}&lt;/a&gt;&lt;/li&gt;</v>
      </c>
    </row>
    <row r="34" spans="1:8" ht="14.25" customHeight="1">
      <c r="A34" s="2">
        <v>2084206921</v>
      </c>
      <c r="B34" s="2" t="s">
        <v>1362</v>
      </c>
      <c r="C34" s="2" t="s">
        <v>1429</v>
      </c>
      <c r="D34" s="2" t="s">
        <v>1430</v>
      </c>
      <c r="E34" s="3" t="str">
        <f ca="1">IFERROR(__xludf.DUMMYFUNCTION("GOOGLETRANSLATE(B34,""ja"",""vi"")"),"thuốc làm vườn")</f>
        <v>thuốc làm vườn</v>
      </c>
      <c r="F34" s="3" t="str">
        <f ca="1">IFERROR(__xludf.DUMMYFUNCTION("GOOGLETRANSLATE(C34,""ja"",""vi"")"),"Đấu giá&gt; hoa, làm vườn&gt; Làm vườn&gt; ma túy vườn")</f>
        <v>Đấu giá&gt; hoa, làm vườn&gt; Làm vườn&gt; ma túy vườn</v>
      </c>
      <c r="G34" s="229" t="str">
        <f t="shared" ca="1" si="0"/>
        <v>"2084206921" : "thuốc làm vườn",</v>
      </c>
      <c r="H34" s="229" t="str">
        <f t="shared" si="1"/>
        <v>&lt;li class="col-md-3"&gt;&lt;a class="text-cut" href="javascript:;"(click)="categoryEvent(2084206921)"&gt;{{"2084206921" | translate}}&lt;/a&gt;&lt;/li&gt;</v>
      </c>
    </row>
    <row r="35" spans="1:8" ht="14.25" customHeight="1">
      <c r="A35" s="2">
        <v>2084206923</v>
      </c>
      <c r="B35" s="2" t="s">
        <v>1383</v>
      </c>
      <c r="C35" s="2" t="s">
        <v>1435</v>
      </c>
      <c r="D35" s="2" t="s">
        <v>1436</v>
      </c>
      <c r="E35" s="3" t="str">
        <f ca="1">IFERROR(__xludf.DUMMYFUNCTION("GOOGLETRANSLATE(B35,""ja"",""vi"")"),"Phân bón, đất")</f>
        <v>Phân bón, đất</v>
      </c>
      <c r="F35" s="3" t="str">
        <f ca="1">IFERROR(__xludf.DUMMYFUNCTION("GOOGLETRANSLATE(C35,""ja"",""vi"")"),"Đấu giá&gt; hoa, làm vườn&gt; Làm vườn&gt; phân bón, đất")</f>
        <v>Đấu giá&gt; hoa, làm vườn&gt; Làm vườn&gt; phân bón, đất</v>
      </c>
      <c r="G35" s="229" t="str">
        <f t="shared" ca="1" si="0"/>
        <v>"2084206923" : "Phân bón, đất",</v>
      </c>
      <c r="H35" s="229" t="str">
        <f t="shared" si="1"/>
        <v>&lt;li class="col-md-3"&gt;&lt;a class="text-cut" href="javascript:;"(click)="categoryEvent(2084206923)"&gt;{{"2084206923" | translate}}&lt;/a&gt;&lt;/li&gt;</v>
      </c>
    </row>
    <row r="36" spans="1:8" ht="14.25" customHeight="1">
      <c r="A36" s="2">
        <v>2084206887</v>
      </c>
      <c r="B36" s="2" t="s">
        <v>1374</v>
      </c>
      <c r="C36" s="2" t="s">
        <v>1439</v>
      </c>
      <c r="D36" s="2" t="s">
        <v>1440</v>
      </c>
      <c r="E36" s="3" t="str">
        <f ca="1">IFERROR(__xludf.DUMMYFUNCTION("GOOGLETRANSLATE(B36,""ja"",""vi"")"),"loài")</f>
        <v>loài</v>
      </c>
      <c r="F36" s="3" t="str">
        <f ca="1">IFERROR(__xludf.DUMMYFUNCTION("GOOGLETRANSLATE(C36,""ja"",""vi"")"),"Đấu giá&gt; hoa, làm vườn&gt; làm vườn&gt; loại")</f>
        <v>Đấu giá&gt; hoa, làm vườn&gt; làm vườn&gt; loại</v>
      </c>
      <c r="G36" s="229" t="str">
        <f t="shared" ca="1" si="0"/>
        <v>"2084206887" : "loài",</v>
      </c>
      <c r="H36" s="229" t="str">
        <f t="shared" si="1"/>
        <v>&lt;li class="col-md-3"&gt;&lt;a class="text-cut" href="javascript:;"(click)="categoryEvent(2084206887)"&gt;{{"2084206887" | translate}}&lt;/a&gt;&lt;/li&gt;</v>
      </c>
    </row>
    <row r="37" spans="1:8" ht="14.25" customHeight="1">
      <c r="A37" s="2">
        <v>2084006717</v>
      </c>
      <c r="B37" s="2" t="s">
        <v>1441</v>
      </c>
      <c r="C37" s="2" t="s">
        <v>1442</v>
      </c>
      <c r="D37" s="2" t="s">
        <v>1443</v>
      </c>
      <c r="E37" s="3" t="str">
        <f ca="1">IFERROR(__xludf.DUMMYFUNCTION("GOOGLETRANSLATE(B37,""ja"",""vi"")"),"Kéo, cưa")</f>
        <v>Kéo, cưa</v>
      </c>
      <c r="F37" s="3" t="str">
        <f ca="1">IFERROR(__xludf.DUMMYFUNCTION("GOOGLETRANSLATE(C37,""ja"",""vi"")"),"Đấu giá&gt; hoa, làm vườn&gt; làm vườn&gt; kéo, cưa")</f>
        <v>Đấu giá&gt; hoa, làm vườn&gt; làm vườn&gt; kéo, cưa</v>
      </c>
      <c r="G37" s="229" t="str">
        <f t="shared" ca="1" si="0"/>
        <v>"2084006717" : "Kéo, cưa",</v>
      </c>
      <c r="H37" s="229" t="str">
        <f t="shared" si="1"/>
        <v>&lt;li class="col-md-3"&gt;&lt;a class="text-cut" href="javascript:;"(click)="categoryEvent(2084006717)"&gt;{{"2084006717" | translate}}&lt;/a&gt;&lt;/li&gt;</v>
      </c>
    </row>
    <row r="38" spans="1:8" ht="14.25" customHeight="1">
      <c r="A38" s="2">
        <v>2084006716</v>
      </c>
      <c r="B38" s="2" t="s">
        <v>1446</v>
      </c>
      <c r="C38" s="2" t="s">
        <v>1448</v>
      </c>
      <c r="D38" s="2" t="s">
        <v>1449</v>
      </c>
      <c r="E38" s="3" t="str">
        <f ca="1">IFERROR(__xludf.DUMMYFUNCTION("GOOGLETRANSLATE(B38,""ja"",""vi"")"),"Scoop, xẻng")</f>
        <v>Scoop, xẻng</v>
      </c>
      <c r="F38" s="3" t="str">
        <f ca="1">IFERROR(__xludf.DUMMYFUNCTION("GOOGLETRANSLATE(C38,""ja"",""vi"")"),"Đấu giá&gt; hoa, làm vườn&gt; làm vườn&gt; muỗng, xẻng")</f>
        <v>Đấu giá&gt; hoa, làm vườn&gt; làm vườn&gt; muỗng, xẻng</v>
      </c>
      <c r="G38" s="229" t="str">
        <f t="shared" ca="1" si="0"/>
        <v>"2084006716" : "Scoop, xẻng",</v>
      </c>
      <c r="H38" s="229" t="str">
        <f t="shared" si="1"/>
        <v>&lt;li class="col-md-3"&gt;&lt;a class="text-cut" href="javascript:;"(click)="categoryEvent(2084006716)"&gt;{{"2084006716" | translate}}&lt;/a&gt;&lt;/li&gt;</v>
      </c>
    </row>
    <row r="39" spans="1:8" ht="14.25" customHeight="1">
      <c r="A39" s="2">
        <v>2084006714</v>
      </c>
      <c r="B39" s="2" t="s">
        <v>16</v>
      </c>
      <c r="C39" s="2" t="s">
        <v>1450</v>
      </c>
      <c r="D39" s="2" t="s">
        <v>1452</v>
      </c>
      <c r="E39" s="3" t="str">
        <f ca="1">IFERROR(__xludf.DUMMYFUNCTION("GOOGLETRANSLATE(B39,""ja"",""vi"")"),"nếu không thì")</f>
        <v>nếu không thì</v>
      </c>
      <c r="F39" s="3" t="str">
        <f ca="1">IFERROR(__xludf.DUMMYFUNCTION("GOOGLETRANSLATE(C39,""ja"",""vi"")"),"Đấu giá&gt; hoa, làm vườn&gt; làm vườn&gt; Khác")</f>
        <v>Đấu giá&gt; hoa, làm vườn&gt; làm vườn&gt; Khác</v>
      </c>
      <c r="G39" s="229" t="str">
        <f t="shared" ca="1" si="0"/>
        <v>"2084006714" : "nếu không thì",</v>
      </c>
      <c r="H39" s="229" t="str">
        <f t="shared" si="1"/>
        <v>&lt;li class="col-md-3"&gt;&lt;a class="text-cut" href="javascript:;"(click)="categoryEvent(2084006714)"&gt;{{"2084006714" | translate}}&lt;/a&gt;&lt;/li&gt;</v>
      </c>
    </row>
    <row r="40" spans="1:8" ht="14.25" customHeight="1">
      <c r="E40" s="3"/>
      <c r="F40" s="3"/>
      <c r="G40" s="229"/>
      <c r="H40" s="229"/>
    </row>
    <row r="41" spans="1:8" ht="31.8" customHeight="1">
      <c r="A41" s="240">
        <v>2084006711</v>
      </c>
      <c r="B41" s="232"/>
      <c r="C41" s="232"/>
      <c r="D41" s="233"/>
      <c r="E41" s="3"/>
      <c r="F41" s="3"/>
      <c r="G41" s="229"/>
      <c r="H41" s="229"/>
    </row>
    <row r="42" spans="1:8" ht="14.25" customHeight="1">
      <c r="A42" s="2">
        <v>2084047121</v>
      </c>
      <c r="B42" s="2" t="s">
        <v>1298</v>
      </c>
      <c r="C42" s="2" t="s">
        <v>1461</v>
      </c>
      <c r="D42" s="2" t="s">
        <v>1462</v>
      </c>
      <c r="E42" s="3" t="str">
        <f ca="1">IFERROR(__xludf.DUMMYFUNCTION("GOOGLETRANSLATE(B42,""ja"",""vi"")"),"hoa khô")</f>
        <v>hoa khô</v>
      </c>
      <c r="F42" s="3" t="str">
        <f ca="1">IFERROR(__xludf.DUMMYFUNCTION("GOOGLETRANSLATE(C42,""ja"",""vi"")"),"Đấu giá&gt; hoa, làm vườn&gt; sắp xếp&gt; hoa khô")</f>
        <v>Đấu giá&gt; hoa, làm vườn&gt; sắp xếp&gt; hoa khô</v>
      </c>
      <c r="G42" s="229" t="str">
        <f t="shared" ca="1" si="0"/>
        <v>"2084047121" : "hoa khô",</v>
      </c>
      <c r="H42" s="229" t="str">
        <f t="shared" si="1"/>
        <v>&lt;li class="col-md-3"&gt;&lt;a class="text-cut" href="javascript:;"(click)="categoryEvent(2084047121)"&gt;{{"2084047121" | translate}}&lt;/a&gt;&lt;/li&gt;</v>
      </c>
    </row>
    <row r="43" spans="1:8" ht="14.25" customHeight="1">
      <c r="A43" s="2">
        <v>2084047127</v>
      </c>
      <c r="B43" s="2" t="s">
        <v>1465</v>
      </c>
      <c r="C43" s="2" t="s">
        <v>1466</v>
      </c>
      <c r="D43" s="2" t="s">
        <v>1467</v>
      </c>
      <c r="E43" s="3" t="str">
        <f ca="1">IFERROR(__xludf.DUMMYFUNCTION("GOOGLETRANSLATE(B43,""ja"",""vi"")"),"cắm hoa")</f>
        <v>cắm hoa</v>
      </c>
      <c r="F43" s="3" t="str">
        <f ca="1">IFERROR(__xludf.DUMMYFUNCTION("GOOGLETRANSLATE(C43,""ja"",""vi"")"),"Đấu giá&gt; hoa, làm vườn&gt; sắp xếp&gt; cắm hoa")</f>
        <v>Đấu giá&gt; hoa, làm vườn&gt; sắp xếp&gt; cắm hoa</v>
      </c>
      <c r="G43" s="229" t="str">
        <f t="shared" ca="1" si="0"/>
        <v>"2084047127" : "cắm hoa",</v>
      </c>
      <c r="H43" s="229" t="str">
        <f t="shared" si="1"/>
        <v>&lt;li class="col-md-3"&gt;&lt;a class="text-cut" href="javascript:;"(click)="categoryEvent(2084047127)"&gt;{{"2084047127" | translate}}&lt;/a&gt;&lt;/li&gt;</v>
      </c>
    </row>
    <row r="44" spans="1:8" ht="14.25" customHeight="1">
      <c r="A44" s="2">
        <v>2084047123</v>
      </c>
      <c r="B44" s="2" t="s">
        <v>1315</v>
      </c>
      <c r="C44" s="2" t="s">
        <v>1470</v>
      </c>
      <c r="D44" s="2" t="s">
        <v>1472</v>
      </c>
      <c r="E44" s="3" t="str">
        <f ca="1">IFERROR(__xludf.DUMMYFUNCTION("GOOGLETRANSLATE(B44,""ja"",""vi"")"),"hoa nhân tạo")</f>
        <v>hoa nhân tạo</v>
      </c>
      <c r="F44" s="3" t="str">
        <f ca="1">IFERROR(__xludf.DUMMYFUNCTION("GOOGLETRANSLATE(C44,""ja"",""vi"")"),"Đấu giá&gt; hoa, làm vườn&gt; sắp xếp&gt; hoa giả")</f>
        <v>Đấu giá&gt; hoa, làm vườn&gt; sắp xếp&gt; hoa giả</v>
      </c>
      <c r="G44" s="229" t="str">
        <f t="shared" ca="1" si="0"/>
        <v>"2084047123" : "hoa nhân tạo",</v>
      </c>
      <c r="H44" s="229" t="str">
        <f t="shared" si="1"/>
        <v>&lt;li class="col-md-3"&gt;&lt;a class="text-cut" href="javascript:;"(click)="categoryEvent(2084047123)"&gt;{{"2084047123" | translate}}&lt;/a&gt;&lt;/li&gt;</v>
      </c>
    </row>
    <row r="45" spans="1:8" ht="14.25" customHeight="1">
      <c r="E45" s="3"/>
      <c r="F45" s="3"/>
      <c r="G45" s="229"/>
      <c r="H45" s="229"/>
    </row>
    <row r="46" spans="1:8" ht="25.5" customHeight="1">
      <c r="A46" s="237">
        <v>2084006710</v>
      </c>
      <c r="B46" s="232"/>
      <c r="C46" s="232"/>
      <c r="D46" s="233"/>
      <c r="E46" s="3"/>
      <c r="F46" s="3"/>
      <c r="G46" s="229"/>
      <c r="H46" s="229"/>
    </row>
    <row r="47" spans="1:8" ht="14.25" customHeight="1">
      <c r="A47" s="2">
        <v>2084207326</v>
      </c>
      <c r="B47" s="2" t="s">
        <v>1465</v>
      </c>
      <c r="C47" s="2" t="s">
        <v>1481</v>
      </c>
      <c r="D47" s="2" t="s">
        <v>1483</v>
      </c>
      <c r="E47" s="3" t="str">
        <f ca="1">IFERROR(__xludf.DUMMYFUNCTION("GOOGLETRANSLATE(B47,""ja"",""vi"")"),"cắm hoa")</f>
        <v>cắm hoa</v>
      </c>
      <c r="F47" s="3" t="str">
        <f ca="1">IFERROR(__xludf.DUMMYFUNCTION("GOOGLETRANSLATE(C47,""ja"",""vi"")"),"Đấu giá&gt; hoa, làm vườn&gt; cắt hoa, bó hoa&gt; cắm hoa")</f>
        <v>Đấu giá&gt; hoa, làm vườn&gt; cắt hoa, bó hoa&gt; cắm hoa</v>
      </c>
      <c r="G47" s="229" t="str">
        <f t="shared" ca="1" si="0"/>
        <v>"2084207326" : "cắm hoa",</v>
      </c>
      <c r="H47" s="229" t="str">
        <f t="shared" si="1"/>
        <v>&lt;li class="col-md-3"&gt;&lt;a class="text-cut" href="javascript:;"(click)="categoryEvent(2084207326)"&gt;{{"2084207326" | translate}}&lt;/a&gt;&lt;/li&gt;</v>
      </c>
    </row>
    <row r="48" spans="1:8" ht="14.25" customHeight="1">
      <c r="A48" s="2">
        <v>2084006708</v>
      </c>
      <c r="B48" s="2" t="s">
        <v>1298</v>
      </c>
      <c r="C48" s="2" t="s">
        <v>1487</v>
      </c>
      <c r="D48" s="2" t="s">
        <v>1489</v>
      </c>
      <c r="E48" s="3" t="str">
        <f ca="1">IFERROR(__xludf.DUMMYFUNCTION("GOOGLETRANSLATE(B48,""ja"",""vi"")"),"hoa khô")</f>
        <v>hoa khô</v>
      </c>
      <c r="F48" s="3" t="str">
        <f ca="1">IFERROR(__xludf.DUMMYFUNCTION("GOOGLETRANSLATE(C48,""ja"",""vi"")"),"Đấu giá&gt; hoa, làm vườn&gt; hoa cắt, bó hoa&gt; hoa khô")</f>
        <v>Đấu giá&gt; hoa, làm vườn&gt; hoa cắt, bó hoa&gt; hoa khô</v>
      </c>
      <c r="G48" s="229" t="str">
        <f t="shared" ca="1" si="0"/>
        <v>"2084006708" : "hoa khô",</v>
      </c>
      <c r="H48" s="229" t="str">
        <f t="shared" si="1"/>
        <v>&lt;li class="col-md-3"&gt;&lt;a class="text-cut" href="javascript:;"(click)="categoryEvent(2084006708)"&gt;{{"2084006708" | translate}}&lt;/a&gt;&lt;/li&gt;</v>
      </c>
    </row>
    <row r="49" spans="1:8" ht="14.25" customHeight="1">
      <c r="A49" s="2">
        <v>2084048857</v>
      </c>
      <c r="B49" s="2" t="s">
        <v>1289</v>
      </c>
      <c r="C49" s="2" t="s">
        <v>1492</v>
      </c>
      <c r="D49" s="2" t="s">
        <v>1494</v>
      </c>
      <c r="E49" s="3" t="str">
        <f ca="1">IFERROR(__xludf.DUMMYFUNCTION("GOOGLETRANSLATE(B49,""ja"",""vi"")"),"bảo quản")</f>
        <v>bảo quản</v>
      </c>
      <c r="F49" s="3" t="str">
        <f ca="1">IFERROR(__xludf.DUMMYFUNCTION("GOOGLETRANSLATE(C49,""ja"",""vi"")"),"Đấu giá&gt; hoa, làm vườn&gt; cắt hoa, bó hoa&gt; bảo quản")</f>
        <v>Đấu giá&gt; hoa, làm vườn&gt; cắt hoa, bó hoa&gt; bảo quản</v>
      </c>
      <c r="G49" s="229" t="str">
        <f t="shared" ca="1" si="0"/>
        <v>"2084048857" : "bảo quản",</v>
      </c>
      <c r="H49" s="229" t="str">
        <f t="shared" si="1"/>
        <v>&lt;li class="col-md-3"&gt;&lt;a class="text-cut" href="javascript:;"(click)="categoryEvent(2084048857)"&gt;{{"2084048857" | translate}}&lt;/a&gt;&lt;/li&gt;</v>
      </c>
    </row>
    <row r="50" spans="1:8" ht="14.25" customHeight="1">
      <c r="A50" s="2">
        <v>2084006705</v>
      </c>
      <c r="B50" s="2" t="s">
        <v>1315</v>
      </c>
      <c r="C50" s="2" t="s">
        <v>1499</v>
      </c>
      <c r="D50" s="2" t="s">
        <v>1500</v>
      </c>
      <c r="E50" s="3" t="str">
        <f ca="1">IFERROR(__xludf.DUMMYFUNCTION("GOOGLETRANSLATE(B50,""ja"",""vi"")"),"hoa nhân tạo")</f>
        <v>hoa nhân tạo</v>
      </c>
      <c r="F50" s="3" t="str">
        <f ca="1">IFERROR(__xludf.DUMMYFUNCTION("GOOGLETRANSLATE(C50,""ja"",""vi"")"),"Đấu giá&gt; hoa, làm vườn&gt; hoa cắt, bó hoa&gt; hoa giả")</f>
        <v>Đấu giá&gt; hoa, làm vườn&gt; hoa cắt, bó hoa&gt; hoa giả</v>
      </c>
      <c r="G50" s="229" t="str">
        <f t="shared" ca="1" si="0"/>
        <v>"2084006705" : "hoa nhân tạo",</v>
      </c>
      <c r="H50" s="229" t="str">
        <f t="shared" si="1"/>
        <v>&lt;li class="col-md-3"&gt;&lt;a class="text-cut" href="javascript:;"(click)="categoryEvent(2084006705)"&gt;{{"2084006705" | translate}}&lt;/a&gt;&lt;/li&gt;</v>
      </c>
    </row>
    <row r="51" spans="1:8" ht="14.25" customHeight="1">
      <c r="E51" s="3"/>
      <c r="F51" s="3"/>
      <c r="G51" s="229"/>
      <c r="H51" s="229"/>
    </row>
    <row r="52" spans="1:8" ht="24.6" customHeight="1">
      <c r="A52" s="241">
        <v>2084048020</v>
      </c>
      <c r="B52" s="232"/>
      <c r="C52" s="232"/>
      <c r="D52" s="233"/>
      <c r="E52" s="3"/>
      <c r="F52" s="3"/>
      <c r="G52" s="229"/>
      <c r="H52" s="229"/>
    </row>
    <row r="53" spans="1:8" ht="14.25" customHeight="1">
      <c r="A53" s="2">
        <v>2084207359</v>
      </c>
      <c r="B53" s="2" t="s">
        <v>1245</v>
      </c>
      <c r="C53" s="2" t="s">
        <v>1508</v>
      </c>
      <c r="D53" s="2" t="s">
        <v>1510</v>
      </c>
      <c r="E53" s="3" t="str">
        <f ca="1">IFERROR(__xludf.DUMMYFUNCTION("GOOGLETRANSLATE(B53,""ja"",""vi"")"),"Bonsai")</f>
        <v>Bonsai</v>
      </c>
      <c r="F53" s="3" t="str">
        <f ca="1">IFERROR(__xludf.DUMMYFUNCTION("GOOGLETRANSLATE(C53,""ja"",""vi"")"),"Đấu giá&gt; hoa, làm vườn&gt; cây cảnh&gt; Bonsai")</f>
        <v>Đấu giá&gt; hoa, làm vườn&gt; cây cảnh&gt; Bonsai</v>
      </c>
      <c r="G53" s="229" t="str">
        <f t="shared" ca="1" si="0"/>
        <v>"2084207359" : "Bonsai",</v>
      </c>
      <c r="H53" s="229" t="str">
        <f t="shared" si="1"/>
        <v>&lt;li class="col-md-3"&gt;&lt;a class="text-cut" href="javascript:;"(click)="categoryEvent(2084207359)"&gt;{{"2084207359" | translate}}&lt;/a&gt;&lt;/li&gt;</v>
      </c>
    </row>
    <row r="54" spans="1:8" ht="14.25" customHeight="1">
      <c r="A54" s="2">
        <v>2084207386</v>
      </c>
      <c r="B54" s="2" t="s">
        <v>1511</v>
      </c>
      <c r="C54" s="2" t="s">
        <v>1513</v>
      </c>
      <c r="D54" s="2" t="s">
        <v>1515</v>
      </c>
      <c r="E54" s="3" t="str">
        <f ca="1">IFERROR(__xludf.DUMMYFUNCTION("GOOGLETRANSLATE(B54,""ja"",""vi"")"),"Bonsai Công cụ")</f>
        <v>Bonsai Công cụ</v>
      </c>
      <c r="F54" s="3" t="str">
        <f ca="1">IFERROR(__xludf.DUMMYFUNCTION("GOOGLETRANSLATE(C54,""ja"",""vi"")"),"Đấu giá&gt; hoa, làm vườn&gt; cây cảnh&gt; Bonsai thiết bị")</f>
        <v>Đấu giá&gt; hoa, làm vườn&gt; cây cảnh&gt; Bonsai thiết bị</v>
      </c>
      <c r="G54" s="229" t="str">
        <f t="shared" ca="1" si="0"/>
        <v>"2084207386" : "Bonsai Công cụ",</v>
      </c>
      <c r="H54" s="229" t="str">
        <f t="shared" si="1"/>
        <v>&lt;li class="col-md-3"&gt;&lt;a class="text-cut" href="javascript:;"(click)="categoryEvent(2084207386)"&gt;{{"2084207386" | translate}}&lt;/a&gt;&lt;/li&gt;</v>
      </c>
    </row>
    <row r="55" spans="1:8" ht="14.25" customHeight="1">
      <c r="A55" s="2">
        <v>2084207389</v>
      </c>
      <c r="B55" s="2" t="s">
        <v>16</v>
      </c>
      <c r="C55" s="2" t="s">
        <v>1517</v>
      </c>
      <c r="D55" s="2" t="s">
        <v>1519</v>
      </c>
      <c r="E55" s="3" t="str">
        <f ca="1">IFERROR(__xludf.DUMMYFUNCTION("GOOGLETRANSLATE(B55,""ja"",""vi"")"),"nếu không thì")</f>
        <v>nếu không thì</v>
      </c>
      <c r="F55" s="3" t="str">
        <f ca="1">IFERROR(__xludf.DUMMYFUNCTION("GOOGLETRANSLATE(C55,""ja"",""vi"")"),"Đấu giá&gt; hoa, làm vườn&gt; cây cảnh&gt; Khác")</f>
        <v>Đấu giá&gt; hoa, làm vườn&gt; cây cảnh&gt; Khác</v>
      </c>
      <c r="G55" s="229" t="str">
        <f t="shared" ca="1" si="0"/>
        <v>"2084207389" : "nếu không thì",</v>
      </c>
      <c r="H55" s="229" t="str">
        <f t="shared" si="1"/>
        <v>&lt;li class="col-md-3"&gt;&lt;a class="text-cut" href="javascript:;"(click)="categoryEvent(2084207389)"&gt;{{"2084207389" | translate}}&lt;/a&gt;&lt;/li&gt;</v>
      </c>
    </row>
    <row r="56" spans="1:8" ht="14.25" customHeight="1">
      <c r="E56" s="3"/>
      <c r="F56" s="3"/>
      <c r="G56" s="229"/>
      <c r="H56" s="229"/>
    </row>
    <row r="57" spans="1:8" ht="22.2" customHeight="1">
      <c r="A57" s="242">
        <v>2084048017</v>
      </c>
      <c r="B57" s="232"/>
      <c r="C57" s="232"/>
      <c r="D57" s="233"/>
      <c r="E57" s="3"/>
      <c r="F57" s="3"/>
      <c r="G57" s="229"/>
      <c r="H57" s="229"/>
    </row>
    <row r="58" spans="1:8" ht="14.25" customHeight="1">
      <c r="A58" s="2">
        <v>2084216952</v>
      </c>
      <c r="B58" s="2" t="s">
        <v>1524</v>
      </c>
      <c r="C58" s="2" t="s">
        <v>1525</v>
      </c>
      <c r="D58" s="2" t="s">
        <v>1526</v>
      </c>
      <c r="E58" s="3" t="str">
        <f ca="1">IFERROR(__xludf.DUMMYFUNCTION("GOOGLETRANSLATE(B58,""ja"",""vi"")"),"agave")</f>
        <v>agave</v>
      </c>
      <c r="F58" s="3" t="str">
        <f ca="1">IFERROR(__xludf.DUMMYFUNCTION("GOOGLETRANSLATE(C58,""ja"",""vi"")"),"Đấu giá&gt; hoa, làm vườn&gt; cây trang trí&gt; agave")</f>
        <v>Đấu giá&gt; hoa, làm vườn&gt; cây trang trí&gt; agave</v>
      </c>
      <c r="G58" s="229" t="str">
        <f t="shared" ca="1" si="0"/>
        <v>"2084216952" : "agave",</v>
      </c>
      <c r="H58" s="229" t="str">
        <f t="shared" si="1"/>
        <v>&lt;li class="col-md-3"&gt;&lt;a class="text-cut" href="javascript:;"(click)="categoryEvent(2084216952)"&gt;{{"2084216952" | translate}}&lt;/a&gt;&lt;/li&gt;</v>
      </c>
    </row>
    <row r="59" spans="1:8" ht="14.25" customHeight="1">
      <c r="A59" s="2">
        <v>2084063285</v>
      </c>
      <c r="B59" s="2" t="s">
        <v>1530</v>
      </c>
      <c r="C59" s="2" t="s">
        <v>1531</v>
      </c>
      <c r="D59" s="2" t="s">
        <v>1532</v>
      </c>
      <c r="E59" s="3" t="str">
        <f ca="1">IFERROR(__xludf.DUMMYFUNCTION("GOOGLETRANSLATE(B59,""ja"",""vi"")"),"trái thơm")</f>
        <v>trái thơm</v>
      </c>
      <c r="F59" s="3" t="str">
        <f ca="1">IFERROR(__xludf.DUMMYFUNCTION("GOOGLETRANSLATE(C59,""ja"",""vi"")"),"Đấu giá&gt; hoa, làm vườn&gt; cây trang trí&gt; bromeliad")</f>
        <v>Đấu giá&gt; hoa, làm vườn&gt; cây trang trí&gt; bromeliad</v>
      </c>
      <c r="G59" s="229" t="str">
        <f t="shared" ca="1" si="0"/>
        <v>"2084063285" : "trái thơm",</v>
      </c>
      <c r="H59" s="229" t="str">
        <f t="shared" si="1"/>
        <v>&lt;li class="col-md-3"&gt;&lt;a class="text-cut" href="javascript:;"(click)="categoryEvent(2084063285)"&gt;{{"2084063285" | translate}}&lt;/a&gt;&lt;/li&gt;</v>
      </c>
    </row>
    <row r="60" spans="1:8" ht="14.25" customHeight="1">
      <c r="A60" s="2">
        <v>2084063286</v>
      </c>
      <c r="B60" s="2" t="s">
        <v>1535</v>
      </c>
      <c r="C60" s="2" t="s">
        <v>1536</v>
      </c>
      <c r="D60" s="2" t="s">
        <v>1537</v>
      </c>
      <c r="E60" s="3" t="str">
        <f ca="1">IFERROR(__xludf.DUMMYFUNCTION("GOOGLETRANSLATE(B60,""ja"",""vi"")"),"cây lô hội")</f>
        <v>cây lô hội</v>
      </c>
      <c r="F60" s="3" t="str">
        <f ca="1">IFERROR(__xludf.DUMMYFUNCTION("GOOGLETRANSLATE(C60,""ja"",""vi"")"),"Đấu giá&gt; hoa, làm vườn&gt; cây trang trí&gt; lô hội")</f>
        <v>Đấu giá&gt; hoa, làm vườn&gt; cây trang trí&gt; lô hội</v>
      </c>
      <c r="G60" s="229" t="str">
        <f t="shared" ca="1" si="0"/>
        <v>"2084063286" : "cây lô hội",</v>
      </c>
      <c r="H60" s="229" t="str">
        <f t="shared" si="1"/>
        <v>&lt;li class="col-md-3"&gt;&lt;a class="text-cut" href="javascript:;"(click)="categoryEvent(2084063286)"&gt;{{"2084063286" | translate}}&lt;/a&gt;&lt;/li&gt;</v>
      </c>
    </row>
    <row r="61" spans="1:8" ht="14.25" customHeight="1">
      <c r="A61" s="2">
        <v>2084063287</v>
      </c>
      <c r="B61" s="2" t="s">
        <v>1538</v>
      </c>
      <c r="C61" s="2" t="s">
        <v>1543</v>
      </c>
      <c r="D61" s="2" t="s">
        <v>1545</v>
      </c>
      <c r="E61" s="3" t="str">
        <f ca="1">IFERROR(__xludf.DUMMYFUNCTION("GOOGLETRANSLATE(B61,""ja"",""vi"")"),"Unberata")</f>
        <v>Unberata</v>
      </c>
      <c r="F61" s="3" t="str">
        <f ca="1">IFERROR(__xludf.DUMMYFUNCTION("GOOGLETRANSLATE(C61,""ja"",""vi"")"),"Đấu giá&gt; hoa, làm vườn&gt; cây trang trí&gt; Unberata")</f>
        <v>Đấu giá&gt; hoa, làm vườn&gt; cây trang trí&gt; Unberata</v>
      </c>
      <c r="G61" s="229" t="str">
        <f t="shared" ca="1" si="0"/>
        <v>"2084063287" : "Unberata",</v>
      </c>
      <c r="H61" s="229" t="str">
        <f t="shared" si="1"/>
        <v>&lt;li class="col-md-3"&gt;&lt;a class="text-cut" href="javascript:;"(click)="categoryEvent(2084063287)"&gt;{{"2084063287" | translate}}&lt;/a&gt;&lt;/li&gt;</v>
      </c>
    </row>
    <row r="62" spans="1:8" ht="14.25" customHeight="1">
      <c r="A62" s="2">
        <v>2084216954</v>
      </c>
      <c r="B62" s="2" t="s">
        <v>1547</v>
      </c>
      <c r="C62" s="2" t="s">
        <v>1549</v>
      </c>
      <c r="D62" s="2" t="s">
        <v>1550</v>
      </c>
      <c r="E62" s="3" t="str">
        <f ca="1">IFERROR(__xludf.DUMMYFUNCTION("GOOGLETRANSLATE(B62,""ja"",""vi"")"),"Augusta")</f>
        <v>Augusta</v>
      </c>
      <c r="F62" s="3" t="str">
        <f ca="1">IFERROR(__xludf.DUMMYFUNCTION("GOOGLETRANSLATE(C62,""ja"",""vi"")"),"Đấu giá&gt; hoa, làm vườn&gt; cây trang trí&gt; Augusta")</f>
        <v>Đấu giá&gt; hoa, làm vườn&gt; cây trang trí&gt; Augusta</v>
      </c>
      <c r="G62" s="229" t="str">
        <f t="shared" ca="1" si="0"/>
        <v>"2084216954" : "Augusta",</v>
      </c>
      <c r="H62" s="229" t="str">
        <f t="shared" si="1"/>
        <v>&lt;li class="col-md-3"&gt;&lt;a class="text-cut" href="javascript:;"(click)="categoryEvent(2084216954)"&gt;{{"2084216954" | translate}}&lt;/a&gt;&lt;/li&gt;</v>
      </c>
    </row>
    <row r="63" spans="1:8" ht="14.25" customHeight="1">
      <c r="A63" s="2">
        <v>2084063294</v>
      </c>
      <c r="B63" s="2" t="s">
        <v>1555</v>
      </c>
      <c r="C63" s="2" t="s">
        <v>1556</v>
      </c>
      <c r="D63" s="2" t="s">
        <v>1557</v>
      </c>
      <c r="E63" s="3" t="str">
        <f ca="1">IFERROR(__xludf.DUMMYFUNCTION("GOOGLETRANSLATE(B63,""ja"",""vi"")"),"chi ráy")</f>
        <v>chi ráy</v>
      </c>
      <c r="F63" s="3" t="str">
        <f ca="1">IFERROR(__xludf.DUMMYFUNCTION("GOOGLETRANSLATE(C63,""ja"",""vi"")"),"Đấu giá&gt; hoa, làm vườn&gt; cây trang trí&gt; chi ráy")</f>
        <v>Đấu giá&gt; hoa, làm vườn&gt; cây trang trí&gt; chi ráy</v>
      </c>
      <c r="G63" s="229" t="str">
        <f t="shared" ca="1" si="0"/>
        <v>"2084063294" : "chi ráy",</v>
      </c>
      <c r="H63" s="229" t="str">
        <f t="shared" si="1"/>
        <v>&lt;li class="col-md-3"&gt;&lt;a class="text-cut" href="javascript:;"(click)="categoryEvent(2084063294)"&gt;{{"2084063294" | translate}}&lt;/a&gt;&lt;/li&gt;</v>
      </c>
    </row>
    <row r="64" spans="1:8" ht="14.25" customHeight="1">
      <c r="A64" s="2">
        <v>2084063278</v>
      </c>
      <c r="B64" s="2" t="s">
        <v>1563</v>
      </c>
      <c r="C64" s="2" t="s">
        <v>1564</v>
      </c>
      <c r="D64" s="2" t="s">
        <v>1566</v>
      </c>
      <c r="E64" s="3" t="str">
        <f ca="1">IFERROR(__xludf.DUMMYFUNCTION("GOOGLETRANSLATE(B64,""ja"",""vi"")"),"cây xương rồng")</f>
        <v>cây xương rồng</v>
      </c>
      <c r="F64" s="3" t="str">
        <f ca="1">IFERROR(__xludf.DUMMYFUNCTION("GOOGLETRANSLATE(C64,""ja"",""vi"")"),"Đấu giá&gt; hoa, làm vườn&gt; cây trang trí&gt; cây xương rồng")</f>
        <v>Đấu giá&gt; hoa, làm vườn&gt; cây trang trí&gt; cây xương rồng</v>
      </c>
      <c r="G64" s="229" t="str">
        <f t="shared" ca="1" si="0"/>
        <v>"2084063278" : "cây xương rồng",</v>
      </c>
      <c r="H64" s="229" t="str">
        <f t="shared" si="1"/>
        <v>&lt;li class="col-md-3"&gt;&lt;a class="text-cut" href="javascript:;"(click)="categoryEvent(2084063278)"&gt;{{"2084063278" | translate}}&lt;/a&gt;&lt;/li&gt;</v>
      </c>
    </row>
    <row r="65" spans="1:8" ht="14.25" customHeight="1">
      <c r="A65" s="2">
        <v>2084063284</v>
      </c>
      <c r="B65" s="2" t="s">
        <v>1572</v>
      </c>
      <c r="C65" s="2" t="s">
        <v>1573</v>
      </c>
      <c r="D65" s="2" t="s">
        <v>1574</v>
      </c>
      <c r="E65" s="3" t="str">
        <f ca="1">IFERROR(__xludf.DUMMYFUNCTION("GOOGLETRANSLATE(B65,""ja"",""vi"")"),"Jasmine")</f>
        <v>Jasmine</v>
      </c>
      <c r="F65" s="3" t="str">
        <f ca="1">IFERROR(__xludf.DUMMYFUNCTION("GOOGLETRANSLATE(C65,""ja"",""vi"")"),"Đấu giá&gt; hoa, làm vườn&gt; cây trang trí&gt; hoa nhài")</f>
        <v>Đấu giá&gt; hoa, làm vườn&gt; cây trang trí&gt; hoa nhài</v>
      </c>
      <c r="G65" s="229" t="str">
        <f t="shared" ca="1" si="0"/>
        <v>"2084063284" : "Jasmine",</v>
      </c>
      <c r="H65" s="229" t="str">
        <f t="shared" si="1"/>
        <v>&lt;li class="col-md-3"&gt;&lt;a class="text-cut" href="javascript:;"(click)="categoryEvent(2084063284)"&gt;{{"2084063284" | translate}}&lt;/a&gt;&lt;/li&gt;</v>
      </c>
    </row>
    <row r="66" spans="1:8" ht="14.25" customHeight="1">
      <c r="A66" s="2">
        <v>2084063288</v>
      </c>
      <c r="B66" s="2" t="s">
        <v>1580</v>
      </c>
      <c r="C66" s="2" t="s">
        <v>1581</v>
      </c>
      <c r="D66" s="2" t="s">
        <v>1583</v>
      </c>
      <c r="E66" s="3" t="str">
        <f ca="1">IFERROR(__xludf.DUMMYFUNCTION("GOOGLETRANSLATE(B66,""ja"",""vi"")"),"Seromu")</f>
        <v>Seromu</v>
      </c>
      <c r="F66" s="3" t="str">
        <f ca="1">IFERROR(__xludf.DUMMYFUNCTION("GOOGLETRANSLATE(C66,""ja"",""vi"")"),"Đấu giá&gt; hoa, làm vườn&gt; cây trang trí&gt; Seromu")</f>
        <v>Đấu giá&gt; hoa, làm vườn&gt; cây trang trí&gt; Seromu</v>
      </c>
      <c r="G66" s="229" t="str">
        <f t="shared" ca="1" si="0"/>
        <v>"2084063288" : "Seromu",</v>
      </c>
      <c r="H66" s="229" t="str">
        <f t="shared" si="1"/>
        <v>&lt;li class="col-md-3"&gt;&lt;a class="text-cut" href="javascript:;"(click)="categoryEvent(2084063288)"&gt;{{"2084063288" | translate}}&lt;/a&gt;&lt;/li&gt;</v>
      </c>
    </row>
    <row r="67" spans="1:8" ht="14.25" customHeight="1">
      <c r="A67" s="2">
        <v>2084063289</v>
      </c>
      <c r="B67" s="2" t="s">
        <v>1588</v>
      </c>
      <c r="C67" s="2" t="s">
        <v>1590</v>
      </c>
      <c r="D67" s="2" t="s">
        <v>1592</v>
      </c>
      <c r="E67" s="3" t="str">
        <f ca="1">IFERROR(__xludf.DUMMYFUNCTION("GOOGLETRANSLATE(B67,""ja"",""vi"")"),"cây long huyết")</f>
        <v>cây long huyết</v>
      </c>
      <c r="F67" s="3" t="str">
        <f ca="1">IFERROR(__xludf.DUMMYFUNCTION("GOOGLETRANSLATE(C67,""ja"",""vi"")"),"Đấu giá&gt; hoa, làm vườn&gt; cây trang trí&gt; Dracaena")</f>
        <v>Đấu giá&gt; hoa, làm vườn&gt; cây trang trí&gt; Dracaena</v>
      </c>
      <c r="G67" s="229" t="str">
        <f t="shared" ref="G67:G130" ca="1" si="2">CONCATENATE(CHAR(34)&amp;"",A67,""&amp;CHAR(34)," : ", CHAR(34)&amp;"",E67,""&amp;CHAR(34),",")</f>
        <v>"2084063289" : "cây long huyết",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href="javascript:;"(click)="categoryEvent(2084063289)"&gt;{{"2084063289" | translate}}&lt;/a&gt;&lt;/li&gt;</v>
      </c>
    </row>
    <row r="68" spans="1:8" ht="14.25" customHeight="1">
      <c r="A68" s="2">
        <v>2084063290</v>
      </c>
      <c r="B68" s="2" t="s">
        <v>1597</v>
      </c>
      <c r="C68" s="2" t="s">
        <v>1599</v>
      </c>
      <c r="D68" s="2" t="s">
        <v>1602</v>
      </c>
      <c r="E68" s="3" t="str">
        <f ca="1">IFERROR(__xludf.DUMMYFUNCTION("GOOGLETRANSLATE(B68,""ja"",""vi"")"),"Pachira")</f>
        <v>Pachira</v>
      </c>
      <c r="F68" s="3" t="str">
        <f ca="1">IFERROR(__xludf.DUMMYFUNCTION("GOOGLETRANSLATE(C68,""ja"",""vi"")"),"Đấu giá&gt; hoa, làm vườn&gt; cây trang trí&gt; pachira")</f>
        <v>Đấu giá&gt; hoa, làm vườn&gt; cây trang trí&gt; pachira</v>
      </c>
      <c r="G68" s="229" t="str">
        <f t="shared" ca="1" si="2"/>
        <v>"2084063290" : "Pachira",</v>
      </c>
      <c r="H68" s="229" t="str">
        <f t="shared" si="3"/>
        <v>&lt;li class="col-md-3"&gt;&lt;a class="text-cut" href="javascript:;"(click)="categoryEvent(2084063290)"&gt;{{"2084063290" | translate}}&lt;/a&gt;&lt;/li&gt;</v>
      </c>
    </row>
    <row r="69" spans="1:8" ht="14.25" customHeight="1">
      <c r="A69" s="2">
        <v>2084216953</v>
      </c>
      <c r="B69" s="2" t="s">
        <v>1608</v>
      </c>
      <c r="C69" s="2" t="s">
        <v>1610</v>
      </c>
      <c r="D69" s="2" t="s">
        <v>1612</v>
      </c>
      <c r="E69" s="3" t="str">
        <f ca="1">IFERROR(__xludf.DUMMYFUNCTION("GOOGLETRANSLATE(B69,""ja"",""vi"")"),"Bikakushida, dơi chạy")</f>
        <v>Bikakushida, dơi chạy</v>
      </c>
      <c r="F69" s="3" t="str">
        <f ca="1">IFERROR(__xludf.DUMMYFUNCTION("GOOGLETRANSLATE(C69,""ja"",""vi"")"),"Đấu giá&gt; hoa, làm vườn&gt; cây trang trí&gt; Bikakushida, dơi chạy")</f>
        <v>Đấu giá&gt; hoa, làm vườn&gt; cây trang trí&gt; Bikakushida, dơi chạy</v>
      </c>
      <c r="G69" s="229" t="str">
        <f t="shared" ca="1" si="2"/>
        <v>"2084216953" : "Bikakushida, dơi chạy",</v>
      </c>
      <c r="H69" s="229" t="str">
        <f t="shared" si="3"/>
        <v>&lt;li class="col-md-3"&gt;&lt;a class="text-cut" href="javascript:;"(click)="categoryEvent(2084216953)"&gt;{{"2084216953" | translate}}&lt;/a&gt;&lt;/li&gt;</v>
      </c>
    </row>
    <row r="70" spans="1:8" ht="14.25" customHeight="1">
      <c r="A70" s="2">
        <v>2084063279</v>
      </c>
      <c r="B70" s="2" t="s">
        <v>1618</v>
      </c>
      <c r="C70" s="2" t="s">
        <v>1620</v>
      </c>
      <c r="D70" s="2" t="s">
        <v>1622</v>
      </c>
      <c r="E70" s="3" t="str">
        <f ca="1">IFERROR(__xludf.DUMMYFUNCTION("GOOGLETRANSLATE(B70,""ja"",""vi"")"),"cây bồ đề")</f>
        <v>cây bồ đề</v>
      </c>
      <c r="F70" s="3" t="str">
        <f ca="1">IFERROR(__xludf.DUMMYFUNCTION("GOOGLETRANSLATE(C70,""ja"",""vi"")"),"Đấu giá&gt; hoa, làm vườn&gt; cây trang trí&gt; Benjamin")</f>
        <v>Đấu giá&gt; hoa, làm vườn&gt; cây trang trí&gt; Benjamin</v>
      </c>
      <c r="G70" s="229" t="str">
        <f t="shared" ca="1" si="2"/>
        <v>"2084063279" : "cây bồ đề",</v>
      </c>
      <c r="H70" s="229" t="str">
        <f t="shared" si="3"/>
        <v>&lt;li class="col-md-3"&gt;&lt;a class="text-cut" href="javascript:;"(click)="categoryEvent(2084063279)"&gt;{{"2084063279" | translate}}&lt;/a&gt;&lt;/li&gt;</v>
      </c>
    </row>
    <row r="71" spans="1:8" ht="14.25" customHeight="1">
      <c r="A71" s="2">
        <v>2084063293</v>
      </c>
      <c r="B71" s="2" t="s">
        <v>1628</v>
      </c>
      <c r="C71" s="2" t="s">
        <v>1629</v>
      </c>
      <c r="D71" s="2" t="s">
        <v>1630</v>
      </c>
      <c r="E71" s="3" t="str">
        <f ca="1">IFERROR(__xludf.DUMMYFUNCTION("GOOGLETRANSLATE(B71,""ja"",""vi"")"),"Hồng Kông bông gạo")</f>
        <v>Hồng Kông bông gạo</v>
      </c>
      <c r="F71" s="3" t="str">
        <f ca="1">IFERROR(__xludf.DUMMYFUNCTION("GOOGLETRANSLATE(C71,""ja"",""vi"")"),"Đấu giá&gt; hoa, làm vườn&gt; cây trang trí&gt; Hồng Kông bông gạo")</f>
        <v>Đấu giá&gt; hoa, làm vườn&gt; cây trang trí&gt; Hồng Kông bông gạo</v>
      </c>
      <c r="G71" s="229" t="str">
        <f t="shared" ca="1" si="2"/>
        <v>"2084063293" : "Hồng Kông bông gạo",</v>
      </c>
      <c r="H71" s="229" t="str">
        <f t="shared" si="3"/>
        <v>&lt;li class="col-md-3"&gt;&lt;a class="text-cut" href="javascript:;"(click)="categoryEvent(2084063293)"&gt;{{"2084063293" | translate}}&lt;/a&gt;&lt;/li&gt;</v>
      </c>
    </row>
    <row r="72" spans="1:8" ht="14.25" customHeight="1">
      <c r="A72" s="2">
        <v>2084063291</v>
      </c>
      <c r="B72" s="2" t="s">
        <v>1634</v>
      </c>
      <c r="C72" s="2" t="s">
        <v>1635</v>
      </c>
      <c r="D72" s="2" t="s">
        <v>1636</v>
      </c>
      <c r="E72" s="3" t="str">
        <f ca="1">IFERROR(__xludf.DUMMYFUNCTION("GOOGLETRANSLATE(B72,""ja"",""vi"")"),"Pothos")</f>
        <v>Pothos</v>
      </c>
      <c r="F72" s="3" t="str">
        <f ca="1">IFERROR(__xludf.DUMMYFUNCTION("GOOGLETRANSLATE(C72,""ja"",""vi"")"),"Đấu giá&gt; hoa, làm vườn&gt; cây trang trí&gt; Pothos")</f>
        <v>Đấu giá&gt; hoa, làm vườn&gt; cây trang trí&gt; Pothos</v>
      </c>
      <c r="G72" s="229" t="str">
        <f t="shared" ca="1" si="2"/>
        <v>"2084063291" : "Pothos",</v>
      </c>
      <c r="H72" s="229" t="str">
        <f t="shared" si="3"/>
        <v>&lt;li class="col-md-3"&gt;&lt;a class="text-cut" href="javascript:;"(click)="categoryEvent(2084063291)"&gt;{{"2084063291" | translate}}&lt;/a&gt;&lt;/li&gt;</v>
      </c>
    </row>
    <row r="73" spans="1:8" ht="14.25" customHeight="1">
      <c r="A73" s="2">
        <v>2084063282</v>
      </c>
      <c r="B73" s="2" t="s">
        <v>1640</v>
      </c>
      <c r="C73" s="2" t="s">
        <v>1641</v>
      </c>
      <c r="D73" s="2" t="s">
        <v>1643</v>
      </c>
      <c r="E73" s="3" t="str">
        <f ca="1">IFERROR(__xludf.DUMMYFUNCTION("GOOGLETRANSLATE(B73,""ja"",""vi"")"),"triệu tre")</f>
        <v>triệu tre</v>
      </c>
      <c r="F73" s="3" t="str">
        <f ca="1">IFERROR(__xludf.DUMMYFUNCTION("GOOGLETRANSLATE(C73,""ja"",""vi"")"),"Đấu giá&gt; hoa, làm vườn&gt; cây trang trí&gt; triệu tre")</f>
        <v>Đấu giá&gt; hoa, làm vườn&gt; cây trang trí&gt; triệu tre</v>
      </c>
      <c r="G73" s="229" t="str">
        <f t="shared" ca="1" si="2"/>
        <v>"2084063282" : "triệu tre",</v>
      </c>
      <c r="H73" s="229" t="str">
        <f t="shared" si="3"/>
        <v>&lt;li class="col-md-3"&gt;&lt;a class="text-cut" href="javascript:;"(click)="categoryEvent(2084063282)"&gt;{{"2084063282" | translate}}&lt;/a&gt;&lt;/li&gt;</v>
      </c>
    </row>
    <row r="74" spans="1:8" ht="14.25" customHeight="1">
      <c r="A74" s="2">
        <v>2084063280</v>
      </c>
      <c r="B74" s="2" t="s">
        <v>1649</v>
      </c>
      <c r="C74" s="2" t="s">
        <v>1651</v>
      </c>
      <c r="D74" s="2" t="s">
        <v>1652</v>
      </c>
      <c r="E74" s="3" t="str">
        <f ca="1">IFERROR(__xludf.DUMMYFUNCTION("GOOGLETRANSLATE(B74,""ja"",""vi"")"),"Monstera")</f>
        <v>Monstera</v>
      </c>
      <c r="F74" s="3" t="str">
        <f ca="1">IFERROR(__xludf.DUMMYFUNCTION("GOOGLETRANSLATE(C74,""ja"",""vi"")"),"Đấu giá&gt; hoa, làm vườn&gt; cây trang trí&gt; Monstera")</f>
        <v>Đấu giá&gt; hoa, làm vườn&gt; cây trang trí&gt; Monstera</v>
      </c>
      <c r="G74" s="229" t="str">
        <f t="shared" ca="1" si="2"/>
        <v>"2084063280" : "Monstera",</v>
      </c>
      <c r="H74" s="229" t="str">
        <f t="shared" si="3"/>
        <v>&lt;li class="col-md-3"&gt;&lt;a class="text-cut" href="javascript:;"(click)="categoryEvent(2084063280)"&gt;{{"2084063280" | translate}}&lt;/a&gt;&lt;/li&gt;</v>
      </c>
    </row>
    <row r="75" spans="1:8" ht="14.25" customHeight="1">
      <c r="A75" s="2">
        <v>2084063281</v>
      </c>
      <c r="B75" s="2" t="s">
        <v>1656</v>
      </c>
      <c r="C75" s="2" t="s">
        <v>1659</v>
      </c>
      <c r="D75" s="2" t="s">
        <v>1660</v>
      </c>
      <c r="E75" s="3" t="str">
        <f ca="1">IFERROR(__xludf.DUMMYFUNCTION("GOOGLETRANSLATE(B75,""ja"",""vi"")"),"lòng bàn tay")</f>
        <v>lòng bàn tay</v>
      </c>
      <c r="F75" s="3" t="str">
        <f ca="1">IFERROR(__xludf.DUMMYFUNCTION("GOOGLETRANSLATE(C75,""ja"",""vi"")"),"Đấu giá&gt; hoa, làm vườn&gt; cây trang trí&gt; cọ")</f>
        <v>Đấu giá&gt; hoa, làm vườn&gt; cây trang trí&gt; cọ</v>
      </c>
      <c r="G75" s="229" t="str">
        <f t="shared" ca="1" si="2"/>
        <v>"2084063281" : "lòng bàn tay",</v>
      </c>
      <c r="H75" s="229" t="str">
        <f t="shared" si="3"/>
        <v>&lt;li class="col-md-3"&gt;&lt;a class="text-cut" href="javascript:;"(click)="categoryEvent(2084063281)"&gt;{{"2084063281" | translate}}&lt;/a&gt;&lt;/li&gt;</v>
      </c>
    </row>
    <row r="76" spans="1:8" ht="14.25" customHeight="1">
      <c r="A76" s="2">
        <v>2084063292</v>
      </c>
      <c r="B76" s="2" t="s">
        <v>1667</v>
      </c>
      <c r="C76" s="2" t="s">
        <v>1668</v>
      </c>
      <c r="D76" s="2" t="s">
        <v>1669</v>
      </c>
      <c r="E76" s="3" t="str">
        <f ca="1">IFERROR(__xludf.DUMMYFUNCTION("GOOGLETRANSLATE(B76,""ja"",""vi"")"),"cây ngọc da hoa")</f>
        <v>cây ngọc da hoa</v>
      </c>
      <c r="F76" s="3" t="str">
        <f ca="1">IFERROR(__xludf.DUMMYFUNCTION("GOOGLETRANSLATE(C76,""ja"",""vi"")"),"Đấu giá&gt; hoa, làm vườn&gt; cây trang trí&gt; yucca")</f>
        <v>Đấu giá&gt; hoa, làm vườn&gt; cây trang trí&gt; yucca</v>
      </c>
      <c r="G76" s="229" t="str">
        <f t="shared" ca="1" si="2"/>
        <v>"2084063292" : "cây ngọc da hoa",</v>
      </c>
      <c r="H76" s="229" t="str">
        <f t="shared" si="3"/>
        <v>&lt;li class="col-md-3"&gt;&lt;a class="text-cut" href="javascript:;"(click)="categoryEvent(2084063292)"&gt;{{"2084063292" | translate}}&lt;/a&gt;&lt;/li&gt;</v>
      </c>
    </row>
    <row r="77" spans="1:8" ht="14.25" customHeight="1">
      <c r="A77" s="2">
        <v>2084006705</v>
      </c>
      <c r="B77" s="2" t="s">
        <v>1315</v>
      </c>
      <c r="C77" s="2" t="s">
        <v>1675</v>
      </c>
      <c r="D77" s="2" t="s">
        <v>1676</v>
      </c>
      <c r="E77" s="3" t="str">
        <f ca="1">IFERROR(__xludf.DUMMYFUNCTION("GOOGLETRANSLATE(B77,""ja"",""vi"")"),"hoa nhân tạo")</f>
        <v>hoa nhân tạo</v>
      </c>
      <c r="F77" s="3" t="str">
        <f ca="1">IFERROR(__xludf.DUMMYFUNCTION("GOOGLETRANSLATE(C77,""ja"",""vi"")"),"Đấu giá&gt; hoa, làm vườn&gt; cây trang trí&gt; hoa giả")</f>
        <v>Đấu giá&gt; hoa, làm vườn&gt; cây trang trí&gt; hoa giả</v>
      </c>
      <c r="G77" s="229" t="str">
        <f t="shared" ca="1" si="2"/>
        <v>"2084006705" : "hoa nhân tạo",</v>
      </c>
      <c r="H77" s="229" t="str">
        <f t="shared" si="3"/>
        <v>&lt;li class="col-md-3"&gt;&lt;a class="text-cut" href="javascript:;"(click)="categoryEvent(2084006705)"&gt;{{"2084006705" | translate}}&lt;/a&gt;&lt;/li&gt;</v>
      </c>
    </row>
    <row r="78" spans="1:8" ht="14.25" customHeight="1">
      <c r="A78" s="2">
        <v>2084063283</v>
      </c>
      <c r="B78" s="2" t="s">
        <v>16</v>
      </c>
      <c r="C78" s="2" t="s">
        <v>1682</v>
      </c>
      <c r="D78" s="2" t="s">
        <v>1683</v>
      </c>
      <c r="E78" s="3" t="str">
        <f ca="1">IFERROR(__xludf.DUMMYFUNCTION("GOOGLETRANSLATE(B78,""ja"",""vi"")"),"nếu không thì")</f>
        <v>nếu không thì</v>
      </c>
      <c r="F78" s="3" t="str">
        <f ca="1">IFERROR(__xludf.DUMMYFUNCTION("GOOGLETRANSLATE(C78,""ja"",""vi"")"),"Đấu giá&gt; hoa, làm vườn&gt; cây trang trí&gt; Khác")</f>
        <v>Đấu giá&gt; hoa, làm vườn&gt; cây trang trí&gt; Khác</v>
      </c>
      <c r="G78" s="229" t="str">
        <f t="shared" ca="1" si="2"/>
        <v>"2084063283" : "nếu không thì",</v>
      </c>
      <c r="H78" s="229" t="str">
        <f t="shared" si="3"/>
        <v>&lt;li class="col-md-3"&gt;&lt;a class="text-cut" href="javascript:;"(click)="categoryEvent(2084063283)"&gt;{{"2084063283" | translate}}&lt;/a&gt;&lt;/li&gt;</v>
      </c>
    </row>
    <row r="79" spans="1:8" ht="14.25" customHeight="1">
      <c r="E79" s="3"/>
      <c r="F79" s="3"/>
      <c r="G79" s="229"/>
      <c r="H79" s="229"/>
    </row>
    <row r="80" spans="1:8" ht="22.2" customHeight="1">
      <c r="A80" s="238">
        <v>2084006709</v>
      </c>
      <c r="B80" s="232"/>
      <c r="C80" s="232"/>
      <c r="D80" s="233"/>
      <c r="E80" s="3"/>
      <c r="F80" s="3"/>
      <c r="G80" s="229"/>
      <c r="H80" s="229"/>
    </row>
    <row r="81" spans="1:8" ht="14.25" customHeight="1">
      <c r="A81" s="2">
        <v>2084048018</v>
      </c>
      <c r="B81" s="2" t="s">
        <v>1697</v>
      </c>
      <c r="C81" s="2" t="s">
        <v>1700</v>
      </c>
      <c r="D81" s="2" t="s">
        <v>1701</v>
      </c>
      <c r="E81" s="3" t="str">
        <f ca="1">IFERROR(__xludf.DUMMYFUNCTION("GOOGLETRANSLATE(B81,""ja"",""vi"")"),"Herbs")</f>
        <v>Herbs</v>
      </c>
      <c r="F81" s="3" t="str">
        <f ca="1">IFERROR(__xludf.DUMMYFUNCTION("GOOGLETRANSLATE(C81,""ja"",""vi"")"),"Đấu giá&gt; hoa, làm vườn&gt; chậu cây&gt; thảo mộc")</f>
        <v>Đấu giá&gt; hoa, làm vườn&gt; chậu cây&gt; thảo mộc</v>
      </c>
      <c r="G81" s="229" t="str">
        <f t="shared" ca="1" si="2"/>
        <v>"2084048018" : "Herbs",</v>
      </c>
      <c r="H81" s="229" t="str">
        <f t="shared" si="3"/>
        <v>&lt;li class="col-md-3"&gt;&lt;a class="text-cut" href="javascript:;"(click)="categoryEvent(2084048018)"&gt;{{"2084048018" | translate}}&lt;/a&gt;&lt;/li&gt;</v>
      </c>
    </row>
    <row r="82" spans="1:8" ht="14.25" customHeight="1">
      <c r="A82" s="2">
        <v>2084048019</v>
      </c>
      <c r="B82" s="2" t="s">
        <v>1705</v>
      </c>
      <c r="C82" s="2" t="s">
        <v>1706</v>
      </c>
      <c r="D82" s="2" t="s">
        <v>1707</v>
      </c>
      <c r="E82" s="3" t="str">
        <f ca="1">IFERROR(__xludf.DUMMYFUNCTION("GOOGLETRANSLATE(B82,""ja"",""vi"")"),"hoa")</f>
        <v>hoa</v>
      </c>
      <c r="F82" s="3" t="str">
        <f ca="1">IFERROR(__xludf.DUMMYFUNCTION("GOOGLETRANSLATE(C82,""ja"",""vi"")"),"Đấu giá&gt; hoa, làm vườn&gt; chậu cây&gt; hoa")</f>
        <v>Đấu giá&gt; hoa, làm vườn&gt; chậu cây&gt; hoa</v>
      </c>
      <c r="G82" s="229" t="str">
        <f t="shared" ca="1" si="2"/>
        <v>"2084048019" : "hoa",</v>
      </c>
      <c r="H82" s="229" t="str">
        <f t="shared" si="3"/>
        <v>&lt;li class="col-md-3"&gt;&lt;a class="text-cut" href="javascript:;"(click)="categoryEvent(2084048019)"&gt;{{"2084048019" | translate}}&lt;/a&gt;&lt;/li&gt;</v>
      </c>
    </row>
    <row r="83" spans="1:8" ht="14.25" customHeight="1">
      <c r="A83" s="2">
        <v>2084048017</v>
      </c>
      <c r="B83" s="2" t="s">
        <v>1256</v>
      </c>
      <c r="C83" s="2" t="s">
        <v>1710</v>
      </c>
      <c r="D83" s="2" t="s">
        <v>1711</v>
      </c>
      <c r="E83" s="3" t="str">
        <f ca="1">IFERROR(__xludf.DUMMYFUNCTION("GOOGLETRANSLATE(B83,""ja"",""vi"")"),"cây trong nhà")</f>
        <v>cây trong nhà</v>
      </c>
      <c r="F83" s="3" t="str">
        <f ca="1">IFERROR(__xludf.DUMMYFUNCTION("GOOGLETRANSLATE(C83,""ja"",""vi"")"),"Đấu giá&gt; hoa, làm vườn&gt; chậu&gt; houseplant")</f>
        <v>Đấu giá&gt; hoa, làm vườn&gt; chậu&gt; houseplant</v>
      </c>
      <c r="G83" s="229" t="str">
        <f t="shared" ca="1" si="2"/>
        <v>"2084048017" : "cây trong nhà",</v>
      </c>
      <c r="H83" s="229" t="str">
        <f t="shared" si="3"/>
        <v>&lt;li class="col-md-3"&gt;&lt;a class="text-cut" href="javascript:;"(click)="categoryEvent(2084048017)"&gt;{{"2084048017" | translate}}&lt;/a&gt;&lt;/li&gt;</v>
      </c>
    </row>
    <row r="84" spans="1:8" ht="14.25" customHeight="1">
      <c r="A84" s="2">
        <v>2084006705</v>
      </c>
      <c r="B84" s="2" t="s">
        <v>1315</v>
      </c>
      <c r="C84" s="2" t="s">
        <v>1715</v>
      </c>
      <c r="D84" s="2" t="s">
        <v>1717</v>
      </c>
      <c r="E84" s="3" t="str">
        <f ca="1">IFERROR(__xludf.DUMMYFUNCTION("GOOGLETRANSLATE(B84,""ja"",""vi"")"),"hoa nhân tạo")</f>
        <v>hoa nhân tạo</v>
      </c>
      <c r="F84" s="3" t="str">
        <f ca="1">IFERROR(__xludf.DUMMYFUNCTION("GOOGLETRANSLATE(C84,""ja"",""vi"")"),"Đấu giá&gt; hoa, làm vườn&gt; chậu&gt; hoa giả")</f>
        <v>Đấu giá&gt; hoa, làm vườn&gt; chậu&gt; hoa giả</v>
      </c>
      <c r="G84" s="229" t="str">
        <f t="shared" ca="1" si="2"/>
        <v>"2084006705" : "hoa nhân tạo",</v>
      </c>
      <c r="H84" s="229" t="str">
        <f t="shared" si="3"/>
        <v>&lt;li class="col-md-3"&gt;&lt;a class="text-cut" href="javascript:;"(click)="categoryEvent(2084006705)"&gt;{{"2084006705" | translate}}&lt;/a&gt;&lt;/li&gt;</v>
      </c>
    </row>
    <row r="85" spans="1:8" ht="14.25" customHeight="1">
      <c r="A85" s="2">
        <v>2084048020</v>
      </c>
      <c r="B85" s="2" t="s">
        <v>1245</v>
      </c>
      <c r="C85" s="2" t="s">
        <v>1723</v>
      </c>
      <c r="D85" s="2" t="s">
        <v>1724</v>
      </c>
      <c r="E85" s="3" t="str">
        <f ca="1">IFERROR(__xludf.DUMMYFUNCTION("GOOGLETRANSLATE(B85,""ja"",""vi"")"),"Bonsai")</f>
        <v>Bonsai</v>
      </c>
      <c r="F85" s="3" t="str">
        <f ca="1">IFERROR(__xludf.DUMMYFUNCTION("GOOGLETRANSLATE(C85,""ja"",""vi"")"),"Đấu giá&gt; hoa, làm vườn&gt; chậu&gt; Bonsai")</f>
        <v>Đấu giá&gt; hoa, làm vườn&gt; chậu&gt; Bonsai</v>
      </c>
      <c r="G85" s="229" t="str">
        <f t="shared" ca="1" si="2"/>
        <v>"2084048020" : "Bonsai",</v>
      </c>
      <c r="H85" s="229" t="str">
        <f t="shared" si="3"/>
        <v>&lt;li class="col-md-3"&gt;&lt;a class="text-cut" href="javascript:;"(click)="categoryEvent(2084048020)"&gt;{{"2084048020" | translate}}&lt;/a&gt;&lt;/li&gt;</v>
      </c>
    </row>
    <row r="86" spans="1:8" ht="14.25" customHeight="1">
      <c r="A86" s="2">
        <v>2084048021</v>
      </c>
      <c r="B86" s="2" t="s">
        <v>16</v>
      </c>
      <c r="C86" s="2" t="s">
        <v>1728</v>
      </c>
      <c r="D86" s="2" t="s">
        <v>1729</v>
      </c>
      <c r="E86" s="3" t="str">
        <f ca="1">IFERROR(__xludf.DUMMYFUNCTION("GOOGLETRANSLATE(B86,""ja"",""vi"")"),"nếu không thì")</f>
        <v>nếu không thì</v>
      </c>
      <c r="F86" s="3" t="str">
        <f ca="1">IFERROR(__xludf.DUMMYFUNCTION("GOOGLETRANSLATE(C86,""ja"",""vi"")"),"Đấu giá&gt; hoa, làm vườn&gt; chậu&gt; Khác")</f>
        <v>Đấu giá&gt; hoa, làm vườn&gt; chậu&gt; Khác</v>
      </c>
      <c r="G86" s="229" t="str">
        <f t="shared" ca="1" si="2"/>
        <v>"2084048021" : "nếu không thì",</v>
      </c>
      <c r="H86" s="229" t="str">
        <f t="shared" si="3"/>
        <v>&lt;li class="col-md-3"&gt;&lt;a class="text-cut" href="javascript:;"(click)="categoryEvent(2084048021)"&gt;{{"2084048021" | translate}}&lt;/a&gt;&lt;/li&gt;</v>
      </c>
    </row>
    <row r="87" spans="1:8" ht="14.25" customHeight="1">
      <c r="E87" s="3"/>
      <c r="F87" s="3"/>
      <c r="G87" s="229"/>
      <c r="H87" s="229"/>
    </row>
    <row r="88" spans="1:8" ht="27" customHeight="1">
      <c r="A88" s="252">
        <v>2084206880</v>
      </c>
      <c r="B88" s="232"/>
      <c r="C88" s="232"/>
      <c r="D88" s="233"/>
      <c r="E88" s="3"/>
      <c r="F88" s="3"/>
      <c r="G88" s="229"/>
      <c r="H88" s="229"/>
    </row>
    <row r="89" spans="1:8" ht="14.25" customHeight="1">
      <c r="A89" s="2">
        <v>2084006712</v>
      </c>
      <c r="B89" s="2" t="s">
        <v>1737</v>
      </c>
      <c r="C89" s="2" t="s">
        <v>1738</v>
      </c>
      <c r="D89" s="2" t="s">
        <v>1740</v>
      </c>
      <c r="E89" s="3" t="str">
        <f ca="1">IFERROR(__xludf.DUMMYFUNCTION("GOOGLETRANSLATE(B89,""ja"",""vi"")"),"nồi")</f>
        <v>nồi</v>
      </c>
      <c r="F89" s="3" t="str">
        <f ca="1">IFERROR(__xludf.DUMMYFUNCTION("GOOGLETRANSLATE(C89,""ja"",""vi"")"),"Đấu giá&gt; hoa, làm vườn&gt; công cụ cây cảnh, vật liệu&gt; nồi")</f>
        <v>Đấu giá&gt; hoa, làm vườn&gt; công cụ cây cảnh, vật liệu&gt; nồi</v>
      </c>
      <c r="G89" s="229" t="str">
        <f t="shared" ca="1" si="2"/>
        <v>"2084006712" : "nồi",</v>
      </c>
      <c r="H89" s="229" t="str">
        <f t="shared" si="3"/>
        <v>&lt;li class="col-md-3"&gt;&lt;a class="text-cut" href="javascript:;"(click)="categoryEvent(2084006712)"&gt;{{"2084006712" | translate}}&lt;/a&gt;&lt;/li&gt;</v>
      </c>
    </row>
    <row r="90" spans="1:8" ht="14.25" customHeight="1">
      <c r="A90" s="2">
        <v>2084006713</v>
      </c>
      <c r="B90" s="2" t="s">
        <v>1744</v>
      </c>
      <c r="C90" s="2" t="s">
        <v>1746</v>
      </c>
      <c r="D90" s="2" t="s">
        <v>1748</v>
      </c>
      <c r="E90" s="3" t="str">
        <f ca="1">IFERROR(__xludf.DUMMYFUNCTION("GOOGLETRANSLATE(B90,""ja"",""vi"")"),"người đóng cọc")</f>
        <v>người đóng cọc</v>
      </c>
      <c r="F90" s="3" t="str">
        <f ca="1">IFERROR(__xludf.DUMMYFUNCTION("GOOGLETRANSLATE(C90,""ja"",""vi"")"),"Đấu giá&gt; hoa, làm vườn&gt; công cụ cây cảnh, vật liệu&gt; trồng")</f>
        <v>Đấu giá&gt; hoa, làm vườn&gt; công cụ cây cảnh, vật liệu&gt; trồng</v>
      </c>
      <c r="G90" s="229" t="str">
        <f t="shared" ca="1" si="2"/>
        <v>"2084006713" : "người đóng cọc",</v>
      </c>
      <c r="H90" s="229" t="str">
        <f t="shared" si="3"/>
        <v>&lt;li class="col-md-3"&gt;&lt;a class="text-cut" href="javascript:;"(click)="categoryEvent(2084006713)"&gt;{{"2084006713" | translate}}&lt;/a&gt;&lt;/li&gt;</v>
      </c>
    </row>
    <row r="91" spans="1:8" ht="14.25" customHeight="1">
      <c r="A91" s="2">
        <v>2084006715</v>
      </c>
      <c r="B91" s="2" t="s">
        <v>1752</v>
      </c>
      <c r="C91" s="2" t="s">
        <v>1753</v>
      </c>
      <c r="D91" s="2" t="s">
        <v>1755</v>
      </c>
      <c r="E91" s="3" t="str">
        <f ca="1">IFERROR(__xludf.DUMMYFUNCTION("GOOGLETRANSLATE(B91,""ja"",""vi"")"),"Tưới nước, tưới nước")</f>
        <v>Tưới nước, tưới nước</v>
      </c>
      <c r="F91" s="3" t="str">
        <f ca="1">IFERROR(__xludf.DUMMYFUNCTION("GOOGLETRANSLATE(C91,""ja"",""vi"")"),"Đấu giá&gt; hoa, làm vườn&gt; công cụ cây cảnh, vật liệu&gt; tưới nước, tưới nước")</f>
        <v>Đấu giá&gt; hoa, làm vườn&gt; công cụ cây cảnh, vật liệu&gt; tưới nước, tưới nước</v>
      </c>
      <c r="G91" s="229" t="str">
        <f t="shared" ca="1" si="2"/>
        <v>"2084006715" : "Tưới nước, tưới nước",</v>
      </c>
      <c r="H91" s="229" t="str">
        <f t="shared" si="3"/>
        <v>&lt;li class="col-md-3"&gt;&lt;a class="text-cut" href="javascript:;"(click)="categoryEvent(2084006715)"&gt;{{"2084006715" | translate}}&lt;/a&gt;&lt;/li&gt;</v>
      </c>
    </row>
    <row r="92" spans="1:8" ht="14.25" customHeight="1">
      <c r="A92" s="2">
        <v>2084006717</v>
      </c>
      <c r="B92" s="2" t="s">
        <v>1441</v>
      </c>
      <c r="C92" s="2" t="s">
        <v>1761</v>
      </c>
      <c r="D92" s="2" t="s">
        <v>1762</v>
      </c>
      <c r="E92" s="3" t="str">
        <f ca="1">IFERROR(__xludf.DUMMYFUNCTION("GOOGLETRANSLATE(B92,""ja"",""vi"")"),"Kéo, cưa")</f>
        <v>Kéo, cưa</v>
      </c>
      <c r="F92" s="3" t="str">
        <f ca="1">IFERROR(__xludf.DUMMYFUNCTION("GOOGLETRANSLATE(C92,""ja"",""vi"")"),"Đấu giá&gt; hoa, làm vườn&gt; công cụ cây cảnh, vật liệu&gt; kéo, cưa")</f>
        <v>Đấu giá&gt; hoa, làm vườn&gt; công cụ cây cảnh, vật liệu&gt; kéo, cưa</v>
      </c>
      <c r="G92" s="229" t="str">
        <f t="shared" ca="1" si="2"/>
        <v>"2084006717" : "Kéo, cưa",</v>
      </c>
      <c r="H92" s="229" t="str">
        <f t="shared" si="3"/>
        <v>&lt;li class="col-md-3"&gt;&lt;a class="text-cut" href="javascript:;"(click)="categoryEvent(2084006717)"&gt;{{"2084006717" | translate}}&lt;/a&gt;&lt;/li&gt;</v>
      </c>
    </row>
    <row r="93" spans="1:8" ht="14.25" customHeight="1">
      <c r="A93" s="2">
        <v>44372</v>
      </c>
      <c r="B93" s="2" t="s">
        <v>1768</v>
      </c>
      <c r="C93" s="2" t="s">
        <v>1769</v>
      </c>
      <c r="D93" s="2" t="s">
        <v>1770</v>
      </c>
      <c r="E93" s="3" t="str">
        <f ca="1">IFERROR(__xludf.DUMMYFUNCTION("GOOGLETRANSLATE(B93,""ja"",""vi"")"),"Accent, trang trí")</f>
        <v>Accent, trang trí</v>
      </c>
      <c r="F93" s="3" t="str">
        <f ca="1">IFERROR(__xludf.DUMMYFUNCTION("GOOGLETRANSLATE(C93,""ja"",""vi"")"),"Đấu giá&gt; hoa, làm vườn&gt; công cụ cây cảnh, vật liệu&gt; giọng, trang trí")</f>
        <v>Đấu giá&gt; hoa, làm vườn&gt; công cụ cây cảnh, vật liệu&gt; giọng, trang trí</v>
      </c>
      <c r="G93" s="229" t="str">
        <f t="shared" ca="1" si="2"/>
        <v>"44372" : "Accent, trang trí",</v>
      </c>
      <c r="H93" s="229" t="str">
        <f t="shared" si="3"/>
        <v>&lt;li class="col-md-3"&gt;&lt;a class="text-cut" href="javascript:;"(click)="categoryEvent(44372)"&gt;{{"44372" | translate}}&lt;/a&gt;&lt;/li&gt;</v>
      </c>
    </row>
    <row r="94" spans="1:8" ht="14.25" customHeight="1">
      <c r="A94" s="2">
        <v>2084045614</v>
      </c>
      <c r="B94" s="2" t="s">
        <v>1772</v>
      </c>
      <c r="C94" s="2" t="s">
        <v>1774</v>
      </c>
      <c r="D94" s="2" t="s">
        <v>1776</v>
      </c>
      <c r="E94" s="3" t="str">
        <f ca="1">IFERROR(__xludf.DUMMYFUNCTION("GOOGLETRANSLATE(B94,""ja"",""vi"")"),"Bàn ghế trong vườn")</f>
        <v>Bàn ghế trong vườn</v>
      </c>
      <c r="F94" s="3" t="str">
        <f ca="1">IFERROR(__xludf.DUMMYFUNCTION("GOOGLETRANSLATE(C94,""ja"",""vi"")"),"Đấu giá&gt; hoa, làm vườn&gt; công cụ cây cảnh, vật liệu&gt; nội thất sân vườn")</f>
        <v>Đấu giá&gt; hoa, làm vườn&gt; công cụ cây cảnh, vật liệu&gt; nội thất sân vườn</v>
      </c>
      <c r="G94" s="229" t="str">
        <f t="shared" ca="1" si="2"/>
        <v>"2084045614" : "Bàn ghế trong vườn",</v>
      </c>
      <c r="H94" s="229" t="str">
        <f t="shared" si="3"/>
        <v>&lt;li class="col-md-3"&gt;&lt;a class="text-cut" href="javascript:;"(click)="categoryEvent(2084045614)"&gt;{{"2084045614" | translate}}&lt;/a&gt;&lt;/li&gt;</v>
      </c>
    </row>
    <row r="95" spans="1:8" ht="14.25" customHeight="1">
      <c r="A95" s="2">
        <v>2084047047</v>
      </c>
      <c r="B95" s="2" t="s">
        <v>1781</v>
      </c>
      <c r="C95" s="2" t="s">
        <v>1783</v>
      </c>
      <c r="D95" s="2" t="s">
        <v>1786</v>
      </c>
      <c r="E95" s="3" t="str">
        <f ca="1">IFERROR(__xludf.DUMMYFUNCTION("GOOGLETRANSLATE(B95,""ja"",""vi"")"),"vườn ánh sáng")</f>
        <v>vườn ánh sáng</v>
      </c>
      <c r="F95" s="3" t="str">
        <f ca="1">IFERROR(__xludf.DUMMYFUNCTION("GOOGLETRANSLATE(C95,""ja"",""vi"")"),"Đấu giá&gt; hoa, làm vườn&gt; công cụ cây cảnh, vật liệu&gt; Vườn Đèn")</f>
        <v>Đấu giá&gt; hoa, làm vườn&gt; công cụ cây cảnh, vật liệu&gt; Vườn Đèn</v>
      </c>
      <c r="G95" s="229" t="str">
        <f t="shared" ca="1" si="2"/>
        <v>"2084047047" : "vườn ánh sáng",</v>
      </c>
      <c r="H95" s="229" t="str">
        <f t="shared" si="3"/>
        <v>&lt;li class="col-md-3"&gt;&lt;a class="text-cut" href="javascript:;"(click)="categoryEvent(2084047047)"&gt;{{"2084047047" | translate}}&lt;/a&gt;&lt;/li&gt;</v>
      </c>
    </row>
    <row r="96" spans="1:8" ht="14.25" customHeight="1">
      <c r="A96" s="2">
        <v>2084006716</v>
      </c>
      <c r="B96" s="2" t="s">
        <v>1446</v>
      </c>
      <c r="C96" s="2" t="s">
        <v>1791</v>
      </c>
      <c r="D96" s="2" t="s">
        <v>1793</v>
      </c>
      <c r="E96" s="3" t="str">
        <f ca="1">IFERROR(__xludf.DUMMYFUNCTION("GOOGLETRANSLATE(B96,""ja"",""vi"")"),"Scoop, xẻng")</f>
        <v>Scoop, xẻng</v>
      </c>
      <c r="F96" s="3" t="str">
        <f ca="1">IFERROR(__xludf.DUMMYFUNCTION("GOOGLETRANSLATE(C96,""ja"",""vi"")"),"Đấu giá&gt; hoa, làm vườn&gt; công cụ cây cảnh, vật liệu&gt; muỗng, xẻng")</f>
        <v>Đấu giá&gt; hoa, làm vườn&gt; công cụ cây cảnh, vật liệu&gt; muỗng, xẻng</v>
      </c>
      <c r="G96" s="229" t="str">
        <f t="shared" ca="1" si="2"/>
        <v>"2084006716" : "Scoop, xẻng",</v>
      </c>
      <c r="H96" s="229" t="str">
        <f t="shared" si="3"/>
        <v>&lt;li class="col-md-3"&gt;&lt;a class="text-cut" href="javascript:;"(click)="categoryEvent(2084006716)"&gt;{{"2084006716" | translate}}&lt;/a&gt;&lt;/li&gt;</v>
      </c>
    </row>
    <row r="97" spans="1:8" ht="14.25" customHeight="1">
      <c r="A97" s="2">
        <v>2084263007</v>
      </c>
      <c r="B97" s="2" t="s">
        <v>1798</v>
      </c>
      <c r="C97" s="2" t="s">
        <v>1800</v>
      </c>
      <c r="D97" s="2" t="s">
        <v>1802</v>
      </c>
      <c r="E97" s="3" t="str">
        <f ca="1">IFERROR(__xludf.DUMMYFUNCTION("GOOGLETRANSLATE(B97,""ja"",""vi"")"),"Stepladder, thang, giàn giáo")</f>
        <v>Stepladder, thang, giàn giáo</v>
      </c>
      <c r="F97" s="3" t="str">
        <f ca="1">IFERROR(__xludf.DUMMYFUNCTION("GOOGLETRANSLATE(C97,""ja"",""vi"")"),"Đấu giá&gt; hoa, làm vườn&gt; công cụ cây cảnh, vật liệu&gt; stepladder, thang, giàn giáo")</f>
        <v>Đấu giá&gt; hoa, làm vườn&gt; công cụ cây cảnh, vật liệu&gt; stepladder, thang, giàn giáo</v>
      </c>
      <c r="G97" s="229" t="str">
        <f t="shared" ca="1" si="2"/>
        <v>"2084263007" : "Stepladder, thang, giàn giáo",</v>
      </c>
      <c r="H97" s="229" t="str">
        <f t="shared" si="3"/>
        <v>&lt;li class="col-md-3"&gt;&lt;a class="text-cut" href="javascript:;"(click)="categoryEvent(2084263007)"&gt;{{"2084263007" | translate}}&lt;/a&gt;&lt;/li&gt;</v>
      </c>
    </row>
    <row r="98" spans="1:8" ht="14.25" customHeight="1">
      <c r="A98" s="2">
        <v>2084048889</v>
      </c>
      <c r="B98" s="2" t="s">
        <v>1807</v>
      </c>
      <c r="C98" s="2" t="s">
        <v>1809</v>
      </c>
      <c r="D98" s="2" t="s">
        <v>1811</v>
      </c>
      <c r="E98" s="3" t="str">
        <f ca="1">IFERROR(__xludf.DUMMYFUNCTION("GOOGLETRANSLATE(B98,""ja"",""vi"")"),"Sprayer")</f>
        <v>Sprayer</v>
      </c>
      <c r="F98" s="3" t="str">
        <f ca="1">IFERROR(__xludf.DUMMYFUNCTION("GOOGLETRANSLATE(C98,""ja"",""vi"")"),"Đấu giá&gt; hoa, làm vườn&gt; công cụ cây cảnh, vật liệu&gt; phun")</f>
        <v>Đấu giá&gt; hoa, làm vườn&gt; công cụ cây cảnh, vật liệu&gt; phun</v>
      </c>
      <c r="G98" s="229" t="str">
        <f t="shared" ca="1" si="2"/>
        <v>"2084048889" : "Sprayer",</v>
      </c>
      <c r="H98" s="229" t="str">
        <f t="shared" si="3"/>
        <v>&lt;li class="col-md-3"&gt;&lt;a class="text-cut" href="javascript:;"(click)="categoryEvent(2084048889)"&gt;{{"2084048889" | translate}}&lt;/a&gt;&lt;/li&gt;</v>
      </c>
    </row>
    <row r="99" spans="1:8" ht="14.25" customHeight="1">
      <c r="A99" s="2">
        <v>2084252942</v>
      </c>
      <c r="B99" s="2" t="s">
        <v>1347</v>
      </c>
      <c r="C99" s="2" t="s">
        <v>1818</v>
      </c>
      <c r="D99" s="2" t="s">
        <v>1819</v>
      </c>
      <c r="E99" s="3" t="str">
        <f ca="1">IFERROR(__xludf.DUMMYFUNCTION("GOOGLETRANSLATE(B99,""ja"",""vi"")"),"vật tư nông nghiệp")</f>
        <v>vật tư nông nghiệp</v>
      </c>
      <c r="F99" s="3" t="str">
        <f ca="1">IFERROR(__xludf.DUMMYFUNCTION("GOOGLETRANSLATE(C99,""ja"",""vi"")"),"Đấu giá&gt; hoa, làm vườn&gt; công cụ cây cảnh, vật liệu&gt; vật tư nông nghiệp")</f>
        <v>Đấu giá&gt; hoa, làm vườn&gt; công cụ cây cảnh, vật liệu&gt; vật tư nông nghiệp</v>
      </c>
      <c r="G99" s="229" t="str">
        <f t="shared" ca="1" si="2"/>
        <v>"2084252942" : "vật tư nông nghiệp",</v>
      </c>
      <c r="H99" s="229" t="str">
        <f t="shared" si="3"/>
        <v>&lt;li class="col-md-3"&gt;&lt;a class="text-cut" href="javascript:;"(click)="categoryEvent(2084252942)"&gt;{{"2084252942" | translate}}&lt;/a&gt;&lt;/li&gt;</v>
      </c>
    </row>
    <row r="100" spans="1:8" ht="14.25" customHeight="1">
      <c r="A100" s="2">
        <v>2084206881</v>
      </c>
      <c r="B100" s="2" t="s">
        <v>16</v>
      </c>
      <c r="C100" s="2" t="s">
        <v>1826</v>
      </c>
      <c r="D100" s="2" t="s">
        <v>1828</v>
      </c>
      <c r="E100" s="3" t="str">
        <f ca="1">IFERROR(__xludf.DUMMYFUNCTION("GOOGLETRANSLATE(B100,""ja"",""vi"")"),"nếu không thì")</f>
        <v>nếu không thì</v>
      </c>
      <c r="F100" s="3" t="str">
        <f ca="1">IFERROR(__xludf.DUMMYFUNCTION("GOOGLETRANSLATE(C100,""ja"",""vi"")"),"Đấu giá&gt; hoa, làm vườn&gt; công cụ cây cảnh, vật liệu&gt; Khác")</f>
        <v>Đấu giá&gt; hoa, làm vườn&gt; công cụ cây cảnh, vật liệu&gt; Khác</v>
      </c>
      <c r="G100" s="229" t="str">
        <f t="shared" ca="1" si="2"/>
        <v>"2084206881" : "nếu không thì",</v>
      </c>
      <c r="H100" s="229" t="str">
        <f t="shared" si="3"/>
        <v>&lt;li class="col-md-3"&gt;&lt;a class="text-cut" href="javascript:;"(click)="categoryEvent(2084206881)"&gt;{{"2084206881" | translate}}&lt;/a&gt;&lt;/li&gt;</v>
      </c>
    </row>
    <row r="101" spans="1:8" ht="14.25" customHeight="1">
      <c r="E101" s="3"/>
      <c r="F101" s="3"/>
      <c r="G101" s="229"/>
      <c r="H101" s="229"/>
    </row>
    <row r="102" spans="1:8" ht="24" customHeight="1">
      <c r="A102" s="253">
        <v>2084006708</v>
      </c>
      <c r="B102" s="232"/>
      <c r="C102" s="232"/>
      <c r="D102" s="233"/>
      <c r="E102" s="3"/>
      <c r="F102" s="3"/>
      <c r="G102" s="229"/>
      <c r="H102" s="229"/>
    </row>
    <row r="103" spans="1:8" ht="14.25" customHeight="1">
      <c r="A103" s="2">
        <v>2084047119</v>
      </c>
      <c r="B103" s="2" t="s">
        <v>1842</v>
      </c>
      <c r="C103" s="2" t="s">
        <v>1845</v>
      </c>
      <c r="D103" s="2" t="s">
        <v>1847</v>
      </c>
      <c r="E103" s="3" t="str">
        <f ca="1">IFERROR(__xludf.DUMMYFUNCTION("GOOGLETRANSLATE(B103,""ja"",""vi"")"),"chung")</f>
        <v>chung</v>
      </c>
      <c r="F103" s="3" t="str">
        <f ca="1">IFERROR(__xludf.DUMMYFUNCTION("GOOGLETRANSLATE(C103,""ja"",""vi"")"),"Đấu giá&gt; hoa, làm vườn&gt; hoa khô&gt; chung")</f>
        <v>Đấu giá&gt; hoa, làm vườn&gt; hoa khô&gt; chung</v>
      </c>
      <c r="G103" s="229" t="str">
        <f t="shared" ca="1" si="2"/>
        <v>"2084047119" : "chung",</v>
      </c>
      <c r="H103" s="229" t="str">
        <f t="shared" si="3"/>
        <v>&lt;li class="col-md-3"&gt;&lt;a class="text-cut" href="javascript:;"(click)="categoryEvent(2084047119)"&gt;{{"2084047119" | translate}}&lt;/a&gt;&lt;/li&gt;</v>
      </c>
    </row>
    <row r="104" spans="1:8" ht="14.25" customHeight="1">
      <c r="A104" s="2">
        <v>2084047121</v>
      </c>
      <c r="B104" s="2" t="s">
        <v>1232</v>
      </c>
      <c r="C104" s="2" t="s">
        <v>1851</v>
      </c>
      <c r="D104" s="2" t="s">
        <v>1853</v>
      </c>
      <c r="E104" s="3" t="str">
        <f ca="1">IFERROR(__xludf.DUMMYFUNCTION("GOOGLETRANSLATE(B104,""ja"",""vi"")"),"sắp xếp")</f>
        <v>sắp xếp</v>
      </c>
      <c r="F104" s="3" t="str">
        <f ca="1">IFERROR(__xludf.DUMMYFUNCTION("GOOGLETRANSLATE(C104,""ja"",""vi"")"),"Đấu giá&gt; hoa, làm vườn&gt; hoa khô&gt; sắp xếp")</f>
        <v>Đấu giá&gt; hoa, làm vườn&gt; hoa khô&gt; sắp xếp</v>
      </c>
      <c r="G104" s="229" t="str">
        <f t="shared" ca="1" si="2"/>
        <v>"2084047121" : "sắp xếp",</v>
      </c>
      <c r="H104" s="229" t="str">
        <f t="shared" si="3"/>
        <v>&lt;li class="col-md-3"&gt;&lt;a class="text-cut" href="javascript:;"(click)="categoryEvent(2084047121)"&gt;{{"2084047121" | translate}}&lt;/a&gt;&lt;/li&gt;</v>
      </c>
    </row>
    <row r="105" spans="1:8" ht="14.25" customHeight="1">
      <c r="A105" s="2">
        <v>2084047755</v>
      </c>
      <c r="B105" s="2" t="s">
        <v>1855</v>
      </c>
      <c r="C105" s="2" t="s">
        <v>1856</v>
      </c>
      <c r="D105" s="2" t="s">
        <v>1857</v>
      </c>
      <c r="E105" s="3" t="str">
        <f ca="1">IFERROR(__xludf.DUMMYFUNCTION("GOOGLETRANSLATE(B105,""ja"",""vi"")"),"potpourri")</f>
        <v>potpourri</v>
      </c>
      <c r="F105" s="3" t="str">
        <f ca="1">IFERROR(__xludf.DUMMYFUNCTION("GOOGLETRANSLATE(C105,""ja"",""vi"")"),"Đấu giá&gt; hoa, làm vườn&gt; hoa khô&gt; Potpourri")</f>
        <v>Đấu giá&gt; hoa, làm vườn&gt; hoa khô&gt; Potpourri</v>
      </c>
      <c r="G105" s="229" t="str">
        <f t="shared" ca="1" si="2"/>
        <v>"2084047755" : "potpourri",</v>
      </c>
      <c r="H105" s="229" t="str">
        <f t="shared" si="3"/>
        <v>&lt;li class="col-md-3"&gt;&lt;a class="text-cut" href="javascript:;"(click)="categoryEvent(2084047755)"&gt;{{"2084047755" | translate}}&lt;/a&gt;&lt;/li&gt;</v>
      </c>
    </row>
    <row r="106" spans="1:8" ht="14.25" customHeight="1">
      <c r="A106" s="2">
        <v>2084047120</v>
      </c>
      <c r="B106" s="2" t="s">
        <v>1304</v>
      </c>
      <c r="C106" s="2" t="s">
        <v>1860</v>
      </c>
      <c r="D106" s="2" t="s">
        <v>1861</v>
      </c>
      <c r="E106" s="3" t="str">
        <f ca="1">IFERROR(__xludf.DUMMYFUNCTION("GOOGLETRANSLATE(B106,""ja"",""vi"")"),"cho thuê")</f>
        <v>cho thuê</v>
      </c>
      <c r="F106" s="3" t="str">
        <f ca="1">IFERROR(__xludf.DUMMYFUNCTION("GOOGLETRANSLATE(C106,""ja"",""vi"")"),"Đấu giá&gt; hoa, làm vườn&gt; hoa khô&gt; thuê")</f>
        <v>Đấu giá&gt; hoa, làm vườn&gt; hoa khô&gt; thuê</v>
      </c>
      <c r="G106" s="229" t="str">
        <f t="shared" ca="1" si="2"/>
        <v>"2084047120" : "cho thuê",</v>
      </c>
      <c r="H106" s="229" t="str">
        <f t="shared" si="3"/>
        <v>&lt;li class="col-md-3"&gt;&lt;a class="text-cut" href="javascript:;"(click)="categoryEvent(2084047120)"&gt;{{"2084047120" | translate}}&lt;/a&gt;&lt;/li&gt;</v>
      </c>
    </row>
    <row r="107" spans="1:8" ht="14.25" customHeight="1">
      <c r="A107" s="2">
        <v>2084207325</v>
      </c>
      <c r="B107" s="2" t="s">
        <v>1868</v>
      </c>
      <c r="C107" s="2" t="s">
        <v>1870</v>
      </c>
      <c r="D107" s="2" t="s">
        <v>1873</v>
      </c>
      <c r="E107" s="3" t="str">
        <f ca="1">IFERROR(__xludf.DUMMYFUNCTION("GOOGLETRANSLATE(B107,""ja"",""vi"")"),"bó hoa")</f>
        <v>bó hoa</v>
      </c>
      <c r="F107" s="3" t="str">
        <f ca="1">IFERROR(__xludf.DUMMYFUNCTION("GOOGLETRANSLATE(C107,""ja"",""vi"")"),"Đấu giá&gt; hoa, làm vườn&gt; hoa khô&gt; bó")</f>
        <v>Đấu giá&gt; hoa, làm vườn&gt; hoa khô&gt; bó</v>
      </c>
      <c r="G107" s="229" t="str">
        <f t="shared" ca="1" si="2"/>
        <v>"2084207325" : "bó hoa",</v>
      </c>
      <c r="H107" s="229" t="str">
        <f t="shared" si="3"/>
        <v>&lt;li class="col-md-3"&gt;&lt;a class="text-cut" href="javascript:;"(click)="categoryEvent(2084207325)"&gt;{{"2084207325" | translate}}&lt;/a&gt;&lt;/li&gt;</v>
      </c>
    </row>
    <row r="108" spans="1:8" ht="14.25" customHeight="1">
      <c r="E108" s="3"/>
      <c r="F108" s="3"/>
      <c r="G108" s="229"/>
      <c r="H108" s="229"/>
    </row>
    <row r="109" spans="1:8" ht="23.4" customHeight="1">
      <c r="A109" s="264">
        <v>2084047125</v>
      </c>
      <c r="B109" s="232"/>
      <c r="C109" s="232"/>
      <c r="D109" s="233"/>
      <c r="E109" s="3"/>
      <c r="F109" s="3"/>
      <c r="G109" s="229"/>
      <c r="H109" s="229"/>
    </row>
    <row r="110" spans="1:8" ht="14.25" customHeight="1">
      <c r="A110" s="2">
        <v>2084047118</v>
      </c>
      <c r="B110" s="2" t="s">
        <v>1887</v>
      </c>
      <c r="C110" s="2" t="s">
        <v>1888</v>
      </c>
      <c r="D110" s="2" t="s">
        <v>1889</v>
      </c>
      <c r="E110" s="3" t="str">
        <f ca="1">IFERROR(__xludf.DUMMYFUNCTION("GOOGLETRANSLATE(B110,""ja"",""vi"")"),"Giáng sinh vòng hoa")</f>
        <v>Giáng sinh vòng hoa</v>
      </c>
      <c r="F110" s="3" t="str">
        <f ca="1">IFERROR(__xludf.DUMMYFUNCTION("GOOGLETRANSLATE(C110,""ja"",""vi"")"),"Đấu giá&gt; hoa, làm vườn&gt; thuê&gt; Giáng sinh vòng hoa")</f>
        <v>Đấu giá&gt; hoa, làm vườn&gt; thuê&gt; Giáng sinh vòng hoa</v>
      </c>
      <c r="G110" s="229" t="str">
        <f t="shared" ca="1" si="2"/>
        <v>"2084047118" : "Giáng sinh vòng hoa",</v>
      </c>
      <c r="H110" s="229" t="str">
        <f t="shared" si="3"/>
        <v>&lt;li class="col-md-3"&gt;&lt;a class="text-cut" href="javascript:;"(click)="categoryEvent(2084047118)"&gt;{{"2084047118" | translate}}&lt;/a&gt;&lt;/li&gt;</v>
      </c>
    </row>
    <row r="111" spans="1:8" ht="14.25" customHeight="1">
      <c r="A111" s="2">
        <v>2084047120</v>
      </c>
      <c r="B111" s="2" t="s">
        <v>1298</v>
      </c>
      <c r="C111" s="2" t="s">
        <v>1895</v>
      </c>
      <c r="D111" s="2" t="s">
        <v>1896</v>
      </c>
      <c r="E111" s="3" t="str">
        <f ca="1">IFERROR(__xludf.DUMMYFUNCTION("GOOGLETRANSLATE(B111,""ja"",""vi"")"),"hoa khô")</f>
        <v>hoa khô</v>
      </c>
      <c r="F111" s="3" t="str">
        <f ca="1">IFERROR(__xludf.DUMMYFUNCTION("GOOGLETRANSLATE(C111,""ja"",""vi"")"),"Đấu giá&gt; hoa, làm vườn&gt; thuê&gt; hoa khô")</f>
        <v>Đấu giá&gt; hoa, làm vườn&gt; thuê&gt; hoa khô</v>
      </c>
      <c r="G111" s="229" t="str">
        <f t="shared" ca="1" si="2"/>
        <v>"2084047120" : "hoa khô",</v>
      </c>
      <c r="H111" s="229" t="str">
        <f t="shared" si="3"/>
        <v>&lt;li class="col-md-3"&gt;&lt;a class="text-cut" href="javascript:;"(click)="categoryEvent(2084047120)"&gt;{{"2084047120" | translate}}&lt;/a&gt;&lt;/li&gt;</v>
      </c>
    </row>
    <row r="112" spans="1:8" ht="14.25" customHeight="1">
      <c r="A112" s="2">
        <v>2084047126</v>
      </c>
      <c r="B112" s="2" t="s">
        <v>1465</v>
      </c>
      <c r="C112" s="2" t="s">
        <v>1899</v>
      </c>
      <c r="D112" s="2" t="s">
        <v>1901</v>
      </c>
      <c r="E112" s="3" t="str">
        <f ca="1">IFERROR(__xludf.DUMMYFUNCTION("GOOGLETRANSLATE(B112,""ja"",""vi"")"),"cắm hoa")</f>
        <v>cắm hoa</v>
      </c>
      <c r="F112" s="3" t="str">
        <f ca="1">IFERROR(__xludf.DUMMYFUNCTION("GOOGLETRANSLATE(C112,""ja"",""vi"")"),"Đấu giá&gt; hoa, làm vườn&gt; thuê&gt; cắm hoa")</f>
        <v>Đấu giá&gt; hoa, làm vườn&gt; thuê&gt; cắm hoa</v>
      </c>
      <c r="G112" s="229" t="str">
        <f t="shared" ca="1" si="2"/>
        <v>"2084047126" : "cắm hoa",</v>
      </c>
      <c r="H112" s="229" t="str">
        <f t="shared" si="3"/>
        <v>&lt;li class="col-md-3"&gt;&lt;a class="text-cut" href="javascript:;"(click)="categoryEvent(2084047126)"&gt;{{"2084047126" | translate}}&lt;/a&gt;&lt;/li&gt;</v>
      </c>
    </row>
    <row r="113" spans="1:8" ht="14.25" customHeight="1">
      <c r="A113" s="2">
        <v>2084047122</v>
      </c>
      <c r="B113" s="2" t="s">
        <v>1315</v>
      </c>
      <c r="C113" s="2" t="s">
        <v>1902</v>
      </c>
      <c r="D113" s="2" t="s">
        <v>1903</v>
      </c>
      <c r="E113" s="3" t="str">
        <f ca="1">IFERROR(__xludf.DUMMYFUNCTION("GOOGLETRANSLATE(B113,""ja"",""vi"")"),"hoa nhân tạo")</f>
        <v>hoa nhân tạo</v>
      </c>
      <c r="F113" s="3" t="str">
        <f ca="1">IFERROR(__xludf.DUMMYFUNCTION("GOOGLETRANSLATE(C113,""ja"",""vi"")"),"Đấu giá&gt; hoa, làm vườn&gt; thuê&gt; hoa giả")</f>
        <v>Đấu giá&gt; hoa, làm vườn&gt; thuê&gt; hoa giả</v>
      </c>
      <c r="G113" s="229" t="str">
        <f t="shared" ca="1" si="2"/>
        <v>"2084047122" : "hoa nhân tạo",</v>
      </c>
      <c r="H113" s="229" t="str">
        <f t="shared" si="3"/>
        <v>&lt;li class="col-md-3"&gt;&lt;a class="text-cut" href="javascript:;"(click)="categoryEvent(2084047122)"&gt;{{"2084047122" | translate}}&lt;/a&gt;&lt;/li&gt;</v>
      </c>
    </row>
    <row r="114" spans="1:8" ht="14.25" customHeight="1">
      <c r="E114" s="3"/>
      <c r="F114" s="3"/>
      <c r="G114" s="229"/>
      <c r="H114" s="229"/>
    </row>
    <row r="115" spans="1:8" ht="22.8" customHeight="1">
      <c r="A115" s="249">
        <v>2084006705</v>
      </c>
      <c r="B115" s="232"/>
      <c r="C115" s="232"/>
      <c r="D115" s="233"/>
      <c r="E115" s="3"/>
      <c r="F115" s="3"/>
      <c r="G115" s="229"/>
      <c r="H115" s="229"/>
    </row>
    <row r="116" spans="1:8" ht="14.25" customHeight="1">
      <c r="A116" s="2">
        <v>2084047124</v>
      </c>
      <c r="B116" s="2" t="s">
        <v>1842</v>
      </c>
      <c r="C116" s="2" t="s">
        <v>1913</v>
      </c>
      <c r="D116" s="2" t="s">
        <v>1914</v>
      </c>
      <c r="E116" s="3" t="str">
        <f ca="1">IFERROR(__xludf.DUMMYFUNCTION("GOOGLETRANSLATE(B116,""ja"",""vi"")"),"chung")</f>
        <v>chung</v>
      </c>
      <c r="F116" s="3" t="str">
        <f ca="1">IFERROR(__xludf.DUMMYFUNCTION("GOOGLETRANSLATE(C116,""ja"",""vi"")"),"Đấu giá&gt; Sở thích, văn hóa&gt; thủ công, thủ công mỹ nghệ&gt; Nghệ thuật hoa, hoa ép&gt; General")</f>
        <v>Đấu giá&gt; Sở thích, văn hóa&gt; thủ công, thủ công mỹ nghệ&gt; Nghệ thuật hoa, hoa ép&gt; General</v>
      </c>
      <c r="G116" s="229" t="str">
        <f t="shared" ca="1" si="2"/>
        <v>"2084047124" : "chung",</v>
      </c>
      <c r="H116" s="229" t="str">
        <f t="shared" si="3"/>
        <v>&lt;li class="col-md-3"&gt;&lt;a class="text-cut" href="javascript:;"(click)="categoryEvent(2084047124)"&gt;{{"2084047124" | translate}}&lt;/a&gt;&lt;/li&gt;</v>
      </c>
    </row>
    <row r="117" spans="1:8" ht="14.25" customHeight="1">
      <c r="A117" s="2">
        <v>2084047123</v>
      </c>
      <c r="B117" s="2" t="s">
        <v>1232</v>
      </c>
      <c r="C117" s="2" t="s">
        <v>1919</v>
      </c>
      <c r="D117" s="2" t="s">
        <v>1920</v>
      </c>
      <c r="E117" s="3" t="str">
        <f ca="1">IFERROR(__xludf.DUMMYFUNCTION("GOOGLETRANSLATE(B117,""ja"",""vi"")"),"sắp xếp")</f>
        <v>sắp xếp</v>
      </c>
      <c r="F117" s="3" t="str">
        <f ca="1">IFERROR(__xludf.DUMMYFUNCTION("GOOGLETRANSLATE(C117,""ja"",""vi"")"),"Đấu giá&gt; Sở thích, văn hóa&gt; thủ công, thủ công mỹ nghệ&gt; Nghệ thuật hoa, hoa ép&gt; sắp xếp")</f>
        <v>Đấu giá&gt; Sở thích, văn hóa&gt; thủ công, thủ công mỹ nghệ&gt; Nghệ thuật hoa, hoa ép&gt; sắp xếp</v>
      </c>
      <c r="G117" s="229" t="str">
        <f t="shared" ca="1" si="2"/>
        <v>"2084047123" : "sắp xếp",</v>
      </c>
      <c r="H117" s="229" t="str">
        <f t="shared" si="3"/>
        <v>&lt;li class="col-md-3"&gt;&lt;a class="text-cut" href="javascript:;"(click)="categoryEvent(2084047123)"&gt;{{"2084047123" | translate}}&lt;/a&gt;&lt;/li&gt;</v>
      </c>
    </row>
    <row r="118" spans="1:8" ht="14.25" customHeight="1">
      <c r="A118" s="2">
        <v>2084047122</v>
      </c>
      <c r="B118" s="2" t="s">
        <v>1304</v>
      </c>
      <c r="C118" s="2" t="s">
        <v>1925</v>
      </c>
      <c r="D118" s="2" t="s">
        <v>1926</v>
      </c>
      <c r="E118" s="3" t="str">
        <f ca="1">IFERROR(__xludf.DUMMYFUNCTION("GOOGLETRANSLATE(B118,""ja"",""vi"")"),"cho thuê")</f>
        <v>cho thuê</v>
      </c>
      <c r="F118" s="3" t="str">
        <f ca="1">IFERROR(__xludf.DUMMYFUNCTION("GOOGLETRANSLATE(C118,""ja"",""vi"")"),"Đấu giá&gt; Sở thích, văn hóa&gt; thủ công, thủ công mỹ nghệ&gt; Art Flower, ép hoa&gt; thuê")</f>
        <v>Đấu giá&gt; Sở thích, văn hóa&gt; thủ công, thủ công mỹ nghệ&gt; Art Flower, ép hoa&gt; thuê</v>
      </c>
      <c r="G118" s="229" t="str">
        <f t="shared" ca="1" si="2"/>
        <v>"2084047122" : "cho thuê",</v>
      </c>
      <c r="H118" s="229" t="str">
        <f t="shared" si="3"/>
        <v>&lt;li class="col-md-3"&gt;&lt;a class="text-cut" href="javascript:;"(click)="categoryEvent(2084047122)"&gt;{{"2084047122" | translate}}&lt;/a&gt;&lt;/li&gt;</v>
      </c>
    </row>
    <row r="119" spans="1:8" ht="14.25" customHeight="1">
      <c r="A119" s="2">
        <v>2084048858</v>
      </c>
      <c r="B119" s="2" t="s">
        <v>1310</v>
      </c>
      <c r="C119" s="2" t="s">
        <v>1927</v>
      </c>
      <c r="D119" s="2" t="s">
        <v>1928</v>
      </c>
      <c r="E119" s="3" t="str">
        <f ca="1">IFERROR(__xludf.DUMMYFUNCTION("GOOGLETRANSLATE(B119,""ja"",""vi"")"),"ép hoa")</f>
        <v>ép hoa</v>
      </c>
      <c r="F119" s="3" t="str">
        <f ca="1">IFERROR(__xludf.DUMMYFUNCTION("GOOGLETRANSLATE(C119,""ja"",""vi"")"),"Đấu giá&gt; Sở thích, văn hóa&gt; thủ công, thủ công mỹ nghệ&gt; Art Flower, Pressed&gt; hoa ép")</f>
        <v>Đấu giá&gt; Sở thích, văn hóa&gt; thủ công, thủ công mỹ nghệ&gt; Art Flower, Pressed&gt; hoa ép</v>
      </c>
      <c r="G119" s="229" t="str">
        <f t="shared" ca="1" si="2"/>
        <v>"2084048858" : "ép hoa",</v>
      </c>
      <c r="H119" s="229" t="str">
        <f t="shared" si="3"/>
        <v>&lt;li class="col-md-3"&gt;&lt;a class="text-cut" href="javascript:;"(click)="categoryEvent(2084048858)"&gt;{{"2084048858" | translate}}&lt;/a&gt;&lt;/li&gt;</v>
      </c>
    </row>
    <row r="120" spans="1:8" ht="14.25" customHeight="1">
      <c r="A120" s="2">
        <v>2084305337</v>
      </c>
      <c r="B120" s="2" t="s">
        <v>1932</v>
      </c>
      <c r="C120" s="2" t="s">
        <v>1933</v>
      </c>
      <c r="D120" s="2" t="s">
        <v>1934</v>
      </c>
      <c r="E120" s="3" t="str">
        <f ca="1">IFERROR(__xludf.DUMMYFUNCTION("GOOGLETRANSLATE(B120,""ja"",""vi"")"),"Vật liệu, dụng cụ")</f>
        <v>Vật liệu, dụng cụ</v>
      </c>
      <c r="F120" s="3" t="str">
        <f ca="1">IFERROR(__xludf.DUMMYFUNCTION("GOOGLETRANSLATE(C120,""ja"",""vi"")"),"Đấu giá&gt; Sở thích, văn hóa&gt; thủ công, thủ công mỹ nghệ&gt; Nghệ thuật hoa, hoa ép&gt; nguyên liệu, dụng cụ")</f>
        <v>Đấu giá&gt; Sở thích, văn hóa&gt; thủ công, thủ công mỹ nghệ&gt; Nghệ thuật hoa, hoa ép&gt; nguyên liệu, dụng cụ</v>
      </c>
      <c r="G120" s="229" t="str">
        <f t="shared" ca="1" si="2"/>
        <v>"2084305337" : "Vật liệu, dụng cụ",</v>
      </c>
      <c r="H120" s="229" t="str">
        <f t="shared" si="3"/>
        <v>&lt;li class="col-md-3"&gt;&lt;a class="text-cut" href="javascript:;"(click)="categoryEvent(2084305337)"&gt;{{"2084305337" | translate}}&lt;/a&gt;&lt;/li&gt;</v>
      </c>
    </row>
    <row r="121" spans="1:8" ht="14.25" customHeight="1">
      <c r="A121" s="2">
        <v>2084305338</v>
      </c>
      <c r="B121" s="2" t="s">
        <v>1936</v>
      </c>
      <c r="C121" s="2" t="s">
        <v>1938</v>
      </c>
      <c r="D121" s="2" t="s">
        <v>1939</v>
      </c>
      <c r="E121" s="3" t="str">
        <f ca="1">IFERROR(__xludf.DUMMYFUNCTION("GOOGLETRANSLATE(B121,""ja"",""vi"")"),"xây dựng Kit")</f>
        <v>xây dựng Kit</v>
      </c>
      <c r="F121" s="3" t="str">
        <f ca="1">IFERROR(__xludf.DUMMYFUNCTION("GOOGLETRANSLATE(C121,""ja"",""vi"")"),"Đấu giá&gt; Sở thích, văn hóa&gt; thủ công, thủ công mỹ nghệ&gt; Nghệ thuật hoa, hoa ép&gt; Xây dựng Kit")</f>
        <v>Đấu giá&gt; Sở thích, văn hóa&gt; thủ công, thủ công mỹ nghệ&gt; Nghệ thuật hoa, hoa ép&gt; Xây dựng Kit</v>
      </c>
      <c r="G121" s="229" t="str">
        <f t="shared" ca="1" si="2"/>
        <v>"2084305338" : "xây dựng Kit",</v>
      </c>
      <c r="H121" s="229" t="str">
        <f t="shared" si="3"/>
        <v>&lt;li class="col-md-3"&gt;&lt;a class="text-cut" href="javascript:;"(click)="categoryEvent(2084305338)"&gt;{{"2084305338" | translate}}&lt;/a&gt;&lt;/li&gt;</v>
      </c>
    </row>
    <row r="122" spans="1:8" ht="14.25" customHeight="1">
      <c r="A122" s="2">
        <v>2084305336</v>
      </c>
      <c r="B122" s="2" t="s">
        <v>1060</v>
      </c>
      <c r="C122" s="2" t="s">
        <v>1943</v>
      </c>
      <c r="D122" s="2" t="s">
        <v>1944</v>
      </c>
      <c r="E122" s="3" t="str">
        <f ca="1">IFERROR(__xludf.DUMMYFUNCTION("GOOGLETRANSLATE(B122,""ja"",""vi"")"),"thành phẩm")</f>
        <v>thành phẩm</v>
      </c>
      <c r="F122" s="3" t="str">
        <f ca="1">IFERROR(__xludf.DUMMYFUNCTION("GOOGLETRANSLATE(C122,""ja"",""vi"")"),"Đấu giá&gt; Sở thích, văn hóa&gt; thủ công, thủ công mỹ nghệ&gt; Nghệ thuật hoa, hoa ép&gt; thành phẩm")</f>
        <v>Đấu giá&gt; Sở thích, văn hóa&gt; thủ công, thủ công mỹ nghệ&gt; Nghệ thuật hoa, hoa ép&gt; thành phẩm</v>
      </c>
      <c r="G122" s="229" t="str">
        <f t="shared" ca="1" si="2"/>
        <v>"2084305336" : "thành phẩm",</v>
      </c>
      <c r="H122" s="229" t="str">
        <f t="shared" si="3"/>
        <v>&lt;li class="col-md-3"&gt;&lt;a class="text-cut" href="javascript:;"(click)="categoryEvent(2084305336)"&gt;{{"2084305336" | translate}}&lt;/a&gt;&lt;/li&gt;</v>
      </c>
    </row>
    <row r="123" spans="1:8" ht="14.25" customHeight="1">
      <c r="A123" s="2">
        <v>2084006708</v>
      </c>
      <c r="B123" s="2" t="s">
        <v>1298</v>
      </c>
      <c r="C123" s="2" t="s">
        <v>1948</v>
      </c>
      <c r="D123" s="2" t="s">
        <v>1949</v>
      </c>
      <c r="E123" s="3" t="str">
        <f ca="1">IFERROR(__xludf.DUMMYFUNCTION("GOOGLETRANSLATE(B123,""ja"",""vi"")"),"hoa khô")</f>
        <v>hoa khô</v>
      </c>
      <c r="F123" s="3" t="str">
        <f ca="1">IFERROR(__xludf.DUMMYFUNCTION("GOOGLETRANSLATE(C123,""ja"",""vi"")"),"Đấu giá&gt; Sở thích, văn hóa&gt; thủ công, thủ công mỹ nghệ&gt; Nghệ thuật hoa, hoa ép&gt; hoa khô")</f>
        <v>Đấu giá&gt; Sở thích, văn hóa&gt; thủ công, thủ công mỹ nghệ&gt; Nghệ thuật hoa, hoa ép&gt; hoa khô</v>
      </c>
      <c r="G123" s="229" t="str">
        <f t="shared" ca="1" si="2"/>
        <v>"2084006708" : "hoa khô",</v>
      </c>
      <c r="H123" s="229" t="str">
        <f t="shared" si="3"/>
        <v>&lt;li class="col-md-3"&gt;&lt;a class="text-cut" href="javascript:;"(click)="categoryEvent(2084006708)"&gt;{{"2084006708" | translate}}&lt;/a&gt;&lt;/li&gt;</v>
      </c>
    </row>
    <row r="124" spans="1:8" ht="14.25" customHeight="1">
      <c r="E124" s="3"/>
      <c r="F124" s="3"/>
      <c r="G124" s="229"/>
      <c r="H124" s="229"/>
    </row>
    <row r="125" spans="1:8" ht="24" customHeight="1">
      <c r="A125" s="251">
        <v>2084047772</v>
      </c>
      <c r="B125" s="232"/>
      <c r="C125" s="232"/>
      <c r="D125" s="233"/>
      <c r="E125" s="3"/>
      <c r="F125" s="3"/>
      <c r="G125" s="229"/>
      <c r="H125" s="229"/>
    </row>
    <row r="126" spans="1:8" ht="14.25" customHeight="1">
      <c r="A126" s="2">
        <v>2084047774</v>
      </c>
      <c r="B126" s="2" t="s">
        <v>1225</v>
      </c>
      <c r="C126" s="2" t="s">
        <v>1953</v>
      </c>
      <c r="D126" s="2" t="s">
        <v>1954</v>
      </c>
      <c r="E126" s="3" t="str">
        <f ca="1">IFERROR(__xludf.DUMMYFUNCTION("GOOGLETRANSLATE(B126,""ja"",""vi"")"),"nghề làm vườn")</f>
        <v>nghề làm vườn</v>
      </c>
      <c r="F126" s="3" t="str">
        <f ca="1">IFERROR(__xludf.DUMMYFUNCTION("GOOGLETRANSLATE(C126,""ja"",""vi"")"),"Đấu giá&gt; cuốn sách, tạp chí&gt; nhà, sinh hoạt, chăm sóc trẻ&gt; hoa, làm vườn&gt; Làm vườn")</f>
        <v>Đấu giá&gt; cuốn sách, tạp chí&gt; nhà, sinh hoạt, chăm sóc trẻ&gt; hoa, làm vườn&gt; Làm vườn</v>
      </c>
      <c r="G126" s="229" t="str">
        <f t="shared" ca="1" si="2"/>
        <v>"2084047774" : "nghề làm vườn",</v>
      </c>
      <c r="H126" s="229" t="str">
        <f t="shared" si="3"/>
        <v>&lt;li class="col-md-3"&gt;&lt;a class="text-cut" href="javascript:;"(click)="categoryEvent(2084047774)"&gt;{{"2084047774" | translate}}&lt;/a&gt;&lt;/li&gt;</v>
      </c>
    </row>
    <row r="127" spans="1:8" ht="14.25" customHeight="1">
      <c r="A127" s="2">
        <v>2084047775</v>
      </c>
      <c r="B127" s="2" t="s">
        <v>1958</v>
      </c>
      <c r="C127" s="2" t="s">
        <v>1960</v>
      </c>
      <c r="D127" s="2" t="s">
        <v>1963</v>
      </c>
      <c r="E127" s="3" t="str">
        <f ca="1">IFERROR(__xludf.DUMMYFUNCTION("GOOGLETRANSLATE(B127,""ja"",""vi"")"),"Flower Arrangement")</f>
        <v>Flower Arrangement</v>
      </c>
      <c r="F127" s="3" t="str">
        <f ca="1">IFERROR(__xludf.DUMMYFUNCTION("GOOGLETRANSLATE(C127,""ja"",""vi"")"),"Đấu giá&gt; cuốn sách, tạp chí&gt; nhà, sinh hoạt, chăm sóc trẻ&gt; hoa, làm vườn&gt; cắm hoa")</f>
        <v>Đấu giá&gt; cuốn sách, tạp chí&gt; nhà, sinh hoạt, chăm sóc trẻ&gt; hoa, làm vườn&gt; cắm hoa</v>
      </c>
      <c r="G127" s="229" t="str">
        <f t="shared" ca="1" si="2"/>
        <v>"2084047775" : "Flower Arrangement",</v>
      </c>
      <c r="H127" s="229" t="str">
        <f t="shared" si="3"/>
        <v>&lt;li class="col-md-3"&gt;&lt;a class="text-cut" href="javascript:;"(click)="categoryEvent(2084047775)"&gt;{{"2084047775" | translate}}&lt;/a&gt;&lt;/li&gt;</v>
      </c>
    </row>
    <row r="128" spans="1:8" ht="14.25" customHeight="1">
      <c r="A128" s="2">
        <v>2084047776</v>
      </c>
      <c r="B128" s="2" t="s">
        <v>1964</v>
      </c>
      <c r="C128" s="2" t="s">
        <v>1965</v>
      </c>
      <c r="D128" s="2" t="s">
        <v>1966</v>
      </c>
      <c r="E128" s="3" t="str">
        <f ca="1">IFERROR(__xludf.DUMMYFUNCTION("GOOGLETRANSLATE(B128,""ja"",""vi"")"),"nhà vườn")</f>
        <v>nhà vườn</v>
      </c>
      <c r="F128" s="3" t="str">
        <f ca="1">IFERROR(__xludf.DUMMYFUNCTION("GOOGLETRANSLATE(C128,""ja"",""vi"")"),"Đấu giá&gt; cuốn sách, tạp chí&gt; nhà, sinh hoạt, chăm sóc trẻ&gt; hoa, làm vườn&gt; vườn nhà")</f>
        <v>Đấu giá&gt; cuốn sách, tạp chí&gt; nhà, sinh hoạt, chăm sóc trẻ&gt; hoa, làm vườn&gt; vườn nhà</v>
      </c>
      <c r="G128" s="229" t="str">
        <f t="shared" ca="1" si="2"/>
        <v>"2084047776" : "nhà vườn",</v>
      </c>
      <c r="H128" s="229" t="str">
        <f t="shared" si="3"/>
        <v>&lt;li class="col-md-3"&gt;&lt;a class="text-cut" href="javascript:;"(click)="categoryEvent(2084047776)"&gt;{{"2084047776" | translate}}&lt;/a&gt;&lt;/li&gt;</v>
      </c>
    </row>
    <row r="129" spans="1:8" ht="14.25" customHeight="1">
      <c r="A129" s="2">
        <v>2084008127</v>
      </c>
      <c r="B129" s="2" t="s">
        <v>351</v>
      </c>
      <c r="C129" s="2" t="s">
        <v>1967</v>
      </c>
      <c r="D129" s="2" t="s">
        <v>1969</v>
      </c>
      <c r="E129" s="3" t="str">
        <f ca="1">IFERROR(__xludf.DUMMYFUNCTION("GOOGLETRANSLATE(B129,""ja"",""vi"")"),"tạp chí")</f>
        <v>tạp chí</v>
      </c>
      <c r="F129" s="3" t="str">
        <f ca="1">IFERROR(__xludf.DUMMYFUNCTION("GOOGLETRANSLATE(C129,""ja"",""vi"")"),"Đấu giá&gt; cuốn sách, tạp chí&gt; nhà, sinh hoạt, chăm sóc trẻ&gt; hoa, làm vườn&gt; Tạp chí")</f>
        <v>Đấu giá&gt; cuốn sách, tạp chí&gt; nhà, sinh hoạt, chăm sóc trẻ&gt; hoa, làm vườn&gt; Tạp chí</v>
      </c>
      <c r="G129" s="229" t="str">
        <f t="shared" ca="1" si="2"/>
        <v>"2084008127" : "tạp chí",</v>
      </c>
      <c r="H129" s="229" t="str">
        <f t="shared" si="3"/>
        <v>&lt;li class="col-md-3"&gt;&lt;a class="text-cut" href="javascript:;"(click)="categoryEvent(2084008127)"&gt;{{"2084008127" | translate}}&lt;/a&gt;&lt;/li&gt;</v>
      </c>
    </row>
    <row r="130" spans="1:8" ht="14.25" customHeight="1">
      <c r="A130" s="2">
        <v>2084047777</v>
      </c>
      <c r="B130" s="2" t="s">
        <v>1245</v>
      </c>
      <c r="C130" s="2" t="s">
        <v>1975</v>
      </c>
      <c r="D130" s="2" t="s">
        <v>1976</v>
      </c>
      <c r="E130" s="3" t="str">
        <f ca="1">IFERROR(__xludf.DUMMYFUNCTION("GOOGLETRANSLATE(B130,""ja"",""vi"")"),"Bonsai")</f>
        <v>Bonsai</v>
      </c>
      <c r="F130" s="3" t="str">
        <f ca="1">IFERROR(__xludf.DUMMYFUNCTION("GOOGLETRANSLATE(C130,""ja"",""vi"")"),"Đấu giá&gt; cuốn sách, tạp chí&gt; nhà, sinh hoạt, chăm sóc trẻ&gt; hoa, làm vườn&gt; cây cảnh")</f>
        <v>Đấu giá&gt; cuốn sách, tạp chí&gt; nhà, sinh hoạt, chăm sóc trẻ&gt; hoa, làm vườn&gt; cây cảnh</v>
      </c>
      <c r="G130" s="229" t="str">
        <f t="shared" ca="1" si="2"/>
        <v>"2084047777" : "Bonsai",</v>
      </c>
      <c r="H130" s="229" t="str">
        <f t="shared" si="3"/>
        <v>&lt;li class="col-md-3"&gt;&lt;a class="text-cut" href="javascript:;"(click)="categoryEvent(2084047777)"&gt;{{"2084047777" | translate}}&lt;/a&gt;&lt;/li&gt;</v>
      </c>
    </row>
    <row r="131" spans="1:8" ht="14.25" customHeight="1">
      <c r="A131" s="2">
        <v>2084047778</v>
      </c>
      <c r="B131" s="2" t="s">
        <v>1979</v>
      </c>
      <c r="C131" s="2" t="s">
        <v>1982</v>
      </c>
      <c r="D131" s="2" t="s">
        <v>1984</v>
      </c>
      <c r="E131" s="3" t="str">
        <f ca="1">IFERROR(__xludf.DUMMYFUNCTION("GOOGLETRANSLATE(B131,""ja"",""vi"")"),"cỏ dại, cây")</f>
        <v>cỏ dại, cây</v>
      </c>
      <c r="F131" s="3" t="str">
        <f ca="1">IFERROR(__xludf.DUMMYFUNCTION("GOOGLETRANSLATE(C131,""ja"",""vi"")"),"Đấu giá&gt; cuốn sách, tạp chí&gt; nhà, sinh hoạt, chăm sóc trẻ&gt; hoa, làm vườn&gt; cỏ hoang dã, nhà máy")</f>
        <v>Đấu giá&gt; cuốn sách, tạp chí&gt; nhà, sinh hoạt, chăm sóc trẻ&gt; hoa, làm vườn&gt; cỏ hoang dã, nhà máy</v>
      </c>
      <c r="G131" s="229" t="str">
        <f t="shared" ref="G131" ca="1" si="4">CONCATENATE(CHAR(34)&amp;"",A131,""&amp;CHAR(34)," : ", CHAR(34)&amp;"",E131,""&amp;CHAR(34),",")</f>
        <v>"2084047778" : "cỏ dại, cây",</v>
      </c>
      <c r="H131" s="229" t="str">
        <f t="shared" ref="H131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href="javascript:;"(click)="categoryEvent(2084047778)"&gt;{{"2084047778" | translate}}&lt;/a&gt;&lt;/li&gt;</v>
      </c>
    </row>
    <row r="132" spans="1:8" ht="14.25" customHeight="1"/>
    <row r="133" spans="1:8" ht="14.25" customHeight="1"/>
    <row r="134" spans="1:8" ht="14.25" customHeight="1"/>
    <row r="135" spans="1:8" ht="14.25" customHeight="1"/>
    <row r="136" spans="1:8" ht="14.25" customHeight="1"/>
    <row r="137" spans="1:8" ht="14.25" customHeight="1"/>
    <row r="138" spans="1:8" ht="14.25" customHeight="1"/>
    <row r="139" spans="1:8" ht="14.25" customHeight="1"/>
    <row r="140" spans="1:8" ht="14.25" customHeight="1"/>
    <row r="141" spans="1:8" ht="14.25" customHeight="1"/>
    <row r="142" spans="1:8" ht="14.25" customHeight="1"/>
    <row r="143" spans="1:8" ht="14.25" customHeight="1"/>
    <row r="144" spans="1:8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88:D88"/>
    <mergeCell ref="A102:D102"/>
    <mergeCell ref="A109:D109"/>
    <mergeCell ref="A125:D125"/>
    <mergeCell ref="A20:D20"/>
    <mergeCell ref="A31:D31"/>
    <mergeCell ref="A115:D115"/>
    <mergeCell ref="A41:D41"/>
    <mergeCell ref="A46:D46"/>
    <mergeCell ref="A52:D52"/>
    <mergeCell ref="A57:D57"/>
    <mergeCell ref="A80:D80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8" customWidth="1"/>
    <col min="2" max="2" width="8.5" customWidth="1"/>
    <col min="3" max="3" width="20.296875" customWidth="1"/>
    <col min="4" max="4" width="11.796875" customWidth="1"/>
    <col min="5" max="5" width="13.8984375" customWidth="1"/>
    <col min="6" max="6" width="47.5" customWidth="1"/>
    <col min="7" max="7" width="23.19921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2084042481</v>
      </c>
      <c r="B2" s="2" t="s">
        <v>1539</v>
      </c>
      <c r="C2" s="2" t="s">
        <v>1541</v>
      </c>
      <c r="D2" s="2" t="s">
        <v>1544</v>
      </c>
      <c r="E2" s="3" t="str">
        <f ca="1">IFERROR(__xludf.DUMMYFUNCTION("GOOGLETRANSLATE(B2,""ja"",""vi"")"),"cửa hàng Hàng")</f>
        <v>cửa hàng Hàng</v>
      </c>
      <c r="F2" s="3" t="str">
        <f ca="1">IFERROR(__xludf.DUMMYFUNCTION("GOOGLETRANSLATE(C2,""ja"",""vi"")"),"Đấu giá&gt; Văn phòng, Cửa hàng cung cấp&gt; Mua Hàng")</f>
        <v>Đấu giá&gt; Văn phòng, Cửa hàng cung cấp&gt; Mua Hàng</v>
      </c>
      <c r="G2" s="229" t="str">
        <f ca="1">CONCATENATE(CHAR(34)&amp;"",A2,""&amp;CHAR(34)," : ", CHAR(34)&amp;"",E2,""&amp;CHAR(34),",")</f>
        <v>"2084042481" : "cửa hàng Hàng",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href="javascript:;"(click)="categoryEvent(2084042481)"&gt;{{"2084042481" | translate}}&lt;/a&gt;&lt;/li&gt;</v>
      </c>
    </row>
    <row r="3" spans="1:8" ht="14.25" customHeight="1">
      <c r="A3" s="4">
        <v>2084042480</v>
      </c>
      <c r="B3" s="4" t="s">
        <v>1552</v>
      </c>
      <c r="C3" s="4" t="s">
        <v>1553</v>
      </c>
      <c r="D3" s="4" t="s">
        <v>1554</v>
      </c>
      <c r="E3" s="3" t="str">
        <f ca="1">IFERROR(__xludf.DUMMYFUNCTION("GOOGLETRANSLATE(B3,""ja"",""vi"")"),"thiết bị OA")</f>
        <v>thiết bị OA</v>
      </c>
      <c r="F3" s="3" t="str">
        <f ca="1">IFERROR(__xludf.DUMMYFUNCTION("GOOGLETRANSLATE(C3,""ja"",""vi"")"),"Đấu giá&gt; Văn phòng, Cửa hàng cung cấp&gt; thiết bị OA")</f>
        <v>Đấu giá&gt; Văn phòng, Cửa hàng cung cấp&gt; thiết bị OA</v>
      </c>
      <c r="G3" s="229" t="str">
        <f t="shared" ref="G3:G66" ca="1" si="0">CONCATENATE(CHAR(34)&amp;"",A3,""&amp;CHAR(34)," : ", CHAR(34)&amp;"",E3,""&amp;CHAR(34),",")</f>
        <v>"2084042480" : "thiết bị OA",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href="javascript:;"(click)="categoryEvent(2084042480)"&gt;{{"2084042480" | translate}}&lt;/a&gt;&lt;/li&gt;</v>
      </c>
    </row>
    <row r="4" spans="1:8" ht="14.25" customHeight="1">
      <c r="A4" s="5">
        <v>22928</v>
      </c>
      <c r="B4" s="5" t="s">
        <v>1558</v>
      </c>
      <c r="C4" s="5" t="s">
        <v>1560</v>
      </c>
      <c r="D4" s="5" t="s">
        <v>1562</v>
      </c>
      <c r="E4" s="3" t="str">
        <f ca="1">IFERROR(__xludf.DUMMYFUNCTION("GOOGLETRANSLATE(B4,""ja"",""vi"")"),"nội thất văn phòng")</f>
        <v>nội thất văn phòng</v>
      </c>
      <c r="F4" s="3" t="str">
        <f ca="1">IFERROR(__xludf.DUMMYFUNCTION("GOOGLETRANSLATE(C4,""ja"",""vi"")"),"Đấu giá&gt; Văn phòng, Cửa hàng cung cấp&gt; Nội thất văn phòng")</f>
        <v>Đấu giá&gt; Văn phòng, Cửa hàng cung cấp&gt; Nội thất văn phòng</v>
      </c>
      <c r="G4" s="229" t="str">
        <f t="shared" ca="1" si="0"/>
        <v>"22928" : "nội thất văn phòng",</v>
      </c>
      <c r="H4" s="229" t="str">
        <f t="shared" si="1"/>
        <v>&lt;li class="col-md-3"&gt;&lt;a class="text-cut" href="javascript:;"(click)="categoryEvent(22928)"&gt;{{"22928" | translate}}&lt;/a&gt;&lt;/li&gt;</v>
      </c>
    </row>
    <row r="5" spans="1:8" ht="14.25" customHeight="1">
      <c r="A5" s="8">
        <v>42176</v>
      </c>
      <c r="B5" s="8" t="s">
        <v>1568</v>
      </c>
      <c r="C5" s="8" t="s">
        <v>1570</v>
      </c>
      <c r="D5" s="8" t="s">
        <v>1571</v>
      </c>
      <c r="E5" s="3" t="str">
        <f ca="1">IFERROR(__xludf.DUMMYFUNCTION("GOOGLETRANSLATE(B5,""ja"",""vi"")"),"Thiết bị văn phòng chung")</f>
        <v>Thiết bị văn phòng chung</v>
      </c>
      <c r="F5" s="3" t="str">
        <f ca="1">IFERROR(__xludf.DUMMYFUNCTION("GOOGLETRANSLATE(C5,""ja"",""vi"")"),"Đấu giá&gt; Văn phòng, Cửa hàng cung cấp&gt; Thiết bị văn phòng chung")</f>
        <v>Đấu giá&gt; Văn phòng, Cửa hàng cung cấp&gt; Thiết bị văn phòng chung</v>
      </c>
      <c r="G5" s="229" t="str">
        <f t="shared" ca="1" si="0"/>
        <v>"42176" : "Thiết bị văn phòng chung",</v>
      </c>
      <c r="H5" s="229" t="str">
        <f t="shared" si="1"/>
        <v>&lt;li class="col-md-3"&gt;&lt;a class="text-cut" href="javascript:;"(click)="categoryEvent(42176)"&gt;{{"42176" | translate}}&lt;/a&gt;&lt;/li&gt;</v>
      </c>
    </row>
    <row r="6" spans="1:8" ht="14.25" customHeight="1">
      <c r="A6" s="6">
        <v>22920</v>
      </c>
      <c r="B6" s="6" t="s">
        <v>1575</v>
      </c>
      <c r="C6" s="6" t="s">
        <v>1577</v>
      </c>
      <c r="D6" s="6" t="s">
        <v>1579</v>
      </c>
      <c r="E6" s="3" t="str">
        <f ca="1">IFERROR(__xludf.DUMMYFUNCTION("GOOGLETRANSLATE(B6,""ja"",""vi"")"),"phụ kiện bàn")</f>
        <v>phụ kiện bàn</v>
      </c>
      <c r="F6" s="3" t="str">
        <f ca="1">IFERROR(__xludf.DUMMYFUNCTION("GOOGLETRANSLATE(C6,""ja"",""vi"")"),"Đấu giá&gt; vật tư văn phòng, cửa hàng&gt; phụ kiện bàn")</f>
        <v>Đấu giá&gt; vật tư văn phòng, cửa hàng&gt; phụ kiện bàn</v>
      </c>
      <c r="G6" s="229" t="str">
        <f t="shared" ca="1" si="0"/>
        <v>"22920" : "phụ kiện bàn",</v>
      </c>
      <c r="H6" s="229" t="str">
        <f t="shared" si="1"/>
        <v>&lt;li class="col-md-3"&gt;&lt;a class="text-cut" href="javascript:;"(click)="categoryEvent(22920)"&gt;{{"22920" | translate}}&lt;/a&gt;&lt;/li&gt;</v>
      </c>
    </row>
    <row r="7" spans="1:8" ht="14.25" customHeight="1">
      <c r="A7" s="9">
        <v>2084055706</v>
      </c>
      <c r="B7" s="9" t="s">
        <v>1584</v>
      </c>
      <c r="C7" s="9" t="s">
        <v>1585</v>
      </c>
      <c r="D7" s="9" t="s">
        <v>1586</v>
      </c>
      <c r="E7" s="3" t="str">
        <f ca="1">IFERROR(__xludf.DUMMYFUNCTION("GOOGLETRANSLATE(B7,""ja"",""vi"")"),"an toàn")</f>
        <v>an toàn</v>
      </c>
      <c r="F7" s="3" t="str">
        <f ca="1">IFERROR(__xludf.DUMMYFUNCTION("GOOGLETRANSLATE(C7,""ja"",""vi"")"),"Đấu giá&gt; Văn phòng, Cửa hàng cung cấp&gt; an toàn")</f>
        <v>Đấu giá&gt; Văn phòng, Cửa hàng cung cấp&gt; an toàn</v>
      </c>
      <c r="G7" s="229" t="str">
        <f t="shared" ca="1" si="0"/>
        <v>"2084055706" : "an toàn",</v>
      </c>
      <c r="H7" s="229" t="str">
        <f t="shared" si="1"/>
        <v>&lt;li class="col-md-3"&gt;&lt;a class="text-cut" href="javascript:;"(click)="categoryEvent(2084055706)"&gt;{{"2084055706" | translate}}&lt;/a&gt;&lt;/li&gt;</v>
      </c>
    </row>
    <row r="8" spans="1:8" ht="14.25" customHeight="1">
      <c r="A8" s="7">
        <v>2084047365</v>
      </c>
      <c r="B8" s="7" t="s">
        <v>1593</v>
      </c>
      <c r="C8" s="7" t="s">
        <v>1594</v>
      </c>
      <c r="D8" s="7" t="s">
        <v>1595</v>
      </c>
      <c r="E8" s="3" t="str">
        <f ca="1">IFERROR(__xludf.DUMMYFUNCTION("GOOGLETRANSLATE(B8,""ja"",""vi"")"),"Gói, bao bì")</f>
        <v>Gói, bao bì</v>
      </c>
      <c r="F8" s="3" t="str">
        <f ca="1">IFERROR(__xludf.DUMMYFUNCTION("GOOGLETRANSLATE(C8,""ja"",""vi"")"),"Đấu giá&gt; Văn phòng, Cửa hàng cung cấp&gt; bao bì, đóng gói")</f>
        <v>Đấu giá&gt; Văn phòng, Cửa hàng cung cấp&gt; bao bì, đóng gói</v>
      </c>
      <c r="G8" s="229" t="str">
        <f t="shared" ca="1" si="0"/>
        <v>"2084047365" : "Gói, bao bì",</v>
      </c>
      <c r="H8" s="229" t="str">
        <f t="shared" si="1"/>
        <v>&lt;li class="col-md-3"&gt;&lt;a class="text-cut" href="javascript:;"(click)="categoryEvent(2084047365)"&gt;{{"2084047365" | translate}}&lt;/a&gt;&lt;/li&gt;</v>
      </c>
    </row>
    <row r="9" spans="1:8" ht="14.25" customHeight="1">
      <c r="A9" s="41">
        <v>2084042484</v>
      </c>
      <c r="B9" s="41" t="s">
        <v>1601</v>
      </c>
      <c r="C9" s="41" t="s">
        <v>1603</v>
      </c>
      <c r="D9" s="41" t="s">
        <v>1604</v>
      </c>
      <c r="E9" s="3" t="str">
        <f ca="1">IFERROR(__xludf.DUMMYFUNCTION("GOOGLETRANSLATE(B9,""ja"",""vi"")"),"Văn phòng phẩm")</f>
        <v>Văn phòng phẩm</v>
      </c>
      <c r="F9" s="3" t="str">
        <f ca="1">IFERROR(__xludf.DUMMYFUNCTION("GOOGLETRANSLATE(C9,""ja"",""vi"")"),"Đấu giá&gt; Văn phòng, Cửa hàng cung cấp&gt; Văn phòng phẩm")</f>
        <v>Đấu giá&gt; Văn phòng, Cửa hàng cung cấp&gt; Văn phòng phẩm</v>
      </c>
      <c r="G9" s="229" t="str">
        <f t="shared" ca="1" si="0"/>
        <v>"2084042484" : "Văn phòng phẩm",</v>
      </c>
      <c r="H9" s="229" t="str">
        <f t="shared" si="1"/>
        <v>&lt;li class="col-md-3"&gt;&lt;a class="text-cut" href="javascript:;"(click)="categoryEvent(2084042484)"&gt;{{"2084042484" | translate}}&lt;/a&gt;&lt;/li&gt;</v>
      </c>
    </row>
    <row r="10" spans="1:8" ht="14.25" customHeight="1">
      <c r="A10" s="16">
        <v>2084063841</v>
      </c>
      <c r="B10" s="16" t="s">
        <v>1609</v>
      </c>
      <c r="C10" s="16" t="s">
        <v>1611</v>
      </c>
      <c r="D10" s="16" t="s">
        <v>1613</v>
      </c>
      <c r="E10" s="3" t="str">
        <f ca="1">IFERROR(__xludf.DUMMYFUNCTION("GOOGLETRANSLATE(B10,""ja"",""vi"")"),"bìa sách")</f>
        <v>bìa sách</v>
      </c>
      <c r="F10" s="3" t="str">
        <f ca="1">IFERROR(__xludf.DUMMYFUNCTION("GOOGLETRANSLATE(C10,""ja"",""vi"")"),"Đấu giá&gt; Văn phòng, Cửa hàng cung cấp&gt; bìa sách")</f>
        <v>Đấu giá&gt; Văn phòng, Cửa hàng cung cấp&gt; bìa sách</v>
      </c>
      <c r="G10" s="229" t="str">
        <f t="shared" ca="1" si="0"/>
        <v>"2084063841" : "bìa sách",</v>
      </c>
      <c r="H10" s="229" t="str">
        <f t="shared" si="1"/>
        <v>&lt;li class="col-md-3"&gt;&lt;a class="text-cut" href="javascript:;"(click)="categoryEvent(2084063841)"&gt;{{"2084063841" | translate}}&lt;/a&gt;&lt;/li&gt;</v>
      </c>
    </row>
    <row r="11" spans="1:8" ht="14.25" customHeight="1">
      <c r="A11" s="43">
        <v>2084246780</v>
      </c>
      <c r="B11" s="43" t="s">
        <v>1617</v>
      </c>
      <c r="C11" s="43" t="s">
        <v>1619</v>
      </c>
      <c r="D11" s="43" t="s">
        <v>1621</v>
      </c>
      <c r="E11" s="3" t="str">
        <f ca="1">IFERROR(__xludf.DUMMYFUNCTION("GOOGLETRANSLATE(B11,""ja"",""vi"")"),"danh thiếp đặt, trường hợp thẻ")</f>
        <v>danh thiếp đặt, trường hợp thẻ</v>
      </c>
      <c r="F11" s="3" t="str">
        <f ca="1">IFERROR(__xludf.DUMMYFUNCTION("GOOGLETRANSLATE(C11,""ja"",""vi"")"),"Đấu giá&gt; Văn phòng, Cửa hàng cung cấp&gt; danh thiếp đặt, trường hợp thẻ")</f>
        <v>Đấu giá&gt; Văn phòng, Cửa hàng cung cấp&gt; danh thiếp đặt, trường hợp thẻ</v>
      </c>
      <c r="G11" s="229" t="str">
        <f t="shared" ca="1" si="0"/>
        <v>"2084246780" : "danh thiếp đặt, trường hợp thẻ",</v>
      </c>
      <c r="H11" s="229" t="str">
        <f t="shared" si="1"/>
        <v>&lt;li class="col-md-3"&gt;&lt;a class="text-cut" href="javascript:;"(click)="categoryEvent(2084246780)"&gt;{{"2084246780" | translate}}&lt;/a&gt;&lt;/li&gt;</v>
      </c>
    </row>
    <row r="12" spans="1:8" ht="14.25" customHeight="1">
      <c r="A12" s="45">
        <v>22904</v>
      </c>
      <c r="B12" s="45" t="s">
        <v>1625</v>
      </c>
      <c r="C12" s="45" t="s">
        <v>1626</v>
      </c>
      <c r="D12" s="45" t="s">
        <v>1627</v>
      </c>
      <c r="E12" s="3" t="str">
        <f ca="1">IFERROR(__xludf.DUMMYFUNCTION("GOOGLETRANSLATE(B12,""ja"",""vi"")"),"Túi xách, va li")</f>
        <v>Túi xách, va li</v>
      </c>
      <c r="F12" s="3" t="str">
        <f ca="1">IFERROR(__xludf.DUMMYFUNCTION("GOOGLETRANSLATE(C12,""ja"",""vi"")"),"Đấu giá&gt; Văn phòng, Cửa hàng cung cấp&gt; túi, va li")</f>
        <v>Đấu giá&gt; Văn phòng, Cửa hàng cung cấp&gt; túi, va li</v>
      </c>
      <c r="G12" s="229" t="str">
        <f t="shared" ca="1" si="0"/>
        <v>"22904" : "Túi xách, va li",</v>
      </c>
      <c r="H12" s="229" t="str">
        <f t="shared" si="1"/>
        <v>&lt;li class="col-md-3"&gt;&lt;a class="text-cut" href="javascript:;"(click)="categoryEvent(22904)"&gt;{{"22904" | translate}}&lt;/a&gt;&lt;/li&gt;</v>
      </c>
    </row>
    <row r="13" spans="1:8" ht="14.25" customHeight="1">
      <c r="A13" s="48">
        <v>21620</v>
      </c>
      <c r="B13" s="48" t="s">
        <v>1631</v>
      </c>
      <c r="C13" s="48" t="s">
        <v>1632</v>
      </c>
      <c r="D13" s="48" t="s">
        <v>1633</v>
      </c>
      <c r="E13" s="3" t="str">
        <f ca="1">IFERROR(__xludf.DUMMYFUNCTION("GOOGLETRANSLATE(B13,""ja"",""vi"")"),"sách kinh doanh")</f>
        <v>sách kinh doanh</v>
      </c>
      <c r="F13" s="3" t="str">
        <f ca="1">IFERROR(__xludf.DUMMYFUNCTION("GOOGLETRANSLATE(C13,""ja"",""vi"")"),"Đấu giá&gt; Văn phòng, Cửa hàng cung cấp&gt; sách kinh doanh")</f>
        <v>Đấu giá&gt; Văn phòng, Cửa hàng cung cấp&gt; sách kinh doanh</v>
      </c>
      <c r="G13" s="229" t="str">
        <f t="shared" ca="1" si="0"/>
        <v>"21620" : "sách kinh doanh",</v>
      </c>
      <c r="H13" s="229" t="str">
        <f t="shared" si="1"/>
        <v>&lt;li class="col-md-3"&gt;&lt;a class="text-cut" href="javascript:;"(click)="categoryEvent(21620)"&gt;{{"21620" | translate}}&lt;/a&gt;&lt;/li&gt;</v>
      </c>
    </row>
    <row r="14" spans="1:8" ht="14.25" customHeight="1">
      <c r="A14" s="50">
        <v>2084307793</v>
      </c>
      <c r="B14" s="50" t="s">
        <v>1637</v>
      </c>
      <c r="C14" s="50" t="s">
        <v>1638</v>
      </c>
      <c r="D14" s="50" t="s">
        <v>1639</v>
      </c>
      <c r="E14" s="3" t="str">
        <f ca="1">IFERROR(__xludf.DUMMYFUNCTION("GOOGLETRANSLATE(B14,""ja"",""vi"")"),"Văn phòng, cho thuê thiết bị cửa hàng")</f>
        <v>Văn phòng, cho thuê thiết bị cửa hàng</v>
      </c>
      <c r="F14" s="3" t="str">
        <f ca="1">IFERROR(__xludf.DUMMYFUNCTION("GOOGLETRANSLATE(C14,""ja"",""vi"")"),"Đấu giá&gt; Văn phòng, Cửa hàng cung cấp&gt; Văn phòng, cho thuê thiết bị cửa hàng")</f>
        <v>Đấu giá&gt; Văn phòng, Cửa hàng cung cấp&gt; Văn phòng, cho thuê thiết bị cửa hàng</v>
      </c>
      <c r="G14" s="229" t="str">
        <f t="shared" ca="1" si="0"/>
        <v>"2084307793" : "Văn phòng, cho thuê thiết bị cửa hàng",</v>
      </c>
      <c r="H14" s="229" t="str">
        <f t="shared" si="1"/>
        <v>&lt;li class="col-md-3"&gt;&lt;a class="text-cut" href="javascript:;"(click)="categoryEvent(2084307793)"&gt;{{"2084307793" | translate}}&lt;/a&gt;&lt;/li&gt;</v>
      </c>
    </row>
    <row r="15" spans="1:8" ht="14.25" customHeight="1">
      <c r="A15" s="56">
        <v>22996</v>
      </c>
      <c r="B15" s="56" t="s">
        <v>16</v>
      </c>
      <c r="C15" s="56" t="s">
        <v>1644</v>
      </c>
      <c r="D15" s="56" t="s">
        <v>1646</v>
      </c>
      <c r="E15" s="3" t="str">
        <f ca="1">IFERROR(__xludf.DUMMYFUNCTION("GOOGLETRANSLATE(B15,""ja"",""vi"")"),"nếu không thì")</f>
        <v>nếu không thì</v>
      </c>
      <c r="F15" s="3" t="str">
        <f ca="1">IFERROR(__xludf.DUMMYFUNCTION("GOOGLETRANSLATE(C15,""ja"",""vi"")"),"Đấu giá&gt; Văn phòng, Cửa hàng cung cấp&gt; Khác")</f>
        <v>Đấu giá&gt; Văn phòng, Cửa hàng cung cấp&gt; Khác</v>
      </c>
      <c r="G15" s="229" t="str">
        <f t="shared" ca="1" si="0"/>
        <v>"22996" : "nếu không thì",</v>
      </c>
      <c r="H15" s="229" t="str">
        <f t="shared" si="1"/>
        <v>&lt;li class="col-md-3"&gt;&lt;a class="text-cut" href="javascript:;"(click)="categoryEvent(22996)"&gt;{{"22996" | translate}}&lt;/a&gt;&lt;/li&gt;</v>
      </c>
    </row>
    <row r="16" spans="1:8" ht="14.25" customHeight="1">
      <c r="E16" s="3"/>
      <c r="F16" s="3"/>
      <c r="G16" s="229"/>
      <c r="H16" s="229"/>
    </row>
    <row r="17" spans="1:8" ht="25.2" customHeight="1">
      <c r="A17" s="231">
        <v>2084042481</v>
      </c>
      <c r="B17" s="232"/>
      <c r="C17" s="232"/>
      <c r="D17" s="233"/>
      <c r="E17" s="3"/>
      <c r="F17" s="3"/>
      <c r="G17" s="229"/>
      <c r="H17" s="229"/>
    </row>
    <row r="18" spans="1:8" ht="14.25" customHeight="1">
      <c r="A18" s="2">
        <v>2084048468</v>
      </c>
      <c r="B18" s="2" t="s">
        <v>1653</v>
      </c>
      <c r="C18" s="2" t="s">
        <v>1655</v>
      </c>
      <c r="D18" s="2" t="s">
        <v>1658</v>
      </c>
      <c r="E18" s="3" t="str">
        <f ca="1">IFERROR(__xludf.DUMMYFUNCTION("GOOGLETRANSLATE(B18,""ja"",""vi"")"),"thiết bị nhà bếp")</f>
        <v>thiết bị nhà bếp</v>
      </c>
      <c r="F18" s="3" t="str">
        <f ca="1">IFERROR(__xludf.DUMMYFUNCTION("GOOGLETRANSLATE(C18,""ja"",""vi"")"),"Đấu giá&gt; Văn phòng, Cửa hàng cung cấp&gt; hàng bé&gt; Thiết bị nhà bếp")</f>
        <v>Đấu giá&gt; Văn phòng, Cửa hàng cung cấp&gt; hàng bé&gt; Thiết bị nhà bếp</v>
      </c>
      <c r="G18" s="229" t="str">
        <f t="shared" ca="1" si="0"/>
        <v>"2084048468" : "thiết bị nhà bếp",</v>
      </c>
      <c r="H18" s="229" t="str">
        <f t="shared" si="1"/>
        <v>&lt;li class="col-md-3"&gt;&lt;a class="text-cut" href="javascript:;"(click)="categoryEvent(2084048468)"&gt;{{"2084048468" | translate}}&lt;/a&gt;&lt;/li&gt;</v>
      </c>
    </row>
    <row r="19" spans="1:8" ht="14.25" customHeight="1">
      <c r="A19" s="2">
        <v>2084063850</v>
      </c>
      <c r="B19" s="2" t="s">
        <v>1661</v>
      </c>
      <c r="C19" s="2" t="s">
        <v>1663</v>
      </c>
      <c r="D19" s="2" t="s">
        <v>1665</v>
      </c>
      <c r="E19" s="3" t="str">
        <f ca="1">IFERROR(__xludf.DUMMYFUNCTION("GOOGLETRANSLATE(B19,""ja"",""vi"")"),"showcase")</f>
        <v>showcase</v>
      </c>
      <c r="F19" s="3" t="str">
        <f ca="1">IFERROR(__xludf.DUMMYFUNCTION("GOOGLETRANSLATE(C19,""ja"",""vi"")"),"Đấu giá&gt; Văn phòng, Cửa hàng cung cấp&gt; hàng bé&gt; Showcase")</f>
        <v>Đấu giá&gt; Văn phòng, Cửa hàng cung cấp&gt; hàng bé&gt; Showcase</v>
      </c>
      <c r="G19" s="229" t="str">
        <f t="shared" ca="1" si="0"/>
        <v>"2084063850" : "showcase",</v>
      </c>
      <c r="H19" s="229" t="str">
        <f t="shared" si="1"/>
        <v>&lt;li class="col-md-3"&gt;&lt;a class="text-cut" href="javascript:;"(click)="categoryEvent(2084063850)"&gt;{{"2084063850" | translate}}&lt;/a&gt;&lt;/li&gt;</v>
      </c>
    </row>
    <row r="20" spans="1:8" ht="14.25" customHeight="1">
      <c r="A20" s="2">
        <v>2084227393</v>
      </c>
      <c r="B20" s="2" t="s">
        <v>1670</v>
      </c>
      <c r="C20" s="2" t="s">
        <v>1671</v>
      </c>
      <c r="D20" s="2" t="s">
        <v>1672</v>
      </c>
      <c r="E20" s="3" t="str">
        <f ca="1">IFERROR(__xludf.DUMMYFUNCTION("GOOGLETRANSLATE(B20,""ja"",""vi"")"),"kêu vang")</f>
        <v>kêu vang</v>
      </c>
      <c r="F20" s="3" t="str">
        <f ca="1">IFERROR(__xludf.DUMMYFUNCTION("GOOGLETRANSLATE(C20,""ja"",""vi"")"),"Đấu giá&gt; Văn phòng, Cửa hàng cung cấp&gt; hàng bé&gt; kêu vang")</f>
        <v>Đấu giá&gt; Văn phòng, Cửa hàng cung cấp&gt; hàng bé&gt; kêu vang</v>
      </c>
      <c r="G20" s="229" t="str">
        <f t="shared" ca="1" si="0"/>
        <v>"2084227393" : "kêu vang",</v>
      </c>
      <c r="H20" s="229" t="str">
        <f t="shared" si="1"/>
        <v>&lt;li class="col-md-3"&gt;&lt;a class="text-cut" href="javascript:;"(click)="categoryEvent(2084227393)"&gt;{{"2084227393" | translate}}&lt;/a&gt;&lt;/li&gt;</v>
      </c>
    </row>
    <row r="21" spans="1:8" ht="14.25" customHeight="1">
      <c r="A21" s="2">
        <v>2084005298</v>
      </c>
      <c r="B21" s="2" t="s">
        <v>1677</v>
      </c>
      <c r="C21" s="2" t="s">
        <v>1679</v>
      </c>
      <c r="D21" s="2" t="s">
        <v>1681</v>
      </c>
      <c r="E21" s="3" t="str">
        <f ca="1">IFERROR(__xludf.DUMMYFUNCTION("GOOGLETRANSLATE(B21,""ja"",""vi"")"),"Chăm sóc móng tay")</f>
        <v>Chăm sóc móng tay</v>
      </c>
      <c r="F21" s="3" t="str">
        <f ca="1">IFERROR(__xludf.DUMMYFUNCTION("GOOGLETRANSLATE(C21,""ja"",""vi"")"),"Đấu giá&gt; Văn phòng, Cửa hàng cung cấp&gt; hàng bé&gt; Chăm sóc móng")</f>
        <v>Đấu giá&gt; Văn phòng, Cửa hàng cung cấp&gt; hàng bé&gt; Chăm sóc móng</v>
      </c>
      <c r="G21" s="229" t="str">
        <f t="shared" ca="1" si="0"/>
        <v>"2084005298" : "Chăm sóc móng tay",</v>
      </c>
      <c r="H21" s="229" t="str">
        <f t="shared" si="1"/>
        <v>&lt;li class="col-md-3"&gt;&lt;a class="text-cut" href="javascript:;"(click)="categoryEvent(2084005298)"&gt;{{"2084005298" | translate}}&lt;/a&gt;&lt;/li&gt;</v>
      </c>
    </row>
    <row r="22" spans="1:8" ht="14.25" customHeight="1">
      <c r="A22" s="2">
        <v>2084263147</v>
      </c>
      <c r="B22" s="2" t="s">
        <v>1684</v>
      </c>
      <c r="C22" s="2" t="s">
        <v>1685</v>
      </c>
      <c r="D22" s="2" t="s">
        <v>1687</v>
      </c>
      <c r="E22" s="3" t="str">
        <f ca="1">IFERROR(__xludf.DUMMYFUNCTION("GOOGLETRANSLATE(B22,""ja"",""vi"")"),"hanger giá")</f>
        <v>hanger giá</v>
      </c>
      <c r="F22" s="3" t="str">
        <f ca="1">IFERROR(__xludf.DUMMYFUNCTION("GOOGLETRANSLATE(C22,""ja"",""vi"")"),"Đấu giá&gt; Văn phòng, Cửa hàng cung cấp&gt; hàng bé&gt; treo giá đỡ")</f>
        <v>Đấu giá&gt; Văn phòng, Cửa hàng cung cấp&gt; hàng bé&gt; treo giá đỡ</v>
      </c>
      <c r="G22" s="229" t="str">
        <f t="shared" ca="1" si="0"/>
        <v>"2084263147" : "hanger giá",</v>
      </c>
      <c r="H22" s="229" t="str">
        <f t="shared" si="1"/>
        <v>&lt;li class="col-md-3"&gt;&lt;a class="text-cut" href="javascript:;"(click)="categoryEvent(2084263147)"&gt;{{"2084263147" | translate}}&lt;/a&gt;&lt;/li&gt;</v>
      </c>
    </row>
    <row r="23" spans="1:8" ht="14.25" customHeight="1">
      <c r="A23" s="2">
        <v>22900</v>
      </c>
      <c r="B23" s="2" t="s">
        <v>1690</v>
      </c>
      <c r="C23" s="2" t="s">
        <v>1691</v>
      </c>
      <c r="D23" s="2" t="s">
        <v>1692</v>
      </c>
      <c r="E23" s="3" t="str">
        <f ca="1">IFERROR(__xludf.DUMMYFUNCTION("GOOGLETRANSLATE(B23,""ja"",""vi"")"),"đầu đọc mã vạch")</f>
        <v>đầu đọc mã vạch</v>
      </c>
      <c r="F23" s="3" t="str">
        <f ca="1">IFERROR(__xludf.DUMMYFUNCTION("GOOGLETRANSLATE(C23,""ja"",""vi"")"),"Đấu giá&gt; Văn phòng, Cửa hàng cung cấp&gt; hàng bé&gt; đọc mã vạch")</f>
        <v>Đấu giá&gt; Văn phòng, Cửa hàng cung cấp&gt; hàng bé&gt; đọc mã vạch</v>
      </c>
      <c r="G23" s="229" t="str">
        <f t="shared" ca="1" si="0"/>
        <v>"22900" : "đầu đọc mã vạch",</v>
      </c>
      <c r="H23" s="229" t="str">
        <f t="shared" si="1"/>
        <v>&lt;li class="col-md-3"&gt;&lt;a class="text-cut" href="javascript:;"(click)="categoryEvent(22900)"&gt;{{"22900" | translate}}&lt;/a&gt;&lt;/li&gt;</v>
      </c>
    </row>
    <row r="24" spans="1:8" ht="14.25" customHeight="1">
      <c r="A24" s="2">
        <v>2084005297</v>
      </c>
      <c r="B24" s="2" t="s">
        <v>1696</v>
      </c>
      <c r="C24" s="2" t="s">
        <v>1698</v>
      </c>
      <c r="D24" s="2" t="s">
        <v>1699</v>
      </c>
      <c r="E24" s="3" t="str">
        <f ca="1">IFERROR(__xludf.DUMMYFUNCTION("GOOGLETRANSLATE(B24,""ja"",""vi"")"),"chăm sóc tóc")</f>
        <v>chăm sóc tóc</v>
      </c>
      <c r="F24" s="3" t="str">
        <f ca="1">IFERROR(__xludf.DUMMYFUNCTION("GOOGLETRANSLATE(C24,""ja"",""vi"")"),"Đấu giá&gt; Văn phòng, Cửa hàng cung cấp&gt; hàng bé&gt; Chăm sóc tóc")</f>
        <v>Đấu giá&gt; Văn phòng, Cửa hàng cung cấp&gt; hàng bé&gt; Chăm sóc tóc</v>
      </c>
      <c r="G24" s="229" t="str">
        <f t="shared" ca="1" si="0"/>
        <v>"2084005297" : "chăm sóc tóc",</v>
      </c>
      <c r="H24" s="229" t="str">
        <f t="shared" si="1"/>
        <v>&lt;li class="col-md-3"&gt;&lt;a class="text-cut" href="javascript:;"(click)="categoryEvent(2084005297)"&gt;{{"2084005297" | translate}}&lt;/a&gt;&lt;/li&gt;</v>
      </c>
    </row>
    <row r="25" spans="1:8" ht="14.25" customHeight="1">
      <c r="A25" s="2">
        <v>2084045790</v>
      </c>
      <c r="B25" s="2" t="s">
        <v>1702</v>
      </c>
      <c r="C25" s="2" t="s">
        <v>1703</v>
      </c>
      <c r="D25" s="2" t="s">
        <v>1704</v>
      </c>
      <c r="E25" s="3" t="str">
        <f ca="1">IFERROR(__xludf.DUMMYFUNCTION("GOOGLETRANSLATE(B25,""ja"",""vi"")"),"giống như người mẫu")</f>
        <v>giống như người mẫu</v>
      </c>
      <c r="F25" s="3" t="str">
        <f ca="1">IFERROR(__xludf.DUMMYFUNCTION("GOOGLETRANSLATE(C25,""ja"",""vi"")"),"Đấu giá&gt; Văn phòng, Cửa hàng cung cấp&gt; hàng bé&gt; nộm")</f>
        <v>Đấu giá&gt; Văn phòng, Cửa hàng cung cấp&gt; hàng bé&gt; nộm</v>
      </c>
      <c r="G25" s="229" t="str">
        <f t="shared" ca="1" si="0"/>
        <v>"2084045790" : "giống như người mẫu",</v>
      </c>
      <c r="H25" s="229" t="str">
        <f t="shared" si="1"/>
        <v>&lt;li class="col-md-3"&gt;&lt;a class="text-cut" href="javascript:;"(click)="categoryEvent(2084045790)"&gt;{{"2084045790" | translate}}&lt;/a&gt;&lt;/li&gt;</v>
      </c>
    </row>
    <row r="26" spans="1:8" ht="14.25" customHeight="1">
      <c r="A26" s="2">
        <v>2084047365</v>
      </c>
      <c r="B26" s="2" t="s">
        <v>1593</v>
      </c>
      <c r="C26" s="2" t="s">
        <v>1708</v>
      </c>
      <c r="D26" s="2" t="s">
        <v>1709</v>
      </c>
      <c r="E26" s="3" t="str">
        <f ca="1">IFERROR(__xludf.DUMMYFUNCTION("GOOGLETRANSLATE(B26,""ja"",""vi"")"),"Gói, bao bì")</f>
        <v>Gói, bao bì</v>
      </c>
      <c r="F26" s="3" t="str">
        <f ca="1">IFERROR(__xludf.DUMMYFUNCTION("GOOGLETRANSLATE(C26,""ja"",""vi"")"),"Đấu giá&gt; Văn phòng, Cửa hàng cung cấp&gt; hàng bé&gt; bao bì, đóng gói")</f>
        <v>Đấu giá&gt; Văn phòng, Cửa hàng cung cấp&gt; hàng bé&gt; bao bì, đóng gói</v>
      </c>
      <c r="G26" s="229" t="str">
        <f t="shared" ca="1" si="0"/>
        <v>"2084047365" : "Gói, bao bì",</v>
      </c>
      <c r="H26" s="229" t="str">
        <f t="shared" si="1"/>
        <v>&lt;li class="col-md-3"&gt;&lt;a class="text-cut" href="javascript:;"(click)="categoryEvent(2084047365)"&gt;{{"2084047365" | translate}}&lt;/a&gt;&lt;/li&gt;</v>
      </c>
    </row>
    <row r="27" spans="1:8" ht="14.25" customHeight="1">
      <c r="A27" s="2">
        <v>2084221003</v>
      </c>
      <c r="B27" s="2" t="s">
        <v>1712</v>
      </c>
      <c r="C27" s="2" t="s">
        <v>1713</v>
      </c>
      <c r="D27" s="2" t="s">
        <v>1714</v>
      </c>
      <c r="E27" s="3" t="str">
        <f ca="1">IFERROR(__xludf.DUMMYFUNCTION("GOOGLETRANSLATE(B27,""ja"",""vi"")"),"laminator")</f>
        <v>laminator</v>
      </c>
      <c r="F27" s="3" t="str">
        <f ca="1">IFERROR(__xludf.DUMMYFUNCTION("GOOGLETRANSLATE(C27,""ja"",""vi"")"),"Đấu giá&gt; Văn phòng, Cửa hàng cung cấp&gt; hàng bé&gt; laminator")</f>
        <v>Đấu giá&gt; Văn phòng, Cửa hàng cung cấp&gt; hàng bé&gt; laminator</v>
      </c>
      <c r="G27" s="229" t="str">
        <f t="shared" ca="1" si="0"/>
        <v>"2084221003" : "laminator",</v>
      </c>
      <c r="H27" s="229" t="str">
        <f t="shared" si="1"/>
        <v>&lt;li class="col-md-3"&gt;&lt;a class="text-cut" href="javascript:;"(click)="categoryEvent(2084221003)"&gt;{{"2084221003" | translate}}&lt;/a&gt;&lt;/li&gt;</v>
      </c>
    </row>
    <row r="28" spans="1:8" ht="14.25" customHeight="1">
      <c r="A28" s="2">
        <v>22912</v>
      </c>
      <c r="B28" s="2" t="s">
        <v>1716</v>
      </c>
      <c r="C28" s="2" t="s">
        <v>1718</v>
      </c>
      <c r="D28" s="2" t="s">
        <v>1719</v>
      </c>
      <c r="E28" s="3" t="str">
        <f ca="1">IFERROR(__xludf.DUMMYFUNCTION("GOOGLETRANSLATE(B28,""ja"",""vi"")"),"Đăng ký")</f>
        <v>Đăng ký</v>
      </c>
      <c r="F28" s="3" t="str">
        <f ca="1">IFERROR(__xludf.DUMMYFUNCTION("GOOGLETRANSLATE(C28,""ja"",""vi"")"),"Đấu giá&gt; Văn phòng, Cửa hàng cung cấp&gt; hàng bé&gt; đăng ký")</f>
        <v>Đấu giá&gt; Văn phòng, Cửa hàng cung cấp&gt; hàng bé&gt; đăng ký</v>
      </c>
      <c r="G28" s="229" t="str">
        <f t="shared" ca="1" si="0"/>
        <v>"22912" : "Đăng ký",</v>
      </c>
      <c r="H28" s="229" t="str">
        <f t="shared" si="1"/>
        <v>&lt;li class="col-md-3"&gt;&lt;a class="text-cut" href="javascript:;"(click)="categoryEvent(22912)"&gt;{{"22912" | translate}}&lt;/a&gt;&lt;/li&gt;</v>
      </c>
    </row>
    <row r="29" spans="1:8" ht="14.25" customHeight="1">
      <c r="A29" s="2">
        <v>2084061609</v>
      </c>
      <c r="B29" s="2" t="s">
        <v>1720</v>
      </c>
      <c r="C29" s="2" t="s">
        <v>1721</v>
      </c>
      <c r="D29" s="2" t="s">
        <v>1722</v>
      </c>
      <c r="E29" s="3" t="str">
        <f ca="1">IFERROR(__xludf.DUMMYFUNCTION("GOOGLETRANSLATE(B29,""ja"",""vi"")"),"móc gia dụng giá")</f>
        <v>móc gia dụng giá</v>
      </c>
      <c r="F29" s="3" t="str">
        <f ca="1">IFERROR(__xludf.DUMMYFUNCTION("GOOGLETRANSLATE(C29,""ja"",""vi"")"),"Đấu giá&gt; Văn phòng, Cửa hàng cung cấp&gt; hàng bé&gt; móc gia dụng giá")</f>
        <v>Đấu giá&gt; Văn phòng, Cửa hàng cung cấp&gt; hàng bé&gt; móc gia dụng giá</v>
      </c>
      <c r="G29" s="229" t="str">
        <f t="shared" ca="1" si="0"/>
        <v>"2084061609" : "móc gia dụng giá",</v>
      </c>
      <c r="H29" s="229" t="str">
        <f t="shared" si="1"/>
        <v>&lt;li class="col-md-3"&gt;&lt;a class="text-cut" href="javascript:;"(click)="categoryEvent(2084061609)"&gt;{{"2084061609" | translate}}&lt;/a&gt;&lt;/li&gt;</v>
      </c>
    </row>
    <row r="30" spans="1:8" ht="14.25" customHeight="1">
      <c r="A30" s="2">
        <v>2084063848</v>
      </c>
      <c r="B30" s="2" t="s">
        <v>1725</v>
      </c>
      <c r="C30" s="2" t="s">
        <v>1726</v>
      </c>
      <c r="D30" s="2" t="s">
        <v>1727</v>
      </c>
      <c r="E30" s="3" t="str">
        <f ca="1">IFERROR(__xludf.DUMMYFUNCTION("GOOGLETRANSLATE(B30,""ja"",""vi"")"),"nơi ký tên")</f>
        <v>nơi ký tên</v>
      </c>
      <c r="F30" s="3" t="str">
        <f ca="1">IFERROR(__xludf.DUMMYFUNCTION("GOOGLETRANSLATE(C30,""ja"",""vi"")"),"Đấu giá&gt; Văn phòng, Cửa hàng cung cấp&gt; hàng bé&gt; bảng hiệu")</f>
        <v>Đấu giá&gt; Văn phòng, Cửa hàng cung cấp&gt; hàng bé&gt; bảng hiệu</v>
      </c>
      <c r="G30" s="229" t="str">
        <f t="shared" ca="1" si="0"/>
        <v>"2084063848" : "nơi ký tên",</v>
      </c>
      <c r="H30" s="229" t="str">
        <f t="shared" si="1"/>
        <v>&lt;li class="col-md-3"&gt;&lt;a class="text-cut" href="javascript:;"(click)="categoryEvent(2084063848)"&gt;{{"2084063848" | translate}}&lt;/a&gt;&lt;/li&gt;</v>
      </c>
    </row>
    <row r="31" spans="1:8" ht="14.25" customHeight="1">
      <c r="A31" s="2">
        <v>2084048017</v>
      </c>
      <c r="B31" s="2" t="s">
        <v>1256</v>
      </c>
      <c r="C31" s="2" t="s">
        <v>1730</v>
      </c>
      <c r="D31" s="2" t="s">
        <v>1731</v>
      </c>
      <c r="E31" s="3" t="str">
        <f ca="1">IFERROR(__xludf.DUMMYFUNCTION("GOOGLETRANSLATE(B31,""ja"",""vi"")"),"cây trong nhà")</f>
        <v>cây trong nhà</v>
      </c>
      <c r="F31" s="3" t="str">
        <f ca="1">IFERROR(__xludf.DUMMYFUNCTION("GOOGLETRANSLATE(C31,""ja"",""vi"")"),"Đấu giá&gt; Văn phòng, Cửa hàng cung cấp&gt; hàng bé&gt; houseplant")</f>
        <v>Đấu giá&gt; Văn phòng, Cửa hàng cung cấp&gt; hàng bé&gt; houseplant</v>
      </c>
      <c r="G31" s="229" t="str">
        <f t="shared" ca="1" si="0"/>
        <v>"2084048017" : "cây trong nhà",</v>
      </c>
      <c r="H31" s="229" t="str">
        <f t="shared" si="1"/>
        <v>&lt;li class="col-md-3"&gt;&lt;a class="text-cut" href="javascript:;"(click)="categoryEvent(2084048017)"&gt;{{"2084048017" | translate}}&lt;/a&gt;&lt;/li&gt;</v>
      </c>
    </row>
    <row r="32" spans="1:8" ht="14.25" customHeight="1">
      <c r="A32" s="2">
        <v>24694</v>
      </c>
      <c r="B32" s="2" t="s">
        <v>1732</v>
      </c>
      <c r="C32" s="2" t="s">
        <v>1733</v>
      </c>
      <c r="D32" s="2" t="s">
        <v>1734</v>
      </c>
      <c r="E32" s="3" t="str">
        <f ca="1">IFERROR(__xludf.DUMMYFUNCTION("GOOGLETRANSLATE(B32,""ja"",""vi"")"),"gương")</f>
        <v>gương</v>
      </c>
      <c r="F32" s="3" t="str">
        <f ca="1">IFERROR(__xludf.DUMMYFUNCTION("GOOGLETRANSLATE(C32,""ja"",""vi"")"),"Đấu giá&gt; Văn phòng, Cửa hàng cung cấp&gt; hàng bé&gt; gương")</f>
        <v>Đấu giá&gt; Văn phòng, Cửa hàng cung cấp&gt; hàng bé&gt; gương</v>
      </c>
      <c r="G32" s="229" t="str">
        <f t="shared" ca="1" si="0"/>
        <v>"24694" : "gương",</v>
      </c>
      <c r="H32" s="229" t="str">
        <f t="shared" si="1"/>
        <v>&lt;li class="col-md-3"&gt;&lt;a class="text-cut" href="javascript:;"(click)="categoryEvent(24694)"&gt;{{"24694" | translate}}&lt;/a&gt;&lt;/li&gt;</v>
      </c>
    </row>
    <row r="33" spans="1:8" ht="14.25" customHeight="1">
      <c r="A33" s="2">
        <v>2084055706</v>
      </c>
      <c r="B33" s="2" t="s">
        <v>1584</v>
      </c>
      <c r="C33" s="2" t="s">
        <v>1735</v>
      </c>
      <c r="D33" s="2" t="s">
        <v>1736</v>
      </c>
      <c r="E33" s="3" t="str">
        <f ca="1">IFERROR(__xludf.DUMMYFUNCTION("GOOGLETRANSLATE(B33,""ja"",""vi"")"),"an toàn")</f>
        <v>an toàn</v>
      </c>
      <c r="F33" s="3" t="str">
        <f ca="1">IFERROR(__xludf.DUMMYFUNCTION("GOOGLETRANSLATE(C33,""ja"",""vi"")"),"Đấu giá&gt; Văn phòng, Cửa hàng cung cấp&gt; hàng bé&gt; an toàn")</f>
        <v>Đấu giá&gt; Văn phòng, Cửa hàng cung cấp&gt; hàng bé&gt; an toàn</v>
      </c>
      <c r="G33" s="229" t="str">
        <f t="shared" ca="1" si="0"/>
        <v>"2084055706" : "an toàn",</v>
      </c>
      <c r="H33" s="229" t="str">
        <f t="shared" si="1"/>
        <v>&lt;li class="col-md-3"&gt;&lt;a class="text-cut" href="javascript:;"(click)="categoryEvent(2084055706)"&gt;{{"2084055706" | translate}}&lt;/a&gt;&lt;/li&gt;</v>
      </c>
    </row>
    <row r="34" spans="1:8" ht="14.25" customHeight="1">
      <c r="A34" s="2">
        <v>2084063849</v>
      </c>
      <c r="B34" s="2" t="s">
        <v>1739</v>
      </c>
      <c r="C34" s="2" t="s">
        <v>1741</v>
      </c>
      <c r="D34" s="2" t="s">
        <v>1742</v>
      </c>
      <c r="E34" s="3" t="str">
        <f ca="1">IFERROR(__xludf.DUMMYFUNCTION("GOOGLETRANSLATE(B34,""ja"",""vi"")"),"xe tải")</f>
        <v>xe tải</v>
      </c>
      <c r="F34" s="3" t="str">
        <f ca="1">IFERROR(__xludf.DUMMYFUNCTION("GOOGLETRANSLATE(C34,""ja"",""vi"")"),"Đấu giá&gt; Văn phòng, Cửa hàng cung cấp&gt; hàng bé&gt; xe tải")</f>
        <v>Đấu giá&gt; Văn phòng, Cửa hàng cung cấp&gt; hàng bé&gt; xe tải</v>
      </c>
      <c r="G34" s="229" t="str">
        <f t="shared" ca="1" si="0"/>
        <v>"2084063849" : "xe tải",</v>
      </c>
      <c r="H34" s="229" t="str">
        <f t="shared" si="1"/>
        <v>&lt;li class="col-md-3"&gt;&lt;a class="text-cut" href="javascript:;"(click)="categoryEvent(2084063849)"&gt;{{"2084063849" | translate}}&lt;/a&gt;&lt;/li&gt;</v>
      </c>
    </row>
    <row r="35" spans="1:8" ht="14.25" customHeight="1">
      <c r="A35" s="2">
        <v>2084055703</v>
      </c>
      <c r="B35" s="2" t="s">
        <v>1743</v>
      </c>
      <c r="C35" s="2" t="s">
        <v>1745</v>
      </c>
      <c r="D35" s="2" t="s">
        <v>1747</v>
      </c>
      <c r="E35" s="3" t="str">
        <f ca="1">IFERROR(__xludf.DUMMYFUNCTION("GOOGLETRANSLATE(B35,""ja"",""vi"")"),"camera an ninh")</f>
        <v>camera an ninh</v>
      </c>
      <c r="F35" s="3" t="str">
        <f ca="1">IFERROR(__xludf.DUMMYFUNCTION("GOOGLETRANSLATE(C35,""ja"",""vi"")"),"Đấu giá&gt; Văn phòng, Cửa hàng cung cấp&gt; hàng bé&gt; camera an ninh")</f>
        <v>Đấu giá&gt; Văn phòng, Cửa hàng cung cấp&gt; hàng bé&gt; camera an ninh</v>
      </c>
      <c r="G35" s="229" t="str">
        <f t="shared" ca="1" si="0"/>
        <v>"2084055703" : "camera an ninh",</v>
      </c>
      <c r="H35" s="229" t="str">
        <f t="shared" si="1"/>
        <v>&lt;li class="col-md-3"&gt;&lt;a class="text-cut" href="javascript:;"(click)="categoryEvent(2084055703)"&gt;{{"2084055703" | translate}}&lt;/a&gt;&lt;/li&gt;</v>
      </c>
    </row>
    <row r="36" spans="1:8" ht="14.25" customHeight="1">
      <c r="A36" s="2">
        <v>2084263149</v>
      </c>
      <c r="B36" s="2" t="s">
        <v>1749</v>
      </c>
      <c r="C36" s="2" t="s">
        <v>1750</v>
      </c>
      <c r="D36" s="2" t="s">
        <v>1751</v>
      </c>
      <c r="E36" s="3" t="str">
        <f ca="1">IFERROR(__xludf.DUMMYFUNCTION("GOOGLETRANSLATE(B36,""ja"",""vi"")"),"Beauty cung cấp cửa hàng")</f>
        <v>Beauty cung cấp cửa hàng</v>
      </c>
      <c r="F36" s="3" t="str">
        <f ca="1">IFERROR(__xludf.DUMMYFUNCTION("GOOGLETRANSLATE(C36,""ja"",""vi"")"),"Đấu giá&gt; Văn phòng, Cửa hàng cung cấp&gt; hàng bé&gt; nguồn cung cấp cửa hàng làm đẹp")</f>
        <v>Đấu giá&gt; Văn phòng, Cửa hàng cung cấp&gt; hàng bé&gt; nguồn cung cấp cửa hàng làm đẹp</v>
      </c>
      <c r="G36" s="229" t="str">
        <f t="shared" ca="1" si="0"/>
        <v>"2084263149" : "Beauty cung cấp cửa hàng",</v>
      </c>
      <c r="H36" s="229" t="str">
        <f t="shared" si="1"/>
        <v>&lt;li class="col-md-3"&gt;&lt;a class="text-cut" href="javascript:;"(click)="categoryEvent(2084263149)"&gt;{{"2084263149" | translate}}&lt;/a&gt;&lt;/li&gt;</v>
      </c>
    </row>
    <row r="37" spans="1:8" ht="14.25" customHeight="1">
      <c r="A37" s="2">
        <v>2084307794</v>
      </c>
      <c r="B37" s="2" t="s">
        <v>1757</v>
      </c>
      <c r="C37" s="2" t="s">
        <v>1759</v>
      </c>
      <c r="D37" s="2" t="s">
        <v>1760</v>
      </c>
      <c r="E37" s="3" t="str">
        <f ca="1">IFERROR(__xludf.DUMMYFUNCTION("GOOGLETRANSLATE(B37,""ja"",""vi"")"),"Bếp thuê thiết bị")</f>
        <v>Bếp thuê thiết bị</v>
      </c>
      <c r="F37" s="3" t="str">
        <f ca="1">IFERROR(__xludf.DUMMYFUNCTION("GOOGLETRANSLATE(C37,""ja"",""vi"")"),"Đấu giá&gt; Văn phòng, Cửa hàng cung cấp&gt; hàng bé&gt; thiết bị nhà bếp cho thuê")</f>
        <v>Đấu giá&gt; Văn phòng, Cửa hàng cung cấp&gt; hàng bé&gt; thiết bị nhà bếp cho thuê</v>
      </c>
      <c r="G37" s="229" t="str">
        <f t="shared" ca="1" si="0"/>
        <v>"2084307794" : "Bếp thuê thiết bị",</v>
      </c>
      <c r="H37" s="229" t="str">
        <f t="shared" si="1"/>
        <v>&lt;li class="col-md-3"&gt;&lt;a class="text-cut" href="javascript:;"(click)="categoryEvent(2084307794)"&gt;{{"2084307794" | translate}}&lt;/a&gt;&lt;/li&gt;</v>
      </c>
    </row>
    <row r="38" spans="1:8" ht="14.25" customHeight="1">
      <c r="A38" s="2">
        <v>2084042487</v>
      </c>
      <c r="B38" s="2" t="s">
        <v>16</v>
      </c>
      <c r="C38" s="2" t="s">
        <v>1763</v>
      </c>
      <c r="D38" s="2" t="s">
        <v>1765</v>
      </c>
      <c r="E38" s="3" t="str">
        <f ca="1">IFERROR(__xludf.DUMMYFUNCTION("GOOGLETRANSLATE(B38,""ja"",""vi"")"),"nếu không thì")</f>
        <v>nếu không thì</v>
      </c>
      <c r="F38" s="3" t="str">
        <f ca="1">IFERROR(__xludf.DUMMYFUNCTION("GOOGLETRANSLATE(C38,""ja"",""vi"")"),"Đấu giá&gt; Văn phòng, Cửa hàng cung cấp&gt; hàng bé&gt; Khác")</f>
        <v>Đấu giá&gt; Văn phòng, Cửa hàng cung cấp&gt; hàng bé&gt; Khác</v>
      </c>
      <c r="G38" s="229" t="str">
        <f t="shared" ca="1" si="0"/>
        <v>"2084042487" : "nếu không thì",</v>
      </c>
      <c r="H38" s="229" t="str">
        <f t="shared" si="1"/>
        <v>&lt;li class="col-md-3"&gt;&lt;a class="text-cut" href="javascript:;"(click)="categoryEvent(2084042487)"&gt;{{"2084042487" | translate}}&lt;/a&gt;&lt;/li&gt;</v>
      </c>
    </row>
    <row r="39" spans="1:8" ht="14.25" customHeight="1">
      <c r="E39" s="3"/>
      <c r="F39" s="3"/>
      <c r="G39" s="229"/>
      <c r="H39" s="229"/>
    </row>
    <row r="40" spans="1:8" ht="34.200000000000003" customHeight="1">
      <c r="A40" s="239">
        <v>2084042480</v>
      </c>
      <c r="B40" s="232"/>
      <c r="C40" s="232"/>
      <c r="D40" s="233"/>
      <c r="E40" s="3"/>
      <c r="F40" s="3"/>
      <c r="G40" s="229"/>
      <c r="H40" s="229"/>
    </row>
    <row r="41" spans="1:8" ht="14.25" customHeight="1">
      <c r="A41" s="2">
        <v>22916</v>
      </c>
      <c r="B41" s="2" t="s">
        <v>1777</v>
      </c>
      <c r="C41" s="2" t="s">
        <v>1778</v>
      </c>
      <c r="D41" s="2" t="s">
        <v>1779</v>
      </c>
      <c r="E41" s="3" t="str">
        <f ca="1">IFERROR(__xludf.DUMMYFUNCTION("GOOGLETRANSLATE(B41,""ja"",""vi"")"),"máy đa chức năng, sao chép máy")</f>
        <v>máy đa chức năng, sao chép máy</v>
      </c>
      <c r="F41" s="3" t="str">
        <f ca="1">IFERROR(__xludf.DUMMYFUNCTION("GOOGLETRANSLATE(C41,""ja"",""vi"")"),"Đấu giá&gt; Văn phòng, Cửa hàng cung cấp&gt; thiết bị OA&gt; máy đa chức năng, sao chép máy")</f>
        <v>Đấu giá&gt; Văn phòng, Cửa hàng cung cấp&gt; thiết bị OA&gt; máy đa chức năng, sao chép máy</v>
      </c>
      <c r="G41" s="229" t="str">
        <f t="shared" ca="1" si="0"/>
        <v>"22916" : "máy đa chức năng, sao chép máy",</v>
      </c>
      <c r="H41" s="229" t="str">
        <f t="shared" si="1"/>
        <v>&lt;li class="col-md-3"&gt;&lt;a class="text-cut" href="javascript:;"(click)="categoryEvent(22916)"&gt;{{"22916" | translate}}&lt;/a&gt;&lt;/li&gt;</v>
      </c>
    </row>
    <row r="42" spans="1:8" ht="14.25" customHeight="1">
      <c r="A42" s="2">
        <v>2084198552</v>
      </c>
      <c r="B42" s="2" t="s">
        <v>1785</v>
      </c>
      <c r="C42" s="2" t="s">
        <v>1787</v>
      </c>
      <c r="D42" s="2" t="s">
        <v>1788</v>
      </c>
      <c r="E42" s="3" t="str">
        <f ca="1">IFERROR(__xludf.DUMMYFUNCTION("GOOGLETRANSLATE(B42,""ja"",""vi"")"),"Điện thoại Kinh doanh")</f>
        <v>Điện thoại Kinh doanh</v>
      </c>
      <c r="F42" s="3" t="str">
        <f ca="1">IFERROR(__xludf.DUMMYFUNCTION("GOOGLETRANSLATE(C42,""ja"",""vi"")"),"Đấu giá&gt; Văn phòng, Cửa hàng cung cấp&gt; thiết bị OA&gt; điện thoại kinh doanh")</f>
        <v>Đấu giá&gt; Văn phòng, Cửa hàng cung cấp&gt; thiết bị OA&gt; điện thoại kinh doanh</v>
      </c>
      <c r="G42" s="229" t="str">
        <f t="shared" ca="1" si="0"/>
        <v>"2084198552" : "Điện thoại Kinh doanh",</v>
      </c>
      <c r="H42" s="229" t="str">
        <f t="shared" si="1"/>
        <v>&lt;li class="col-md-3"&gt;&lt;a class="text-cut" href="javascript:;"(click)="categoryEvent(2084198552)"&gt;{{"2084198552" | translate}}&lt;/a&gt;&lt;/li&gt;</v>
      </c>
    </row>
    <row r="43" spans="1:8" ht="14.25" customHeight="1">
      <c r="A43" s="2">
        <v>22924</v>
      </c>
      <c r="B43" s="2" t="s">
        <v>1789</v>
      </c>
      <c r="C43" s="2" t="s">
        <v>1790</v>
      </c>
      <c r="D43" s="2" t="s">
        <v>1792</v>
      </c>
      <c r="E43" s="3" t="str">
        <f ca="1">IFERROR(__xludf.DUMMYFUNCTION("GOOGLETRANSLATE(B43,""ja"",""vi"")"),"fax")</f>
        <v>fax</v>
      </c>
      <c r="F43" s="3" t="str">
        <f ca="1">IFERROR(__xludf.DUMMYFUNCTION("GOOGLETRANSLATE(C43,""ja"",""vi"")"),"Đấu giá&gt; văn phòng, vật tư cửa hàng&gt; thiết bị OA&gt; fax")</f>
        <v>Đấu giá&gt; văn phòng, vật tư cửa hàng&gt; thiết bị OA&gt; fax</v>
      </c>
      <c r="G43" s="229" t="str">
        <f t="shared" ca="1" si="0"/>
        <v>"22924" : "fax",</v>
      </c>
      <c r="H43" s="229" t="str">
        <f t="shared" si="1"/>
        <v>&lt;li class="col-md-3"&gt;&lt;a class="text-cut" href="javascript:;"(click)="categoryEvent(22924)"&gt;{{"22924" | translate}}&lt;/a&gt;&lt;/li&gt;</v>
      </c>
    </row>
    <row r="44" spans="1:8" ht="14.25" customHeight="1">
      <c r="A44" s="2">
        <v>22988</v>
      </c>
      <c r="B44" s="2" t="s">
        <v>1794</v>
      </c>
      <c r="C44" s="2" t="s">
        <v>1795</v>
      </c>
      <c r="D44" s="2" t="s">
        <v>1796</v>
      </c>
      <c r="E44" s="3" t="str">
        <f ca="1">IFERROR(__xludf.DUMMYFUNCTION("GOOGLETRANSLATE(B44,""ja"",""vi"")"),"Máy hủy tài liệu")</f>
        <v>Máy hủy tài liệu</v>
      </c>
      <c r="F44" s="3" t="str">
        <f ca="1">IFERROR(__xludf.DUMMYFUNCTION("GOOGLETRANSLATE(C44,""ja"",""vi"")"),"Đấu giá&gt; Văn phòng, Cửa hàng cung cấp&gt; thiết bị OA&gt; shredder")</f>
        <v>Đấu giá&gt; Văn phòng, Cửa hàng cung cấp&gt; thiết bị OA&gt; shredder</v>
      </c>
      <c r="G44" s="229" t="str">
        <f t="shared" ca="1" si="0"/>
        <v>"22988" : "Máy hủy tài liệu",</v>
      </c>
      <c r="H44" s="229" t="str">
        <f t="shared" si="1"/>
        <v>&lt;li class="col-md-3"&gt;&lt;a class="text-cut" href="javascript:;"(click)="categoryEvent(22988)"&gt;{{"22988" | translate}}&lt;/a&gt;&lt;/li&gt;</v>
      </c>
    </row>
    <row r="45" spans="1:8" ht="14.25" customHeight="1">
      <c r="A45" s="2">
        <v>2084047817</v>
      </c>
      <c r="B45" s="2" t="s">
        <v>1803</v>
      </c>
      <c r="C45" s="2" t="s">
        <v>1804</v>
      </c>
      <c r="D45" s="2" t="s">
        <v>1805</v>
      </c>
      <c r="E45" s="3" t="str">
        <f ca="1">IFERROR(__xludf.DUMMYFUNCTION("GOOGLETRANSLATE(B45,""ja"",""vi"")"),"thẻ thời gian, máy ghi âm")</f>
        <v>thẻ thời gian, máy ghi âm</v>
      </c>
      <c r="F45" s="3" t="str">
        <f ca="1">IFERROR(__xludf.DUMMYFUNCTION("GOOGLETRANSLATE(C45,""ja"",""vi"")"),"Đấu giá&gt; Văn phòng, Cửa hàng cung cấp&gt; thiết bị OA&gt; thẻ thời gian, máy ghi âm")</f>
        <v>Đấu giá&gt; Văn phòng, Cửa hàng cung cấp&gt; thiết bị OA&gt; thẻ thời gian, máy ghi âm</v>
      </c>
      <c r="G45" s="229" t="str">
        <f t="shared" ca="1" si="0"/>
        <v>"2084047817" : "thẻ thời gian, máy ghi âm",</v>
      </c>
      <c r="H45" s="229" t="str">
        <f t="shared" si="1"/>
        <v>&lt;li class="col-md-3"&gt;&lt;a class="text-cut" href="javascript:;"(click)="categoryEvent(2084047817)"&gt;{{"2084047817" | translate}}&lt;/a&gt;&lt;/li&gt;</v>
      </c>
    </row>
    <row r="46" spans="1:8" ht="14.25" customHeight="1">
      <c r="A46" s="2">
        <v>22968</v>
      </c>
      <c r="B46" s="2" t="s">
        <v>1812</v>
      </c>
      <c r="C46" s="2" t="s">
        <v>1813</v>
      </c>
      <c r="D46" s="2" t="s">
        <v>1814</v>
      </c>
      <c r="E46" s="3" t="str">
        <f ca="1">IFERROR(__xludf.DUMMYFUNCTION("GOOGLETRANSLATE(B46,""ja"",""vi"")"),"nguồn cung cấp nhãn")</f>
        <v>nguồn cung cấp nhãn</v>
      </c>
      <c r="F46" s="3" t="str">
        <f ca="1">IFERROR(__xludf.DUMMYFUNCTION("GOOGLETRANSLATE(C46,""ja"",""vi"")"),"Đấu giá&gt; Văn phòng, Cửa hàng cung cấp&gt; thiết bị OA&gt; nguồn cung cấp nhãn")</f>
        <v>Đấu giá&gt; Văn phòng, Cửa hàng cung cấp&gt; thiết bị OA&gt; nguồn cung cấp nhãn</v>
      </c>
      <c r="G46" s="229" t="str">
        <f t="shared" ca="1" si="0"/>
        <v>"22968" : "nguồn cung cấp nhãn",</v>
      </c>
      <c r="H46" s="229" t="str">
        <f t="shared" si="1"/>
        <v>&lt;li class="col-md-3"&gt;&lt;a class="text-cut" href="javascript:;"(click)="categoryEvent(22968)"&gt;{{"22968" | translate}}&lt;/a&gt;&lt;/li&gt;</v>
      </c>
    </row>
    <row r="47" spans="1:8" ht="14.25" customHeight="1">
      <c r="A47" s="2">
        <v>2084047851</v>
      </c>
      <c r="B47" s="2" t="s">
        <v>1820</v>
      </c>
      <c r="C47" s="2" t="s">
        <v>1821</v>
      </c>
      <c r="D47" s="2" t="s">
        <v>1823</v>
      </c>
      <c r="E47" s="3" t="str">
        <f ca="1">IFERROR(__xludf.DUMMYFUNCTION("GOOGLETRANSLATE(B47,""ja"",""vi"")"),"xử lý văn bản máy chuyên dùng")</f>
        <v>xử lý văn bản máy chuyên dùng</v>
      </c>
      <c r="F47" s="3" t="str">
        <f ca="1">IFERROR(__xludf.DUMMYFUNCTION("GOOGLETRANSLATE(C47,""ja"",""vi"")"),"Đấu giá&gt; Văn phòng, Cửa hàng cung cấp&gt; thiết bị OA&gt; máy xử lý văn bản dành riêng")</f>
        <v>Đấu giá&gt; Văn phòng, Cửa hàng cung cấp&gt; thiết bị OA&gt; máy xử lý văn bản dành riêng</v>
      </c>
      <c r="G47" s="229" t="str">
        <f t="shared" ca="1" si="0"/>
        <v>"2084047851" : "xử lý văn bản máy chuyên dùng",</v>
      </c>
      <c r="H47" s="229" t="str">
        <f t="shared" si="1"/>
        <v>&lt;li class="col-md-3"&gt;&lt;a class="text-cut" href="javascript:;"(click)="categoryEvent(2084047851)"&gt;{{"2084047851" | translate}}&lt;/a&gt;&lt;/li&gt;</v>
      </c>
    </row>
    <row r="48" spans="1:8" ht="14.25" customHeight="1">
      <c r="A48" s="2">
        <v>2084050527</v>
      </c>
      <c r="B48" s="2" t="s">
        <v>1827</v>
      </c>
      <c r="C48" s="2" t="s">
        <v>1829</v>
      </c>
      <c r="D48" s="2" t="s">
        <v>1830</v>
      </c>
      <c r="E48" s="3" t="str">
        <f ca="1">IFERROR(__xludf.DUMMYFUNCTION("GOOGLETRANSLATE(B48,""ja"",""vi"")"),"từ điển điện tử")</f>
        <v>từ điển điện tử</v>
      </c>
      <c r="F48" s="3" t="str">
        <f ca="1">IFERROR(__xludf.DUMMYFUNCTION("GOOGLETRANSLATE(C48,""ja"",""vi"")"),"Đấu giá&gt; Văn phòng, Cửa hàng cung cấp&gt; thiết bị OA&gt; từ điển điện tử")</f>
        <v>Đấu giá&gt; Văn phòng, Cửa hàng cung cấp&gt; thiết bị OA&gt; từ điển điện tử</v>
      </c>
      <c r="G48" s="229" t="str">
        <f t="shared" ca="1" si="0"/>
        <v>"2084050527" : "từ điển điện tử",</v>
      </c>
      <c r="H48" s="229" t="str">
        <f t="shared" si="1"/>
        <v>&lt;li class="col-md-3"&gt;&lt;a class="text-cut" href="javascript:;"(click)="categoryEvent(2084050527)"&gt;{{"2084050527" | translate}}&lt;/a&gt;&lt;/li&gt;</v>
      </c>
    </row>
    <row r="49" spans="1:8" ht="14.25" customHeight="1">
      <c r="A49" s="2">
        <v>23878</v>
      </c>
      <c r="B49" s="2" t="s">
        <v>1834</v>
      </c>
      <c r="C49" s="2" t="s">
        <v>1835</v>
      </c>
      <c r="D49" s="2" t="s">
        <v>1838</v>
      </c>
      <c r="E49" s="3" t="str">
        <f ca="1">IFERROR(__xludf.DUMMYFUNCTION("GOOGLETRANSLATE(B49,""ja"",""vi"")"),"máy tính")</f>
        <v>máy tính</v>
      </c>
      <c r="F49" s="3" t="str">
        <f ca="1">IFERROR(__xludf.DUMMYFUNCTION("GOOGLETRANSLATE(C49,""ja"",""vi"")"),"Đấu giá&gt; Văn phòng, Cửa hàng cung cấp&gt; thiết bị OA&gt; máy tính")</f>
        <v>Đấu giá&gt; Văn phòng, Cửa hàng cung cấp&gt; thiết bị OA&gt; máy tính</v>
      </c>
      <c r="G49" s="229" t="str">
        <f t="shared" ca="1" si="0"/>
        <v>"23878" : "máy tính",</v>
      </c>
      <c r="H49" s="229" t="str">
        <f t="shared" si="1"/>
        <v>&lt;li class="col-md-3"&gt;&lt;a class="text-cut" href="javascript:;"(click)="categoryEvent(23878)"&gt;{{"23878" | translate}}&lt;/a&gt;&lt;/li&gt;</v>
      </c>
    </row>
    <row r="50" spans="1:8" ht="14.25" customHeight="1">
      <c r="A50" s="2">
        <v>2084307795</v>
      </c>
      <c r="B50" s="2" t="s">
        <v>1840</v>
      </c>
      <c r="C50" s="2" t="s">
        <v>1841</v>
      </c>
      <c r="D50" s="2" t="s">
        <v>1843</v>
      </c>
      <c r="E50" s="3" t="str">
        <f ca="1">IFERROR(__xludf.DUMMYFUNCTION("GOOGLETRANSLATE(B50,""ja"",""vi"")"),"OA thuê thiết bị")</f>
        <v>OA thuê thiết bị</v>
      </c>
      <c r="F50" s="3" t="str">
        <f ca="1">IFERROR(__xludf.DUMMYFUNCTION("GOOGLETRANSLATE(C50,""ja"",""vi"")"),"Đấu giá&gt; Văn phòng, Cửa hàng cung cấp&gt; thiết bị OA&gt; cho thuê thiết bị OA")</f>
        <v>Đấu giá&gt; Văn phòng, Cửa hàng cung cấp&gt; thiết bị OA&gt; cho thuê thiết bị OA</v>
      </c>
      <c r="G50" s="229" t="str">
        <f t="shared" ca="1" si="0"/>
        <v>"2084307795" : "OA thuê thiết bị",</v>
      </c>
      <c r="H50" s="229" t="str">
        <f t="shared" si="1"/>
        <v>&lt;li class="col-md-3"&gt;&lt;a class="text-cut" href="javascript:;"(click)="categoryEvent(2084307795)"&gt;{{"2084307795" | translate}}&lt;/a&gt;&lt;/li&gt;</v>
      </c>
    </row>
    <row r="51" spans="1:8" ht="14.25" customHeight="1">
      <c r="A51" s="2">
        <v>2084042488</v>
      </c>
      <c r="B51" s="2" t="s">
        <v>16</v>
      </c>
      <c r="C51" s="2" t="s">
        <v>1849</v>
      </c>
      <c r="D51" s="2" t="s">
        <v>1850</v>
      </c>
      <c r="E51" s="3" t="str">
        <f ca="1">IFERROR(__xludf.DUMMYFUNCTION("GOOGLETRANSLATE(B51,""ja"",""vi"")"),"nếu không thì")</f>
        <v>nếu không thì</v>
      </c>
      <c r="F51" s="3" t="str">
        <f ca="1">IFERROR(__xludf.DUMMYFUNCTION("GOOGLETRANSLATE(C51,""ja"",""vi"")"),"Đấu giá&gt; vật tư văn phòng, cửa hàng&gt; thiết bị OA&gt; Khác")</f>
        <v>Đấu giá&gt; vật tư văn phòng, cửa hàng&gt; thiết bị OA&gt; Khác</v>
      </c>
      <c r="G51" s="229" t="str">
        <f t="shared" ca="1" si="0"/>
        <v>"2084042488" : "nếu không thì",</v>
      </c>
      <c r="H51" s="229" t="str">
        <f t="shared" si="1"/>
        <v>&lt;li class="col-md-3"&gt;&lt;a class="text-cut" href="javascript:;"(click)="categoryEvent(2084042488)"&gt;{{"2084042488" | translate}}&lt;/a&gt;&lt;/li&gt;</v>
      </c>
    </row>
    <row r="52" spans="1:8" ht="14.25" customHeight="1">
      <c r="E52" s="3"/>
      <c r="F52" s="3"/>
      <c r="G52" s="229"/>
      <c r="H52" s="229"/>
    </row>
    <row r="53" spans="1:8" ht="25.8" customHeight="1">
      <c r="A53" s="240">
        <v>22928</v>
      </c>
      <c r="B53" s="232"/>
      <c r="C53" s="232"/>
      <c r="D53" s="233"/>
      <c r="E53" s="3"/>
      <c r="F53" s="3"/>
      <c r="G53" s="229"/>
      <c r="H53" s="229"/>
    </row>
    <row r="54" spans="1:8" ht="14.25" customHeight="1">
      <c r="A54" s="2">
        <v>2084007905</v>
      </c>
      <c r="B54" s="2" t="s">
        <v>766</v>
      </c>
      <c r="C54" s="2" t="s">
        <v>1858</v>
      </c>
      <c r="D54" s="2" t="s">
        <v>1859</v>
      </c>
      <c r="E54" s="3" t="str">
        <f ca="1">IFERROR(__xludf.DUMMYFUNCTION("GOOGLETRANSLATE(B54,""ja"",""vi"")"),"các ghế")</f>
        <v>các ghế</v>
      </c>
      <c r="F54" s="3" t="str">
        <f ca="1">IFERROR(__xludf.DUMMYFUNCTION("GOOGLETRANSLATE(C54,""ja"",""vi"")"),"Đấu giá&gt; Văn phòng, Cửa hàng cung cấp&gt; đồ nội thất văn phòng&gt; Ghế")</f>
        <v>Đấu giá&gt; Văn phòng, Cửa hàng cung cấp&gt; đồ nội thất văn phòng&gt; Ghế</v>
      </c>
      <c r="G54" s="229" t="str">
        <f t="shared" ca="1" si="0"/>
        <v>"2084007905" : "các ghế",</v>
      </c>
      <c r="H54" s="229" t="str">
        <f t="shared" si="1"/>
        <v>&lt;li class="col-md-3"&gt;&lt;a class="text-cut" href="javascript:;"(click)="categoryEvent(2084007905)"&gt;{{"2084007905" | translate}}&lt;/a&gt;&lt;/li&gt;</v>
      </c>
    </row>
    <row r="55" spans="1:8" ht="14.25" customHeight="1">
      <c r="A55" s="2">
        <v>22948</v>
      </c>
      <c r="B55" s="2" t="s">
        <v>1865</v>
      </c>
      <c r="C55" s="2" t="s">
        <v>1866</v>
      </c>
      <c r="D55" s="2" t="s">
        <v>1867</v>
      </c>
      <c r="E55" s="3" t="str">
        <f ca="1">IFERROR(__xludf.DUMMYFUNCTION("GOOGLETRANSLATE(B55,""ja"",""vi"")"),"buồng")</f>
        <v>buồng</v>
      </c>
      <c r="F55" s="3" t="str">
        <f ca="1">IFERROR(__xludf.DUMMYFUNCTION("GOOGLETRANSLATE(C55,""ja"",""vi"")"),"Đấu giá&gt; Văn phòng, Cửa hàng cung cấp&gt; đồ nội thất văn phòng&gt; tủ")</f>
        <v>Đấu giá&gt; Văn phòng, Cửa hàng cung cấp&gt; đồ nội thất văn phòng&gt; tủ</v>
      </c>
      <c r="G55" s="229" t="str">
        <f t="shared" ca="1" si="0"/>
        <v>"22948" : "buồng",</v>
      </c>
      <c r="H55" s="229" t="str">
        <f t="shared" si="1"/>
        <v>&lt;li class="col-md-3"&gt;&lt;a class="text-cut" href="javascript:;"(click)="categoryEvent(22948)"&gt;{{"22948" | translate}}&lt;/a&gt;&lt;/li&gt;</v>
      </c>
    </row>
    <row r="56" spans="1:8" ht="14.25" customHeight="1">
      <c r="A56" s="2">
        <v>22988</v>
      </c>
      <c r="B56" s="2" t="s">
        <v>1794</v>
      </c>
      <c r="C56" s="2" t="s">
        <v>1872</v>
      </c>
      <c r="D56" s="2" t="s">
        <v>1875</v>
      </c>
      <c r="E56" s="3" t="str">
        <f ca="1">IFERROR(__xludf.DUMMYFUNCTION("GOOGLETRANSLATE(B56,""ja"",""vi"")"),"Máy hủy tài liệu")</f>
        <v>Máy hủy tài liệu</v>
      </c>
      <c r="F56" s="3" t="str">
        <f ca="1">IFERROR(__xludf.DUMMYFUNCTION("GOOGLETRANSLATE(C56,""ja"",""vi"")"),"Đấu giá&gt; Văn phòng, Cửa hàng cung cấp&gt; đồ nội thất văn phòng&gt; shredder")</f>
        <v>Đấu giá&gt; Văn phòng, Cửa hàng cung cấp&gt; đồ nội thất văn phòng&gt; shredder</v>
      </c>
      <c r="G56" s="229" t="str">
        <f t="shared" ca="1" si="0"/>
        <v>"22988" : "Máy hủy tài liệu",</v>
      </c>
      <c r="H56" s="229" t="str">
        <f t="shared" si="1"/>
        <v>&lt;li class="col-md-3"&gt;&lt;a class="text-cut" href="javascript:;"(click)="categoryEvent(22988)"&gt;{{"22988" | translate}}&lt;/a&gt;&lt;/li&gt;</v>
      </c>
    </row>
    <row r="57" spans="1:8" ht="14.25" customHeight="1">
      <c r="A57" s="2">
        <v>22956</v>
      </c>
      <c r="B57" s="2" t="s">
        <v>1878</v>
      </c>
      <c r="C57" s="2" t="s">
        <v>1880</v>
      </c>
      <c r="D57" s="2" t="s">
        <v>1881</v>
      </c>
      <c r="E57" s="3" t="str">
        <f ca="1">IFERROR(__xludf.DUMMYFUNCTION("GOOGLETRANSLATE(B57,""ja"",""vi"")"),"bàn")</f>
        <v>bàn</v>
      </c>
      <c r="F57" s="3" t="str">
        <f ca="1">IFERROR(__xludf.DUMMYFUNCTION("GOOGLETRANSLATE(C57,""ja"",""vi"")"),"Đấu giá&gt; Văn phòng, Cửa hàng cung cấp&gt; đồ nội thất văn phòng&gt; bảng")</f>
        <v>Đấu giá&gt; Văn phòng, Cửa hàng cung cấp&gt; đồ nội thất văn phòng&gt; bảng</v>
      </c>
      <c r="G57" s="229" t="str">
        <f t="shared" ca="1" si="0"/>
        <v>"22956" : "bàn",</v>
      </c>
      <c r="H57" s="229" t="str">
        <f t="shared" si="1"/>
        <v>&lt;li class="col-md-3"&gt;&lt;a class="text-cut" href="javascript:;"(click)="categoryEvent(22956)"&gt;{{"22956" | translate}}&lt;/a&gt;&lt;/li&gt;</v>
      </c>
    </row>
    <row r="58" spans="1:8" ht="14.25" customHeight="1">
      <c r="A58" s="2">
        <v>2084063843</v>
      </c>
      <c r="B58" s="2" t="s">
        <v>1883</v>
      </c>
      <c r="C58" s="2" t="s">
        <v>1885</v>
      </c>
      <c r="D58" s="2" t="s">
        <v>1886</v>
      </c>
      <c r="E58" s="3" t="str">
        <f ca="1">IFERROR(__xludf.DUMMYFUNCTION("GOOGLETRANSLATE(B58,""ja"",""vi"")"),"vách ngăn")</f>
        <v>vách ngăn</v>
      </c>
      <c r="F58" s="3" t="str">
        <f ca="1">IFERROR(__xludf.DUMMYFUNCTION("GOOGLETRANSLATE(C58,""ja"",""vi"")"),"Đấu giá&gt; Văn phòng, Cửa hàng cung cấp&gt; đồ nội thất văn phòng&gt; phân vùng")</f>
        <v>Đấu giá&gt; Văn phòng, Cửa hàng cung cấp&gt; đồ nội thất văn phòng&gt; phân vùng</v>
      </c>
      <c r="G58" s="229" t="str">
        <f t="shared" ca="1" si="0"/>
        <v>"2084063843" : "vách ngăn",</v>
      </c>
      <c r="H58" s="229" t="str">
        <f t="shared" si="1"/>
        <v>&lt;li class="col-md-3"&gt;&lt;a class="text-cut" href="javascript:;"(click)="categoryEvent(2084063843)"&gt;{{"2084063843" | translate}}&lt;/a&gt;&lt;/li&gt;</v>
      </c>
    </row>
    <row r="59" spans="1:8" ht="14.25" customHeight="1">
      <c r="A59" s="2">
        <v>22960</v>
      </c>
      <c r="B59" s="2" t="s">
        <v>1892</v>
      </c>
      <c r="C59" s="2" t="s">
        <v>1893</v>
      </c>
      <c r="D59" s="2" t="s">
        <v>1894</v>
      </c>
      <c r="E59" s="3" t="str">
        <f ca="1">IFERROR(__xludf.DUMMYFUNCTION("GOOGLETRANSLATE(B59,""ja"",""vi"")"),"bảng trắng")</f>
        <v>bảng trắng</v>
      </c>
      <c r="F59" s="3" t="str">
        <f ca="1">IFERROR(__xludf.DUMMYFUNCTION("GOOGLETRANSLATE(C59,""ja"",""vi"")"),"Đấu giá&gt; Văn phòng, Cửa hàng cung cấp&gt; đồ nội thất văn phòng&gt; Bảng")</f>
        <v>Đấu giá&gt; Văn phòng, Cửa hàng cung cấp&gt; đồ nội thất văn phòng&gt; Bảng</v>
      </c>
      <c r="G59" s="229" t="str">
        <f t="shared" ca="1" si="0"/>
        <v>"22960" : "bảng trắng",</v>
      </c>
      <c r="H59" s="229" t="str">
        <f t="shared" si="1"/>
        <v>&lt;li class="col-md-3"&gt;&lt;a class="text-cut" href="javascript:;"(click)="categoryEvent(22960)"&gt;{{"22960" | translate}}&lt;/a&gt;&lt;/li&gt;</v>
      </c>
    </row>
    <row r="60" spans="1:8" ht="14.25" customHeight="1">
      <c r="A60" s="2">
        <v>2084063844</v>
      </c>
      <c r="B60" s="2" t="s">
        <v>1897</v>
      </c>
      <c r="C60" s="2" t="s">
        <v>1898</v>
      </c>
      <c r="D60" s="2" t="s">
        <v>1900</v>
      </c>
      <c r="E60" s="3" t="str">
        <f ca="1">IFERROR(__xludf.DUMMYFUNCTION("GOOGLETRANSLATE(B60,""ja"",""vi"")"),"tủ nhỏ")</f>
        <v>tủ nhỏ</v>
      </c>
      <c r="F60" s="3" t="str">
        <f ca="1">IFERROR(__xludf.DUMMYFUNCTION("GOOGLETRANSLATE(C60,""ja"",""vi"")"),"Đấu giá&gt; Văn phòng, Cửa hàng cung cấp&gt; đồ nội thất văn phòng&gt; thay đồ")</f>
        <v>Đấu giá&gt; Văn phòng, Cửa hàng cung cấp&gt; đồ nội thất văn phòng&gt; thay đồ</v>
      </c>
      <c r="G60" s="229" t="str">
        <f t="shared" ca="1" si="0"/>
        <v>"2084063844" : "tủ nhỏ",</v>
      </c>
      <c r="H60" s="229" t="str">
        <f t="shared" si="1"/>
        <v>&lt;li class="col-md-3"&gt;&lt;a class="text-cut" href="javascript:;"(click)="categoryEvent(2084063844)"&gt;{{"2084063844" | translate}}&lt;/a&gt;&lt;/li&gt;</v>
      </c>
    </row>
    <row r="61" spans="1:8" ht="14.25" customHeight="1">
      <c r="A61" s="2">
        <v>2084048017</v>
      </c>
      <c r="B61" s="2" t="s">
        <v>1256</v>
      </c>
      <c r="C61" s="2" t="s">
        <v>1907</v>
      </c>
      <c r="D61" s="2" t="s">
        <v>1908</v>
      </c>
      <c r="E61" s="3" t="str">
        <f ca="1">IFERROR(__xludf.DUMMYFUNCTION("GOOGLETRANSLATE(B61,""ja"",""vi"")"),"cây trong nhà")</f>
        <v>cây trong nhà</v>
      </c>
      <c r="F61" s="3" t="str">
        <f ca="1">IFERROR(__xludf.DUMMYFUNCTION("GOOGLETRANSLATE(C61,""ja"",""vi"")"),"Đấu giá&gt; Văn phòng, Cửa hàng cung cấp&gt; đồ nội thất văn phòng&gt; houseplant")</f>
        <v>Đấu giá&gt; Văn phòng, Cửa hàng cung cấp&gt; đồ nội thất văn phòng&gt; houseplant</v>
      </c>
      <c r="G61" s="229" t="str">
        <f t="shared" ca="1" si="0"/>
        <v>"2084048017" : "cây trong nhà",</v>
      </c>
      <c r="H61" s="229" t="str">
        <f t="shared" si="1"/>
        <v>&lt;li class="col-md-3"&gt;&lt;a class="text-cut" href="javascript:;"(click)="categoryEvent(2084048017)"&gt;{{"2084048017" | translate}}&lt;/a&gt;&lt;/li&gt;</v>
      </c>
    </row>
    <row r="62" spans="1:8" ht="14.25" customHeight="1">
      <c r="A62" s="2">
        <v>22944</v>
      </c>
      <c r="B62" s="2" t="s">
        <v>1912</v>
      </c>
      <c r="C62" s="2" t="s">
        <v>1915</v>
      </c>
      <c r="D62" s="2" t="s">
        <v>1916</v>
      </c>
      <c r="E62" s="3" t="str">
        <f ca="1">IFERROR(__xludf.DUMMYFUNCTION("GOOGLETRANSLATE(B62,""ja"",""vi"")"),"bàn")</f>
        <v>bàn</v>
      </c>
      <c r="F62" s="3" t="str">
        <f ca="1">IFERROR(__xludf.DUMMYFUNCTION("GOOGLETRANSLATE(C62,""ja"",""vi"")"),"Đấu giá&gt; Văn phòng, Cửa hàng cung cấp&gt; đồ nội thất văn phòng&gt; bàn")</f>
        <v>Đấu giá&gt; Văn phòng, Cửa hàng cung cấp&gt; đồ nội thất văn phòng&gt; bàn</v>
      </c>
      <c r="G62" s="229" t="str">
        <f t="shared" ca="1" si="0"/>
        <v>"22944" : "bàn",</v>
      </c>
      <c r="H62" s="229" t="str">
        <f t="shared" si="1"/>
        <v>&lt;li class="col-md-3"&gt;&lt;a class="text-cut" href="javascript:;"(click)="categoryEvent(22944)"&gt;{{"22944" | translate}}&lt;/a&gt;&lt;/li&gt;</v>
      </c>
    </row>
    <row r="63" spans="1:8" ht="14.25" customHeight="1">
      <c r="A63" s="2">
        <v>2084055706</v>
      </c>
      <c r="B63" s="2" t="s">
        <v>1584</v>
      </c>
      <c r="C63" s="2" t="s">
        <v>1921</v>
      </c>
      <c r="D63" s="2" t="s">
        <v>1923</v>
      </c>
      <c r="E63" s="3" t="str">
        <f ca="1">IFERROR(__xludf.DUMMYFUNCTION("GOOGLETRANSLATE(B63,""ja"",""vi"")"),"an toàn")</f>
        <v>an toàn</v>
      </c>
      <c r="F63" s="3" t="str">
        <f ca="1">IFERROR(__xludf.DUMMYFUNCTION("GOOGLETRANSLATE(C63,""ja"",""vi"")"),"Đấu giá&gt; vật tư văn phòng, cửa hàng&gt; đồ nội thất văn phòng&gt; Két")</f>
        <v>Đấu giá&gt; vật tư văn phòng, cửa hàng&gt; đồ nội thất văn phòng&gt; Két</v>
      </c>
      <c r="G63" s="229" t="str">
        <f t="shared" ca="1" si="0"/>
        <v>"2084055706" : "an toàn",</v>
      </c>
      <c r="H63" s="229" t="str">
        <f t="shared" si="1"/>
        <v>&lt;li class="col-md-3"&gt;&lt;a class="text-cut" href="javascript:;"(click)="categoryEvent(2084055706)"&gt;{{"2084055706" | translate}}&lt;/a&gt;&lt;/li&gt;</v>
      </c>
    </row>
    <row r="64" spans="1:8" ht="14.25" customHeight="1">
      <c r="A64" s="2">
        <v>22936</v>
      </c>
      <c r="B64" s="2" t="s">
        <v>1929</v>
      </c>
      <c r="C64" s="2" t="s">
        <v>1930</v>
      </c>
      <c r="D64" s="2" t="s">
        <v>1931</v>
      </c>
      <c r="E64" s="3" t="str">
        <f ca="1">IFERROR(__xludf.DUMMYFUNCTION("GOOGLETRANSLATE(B64,""ja"",""vi"")"),"kệ sách")</f>
        <v>kệ sách</v>
      </c>
      <c r="F64" s="3" t="str">
        <f ca="1">IFERROR(__xludf.DUMMYFUNCTION("GOOGLETRANSLATE(C64,""ja"",""vi"")"),"Đấu giá&gt; Văn phòng, Cửa hàng cung cấp&gt; đồ nội thất văn phòng&gt; kệ sách")</f>
        <v>Đấu giá&gt; Văn phòng, Cửa hàng cung cấp&gt; đồ nội thất văn phòng&gt; kệ sách</v>
      </c>
      <c r="G64" s="229" t="str">
        <f t="shared" ca="1" si="0"/>
        <v>"22936" : "kệ sách",</v>
      </c>
      <c r="H64" s="229" t="str">
        <f t="shared" si="1"/>
        <v>&lt;li class="col-md-3"&gt;&lt;a class="text-cut" href="javascript:;"(click)="categoryEvent(22936)"&gt;{{"22936" | translate}}&lt;/a&gt;&lt;/li&gt;</v>
      </c>
    </row>
    <row r="65" spans="1:8" ht="14.25" customHeight="1">
      <c r="A65" s="2">
        <v>2084307796</v>
      </c>
      <c r="B65" s="2" t="s">
        <v>1935</v>
      </c>
      <c r="C65" s="2" t="s">
        <v>1937</v>
      </c>
      <c r="D65" s="2" t="s">
        <v>1940</v>
      </c>
      <c r="E65" s="3" t="str">
        <f ca="1">IFERROR(__xludf.DUMMYFUNCTION("GOOGLETRANSLATE(B65,""ja"",""vi"")"),"cho thuê nội thất văn phòng")</f>
        <v>cho thuê nội thất văn phòng</v>
      </c>
      <c r="F65" s="3" t="str">
        <f ca="1">IFERROR(__xludf.DUMMYFUNCTION("GOOGLETRANSLATE(C65,""ja"",""vi"")"),"Đấu giá&gt; Văn phòng, Cửa hàng cung cấp&gt; đồ nội thất văn phòng&gt; Nội thất văn phòng cho thuê")</f>
        <v>Đấu giá&gt; Văn phòng, Cửa hàng cung cấp&gt; đồ nội thất văn phòng&gt; Nội thất văn phòng cho thuê</v>
      </c>
      <c r="G65" s="229" t="str">
        <f t="shared" ca="1" si="0"/>
        <v>"2084307796" : "cho thuê nội thất văn phòng",</v>
      </c>
      <c r="H65" s="229" t="str">
        <f t="shared" si="1"/>
        <v>&lt;li class="col-md-3"&gt;&lt;a class="text-cut" href="javascript:;"(click)="categoryEvent(2084307796)"&gt;{{"2084307796" | translate}}&lt;/a&gt;&lt;/li&gt;</v>
      </c>
    </row>
    <row r="66" spans="1:8" ht="14.25" customHeight="1">
      <c r="A66" s="2">
        <v>22964</v>
      </c>
      <c r="B66" s="2" t="s">
        <v>16</v>
      </c>
      <c r="C66" s="2" t="s">
        <v>1946</v>
      </c>
      <c r="D66" s="2" t="s">
        <v>1947</v>
      </c>
      <c r="E66" s="3" t="str">
        <f ca="1">IFERROR(__xludf.DUMMYFUNCTION("GOOGLETRANSLATE(B66,""ja"",""vi"")"),"nếu không thì")</f>
        <v>nếu không thì</v>
      </c>
      <c r="F66" s="3" t="str">
        <f ca="1">IFERROR(__xludf.DUMMYFUNCTION("GOOGLETRANSLATE(C66,""ja"",""vi"")"),"Đấu giá&gt; Văn phòng, Cửa hàng cung cấp&gt; đồ nội thất văn phòng&gt; Khác")</f>
        <v>Đấu giá&gt; Văn phòng, Cửa hàng cung cấp&gt; đồ nội thất văn phòng&gt; Khác</v>
      </c>
      <c r="G66" s="229" t="str">
        <f t="shared" ca="1" si="0"/>
        <v>"22964" : "nếu không thì",</v>
      </c>
      <c r="H66" s="229" t="str">
        <f t="shared" si="1"/>
        <v>&lt;li class="col-md-3"&gt;&lt;a class="text-cut" href="javascript:;"(click)="categoryEvent(22964)"&gt;{{"22964" | translate}}&lt;/a&gt;&lt;/li&gt;</v>
      </c>
    </row>
    <row r="67" spans="1:8" ht="14.25" customHeight="1">
      <c r="E67" s="3"/>
      <c r="F67" s="3"/>
      <c r="G67" s="229"/>
      <c r="H67" s="229"/>
    </row>
    <row r="68" spans="1:8" ht="23.4" customHeight="1">
      <c r="A68" s="241">
        <v>22920</v>
      </c>
      <c r="B68" s="232"/>
      <c r="C68" s="232"/>
      <c r="D68" s="233"/>
      <c r="E68" s="3"/>
      <c r="F68" s="3"/>
      <c r="G68" s="229"/>
      <c r="H68" s="229"/>
    </row>
    <row r="69" spans="1:8" ht="14.25" customHeight="1">
      <c r="A69" s="2">
        <v>2084024338</v>
      </c>
      <c r="B69" s="2" t="s">
        <v>1956</v>
      </c>
      <c r="C69" s="2" t="s">
        <v>1959</v>
      </c>
      <c r="D69" s="2" t="s">
        <v>1962</v>
      </c>
      <c r="E69" s="3" t="str">
        <f ca="1">IFERROR(__xludf.DUMMYFUNCTION("GOOGLETRANSLATE(B69,""ja"",""vi"")"),"mô Box")</f>
        <v>mô Box</v>
      </c>
      <c r="F69" s="3" t="str">
        <f ca="1">IFERROR(__xludf.DUMMYFUNCTION("GOOGLETRANSLATE(C69,""ja"",""vi"")"),"Đấu giá&gt; Văn phòng, Cửa hàng cung cấp&gt; phụ kiện bàn&gt; mô Box")</f>
        <v>Đấu giá&gt; Văn phòng, Cửa hàng cung cấp&gt; phụ kiện bàn&gt; mô Box</v>
      </c>
      <c r="G69" s="229" t="str">
        <f t="shared" ref="G69:G128" ca="1" si="2">CONCATENATE(CHAR(34)&amp;"",A69,""&amp;CHAR(34)," : ", CHAR(34)&amp;"",E69,""&amp;CHAR(34),",")</f>
        <v>"2084024338" : "mô Box",</v>
      </c>
      <c r="H69" s="229" t="str">
        <f t="shared" ref="H69:H128" si="3">CONCATENATE("&lt;li class=",CHAR(34)&amp;"","col-md-3",""&amp;CHAR(34),"&gt;","&lt;a class=",CHAR(34)&amp;"","text-cut",""&amp;CHAR(34)," href=",CHAR(34)&amp;"","javascript:;",""&amp;CHAR(34), "(click)=",CHAR(34)&amp;"","categoryEvent(",A69,")",""&amp;CHAR(34),"&gt;{{",CHAR(34)&amp;"",A69,""&amp;CHAR(34)," | translate}}&lt;/a&gt;&lt;/li&gt;")</f>
        <v>&lt;li class="col-md-3"&gt;&lt;a class="text-cut" href="javascript:;"(click)="categoryEvent(2084024338)"&gt;{{"2084024338" | translate}}&lt;/a&gt;&lt;/li&gt;</v>
      </c>
    </row>
    <row r="70" spans="1:8" ht="14.25" customHeight="1">
      <c r="A70" s="2">
        <v>2084047858</v>
      </c>
      <c r="B70" s="2" t="s">
        <v>1970</v>
      </c>
      <c r="C70" s="2" t="s">
        <v>1972</v>
      </c>
      <c r="D70" s="2" t="s">
        <v>1974</v>
      </c>
      <c r="E70" s="3" t="str">
        <f ca="1">IFERROR(__xludf.DUMMYFUNCTION("GOOGLETRANSLATE(B70,""ja"",""vi"")"),"Bàn cho ánh sáng nhiệm vụ")</f>
        <v>Bàn cho ánh sáng nhiệm vụ</v>
      </c>
      <c r="F70" s="3" t="str">
        <f ca="1">IFERROR(__xludf.DUMMYFUNCTION("GOOGLETRANSLATE(C70,""ja"",""vi"")"),"Đấu giá&gt; Văn phòng, Cửa hàng cung cấp&gt; phụ kiện bàn&gt; ánh sáng nhiệm vụ cho bàn")</f>
        <v>Đấu giá&gt; Văn phòng, Cửa hàng cung cấp&gt; phụ kiện bàn&gt; ánh sáng nhiệm vụ cho bàn</v>
      </c>
      <c r="G70" s="229" t="str">
        <f t="shared" ca="1" si="2"/>
        <v>"2084047858" : "Bàn cho ánh sáng nhiệm vụ",</v>
      </c>
      <c r="H70" s="229" t="str">
        <f t="shared" si="3"/>
        <v>&lt;li class="col-md-3"&gt;&lt;a class="text-cut" href="javascript:;"(click)="categoryEvent(2084047858)"&gt;{{"2084047858" | translate}}&lt;/a&gt;&lt;/li&gt;</v>
      </c>
    </row>
    <row r="71" spans="1:8" ht="14.25" customHeight="1">
      <c r="A71" s="2">
        <v>2084042492</v>
      </c>
      <c r="B71" s="2" t="s">
        <v>1977</v>
      </c>
      <c r="C71" s="2" t="s">
        <v>1978</v>
      </c>
      <c r="D71" s="2" t="s">
        <v>1981</v>
      </c>
      <c r="E71" s="3" t="str">
        <f ca="1">IFERROR(__xludf.DUMMYFUNCTION("GOOGLETRANSLATE(B71,""ja"",""vi"")"),"Máy tính xách tay, các sản phẩm giấy")</f>
        <v>Máy tính xách tay, các sản phẩm giấy</v>
      </c>
      <c r="F71" s="3" t="str">
        <f ca="1">IFERROR(__xludf.DUMMYFUNCTION("GOOGLETRANSLATE(C71,""ja"",""vi"")"),"Đấu giá&gt; vật tư văn phòng, cửa hàng&gt; phụ kiện bàn&gt; máy tính xách tay, các sản phẩm giấy")</f>
        <v>Đấu giá&gt; vật tư văn phòng, cửa hàng&gt; phụ kiện bàn&gt; máy tính xách tay, các sản phẩm giấy</v>
      </c>
      <c r="G71" s="229" t="str">
        <f t="shared" ca="1" si="2"/>
        <v>"2084042492" : "Máy tính xách tay, các sản phẩm giấy",</v>
      </c>
      <c r="H71" s="229" t="str">
        <f t="shared" si="3"/>
        <v>&lt;li class="col-md-3"&gt;&lt;a class="text-cut" href="javascript:;"(click)="categoryEvent(2084042492)"&gt;{{"2084042492" | translate}}&lt;/a&gt;&lt;/li&gt;</v>
      </c>
    </row>
    <row r="72" spans="1:8" ht="14.25" customHeight="1">
      <c r="A72" s="2">
        <v>2084024331</v>
      </c>
      <c r="B72" s="2" t="s">
        <v>1986</v>
      </c>
      <c r="C72" s="2" t="s">
        <v>1987</v>
      </c>
      <c r="D72" s="2" t="s">
        <v>1988</v>
      </c>
      <c r="E72" s="3" t="str">
        <f ca="1">IFERROR(__xludf.DUMMYFUNCTION("GOOGLETRANSLATE(B72,""ja"",""vi"")"),"khung ảnh")</f>
        <v>khung ảnh</v>
      </c>
      <c r="F72" s="3" t="str">
        <f ca="1">IFERROR(__xludf.DUMMYFUNCTION("GOOGLETRANSLATE(C72,""ja"",""vi"")"),"Đấu giá&gt; Văn phòng, Cửa hàng cung cấp&gt; phụ kiện bàn&gt; Khung ảnh")</f>
        <v>Đấu giá&gt; Văn phòng, Cửa hàng cung cấp&gt; phụ kiện bàn&gt; Khung ảnh</v>
      </c>
      <c r="G72" s="229" t="str">
        <f t="shared" ca="1" si="2"/>
        <v>"2084024331" : "khung ảnh",</v>
      </c>
      <c r="H72" s="229" t="str">
        <f t="shared" si="3"/>
        <v>&lt;li class="col-md-3"&gt;&lt;a class="text-cut" href="javascript:;"(click)="categoryEvent(2084024331)"&gt;{{"2084024331" | translate}}&lt;/a&gt;&lt;/li&gt;</v>
      </c>
    </row>
    <row r="73" spans="1:8" ht="14.25" customHeight="1">
      <c r="A73" s="2">
        <v>2084063837</v>
      </c>
      <c r="B73" s="2" t="s">
        <v>1991</v>
      </c>
      <c r="C73" s="2" t="s">
        <v>1992</v>
      </c>
      <c r="D73" s="2" t="s">
        <v>1994</v>
      </c>
      <c r="E73" s="3" t="str">
        <f ca="1">IFERROR(__xludf.DUMMYFUNCTION("GOOGLETRANSLATE(B73,""ja"",""vi"")"),"trọng lượng giấy")</f>
        <v>trọng lượng giấy</v>
      </c>
      <c r="F73" s="3" t="str">
        <f ca="1">IFERROR(__xludf.DUMMYFUNCTION("GOOGLETRANSLATE(C73,""ja"",""vi"")"),"Đấu giá&gt; Văn phòng, Cửa hàng cung cấp&gt; phụ kiện bàn&gt; Trọng lượng giấy")</f>
        <v>Đấu giá&gt; Văn phòng, Cửa hàng cung cấp&gt; phụ kiện bàn&gt; Trọng lượng giấy</v>
      </c>
      <c r="G73" s="229" t="str">
        <f t="shared" ca="1" si="2"/>
        <v>"2084063837" : "trọng lượng giấy",</v>
      </c>
      <c r="H73" s="229" t="str">
        <f t="shared" si="3"/>
        <v>&lt;li class="col-md-3"&gt;&lt;a class="text-cut" href="javascript:;"(click)="categoryEvent(2084063837)"&gt;{{"2084063837" | translate}}&lt;/a&gt;&lt;/li&gt;</v>
      </c>
    </row>
    <row r="74" spans="1:8" ht="14.25" customHeight="1">
      <c r="A74" s="2">
        <v>2084048848</v>
      </c>
      <c r="B74" s="2" t="s">
        <v>1995</v>
      </c>
      <c r="C74" s="2" t="s">
        <v>1996</v>
      </c>
      <c r="D74" s="2" t="s">
        <v>1997</v>
      </c>
      <c r="E74" s="3" t="str">
        <f ca="1">IFERROR(__xludf.DUMMYFUNCTION("GOOGLETRANSLATE(B74,""ja"",""vi"")"),"hộp đựng bút lông")</f>
        <v>hộp đựng bút lông</v>
      </c>
      <c r="F74" s="3" t="str">
        <f ca="1">IFERROR(__xludf.DUMMYFUNCTION("GOOGLETRANSLATE(C74,""ja"",""vi"")"),"Đấu giá&gt; Văn phòng, Cửa hàng cung cấp&gt; phụ kiện bàn&gt; Bút Trường hợp")</f>
        <v>Đấu giá&gt; Văn phòng, Cửa hàng cung cấp&gt; phụ kiện bàn&gt; Bút Trường hợp</v>
      </c>
      <c r="G74" s="229" t="str">
        <f t="shared" ca="1" si="2"/>
        <v>"2084048848" : "hộp đựng bút lông",</v>
      </c>
      <c r="H74" s="229" t="str">
        <f t="shared" si="3"/>
        <v>&lt;li class="col-md-3"&gt;&lt;a class="text-cut" href="javascript:;"(click)="categoryEvent(2084048848)"&gt;{{"2084048848" | translate}}&lt;/a&gt;&lt;/li&gt;</v>
      </c>
    </row>
    <row r="75" spans="1:8" ht="14.25" customHeight="1">
      <c r="A75" s="2">
        <v>2084063471</v>
      </c>
      <c r="B75" s="2" t="s">
        <v>2000</v>
      </c>
      <c r="C75" s="2" t="s">
        <v>2001</v>
      </c>
      <c r="D75" s="2" t="s">
        <v>2002</v>
      </c>
      <c r="E75" s="3" t="str">
        <f ca="1">IFERROR(__xludf.DUMMYFUNCTION("GOOGLETRANSLATE(B75,""ja"",""vi"")"),"cán viết")</f>
        <v>cán viết</v>
      </c>
      <c r="F75" s="3" t="str">
        <f ca="1">IFERROR(__xludf.DUMMYFUNCTION("GOOGLETRANSLATE(C75,""ja"",""vi"")"),"Đấu giá&gt; Văn phòng, Cửa hàng cung cấp&gt; phụ kiện bàn&gt; cán viết")</f>
        <v>Đấu giá&gt; Văn phòng, Cửa hàng cung cấp&gt; phụ kiện bàn&gt; cán viết</v>
      </c>
      <c r="G75" s="229" t="str">
        <f t="shared" ca="1" si="2"/>
        <v>"2084063471" : "cán viết",</v>
      </c>
      <c r="H75" s="229" t="str">
        <f t="shared" si="3"/>
        <v>&lt;li class="col-md-3"&gt;&lt;a class="text-cut" href="javascript:;"(click)="categoryEvent(2084063471)"&gt;{{"2084063471" | translate}}&lt;/a&gt;&lt;/li&gt;</v>
      </c>
    </row>
    <row r="76" spans="1:8" ht="14.25" customHeight="1">
      <c r="A76" s="2">
        <v>2084063464</v>
      </c>
      <c r="B76" s="2" t="s">
        <v>2004</v>
      </c>
      <c r="C76" s="2" t="s">
        <v>2006</v>
      </c>
      <c r="D76" s="2" t="s">
        <v>2007</v>
      </c>
      <c r="E76" s="3" t="str">
        <f ca="1">IFERROR(__xludf.DUMMYFUNCTION("GOOGLETRANSLATE(B76,""ja"",""vi"")"),"nam châm")</f>
        <v>nam châm</v>
      </c>
      <c r="F76" s="3" t="str">
        <f ca="1">IFERROR(__xludf.DUMMYFUNCTION("GOOGLETRANSLATE(C76,""ja"",""vi"")"),"Đấu giá&gt; Văn phòng, Cửa hàng cung cấp&gt; phụ kiện bàn&gt; nam châm")</f>
        <v>Đấu giá&gt; Văn phòng, Cửa hàng cung cấp&gt; phụ kiện bàn&gt; nam châm</v>
      </c>
      <c r="G76" s="229" t="str">
        <f t="shared" ca="1" si="2"/>
        <v>"2084063464" : "nam châm",</v>
      </c>
      <c r="H76" s="229" t="str">
        <f t="shared" si="3"/>
        <v>&lt;li class="col-md-3"&gt;&lt;a class="text-cut" href="javascript:;"(click)="categoryEvent(2084063464)"&gt;{{"2084063464" | translate}}&lt;/a&gt;&lt;/li&gt;</v>
      </c>
    </row>
    <row r="77" spans="1:8" ht="14.25" customHeight="1">
      <c r="A77" s="2">
        <v>2084063472</v>
      </c>
      <c r="B77" s="2" t="s">
        <v>2009</v>
      </c>
      <c r="C77" s="2" t="s">
        <v>2010</v>
      </c>
      <c r="D77" s="2" t="s">
        <v>2011</v>
      </c>
      <c r="E77" s="3" t="str">
        <f ca="1">IFERROR(__xludf.DUMMYFUNCTION("GOOGLETRANSLATE(B77,""ja"",""vi"")"),"Notepad, Sticky")</f>
        <v>Notepad, Sticky</v>
      </c>
      <c r="F77" s="3" t="str">
        <f ca="1">IFERROR(__xludf.DUMMYFUNCTION("GOOGLETRANSLATE(C77,""ja"",""vi"")"),"Đấu giá&gt; Văn phòng, Cửa hàng cung cấp&gt; phụ kiện bàn&gt; Notepad, Sticky")</f>
        <v>Đấu giá&gt; Văn phòng, Cửa hàng cung cấp&gt; phụ kiện bàn&gt; Notepad, Sticky</v>
      </c>
      <c r="G77" s="229" t="str">
        <f t="shared" ca="1" si="2"/>
        <v>"2084063472" : "Notepad, Sticky",</v>
      </c>
      <c r="H77" s="229" t="str">
        <f t="shared" si="3"/>
        <v>&lt;li class="col-md-3"&gt;&lt;a class="text-cut" href="javascript:;"(click)="categoryEvent(2084063472)"&gt;{{"2084063472" | translate}}&lt;/a&gt;&lt;/li&gt;</v>
      </c>
    </row>
    <row r="78" spans="1:8" ht="14.25" customHeight="1">
      <c r="A78" s="2">
        <v>2084042493</v>
      </c>
      <c r="B78" s="2" t="s">
        <v>2015</v>
      </c>
      <c r="C78" s="2" t="s">
        <v>2016</v>
      </c>
      <c r="D78" s="2" t="s">
        <v>2017</v>
      </c>
      <c r="E78" s="3" t="str">
        <f ca="1">IFERROR(__xludf.DUMMYFUNCTION("GOOGLETRANSLATE(B78,""ja"",""vi"")"),"Seal, tem")</f>
        <v>Seal, tem</v>
      </c>
      <c r="F78" s="3" t="str">
        <f ca="1">IFERROR(__xludf.DUMMYFUNCTION("GOOGLETRANSLATE(C78,""ja"",""vi"")"),"Đấu giá&gt; Văn phòng, Cửa hàng cung cấp&gt; phụ kiện bàn&gt; con dấu, tem")</f>
        <v>Đấu giá&gt; Văn phòng, Cửa hàng cung cấp&gt; phụ kiện bàn&gt; con dấu, tem</v>
      </c>
      <c r="G78" s="229" t="str">
        <f t="shared" ca="1" si="2"/>
        <v>"2084042493" : "Seal, tem",</v>
      </c>
      <c r="H78" s="229" t="str">
        <f t="shared" si="3"/>
        <v>&lt;li class="col-md-3"&gt;&lt;a class="text-cut" href="javascript:;"(click)="categoryEvent(2084042493)"&gt;{{"2084042493" | translate}}&lt;/a&gt;&lt;/li&gt;</v>
      </c>
    </row>
    <row r="79" spans="1:8" ht="14.25" customHeight="1">
      <c r="A79" s="2">
        <v>2084063308</v>
      </c>
      <c r="B79" s="2" t="s">
        <v>2020</v>
      </c>
      <c r="C79" s="2" t="s">
        <v>2021</v>
      </c>
      <c r="D79" s="2" t="s">
        <v>2022</v>
      </c>
      <c r="E79" s="3" t="str">
        <f ca="1">IFERROR(__xludf.DUMMYFUNCTION("GOOGLETRANSLATE(B79,""ja"",""vi"")"),"nguồn cung cấp cắt")</f>
        <v>nguồn cung cấp cắt</v>
      </c>
      <c r="F79" s="3" t="str">
        <f ca="1">IFERROR(__xludf.DUMMYFUNCTION("GOOGLETRANSLATE(C79,""ja"",""vi"")"),"Đấu giá&gt; Văn phòng, Cửa hàng cung cấp&gt; phụ kiện bàn&gt; nguồn cung cấp cắt")</f>
        <v>Đấu giá&gt; Văn phòng, Cửa hàng cung cấp&gt; phụ kiện bàn&gt; nguồn cung cấp cắt</v>
      </c>
      <c r="G79" s="229" t="str">
        <f t="shared" ca="1" si="2"/>
        <v>"2084063308" : "nguồn cung cấp cắt",</v>
      </c>
      <c r="H79" s="229" t="str">
        <f t="shared" si="3"/>
        <v>&lt;li class="col-md-3"&gt;&lt;a class="text-cut" href="javascript:;"(click)="categoryEvent(2084063308)"&gt;{{"2084063308" | translate}}&lt;/a&gt;&lt;/li&gt;</v>
      </c>
    </row>
    <row r="80" spans="1:8" ht="14.25" customHeight="1">
      <c r="A80" s="2">
        <v>2084063473</v>
      </c>
      <c r="B80" s="2" t="s">
        <v>2024</v>
      </c>
      <c r="C80" s="2" t="s">
        <v>2025</v>
      </c>
      <c r="D80" s="2" t="s">
        <v>2027</v>
      </c>
      <c r="E80" s="3" t="str">
        <f ca="1">IFERROR(__xludf.DUMMYFUNCTION("GOOGLETRANSLATE(B80,""ja"",""vi"")"),"bàn Lịch")</f>
        <v>bàn Lịch</v>
      </c>
      <c r="F80" s="3" t="str">
        <f ca="1">IFERROR(__xludf.DUMMYFUNCTION("GOOGLETRANSLATE(C80,""ja"",""vi"")"),"Đấu giá&gt; Văn phòng, Cửa hàng cung cấp&gt; phụ kiện bàn&gt; Lịch bàn")</f>
        <v>Đấu giá&gt; Văn phòng, Cửa hàng cung cấp&gt; phụ kiện bàn&gt; Lịch bàn</v>
      </c>
      <c r="G80" s="229" t="str">
        <f t="shared" ca="1" si="2"/>
        <v>"2084063473" : "bàn Lịch",</v>
      </c>
      <c r="H80" s="229" t="str">
        <f t="shared" si="3"/>
        <v>&lt;li class="col-md-3"&gt;&lt;a class="text-cut" href="javascript:;"(click)="categoryEvent(2084063473)"&gt;{{"2084063473" | translate}}&lt;/a&gt;&lt;/li&gt;</v>
      </c>
    </row>
    <row r="81" spans="1:8" ht="14.25" customHeight="1">
      <c r="A81" s="2">
        <v>2084226758</v>
      </c>
      <c r="B81" s="2" t="s">
        <v>2028</v>
      </c>
      <c r="C81" s="2" t="s">
        <v>2029</v>
      </c>
      <c r="D81" s="2" t="s">
        <v>2030</v>
      </c>
      <c r="E81" s="3" t="str">
        <f ca="1">IFERROR(__xludf.DUMMYFUNCTION("GOOGLETRANSLATE(B81,""ja"",""vi"")"),"cầu")</f>
        <v>cầu</v>
      </c>
      <c r="F81" s="3" t="str">
        <f ca="1">IFERROR(__xludf.DUMMYFUNCTION("GOOGLETRANSLATE(C81,""ja"",""vi"")"),"Đấu giá&gt; Văn phòng, Cửa hàng cung cấp&gt; phụ kiện bàn&gt; thế giới")</f>
        <v>Đấu giá&gt; Văn phòng, Cửa hàng cung cấp&gt; phụ kiện bàn&gt; thế giới</v>
      </c>
      <c r="G81" s="229" t="str">
        <f t="shared" ca="1" si="2"/>
        <v>"2084226758" : "cầu",</v>
      </c>
      <c r="H81" s="229" t="str">
        <f t="shared" si="3"/>
        <v>&lt;li class="col-md-3"&gt;&lt;a class="text-cut" href="javascript:;"(click)="categoryEvent(2084226758)"&gt;{{"2084226758" | translate}}&lt;/a&gt;&lt;/li&gt;</v>
      </c>
    </row>
    <row r="82" spans="1:8" ht="14.25" customHeight="1">
      <c r="A82" s="2">
        <v>2084050527</v>
      </c>
      <c r="B82" s="2" t="s">
        <v>1827</v>
      </c>
      <c r="C82" s="2" t="s">
        <v>2031</v>
      </c>
      <c r="D82" s="2" t="s">
        <v>2032</v>
      </c>
      <c r="E82" s="3" t="str">
        <f ca="1">IFERROR(__xludf.DUMMYFUNCTION("GOOGLETRANSLATE(B82,""ja"",""vi"")"),"từ điển điện tử")</f>
        <v>từ điển điện tử</v>
      </c>
      <c r="F82" s="3" t="str">
        <f ca="1">IFERROR(__xludf.DUMMYFUNCTION("GOOGLETRANSLATE(C82,""ja"",""vi"")"),"Đấu giá&gt; Văn phòng, Cửa hàng cung cấp&gt; phụ kiện bàn&gt; Từ điển điện tử")</f>
        <v>Đấu giá&gt; Văn phòng, Cửa hàng cung cấp&gt; phụ kiện bàn&gt; Từ điển điện tử</v>
      </c>
      <c r="G82" s="229" t="str">
        <f t="shared" ca="1" si="2"/>
        <v>"2084050527" : "từ điển điện tử",</v>
      </c>
      <c r="H82" s="229" t="str">
        <f t="shared" si="3"/>
        <v>&lt;li class="col-md-3"&gt;&lt;a class="text-cut" href="javascript:;"(click)="categoryEvent(2084050527)"&gt;{{"2084050527" | translate}}&lt;/a&gt;&lt;/li&gt;</v>
      </c>
    </row>
    <row r="83" spans="1:8" ht="14.25" customHeight="1">
      <c r="A83" s="2">
        <v>23878</v>
      </c>
      <c r="B83" s="2" t="s">
        <v>1834</v>
      </c>
      <c r="C83" s="2" t="s">
        <v>2033</v>
      </c>
      <c r="D83" s="2" t="s">
        <v>2034</v>
      </c>
      <c r="E83" s="3" t="str">
        <f ca="1">IFERROR(__xludf.DUMMYFUNCTION("GOOGLETRANSLATE(B83,""ja"",""vi"")"),"máy tính")</f>
        <v>máy tính</v>
      </c>
      <c r="F83" s="3" t="str">
        <f ca="1">IFERROR(__xludf.DUMMYFUNCTION("GOOGLETRANSLATE(C83,""ja"",""vi"")"),"Đấu giá&gt; Văn phòng, Cửa hàng cung cấp&gt; phụ kiện bàn&gt; Máy tính")</f>
        <v>Đấu giá&gt; Văn phòng, Cửa hàng cung cấp&gt; phụ kiện bàn&gt; Máy tính</v>
      </c>
      <c r="G83" s="229" t="str">
        <f t="shared" ca="1" si="2"/>
        <v>"23878" : "máy tính",</v>
      </c>
      <c r="H83" s="229" t="str">
        <f t="shared" si="3"/>
        <v>&lt;li class="col-md-3"&gt;&lt;a class="text-cut" href="javascript:;"(click)="categoryEvent(23878)"&gt;{{"23878" | translate}}&lt;/a&gt;&lt;/li&gt;</v>
      </c>
    </row>
    <row r="84" spans="1:8" ht="14.25" customHeight="1">
      <c r="E84" s="3"/>
      <c r="F84" s="3"/>
      <c r="G84" s="229"/>
      <c r="H84" s="229"/>
    </row>
    <row r="85" spans="1:8" ht="25.5" customHeight="1">
      <c r="A85" s="238">
        <v>2084047365</v>
      </c>
      <c r="B85" s="232"/>
      <c r="C85" s="232"/>
      <c r="D85" s="233"/>
      <c r="E85" s="3"/>
      <c r="F85" s="3"/>
      <c r="G85" s="229"/>
      <c r="H85" s="229"/>
    </row>
    <row r="86" spans="1:8" ht="14.25" customHeight="1">
      <c r="A86" s="2">
        <v>2084263153</v>
      </c>
      <c r="B86" s="2" t="s">
        <v>2038</v>
      </c>
      <c r="C86" s="2" t="s">
        <v>2039</v>
      </c>
      <c r="D86" s="2" t="s">
        <v>2040</v>
      </c>
      <c r="E86" s="3" t="str">
        <f ca="1">IFERROR(__xludf.DUMMYFUNCTION("GOOGLETRANSLATE(B86,""ja"",""vi"")"),"máy đóng gói")</f>
        <v>máy đóng gói</v>
      </c>
      <c r="F86" s="3" t="str">
        <f ca="1">IFERROR(__xludf.DUMMYFUNCTION("GOOGLETRANSLATE(C86,""ja"",""vi"")"),"Đấu giá&gt; Văn phòng, Cửa hàng cung cấp&gt; bao bì, đóng gói&gt; Máy đóng gói")</f>
        <v>Đấu giá&gt; Văn phòng, Cửa hàng cung cấp&gt; bao bì, đóng gói&gt; Máy đóng gói</v>
      </c>
      <c r="G86" s="229" t="str">
        <f t="shared" ca="1" si="2"/>
        <v>"2084263153" : "máy đóng gói",</v>
      </c>
      <c r="H86" s="229" t="str">
        <f t="shared" si="3"/>
        <v>&lt;li class="col-md-3"&gt;&lt;a class="text-cut" href="javascript:;"(click)="categoryEvent(2084263153)"&gt;{{"2084263153" | translate}}&lt;/a&gt;&lt;/li&gt;</v>
      </c>
    </row>
    <row r="87" spans="1:8" ht="14.25" customHeight="1">
      <c r="A87" s="2">
        <v>2084221001</v>
      </c>
      <c r="B87" s="2" t="s">
        <v>2044</v>
      </c>
      <c r="C87" s="2" t="s">
        <v>2045</v>
      </c>
      <c r="D87" s="2" t="s">
        <v>2046</v>
      </c>
      <c r="E87" s="3" t="str">
        <f ca="1">IFERROR(__xludf.DUMMYFUNCTION("GOOGLETRANSLATE(B87,""ja"",""vi"")"),"hộp quà tặng")</f>
        <v>hộp quà tặng</v>
      </c>
      <c r="F87" s="3" t="str">
        <f ca="1">IFERROR(__xludf.DUMMYFUNCTION("GOOGLETRANSLATE(C87,""ja"",""vi"")"),"Đấu giá&gt; Văn phòng, Cửa hàng cung cấp&gt; bao bì, đóng gói&gt; hộp quà tặng")</f>
        <v>Đấu giá&gt; Văn phòng, Cửa hàng cung cấp&gt; bao bì, đóng gói&gt; hộp quà tặng</v>
      </c>
      <c r="G87" s="229" t="str">
        <f t="shared" ca="1" si="2"/>
        <v>"2084221001" : "hộp quà tặng",</v>
      </c>
      <c r="H87" s="229" t="str">
        <f t="shared" si="3"/>
        <v>&lt;li class="col-md-3"&gt;&lt;a class="text-cut" href="javascript:;"(click)="categoryEvent(2084221001)"&gt;{{"2084221001" | translate}}&lt;/a&gt;&lt;/li&gt;</v>
      </c>
    </row>
    <row r="88" spans="1:8" ht="14.25" customHeight="1">
      <c r="A88" s="2">
        <v>2084063699</v>
      </c>
      <c r="B88" s="2" t="s">
        <v>2050</v>
      </c>
      <c r="C88" s="2" t="s">
        <v>2051</v>
      </c>
      <c r="D88" s="2" t="s">
        <v>2052</v>
      </c>
      <c r="E88" s="3" t="str">
        <f ca="1">IFERROR(__xludf.DUMMYFUNCTION("GOOGLETRANSLATE(B88,""ja"",""vi"")"),"người săn hải cẩu")</f>
        <v>người săn hải cẩu</v>
      </c>
      <c r="F88" s="3" t="str">
        <f ca="1">IFERROR(__xludf.DUMMYFUNCTION("GOOGLETRANSLATE(C88,""ja"",""vi"")"),"Đấu giá&gt; Văn phòng, Cửa hàng cung cấp&gt; gói, đóng gói&gt; niêm phong")</f>
        <v>Đấu giá&gt; Văn phòng, Cửa hàng cung cấp&gt; gói, đóng gói&gt; niêm phong</v>
      </c>
      <c r="G88" s="229" t="str">
        <f t="shared" ca="1" si="2"/>
        <v>"2084063699" : "người săn hải cẩu",</v>
      </c>
      <c r="H88" s="229" t="str">
        <f t="shared" si="3"/>
        <v>&lt;li class="col-md-3"&gt;&lt;a class="text-cut" href="javascript:;"(click)="categoryEvent(2084063699)"&gt;{{"2084063699" | translate}}&lt;/a&gt;&lt;/li&gt;</v>
      </c>
    </row>
    <row r="89" spans="1:8" ht="14.25" customHeight="1">
      <c r="A89" s="2">
        <v>2084221003</v>
      </c>
      <c r="B89" s="2" t="s">
        <v>1712</v>
      </c>
      <c r="C89" s="2" t="s">
        <v>2056</v>
      </c>
      <c r="D89" s="2" t="s">
        <v>2059</v>
      </c>
      <c r="E89" s="3" t="str">
        <f ca="1">IFERROR(__xludf.DUMMYFUNCTION("GOOGLETRANSLATE(B89,""ja"",""vi"")"),"laminator")</f>
        <v>laminator</v>
      </c>
      <c r="F89" s="3" t="str">
        <f ca="1">IFERROR(__xludf.DUMMYFUNCTION("GOOGLETRANSLATE(C89,""ja"",""vi"")"),"Đấu giá&gt; Văn phòng, Cửa hàng cung cấp&gt; bao bì, đóng gói&gt; laminator")</f>
        <v>Đấu giá&gt; Văn phòng, Cửa hàng cung cấp&gt; bao bì, đóng gói&gt; laminator</v>
      </c>
      <c r="G89" s="229" t="str">
        <f t="shared" ca="1" si="2"/>
        <v>"2084221003" : "laminator",</v>
      </c>
      <c r="H89" s="229" t="str">
        <f t="shared" si="3"/>
        <v>&lt;li class="col-md-3"&gt;&lt;a class="text-cut" href="javascript:;"(click)="categoryEvent(2084221003)"&gt;{{"2084221003" | translate}}&lt;/a&gt;&lt;/li&gt;</v>
      </c>
    </row>
    <row r="90" spans="1:8" ht="14.25" customHeight="1">
      <c r="A90" s="2">
        <v>2084063479</v>
      </c>
      <c r="B90" s="2" t="s">
        <v>2061</v>
      </c>
      <c r="C90" s="2" t="s">
        <v>2063</v>
      </c>
      <c r="D90" s="2" t="s">
        <v>2065</v>
      </c>
      <c r="E90" s="3" t="str">
        <f ca="1">IFERROR(__xludf.DUMMYFUNCTION("GOOGLETRANSLATE(B90,""ja"",""vi"")"),"dây băng")</f>
        <v>dây băng</v>
      </c>
      <c r="F90" s="3" t="str">
        <f ca="1">IFERROR(__xludf.DUMMYFUNCTION("GOOGLETRANSLATE(C90,""ja"",""vi"")"),"Đấu giá&gt; Văn phòng, Cửa hàng cung cấp&gt; bao bì, đóng gói&gt; ruy băng")</f>
        <v>Đấu giá&gt; Văn phòng, Cửa hàng cung cấp&gt; bao bì, đóng gói&gt; ruy băng</v>
      </c>
      <c r="G90" s="229" t="str">
        <f t="shared" ca="1" si="2"/>
        <v>"2084063479" : "dây băng",</v>
      </c>
      <c r="H90" s="229" t="str">
        <f t="shared" si="3"/>
        <v>&lt;li class="col-md-3"&gt;&lt;a class="text-cut" href="javascript:;"(click)="categoryEvent(2084063479)"&gt;{{"2084063479" | translate}}&lt;/a&gt;&lt;/li&gt;</v>
      </c>
    </row>
    <row r="91" spans="1:8" ht="14.25" customHeight="1">
      <c r="A91" s="2">
        <v>2084062994</v>
      </c>
      <c r="B91" s="2" t="s">
        <v>2068</v>
      </c>
      <c r="C91" s="2" t="s">
        <v>2071</v>
      </c>
      <c r="D91" s="2" t="s">
        <v>2072</v>
      </c>
      <c r="E91" s="3" t="str">
        <f ca="1">IFERROR(__xludf.DUMMYFUNCTION("GOOGLETRANSLATE(B91,""ja"",""vi"")"),"vật liệu đệm")</f>
        <v>vật liệu đệm</v>
      </c>
      <c r="F91" s="3" t="str">
        <f ca="1">IFERROR(__xludf.DUMMYFUNCTION("GOOGLETRANSLATE(C91,""ja"",""vi"")"),"Đấu giá&gt; Văn phòng, Cửa hàng cung cấp&gt; bao bì, đóng gói&gt; vật liệu đệm")</f>
        <v>Đấu giá&gt; Văn phòng, Cửa hàng cung cấp&gt; bao bì, đóng gói&gt; vật liệu đệm</v>
      </c>
      <c r="G91" s="229" t="str">
        <f t="shared" ca="1" si="2"/>
        <v>"2084062994" : "vật liệu đệm",</v>
      </c>
      <c r="H91" s="229" t="str">
        <f t="shared" si="3"/>
        <v>&lt;li class="col-md-3"&gt;&lt;a class="text-cut" href="javascript:;"(click)="categoryEvent(2084062994)"&gt;{{"2084062994" | translate}}&lt;/a&gt;&lt;/li&gt;</v>
      </c>
    </row>
    <row r="92" spans="1:8" ht="14.25" customHeight="1">
      <c r="A92" s="2">
        <v>2084063474</v>
      </c>
      <c r="B92" s="2" t="s">
        <v>2076</v>
      </c>
      <c r="C92" s="2" t="s">
        <v>2077</v>
      </c>
      <c r="D92" s="2" t="s">
        <v>2079</v>
      </c>
      <c r="E92" s="3" t="str">
        <f ca="1">IFERROR(__xludf.DUMMYFUNCTION("GOOGLETRANSLATE(B92,""ja"",""vi"")"),"nguồn cung cấp chất kết dính")</f>
        <v>nguồn cung cấp chất kết dính</v>
      </c>
      <c r="F92" s="3" t="str">
        <f ca="1">IFERROR(__xludf.DUMMYFUNCTION("GOOGLETRANSLATE(C92,""ja"",""vi"")"),"Đấu giá&gt; Văn phòng, Cửa hàng cung cấp&gt; bao bì, đóng gói&gt; nguồn cung cấp liên kết")</f>
        <v>Đấu giá&gt; Văn phòng, Cửa hàng cung cấp&gt; bao bì, đóng gói&gt; nguồn cung cấp liên kết</v>
      </c>
      <c r="G92" s="229" t="str">
        <f t="shared" ca="1" si="2"/>
        <v>"2084063474" : "nguồn cung cấp chất kết dính",</v>
      </c>
      <c r="H92" s="229" t="str">
        <f t="shared" si="3"/>
        <v>&lt;li class="col-md-3"&gt;&lt;a class="text-cut" href="javascript:;"(click)="categoryEvent(2084063474)"&gt;{{"2084063474" | translate}}&lt;/a&gt;&lt;/li&gt;</v>
      </c>
    </row>
    <row r="93" spans="1:8" ht="14.25" customHeight="1">
      <c r="A93" s="2">
        <v>2084063482</v>
      </c>
      <c r="B93" s="2" t="s">
        <v>2088</v>
      </c>
      <c r="C93" s="2" t="s">
        <v>2089</v>
      </c>
      <c r="D93" s="2" t="s">
        <v>2090</v>
      </c>
      <c r="E93" s="3" t="str">
        <f ca="1">IFERROR(__xludf.DUMMYFUNCTION("GOOGLETRANSLATE(B93,""ja"",""vi"")"),"Túi, phong bì")</f>
        <v>Túi, phong bì</v>
      </c>
      <c r="F93" s="3" t="str">
        <f ca="1">IFERROR(__xludf.DUMMYFUNCTION("GOOGLETRANSLATE(C93,""ja"",""vi"")"),"Đấu giá&gt; Văn phòng, Cửa hàng cung cấp&gt; bao bì, đóng gói&gt; túi, phong bì")</f>
        <v>Đấu giá&gt; Văn phòng, Cửa hàng cung cấp&gt; bao bì, đóng gói&gt; túi, phong bì</v>
      </c>
      <c r="G93" s="229" t="str">
        <f t="shared" ca="1" si="2"/>
        <v>"2084063482" : "Túi, phong bì",</v>
      </c>
      <c r="H93" s="229" t="str">
        <f t="shared" si="3"/>
        <v>&lt;li class="col-md-3"&gt;&lt;a class="text-cut" href="javascript:;"(click)="categoryEvent(2084063482)"&gt;{{"2084063482" | translate}}&lt;/a&gt;&lt;/li&gt;</v>
      </c>
    </row>
    <row r="94" spans="1:8" ht="14.25" customHeight="1">
      <c r="A94" s="2">
        <v>2084062992</v>
      </c>
      <c r="B94" s="2" t="s">
        <v>2094</v>
      </c>
      <c r="C94" s="2" t="s">
        <v>2096</v>
      </c>
      <c r="D94" s="2" t="s">
        <v>2099</v>
      </c>
      <c r="E94" s="3" t="str">
        <f ca="1">IFERROR(__xludf.DUMMYFUNCTION("GOOGLETRANSLATE(B94,""ja"",""vi"")"),"Một hộp các tông")</f>
        <v>Một hộp các tông</v>
      </c>
      <c r="F94" s="3" t="str">
        <f ca="1">IFERROR(__xludf.DUMMYFUNCTION("GOOGLETRANSLATE(C94,""ja"",""vi"")"),"Đấu giá&gt; Văn phòng, Cửa hàng cung cấp&gt; bao bì, đóng gói&gt; hộp các tông")</f>
        <v>Đấu giá&gt; Văn phòng, Cửa hàng cung cấp&gt; bao bì, đóng gói&gt; hộp các tông</v>
      </c>
      <c r="G94" s="229" t="str">
        <f t="shared" ca="1" si="2"/>
        <v>"2084062992" : "Một hộp các tông",</v>
      </c>
      <c r="H94" s="229" t="str">
        <f t="shared" si="3"/>
        <v>&lt;li class="col-md-3"&gt;&lt;a class="text-cut" href="javascript:;"(click)="categoryEvent(2084062992)"&gt;{{"2084062992" | translate}}&lt;/a&gt;&lt;/li&gt;</v>
      </c>
    </row>
    <row r="95" spans="1:8" ht="14.25" customHeight="1">
      <c r="A95" s="2">
        <v>2084063478</v>
      </c>
      <c r="B95" s="2" t="s">
        <v>2103</v>
      </c>
      <c r="C95" s="2" t="s">
        <v>2104</v>
      </c>
      <c r="D95" s="2" t="s">
        <v>2105</v>
      </c>
      <c r="E95" s="3" t="str">
        <f ca="1">IFERROR(__xludf.DUMMYFUNCTION("GOOGLETRANSLATE(B95,""ja"",""vi"")"),"chuỗi")</f>
        <v>chuỗi</v>
      </c>
      <c r="F95" s="3" t="str">
        <f ca="1">IFERROR(__xludf.DUMMYFUNCTION("GOOGLETRANSLATE(C95,""ja"",""vi"")"),"Đấu giá&gt; Văn phòng, Cửa hàng cung cấp&gt; bao bì, đóng gói&gt; chuỗi")</f>
        <v>Đấu giá&gt; Văn phòng, Cửa hàng cung cấp&gt; bao bì, đóng gói&gt; chuỗi</v>
      </c>
      <c r="G95" s="229" t="str">
        <f t="shared" ca="1" si="2"/>
        <v>"2084063478" : "chuỗi",</v>
      </c>
      <c r="H95" s="229" t="str">
        <f t="shared" si="3"/>
        <v>&lt;li class="col-md-3"&gt;&lt;a class="text-cut" href="javascript:;"(click)="categoryEvent(2084063478)"&gt;{{"2084063478" | translate}}&lt;/a&gt;&lt;/li&gt;</v>
      </c>
    </row>
    <row r="96" spans="1:8" ht="14.25" customHeight="1">
      <c r="A96" s="2">
        <v>2084063477</v>
      </c>
      <c r="B96" s="2" t="s">
        <v>2111</v>
      </c>
      <c r="C96" s="2" t="s">
        <v>2112</v>
      </c>
      <c r="D96" s="2" t="s">
        <v>2114</v>
      </c>
      <c r="E96" s="3" t="str">
        <f ca="1">IFERROR(__xludf.DUMMYFUNCTION("GOOGLETRANSLATE(B96,""ja"",""vi"")"),"giấy Bao bì")</f>
        <v>giấy Bao bì</v>
      </c>
      <c r="F96" s="3" t="str">
        <f ca="1">IFERROR(__xludf.DUMMYFUNCTION("GOOGLETRANSLATE(C96,""ja"",""vi"")"),"Đấu giá&gt; Văn phòng, Cửa hàng cung cấp&gt; bao bì, đóng gói&gt; giấy gói")</f>
        <v>Đấu giá&gt; Văn phòng, Cửa hàng cung cấp&gt; bao bì, đóng gói&gt; giấy gói</v>
      </c>
      <c r="G96" s="229" t="str">
        <f t="shared" ca="1" si="2"/>
        <v>"2084063477" : "giấy Bao bì",</v>
      </c>
      <c r="H96" s="229" t="str">
        <f t="shared" si="3"/>
        <v>&lt;li class="col-md-3"&gt;&lt;a class="text-cut" href="javascript:;"(click)="categoryEvent(2084063477)"&gt;{{"2084063477" | translate}}&lt;/a&gt;&lt;/li&gt;</v>
      </c>
    </row>
    <row r="97" spans="1:8" ht="14.25" customHeight="1">
      <c r="A97" s="2">
        <v>2084062993</v>
      </c>
      <c r="B97" s="2" t="s">
        <v>16</v>
      </c>
      <c r="C97" s="2" t="s">
        <v>2117</v>
      </c>
      <c r="D97" s="2" t="s">
        <v>2120</v>
      </c>
      <c r="E97" s="3" t="str">
        <f ca="1">IFERROR(__xludf.DUMMYFUNCTION("GOOGLETRANSLATE(B97,""ja"",""vi"")"),"nếu không thì")</f>
        <v>nếu không thì</v>
      </c>
      <c r="F97" s="3" t="str">
        <f ca="1">IFERROR(__xludf.DUMMYFUNCTION("GOOGLETRANSLATE(C97,""ja"",""vi"")"),"Đấu giá&gt; vật tư văn phòng, cửa hàng&gt; bao bì, đóng gói&gt; Khác")</f>
        <v>Đấu giá&gt; vật tư văn phòng, cửa hàng&gt; bao bì, đóng gói&gt; Khác</v>
      </c>
      <c r="G97" s="229" t="str">
        <f t="shared" ca="1" si="2"/>
        <v>"2084062993" : "nếu không thì",</v>
      </c>
      <c r="H97" s="229" t="str">
        <f t="shared" si="3"/>
        <v>&lt;li class="col-md-3"&gt;&lt;a class="text-cut" href="javascript:;"(click)="categoryEvent(2084062993)"&gt;{{"2084062993" | translate}}&lt;/a&gt;&lt;/li&gt;</v>
      </c>
    </row>
    <row r="98" spans="1:8" ht="14.25" customHeight="1">
      <c r="E98" s="3"/>
      <c r="F98" s="3"/>
      <c r="G98" s="229"/>
      <c r="H98" s="229"/>
    </row>
    <row r="99" spans="1:8" ht="29.4" customHeight="1">
      <c r="A99" s="256">
        <v>2084042484</v>
      </c>
      <c r="B99" s="232"/>
      <c r="C99" s="232"/>
      <c r="D99" s="233"/>
      <c r="E99" s="3"/>
      <c r="F99" s="3"/>
      <c r="G99" s="229"/>
      <c r="H99" s="229"/>
    </row>
    <row r="100" spans="1:8" ht="14.25" customHeight="1">
      <c r="A100" s="2">
        <v>42175</v>
      </c>
      <c r="B100" s="2" t="s">
        <v>2133</v>
      </c>
      <c r="C100" s="2" t="s">
        <v>2135</v>
      </c>
      <c r="D100" s="2" t="s">
        <v>2137</v>
      </c>
      <c r="E100" s="3" t="str">
        <f ca="1">IFERROR(__xludf.DUMMYFUNCTION("GOOGLETRANSLATE(B100,""ja"",""vi"")"),"cụ viết")</f>
        <v>cụ viết</v>
      </c>
      <c r="F100" s="3" t="str">
        <f ca="1">IFERROR(__xludf.DUMMYFUNCTION("GOOGLETRANSLATE(C100,""ja"",""vi"")"),"Đấu giá&gt; Văn phòng, Cửa hàng cung cấp&gt; Văn phòng phẩm&gt; Viết Instruments")</f>
        <v>Đấu giá&gt; Văn phòng, Cửa hàng cung cấp&gt; Văn phòng phẩm&gt; Viết Instruments</v>
      </c>
      <c r="G100" s="229" t="str">
        <f t="shared" ca="1" si="2"/>
        <v>"42175" : "cụ viết",</v>
      </c>
      <c r="H100" s="229" t="str">
        <f t="shared" si="3"/>
        <v>&lt;li class="col-md-3"&gt;&lt;a class="text-cut" href="javascript:;"(click)="categoryEvent(42175)"&gt;{{"42175" | translate}}&lt;/a&gt;&lt;/li&gt;</v>
      </c>
    </row>
    <row r="101" spans="1:8" ht="14.25" customHeight="1">
      <c r="A101" s="2">
        <v>2084042492</v>
      </c>
      <c r="B101" s="2" t="s">
        <v>1977</v>
      </c>
      <c r="C101" s="2" t="s">
        <v>2139</v>
      </c>
      <c r="D101" s="2" t="s">
        <v>2140</v>
      </c>
      <c r="E101" s="3" t="str">
        <f ca="1">IFERROR(__xludf.DUMMYFUNCTION("GOOGLETRANSLATE(B101,""ja"",""vi"")"),"Máy tính xách tay, các sản phẩm giấy")</f>
        <v>Máy tính xách tay, các sản phẩm giấy</v>
      </c>
      <c r="F101" s="3" t="str">
        <f ca="1">IFERROR(__xludf.DUMMYFUNCTION("GOOGLETRANSLATE(C101,""ja"",""vi"")"),"Đấu giá&gt; vật tư văn phòng, cửa hàng&gt; Văn phòng phẩm&gt; Lưu ý, các sản phẩm giấy")</f>
        <v>Đấu giá&gt; vật tư văn phòng, cửa hàng&gt; Văn phòng phẩm&gt; Lưu ý, các sản phẩm giấy</v>
      </c>
      <c r="G101" s="229" t="str">
        <f t="shared" ca="1" si="2"/>
        <v>"2084042492" : "Máy tính xách tay, các sản phẩm giấy",</v>
      </c>
      <c r="H101" s="229" t="str">
        <f t="shared" si="3"/>
        <v>&lt;li class="col-md-3"&gt;&lt;a class="text-cut" href="javascript:;"(click)="categoryEvent(2084042492)"&gt;{{"2084042492" | translate}}&lt;/a&gt;&lt;/li&gt;</v>
      </c>
    </row>
    <row r="102" spans="1:8" ht="14.25" customHeight="1">
      <c r="A102" s="2">
        <v>2084048848</v>
      </c>
      <c r="B102" s="2" t="s">
        <v>1995</v>
      </c>
      <c r="C102" s="2" t="s">
        <v>2147</v>
      </c>
      <c r="D102" s="2" t="s">
        <v>2148</v>
      </c>
      <c r="E102" s="3" t="str">
        <f ca="1">IFERROR(__xludf.DUMMYFUNCTION("GOOGLETRANSLATE(B102,""ja"",""vi"")"),"hộp đựng bút lông")</f>
        <v>hộp đựng bút lông</v>
      </c>
      <c r="F102" s="3" t="str">
        <f ca="1">IFERROR(__xludf.DUMMYFUNCTION("GOOGLETRANSLATE(C102,""ja"",""vi"")"),"Đấu giá&gt; Văn phòng, Cửa hàng cung cấp&gt; văn phòng phẩm&gt; trường hợp bút")</f>
        <v>Đấu giá&gt; Văn phòng, Cửa hàng cung cấp&gt; văn phòng phẩm&gt; trường hợp bút</v>
      </c>
      <c r="G102" s="229" t="str">
        <f t="shared" ca="1" si="2"/>
        <v>"2084048848" : "hộp đựng bút lông",</v>
      </c>
      <c r="H102" s="229" t="str">
        <f t="shared" si="3"/>
        <v>&lt;li class="col-md-3"&gt;&lt;a class="text-cut" href="javascript:;"(click)="categoryEvent(2084048848)"&gt;{{"2084048848" | translate}}&lt;/a&gt;&lt;/li&gt;</v>
      </c>
    </row>
    <row r="103" spans="1:8" ht="14.25" customHeight="1">
      <c r="A103" s="2">
        <v>22968</v>
      </c>
      <c r="B103" s="2" t="s">
        <v>1812</v>
      </c>
      <c r="C103" s="2" t="s">
        <v>2155</v>
      </c>
      <c r="D103" s="2" t="s">
        <v>2156</v>
      </c>
      <c r="E103" s="3" t="str">
        <f ca="1">IFERROR(__xludf.DUMMYFUNCTION("GOOGLETRANSLATE(B103,""ja"",""vi"")"),"nguồn cung cấp nhãn")</f>
        <v>nguồn cung cấp nhãn</v>
      </c>
      <c r="F103" s="3" t="str">
        <f ca="1">IFERROR(__xludf.DUMMYFUNCTION("GOOGLETRANSLATE(C103,""ja"",""vi"")"),"Đấu giá&gt; Văn phòng, Cửa hàng cung cấp&gt; Văn phòng phẩm&gt; nguồn cung cấp nhãn")</f>
        <v>Đấu giá&gt; Văn phòng, Cửa hàng cung cấp&gt; Văn phòng phẩm&gt; nguồn cung cấp nhãn</v>
      </c>
      <c r="G103" s="229" t="str">
        <f t="shared" ca="1" si="2"/>
        <v>"22968" : "nguồn cung cấp nhãn",</v>
      </c>
      <c r="H103" s="229" t="str">
        <f t="shared" si="3"/>
        <v>&lt;li class="col-md-3"&gt;&lt;a class="text-cut" href="javascript:;"(click)="categoryEvent(22968)"&gt;{{"22968" | translate}}&lt;/a&gt;&lt;/li&gt;</v>
      </c>
    </row>
    <row r="104" spans="1:8" ht="14.25" customHeight="1">
      <c r="A104" s="2">
        <v>2084042493</v>
      </c>
      <c r="B104" s="2" t="s">
        <v>2015</v>
      </c>
      <c r="C104" s="2" t="s">
        <v>2163</v>
      </c>
      <c r="D104" s="2" t="s">
        <v>2164</v>
      </c>
      <c r="E104" s="3" t="str">
        <f ca="1">IFERROR(__xludf.DUMMYFUNCTION("GOOGLETRANSLATE(B104,""ja"",""vi"")"),"Seal, tem")</f>
        <v>Seal, tem</v>
      </c>
      <c r="F104" s="3" t="str">
        <f ca="1">IFERROR(__xludf.DUMMYFUNCTION("GOOGLETRANSLATE(C104,""ja"",""vi"")"),"Đấu giá&gt; Văn phòng, Cửa hàng cung cấp&gt; văn phòng phẩm&gt; con dấu, tem")</f>
        <v>Đấu giá&gt; Văn phòng, Cửa hàng cung cấp&gt; văn phòng phẩm&gt; con dấu, tem</v>
      </c>
      <c r="G104" s="229" t="str">
        <f t="shared" ca="1" si="2"/>
        <v>"2084042493" : "Seal, tem",</v>
      </c>
      <c r="H104" s="229" t="str">
        <f t="shared" si="3"/>
        <v>&lt;li class="col-md-3"&gt;&lt;a class="text-cut" href="javascript:;"(click)="categoryEvent(2084042493)"&gt;{{"2084042493" | translate}}&lt;/a&gt;&lt;/li&gt;</v>
      </c>
    </row>
    <row r="105" spans="1:8" ht="14.25" customHeight="1">
      <c r="A105" s="2">
        <v>2084024227</v>
      </c>
      <c r="B105" s="2" t="s">
        <v>2169</v>
      </c>
      <c r="C105" s="2" t="s">
        <v>2171</v>
      </c>
      <c r="D105" s="2" t="s">
        <v>2173</v>
      </c>
      <c r="E105" s="3" t="str">
        <f ca="1">IFERROR(__xludf.DUMMYFUNCTION("GOOGLETRANSLATE(B105,""ja"",""vi"")"),"Máy tính xách tay")</f>
        <v>Máy tính xách tay</v>
      </c>
      <c r="F105" s="3" t="str">
        <f ca="1">IFERROR(__xludf.DUMMYFUNCTION("GOOGLETRANSLATE(C105,""ja"",""vi"")"),"Đấu giá&gt; Văn phòng, Cửa hàng cung cấp&gt; Văn phòng phẩm&gt; máy tính xách tay")</f>
        <v>Đấu giá&gt; Văn phòng, Cửa hàng cung cấp&gt; Văn phòng phẩm&gt; máy tính xách tay</v>
      </c>
      <c r="G105" s="229" t="str">
        <f t="shared" ca="1" si="2"/>
        <v>"2084024227" : "Máy tính xách tay",</v>
      </c>
      <c r="H105" s="229" t="str">
        <f t="shared" si="3"/>
        <v>&lt;li class="col-md-3"&gt;&lt;a class="text-cut" href="javascript:;"(click)="categoryEvent(2084024227)"&gt;{{"2084024227" | translate}}&lt;/a&gt;&lt;/li&gt;</v>
      </c>
    </row>
    <row r="106" spans="1:8" ht="14.25" customHeight="1">
      <c r="A106" s="2">
        <v>2084050527</v>
      </c>
      <c r="B106" s="2" t="s">
        <v>1827</v>
      </c>
      <c r="C106" s="2" t="s">
        <v>2175</v>
      </c>
      <c r="D106" s="2" t="s">
        <v>2178</v>
      </c>
      <c r="E106" s="3" t="str">
        <f ca="1">IFERROR(__xludf.DUMMYFUNCTION("GOOGLETRANSLATE(B106,""ja"",""vi"")"),"từ điển điện tử")</f>
        <v>từ điển điện tử</v>
      </c>
      <c r="F106" s="3" t="str">
        <f ca="1">IFERROR(__xludf.DUMMYFUNCTION("GOOGLETRANSLATE(C106,""ja"",""vi"")"),"Đấu giá&gt; Văn phòng, Cửa hàng cung cấp&gt; Văn phòng&gt; Từ điển điện tử")</f>
        <v>Đấu giá&gt; Văn phòng, Cửa hàng cung cấp&gt; Văn phòng&gt; Từ điển điện tử</v>
      </c>
      <c r="G106" s="229" t="str">
        <f t="shared" ca="1" si="2"/>
        <v>"2084050527" : "từ điển điện tử",</v>
      </c>
      <c r="H106" s="229" t="str">
        <f t="shared" si="3"/>
        <v>&lt;li class="col-md-3"&gt;&lt;a class="text-cut" href="javascript:;"(click)="categoryEvent(2084050527)"&gt;{{"2084050527" | translate}}&lt;/a&gt;&lt;/li&gt;</v>
      </c>
    </row>
    <row r="107" spans="1:8" ht="14.25" customHeight="1">
      <c r="A107" s="2">
        <v>23878</v>
      </c>
      <c r="B107" s="2" t="s">
        <v>1834</v>
      </c>
      <c r="C107" s="2" t="s">
        <v>2183</v>
      </c>
      <c r="D107" s="2" t="s">
        <v>2185</v>
      </c>
      <c r="E107" s="3" t="str">
        <f ca="1">IFERROR(__xludf.DUMMYFUNCTION("GOOGLETRANSLATE(B107,""ja"",""vi"")"),"máy tính")</f>
        <v>máy tính</v>
      </c>
      <c r="F107" s="3" t="str">
        <f ca="1">IFERROR(__xludf.DUMMYFUNCTION("GOOGLETRANSLATE(C107,""ja"",""vi"")"),"Đấu giá&gt; Văn phòng, Cửa hàng cung cấp&gt; Văn phòng phẩm&gt; Máy tính")</f>
        <v>Đấu giá&gt; Văn phòng, Cửa hàng cung cấp&gt; Văn phòng phẩm&gt; Máy tính</v>
      </c>
      <c r="G107" s="229" t="str">
        <f t="shared" ca="1" si="2"/>
        <v>"23878" : "máy tính",</v>
      </c>
      <c r="H107" s="229" t="str">
        <f t="shared" si="3"/>
        <v>&lt;li class="col-md-3"&gt;&lt;a class="text-cut" href="javascript:;"(click)="categoryEvent(23878)"&gt;{{"23878" | translate}}&lt;/a&gt;&lt;/li&gt;</v>
      </c>
    </row>
    <row r="108" spans="1:8" ht="14.25" customHeight="1">
      <c r="A108" s="2">
        <v>20124</v>
      </c>
      <c r="B108" s="2" t="s">
        <v>2192</v>
      </c>
      <c r="C108" s="2" t="s">
        <v>2194</v>
      </c>
      <c r="D108" s="2" t="s">
        <v>2195</v>
      </c>
      <c r="E108" s="3" t="str">
        <f ca="1">IFERROR(__xludf.DUMMYFUNCTION("GOOGLETRANSLATE(B108,""ja"",""vi"")"),"Art Supplies")</f>
        <v>Art Supplies</v>
      </c>
      <c r="F108" s="3" t="str">
        <f ca="1">IFERROR(__xludf.DUMMYFUNCTION("GOOGLETRANSLATE(C108,""ja"",""vi"")"),"Đấu giá&gt; Văn phòng, Cửa hàng cung cấp&gt; Văn phòng phẩm&gt; Art Supplies")</f>
        <v>Đấu giá&gt; Văn phòng, Cửa hàng cung cấp&gt; Văn phòng phẩm&gt; Art Supplies</v>
      </c>
      <c r="G108" s="229" t="str">
        <f t="shared" ca="1" si="2"/>
        <v>"20124" : "Art Supplies",</v>
      </c>
      <c r="H108" s="229" t="str">
        <f t="shared" si="3"/>
        <v>&lt;li class="col-md-3"&gt;&lt;a class="text-cut" href="javascript:;"(click)="categoryEvent(20124)"&gt;{{"20124" | translate}}&lt;/a&gt;&lt;/li&gt;</v>
      </c>
    </row>
    <row r="109" spans="1:8" ht="14.25" customHeight="1">
      <c r="A109" s="2">
        <v>2084047365</v>
      </c>
      <c r="B109" s="2" t="s">
        <v>1593</v>
      </c>
      <c r="C109" s="2" t="s">
        <v>2201</v>
      </c>
      <c r="D109" s="2" t="s">
        <v>2203</v>
      </c>
      <c r="E109" s="3" t="str">
        <f ca="1">IFERROR(__xludf.DUMMYFUNCTION("GOOGLETRANSLATE(B109,""ja"",""vi"")"),"Gói, bao bì")</f>
        <v>Gói, bao bì</v>
      </c>
      <c r="F109" s="3" t="str">
        <f ca="1">IFERROR(__xludf.DUMMYFUNCTION("GOOGLETRANSLATE(C109,""ja"",""vi"")"),"Đấu giá&gt; Văn phòng, Cửa hàng cung cấp&gt; Văn phòng phẩm&gt; bao bì, đóng gói")</f>
        <v>Đấu giá&gt; Văn phòng, Cửa hàng cung cấp&gt; Văn phòng phẩm&gt; bao bì, đóng gói</v>
      </c>
      <c r="G109" s="229" t="str">
        <f t="shared" ca="1" si="2"/>
        <v>"2084047365" : "Gói, bao bì",</v>
      </c>
      <c r="H109" s="229" t="str">
        <f t="shared" si="3"/>
        <v>&lt;li class="col-md-3"&gt;&lt;a class="text-cut" href="javascript:;"(click)="categoryEvent(2084047365)"&gt;{{"2084047365" | translate}}&lt;/a&gt;&lt;/li&gt;</v>
      </c>
    </row>
    <row r="110" spans="1:8" ht="14.25" customHeight="1">
      <c r="A110" s="2">
        <v>2084227145</v>
      </c>
      <c r="B110" s="2" t="s">
        <v>2204</v>
      </c>
      <c r="C110" s="2" t="s">
        <v>2207</v>
      </c>
      <c r="D110" s="2" t="s">
        <v>2208</v>
      </c>
      <c r="E110" s="3" t="str">
        <f ca="1">IFERROR(__xludf.DUMMYFUNCTION("GOOGLETRANSLATE(B110,""ja"",""vi"")"),"địa bàn")</f>
        <v>địa bàn</v>
      </c>
      <c r="F110" s="3" t="str">
        <f ca="1">IFERROR(__xludf.DUMMYFUNCTION("GOOGLETRANSLATE(C110,""ja"",""vi"")"),"Đấu giá&gt; Văn phòng, Cửa hàng cung cấp&gt; Văn phòng phẩm&gt; la bàn")</f>
        <v>Đấu giá&gt; Văn phòng, Cửa hàng cung cấp&gt; Văn phòng phẩm&gt; la bàn</v>
      </c>
      <c r="G110" s="229" t="str">
        <f t="shared" ca="1" si="2"/>
        <v>"2084227145" : "địa bàn",</v>
      </c>
      <c r="H110" s="229" t="str">
        <f t="shared" si="3"/>
        <v>&lt;li class="col-md-3"&gt;&lt;a class="text-cut" href="javascript:;"(click)="categoryEvent(2084227145)"&gt;{{"2084227145" | translate}}&lt;/a&gt;&lt;/li&gt;</v>
      </c>
    </row>
    <row r="111" spans="1:8" ht="14.25" customHeight="1">
      <c r="A111" s="2">
        <v>2084259489</v>
      </c>
      <c r="B111" s="2" t="s">
        <v>2213</v>
      </c>
      <c r="C111" s="2" t="s">
        <v>2215</v>
      </c>
      <c r="D111" s="2" t="s">
        <v>2217</v>
      </c>
      <c r="E111" s="3" t="str">
        <f ca="1">IFERROR(__xludf.DUMMYFUNCTION("GOOGLETRANSLATE(B111,""ja"",""vi"")"),"phụ kiện nộp hồ sơ")</f>
        <v>phụ kiện nộp hồ sơ</v>
      </c>
      <c r="F111" s="3" t="str">
        <f ca="1">IFERROR(__xludf.DUMMYFUNCTION("GOOGLETRANSLATE(C111,""ja"",""vi"")"),"Đấu giá&gt; Văn phòng, Cửa hàng cung cấp&gt; Văn phòng phẩm&gt; Đồ Nộp")</f>
        <v>Đấu giá&gt; Văn phòng, Cửa hàng cung cấp&gt; Văn phòng phẩm&gt; Đồ Nộp</v>
      </c>
      <c r="G111" s="229" t="str">
        <f t="shared" ca="1" si="2"/>
        <v>"2084259489" : "phụ kiện nộp hồ sơ",</v>
      </c>
      <c r="H111" s="229" t="str">
        <f t="shared" si="3"/>
        <v>&lt;li class="col-md-3"&gt;&lt;a class="text-cut" href="javascript:;"(click)="categoryEvent(2084259489)"&gt;{{"2084259489" | translate}}&lt;/a&gt;&lt;/li&gt;</v>
      </c>
    </row>
    <row r="112" spans="1:8" ht="14.25" customHeight="1">
      <c r="A112" s="2">
        <v>2084259457</v>
      </c>
      <c r="B112" s="2" t="s">
        <v>2221</v>
      </c>
      <c r="C112" s="2" t="s">
        <v>2222</v>
      </c>
      <c r="D112" s="2" t="s">
        <v>2224</v>
      </c>
      <c r="E112" s="3" t="str">
        <f ca="1">IFERROR(__xludf.DUMMYFUNCTION("GOOGLETRANSLATE(B112,""ja"",""vi"")"),"bút chì mài")</f>
        <v>bút chì mài</v>
      </c>
      <c r="F112" s="3" t="str">
        <f ca="1">IFERROR(__xludf.DUMMYFUNCTION("GOOGLETRANSLATE(C112,""ja"",""vi"")"),"Đấu giá&gt; Văn phòng, Cửa hàng cung cấp&gt; Văn phòng phẩm&gt; Bút chì Sharpener")</f>
        <v>Đấu giá&gt; Văn phòng, Cửa hàng cung cấp&gt; Văn phòng phẩm&gt; Bút chì Sharpener</v>
      </c>
      <c r="G112" s="229" t="str">
        <f t="shared" ca="1" si="2"/>
        <v>"2084259457" : "bút chì mài",</v>
      </c>
      <c r="H112" s="229" t="str">
        <f t="shared" si="3"/>
        <v>&lt;li class="col-md-3"&gt;&lt;a class="text-cut" href="javascript:;"(click)="categoryEvent(2084259457)"&gt;{{"2084259457" | translate}}&lt;/a&gt;&lt;/li&gt;</v>
      </c>
    </row>
    <row r="113" spans="1:8" ht="14.25" customHeight="1">
      <c r="A113" s="2">
        <v>2084063308</v>
      </c>
      <c r="B113" s="2" t="s">
        <v>2020</v>
      </c>
      <c r="C113" s="2" t="s">
        <v>2231</v>
      </c>
      <c r="D113" s="2" t="s">
        <v>2233</v>
      </c>
      <c r="E113" s="3" t="str">
        <f ca="1">IFERROR(__xludf.DUMMYFUNCTION("GOOGLETRANSLATE(B113,""ja"",""vi"")"),"nguồn cung cấp cắt")</f>
        <v>nguồn cung cấp cắt</v>
      </c>
      <c r="F113" s="3" t="str">
        <f ca="1">IFERROR(__xludf.DUMMYFUNCTION("GOOGLETRANSLATE(C113,""ja"",""vi"")"),"Đấu giá&gt; Văn phòng, Cửa hàng cung cấp&gt; văn phòng phẩm&gt; nguồn cung cấp cắt")</f>
        <v>Đấu giá&gt; Văn phòng, Cửa hàng cung cấp&gt; văn phòng phẩm&gt; nguồn cung cấp cắt</v>
      </c>
      <c r="G113" s="229" t="str">
        <f t="shared" ca="1" si="2"/>
        <v>"2084063308" : "nguồn cung cấp cắt",</v>
      </c>
      <c r="H113" s="229" t="str">
        <f t="shared" si="3"/>
        <v>&lt;li class="col-md-3"&gt;&lt;a class="text-cut" href="javascript:;"(click)="categoryEvent(2084063308)"&gt;{{"2084063308" | translate}}&lt;/a&gt;&lt;/li&gt;</v>
      </c>
    </row>
    <row r="114" spans="1:8" ht="14.25" customHeight="1">
      <c r="A114" s="2">
        <v>2084063474</v>
      </c>
      <c r="B114" s="2" t="s">
        <v>2076</v>
      </c>
      <c r="C114" s="2" t="s">
        <v>2238</v>
      </c>
      <c r="D114" s="2" t="s">
        <v>2240</v>
      </c>
      <c r="E114" s="3" t="str">
        <f ca="1">IFERROR(__xludf.DUMMYFUNCTION("GOOGLETRANSLATE(B114,""ja"",""vi"")"),"nguồn cung cấp chất kết dính")</f>
        <v>nguồn cung cấp chất kết dính</v>
      </c>
      <c r="F114" s="3" t="str">
        <f ca="1">IFERROR(__xludf.DUMMYFUNCTION("GOOGLETRANSLATE(C114,""ja"",""vi"")"),"Đấu giá&gt; Văn phòng, Cửa hàng cung cấp&gt; Văn phòng phẩm&gt; nguồn cung cấp chất kết dính")</f>
        <v>Đấu giá&gt; Văn phòng, Cửa hàng cung cấp&gt; Văn phòng phẩm&gt; nguồn cung cấp chất kết dính</v>
      </c>
      <c r="G114" s="229" t="str">
        <f t="shared" ca="1" si="2"/>
        <v>"2084063474" : "nguồn cung cấp chất kết dính",</v>
      </c>
      <c r="H114" s="229" t="str">
        <f t="shared" si="3"/>
        <v>&lt;li class="col-md-3"&gt;&lt;a class="text-cut" href="javascript:;"(click)="categoryEvent(2084063474)"&gt;{{"2084063474" | translate}}&lt;/a&gt;&lt;/li&gt;</v>
      </c>
    </row>
    <row r="115" spans="1:8" ht="14.25" customHeight="1">
      <c r="A115" s="2">
        <v>2084226758</v>
      </c>
      <c r="B115" s="2" t="s">
        <v>2028</v>
      </c>
      <c r="C115" s="2" t="s">
        <v>2243</v>
      </c>
      <c r="D115" s="2" t="s">
        <v>2245</v>
      </c>
      <c r="E115" s="3" t="str">
        <f ca="1">IFERROR(__xludf.DUMMYFUNCTION("GOOGLETRANSLATE(B115,""ja"",""vi"")"),"cầu")</f>
        <v>cầu</v>
      </c>
      <c r="F115" s="3" t="str">
        <f ca="1">IFERROR(__xludf.DUMMYFUNCTION("GOOGLETRANSLATE(C115,""ja"",""vi"")"),"Đấu giá&gt; Văn phòng, Cửa hàng cung cấp&gt; Văn phòng phẩm&gt; thế giới")</f>
        <v>Đấu giá&gt; Văn phòng, Cửa hàng cung cấp&gt; Văn phòng phẩm&gt; thế giới</v>
      </c>
      <c r="G115" s="229" t="str">
        <f t="shared" ca="1" si="2"/>
        <v>"2084226758" : "cầu",</v>
      </c>
      <c r="H115" s="229" t="str">
        <f t="shared" si="3"/>
        <v>&lt;li class="col-md-3"&gt;&lt;a class="text-cut" href="javascript:;"(click)="categoryEvent(2084226758)"&gt;{{"2084226758" | translate}}&lt;/a&gt;&lt;/li&gt;</v>
      </c>
    </row>
    <row r="116" spans="1:8" ht="14.25" customHeight="1">
      <c r="A116" s="2">
        <v>2084227146</v>
      </c>
      <c r="B116" s="2" t="s">
        <v>2248</v>
      </c>
      <c r="C116" s="2" t="s">
        <v>2249</v>
      </c>
      <c r="D116" s="2" t="s">
        <v>2250</v>
      </c>
      <c r="E116" s="3" t="str">
        <f ca="1">IFERROR(__xludf.DUMMYFUNCTION("GOOGLETRANSLATE(B116,""ja"",""vi"")"),"cây thước")</f>
        <v>cây thước</v>
      </c>
      <c r="F116" s="3" t="str">
        <f ca="1">IFERROR(__xludf.DUMMYFUNCTION("GOOGLETRANSLATE(C116,""ja"",""vi"")"),"Đấu giá&gt; Văn phòng, Cửa hàng cung cấp&gt; Văn phòng phẩm&gt; cai trị")</f>
        <v>Đấu giá&gt; Văn phòng, Cửa hàng cung cấp&gt; Văn phòng phẩm&gt; cai trị</v>
      </c>
      <c r="G116" s="229" t="str">
        <f t="shared" ca="1" si="2"/>
        <v>"2084227146" : "cây thước",</v>
      </c>
      <c r="H116" s="229" t="str">
        <f t="shared" si="3"/>
        <v>&lt;li class="col-md-3"&gt;&lt;a class="text-cut" href="javascript:;"(click)="categoryEvent(2084227146)"&gt;{{"2084227146" | translate}}&lt;/a&gt;&lt;/li&gt;</v>
      </c>
    </row>
    <row r="117" spans="1:8" ht="14.25" customHeight="1">
      <c r="A117" s="2">
        <v>2084227147</v>
      </c>
      <c r="B117" s="2" t="s">
        <v>2253</v>
      </c>
      <c r="C117" s="2" t="s">
        <v>2254</v>
      </c>
      <c r="D117" s="2" t="s">
        <v>2255</v>
      </c>
      <c r="E117" s="3" t="str">
        <f ca="1">IFERROR(__xludf.DUMMYFUNCTION("GOOGLETRANSLATE(B117,""ja"",""vi"")"),"thước đo hình bán nguyệt")</f>
        <v>thước đo hình bán nguyệt</v>
      </c>
      <c r="F117" s="3" t="str">
        <f ca="1">IFERROR(__xludf.DUMMYFUNCTION("GOOGLETRANSLATE(C117,""ja"",""vi"")"),"Đấu giá&gt; Văn phòng, Cửa hàng cung cấp&gt; Văn phòng phẩm&gt; thước đo góc")</f>
        <v>Đấu giá&gt; Văn phòng, Cửa hàng cung cấp&gt; Văn phòng phẩm&gt; thước đo góc</v>
      </c>
      <c r="G117" s="229" t="str">
        <f t="shared" ca="1" si="2"/>
        <v>"2084227147" : "thước đo hình bán nguyệt",</v>
      </c>
      <c r="H117" s="229" t="str">
        <f t="shared" si="3"/>
        <v>&lt;li class="col-md-3"&gt;&lt;a class="text-cut" href="javascript:;"(click)="categoryEvent(2084227147)"&gt;{{"2084227147" | translate}}&lt;/a&gt;&lt;/li&gt;</v>
      </c>
    </row>
    <row r="118" spans="1:8" ht="14.25" customHeight="1">
      <c r="A118" s="2">
        <v>2084042489</v>
      </c>
      <c r="B118" s="2" t="s">
        <v>16</v>
      </c>
      <c r="C118" s="2" t="s">
        <v>2261</v>
      </c>
      <c r="D118" s="2" t="s">
        <v>2262</v>
      </c>
      <c r="E118" s="3" t="str">
        <f ca="1">IFERROR(__xludf.DUMMYFUNCTION("GOOGLETRANSLATE(B118,""ja"",""vi"")"),"nếu không thì")</f>
        <v>nếu không thì</v>
      </c>
      <c r="F118" s="3" t="str">
        <f ca="1">IFERROR(__xludf.DUMMYFUNCTION("GOOGLETRANSLATE(C118,""ja"",""vi"")"),"Đấu giá&gt; Văn phòng, Cửa hàng cung cấp&gt; Văn phòng phẩm&gt; Khác")</f>
        <v>Đấu giá&gt; Văn phòng, Cửa hàng cung cấp&gt; Văn phòng phẩm&gt; Khác</v>
      </c>
      <c r="G118" s="229" t="str">
        <f t="shared" ca="1" si="2"/>
        <v>"2084042489" : "nếu không thì",</v>
      </c>
      <c r="H118" s="229" t="str">
        <f t="shared" si="3"/>
        <v>&lt;li class="col-md-3"&gt;&lt;a class="text-cut" href="javascript:;"(click)="categoryEvent(2084042489)"&gt;{{"2084042489" | translate}}&lt;/a&gt;&lt;/li&gt;</v>
      </c>
    </row>
    <row r="119" spans="1:8" ht="14.25" customHeight="1">
      <c r="E119" s="3"/>
      <c r="F119" s="3"/>
      <c r="G119" s="229"/>
      <c r="H119" s="229"/>
    </row>
    <row r="120" spans="1:8" ht="24.6" customHeight="1">
      <c r="A120" s="261">
        <v>2084246780</v>
      </c>
      <c r="B120" s="232"/>
      <c r="C120" s="232"/>
      <c r="D120" s="233"/>
      <c r="E120" s="3"/>
      <c r="F120" s="3"/>
      <c r="G120" s="229"/>
      <c r="H120" s="229"/>
    </row>
    <row r="121" spans="1:8" ht="14.25" customHeight="1">
      <c r="A121" s="2">
        <v>2084246782</v>
      </c>
      <c r="B121" s="2" t="s">
        <v>2266</v>
      </c>
      <c r="C121" s="2" t="s">
        <v>2267</v>
      </c>
      <c r="D121" s="2" t="s">
        <v>2269</v>
      </c>
      <c r="E121" s="3" t="str">
        <f ca="1">IFERROR(__xludf.DUMMYFUNCTION("GOOGLETRANSLATE(B121,""ja"",""vi"")"),"Đối với phụ nữ")</f>
        <v>Đối với phụ nữ</v>
      </c>
      <c r="F121" s="3" t="str">
        <f ca="1">IFERROR(__xludf.DUMMYFUNCTION("GOOGLETRANSLATE(C121,""ja"",""vi"")"),"Đấu giá&gt; Thời trang&gt; Phụ kiện thời trang&gt; danh thiếp đặt, trường hợp thẻ&gt; cho phụ nữ")</f>
        <v>Đấu giá&gt; Thời trang&gt; Phụ kiện thời trang&gt; danh thiếp đặt, trường hợp thẻ&gt; cho phụ nữ</v>
      </c>
      <c r="G121" s="229" t="str">
        <f t="shared" ca="1" si="2"/>
        <v>"2084246782" : "Đối với phụ nữ",</v>
      </c>
      <c r="H121" s="229" t="str">
        <f t="shared" si="3"/>
        <v>&lt;li class="col-md-3"&gt;&lt;a class="text-cut" href="javascript:;"(click)="categoryEvent(2084246782)"&gt;{{"2084246782" | translate}}&lt;/a&gt;&lt;/li&gt;</v>
      </c>
    </row>
    <row r="122" spans="1:8" ht="14.25" customHeight="1">
      <c r="A122" s="2">
        <v>2084246781</v>
      </c>
      <c r="B122" s="2" t="s">
        <v>570</v>
      </c>
      <c r="C122" s="2" t="s">
        <v>2274</v>
      </c>
      <c r="D122" s="2" t="s">
        <v>2275</v>
      </c>
      <c r="E122" s="3" t="str">
        <f ca="1">IFERROR(__xludf.DUMMYFUNCTION("GOOGLETRANSLATE(B122,""ja"",""vi"")"),"Đối với nam giới")</f>
        <v>Đối với nam giới</v>
      </c>
      <c r="F122" s="3" t="str">
        <f ca="1">IFERROR(__xludf.DUMMYFUNCTION("GOOGLETRANSLATE(C122,""ja"",""vi"")"),"Đấu giá&gt; Thời trang&gt; Phụ kiện thời trang&gt; danh thiếp đặt, trường hợp thẻ&gt; dành cho nam giới")</f>
        <v>Đấu giá&gt; Thời trang&gt; Phụ kiện thời trang&gt; danh thiếp đặt, trường hợp thẻ&gt; dành cho nam giới</v>
      </c>
      <c r="G122" s="229" t="str">
        <f t="shared" ca="1" si="2"/>
        <v>"2084246781" : "Đối với nam giới",</v>
      </c>
      <c r="H122" s="229" t="str">
        <f t="shared" si="3"/>
        <v>&lt;li class="col-md-3"&gt;&lt;a class="text-cut" href="javascript:;"(click)="categoryEvent(2084246781)"&gt;{{"2084246781" | translate}}&lt;/a&gt;&lt;/li&gt;</v>
      </c>
    </row>
    <row r="123" spans="1:8" ht="14.25" customHeight="1">
      <c r="E123" s="3"/>
      <c r="F123" s="3"/>
      <c r="G123" s="229"/>
      <c r="H123" s="229"/>
    </row>
    <row r="124" spans="1:8" ht="14.25" customHeight="1">
      <c r="A124" s="253">
        <v>22904</v>
      </c>
      <c r="B124" s="232"/>
      <c r="C124" s="232"/>
      <c r="D124" s="233"/>
      <c r="E124" s="3"/>
      <c r="F124" s="3"/>
      <c r="G124" s="229"/>
      <c r="H124" s="229"/>
    </row>
    <row r="125" spans="1:8" ht="14.25" customHeight="1">
      <c r="A125" s="2">
        <v>2084008337</v>
      </c>
      <c r="B125" s="2" t="s">
        <v>2282</v>
      </c>
      <c r="C125" s="2" t="s">
        <v>2283</v>
      </c>
      <c r="D125" s="2" t="s">
        <v>2284</v>
      </c>
      <c r="E125" s="3" t="str">
        <f ca="1">IFERROR(__xludf.DUMMYFUNCTION("GOOGLETRANSLATE(B125,""ja"",""vi"")"),"tùy viên")</f>
        <v>tùy viên</v>
      </c>
      <c r="F125" s="3" t="str">
        <f ca="1">IFERROR(__xludf.DUMMYFUNCTION("GOOGLETRANSLATE(C125,""ja"",""vi"")"),"Đấu giá&gt; Văn phòng, Cửa hàng cung cấp&gt; túi, va li&gt; trường hợp tùy viên")</f>
        <v>Đấu giá&gt; Văn phòng, Cửa hàng cung cấp&gt; túi, va li&gt; trường hợp tùy viên</v>
      </c>
      <c r="G125" s="229" t="str">
        <f t="shared" ca="1" si="2"/>
        <v>"2084008337" : "tùy viên",</v>
      </c>
      <c r="H125" s="229" t="str">
        <f t="shared" si="3"/>
        <v>&lt;li class="col-md-3"&gt;&lt;a class="text-cut" href="javascript:;"(click)="categoryEvent(2084008337)"&gt;{{"2084008337" | translate}}&lt;/a&gt;&lt;/li&gt;</v>
      </c>
    </row>
    <row r="126" spans="1:8" ht="14.25" customHeight="1">
      <c r="A126" s="2">
        <v>2084008297</v>
      </c>
      <c r="B126" s="2" t="s">
        <v>2290</v>
      </c>
      <c r="C126" s="2" t="s">
        <v>2291</v>
      </c>
      <c r="D126" s="2" t="s">
        <v>2292</v>
      </c>
      <c r="E126" s="3" t="str">
        <f ca="1">IFERROR(__xludf.DUMMYFUNCTION("GOOGLETRANSLATE(B126,""ja"",""vi"")"),"Vali, thân cây")</f>
        <v>Vali, thân cây</v>
      </c>
      <c r="F126" s="3" t="str">
        <f ca="1">IFERROR(__xludf.DUMMYFUNCTION("GOOGLETRANSLATE(C126,""ja"",""vi"")"),"Đấu giá&gt; Văn phòng, Cửa hàng cung cấp&gt; túi, va li&gt; va li, thân cây")</f>
        <v>Đấu giá&gt; Văn phòng, Cửa hàng cung cấp&gt; túi, va li&gt; va li, thân cây</v>
      </c>
      <c r="G126" s="229" t="str">
        <f t="shared" ca="1" si="2"/>
        <v>"2084008297" : "Vali, thân cây",</v>
      </c>
      <c r="H126" s="229" t="str">
        <f t="shared" si="3"/>
        <v>&lt;li class="col-md-3"&gt;&lt;a class="text-cut" href="javascript:;"(click)="categoryEvent(2084008297)"&gt;{{"2084008297" | translate}}&lt;/a&gt;&lt;/li&gt;</v>
      </c>
    </row>
    <row r="127" spans="1:8" ht="14.25" customHeight="1">
      <c r="A127" s="2">
        <v>2084008333</v>
      </c>
      <c r="B127" s="2" t="s">
        <v>2298</v>
      </c>
      <c r="C127" s="2" t="s">
        <v>2300</v>
      </c>
      <c r="D127" s="2" t="s">
        <v>2301</v>
      </c>
      <c r="E127" s="3" t="str">
        <f ca="1">IFERROR(__xludf.DUMMYFUNCTION("GOOGLETRANSLATE(B127,""ja"",""vi"")"),"cặp nữ, cặp xách")</f>
        <v>cặp nữ, cặp xách</v>
      </c>
      <c r="F127" s="3" t="str">
        <f ca="1">IFERROR(__xludf.DUMMYFUNCTION("GOOGLETRANSLATE(C127,""ja"",""vi"")"),"Đấu giá&gt; Văn phòng, Cửa hàng cung cấp&gt; túi, va li&gt; Phụ nữ vali, vali")</f>
        <v>Đấu giá&gt; Văn phòng, Cửa hàng cung cấp&gt; túi, va li&gt; Phụ nữ vali, vali</v>
      </c>
      <c r="G127" s="229" t="str">
        <f t="shared" ca="1" si="2"/>
        <v>"2084008333" : "cặp nữ, cặp xách",</v>
      </c>
      <c r="H127" s="229" t="str">
        <f t="shared" si="3"/>
        <v>&lt;li class="col-md-3"&gt;&lt;a class="text-cut" href="javascript:;"(click)="categoryEvent(2084008333)"&gt;{{"2084008333" | translate}}&lt;/a&gt;&lt;/li&gt;</v>
      </c>
    </row>
    <row r="128" spans="1:8" ht="14.25" customHeight="1">
      <c r="A128" s="2">
        <v>2084008334</v>
      </c>
      <c r="B128" s="2" t="s">
        <v>2304</v>
      </c>
      <c r="C128" s="2" t="s">
        <v>2307</v>
      </c>
      <c r="D128" s="2" t="s">
        <v>2309</v>
      </c>
      <c r="E128" s="3" t="str">
        <f ca="1">IFERROR(__xludf.DUMMYFUNCTION("GOOGLETRANSLATE(B128,""ja"",""vi"")"),"Cặp dành cho nam giới, cặp xách")</f>
        <v>Cặp dành cho nam giới, cặp xách</v>
      </c>
      <c r="F128" s="3" t="str">
        <f ca="1">IFERROR(__xludf.DUMMYFUNCTION("GOOGLETRANSLATE(C128,""ja"",""vi"")"),"Đấu giá&gt; Văn phòng, Cửa hàng cung cấp&gt; túi, va li&gt; cặp dành cho nam giới, cặp xách")</f>
        <v>Đấu giá&gt; Văn phòng, Cửa hàng cung cấp&gt; túi, va li&gt; cặp dành cho nam giới, cặp xách</v>
      </c>
      <c r="G128" s="229" t="str">
        <f t="shared" ca="1" si="2"/>
        <v>"2084008334" : "Cặp dành cho nam giới, cặp xách",</v>
      </c>
      <c r="H128" s="229" t="str">
        <f t="shared" si="3"/>
        <v>&lt;li class="col-md-3"&gt;&lt;a class="text-cut" href="javascript:;"(click)="categoryEvent(2084008334)"&gt;{{"2084008334" | translate}}&lt;/a&gt;&lt;/li&gt;</v>
      </c>
    </row>
    <row r="129" spans="1:8" ht="14.25" customHeight="1">
      <c r="E129" s="3"/>
      <c r="F129" s="3"/>
      <c r="G129" s="229"/>
      <c r="H129" s="229"/>
    </row>
    <row r="130" spans="1:8" ht="24" customHeight="1">
      <c r="A130" s="264">
        <v>21620</v>
      </c>
      <c r="B130" s="232"/>
      <c r="C130" s="232"/>
      <c r="D130" s="233"/>
      <c r="E130" s="3"/>
      <c r="F130" s="3"/>
      <c r="G130" s="229"/>
      <c r="H130" s="229"/>
    </row>
    <row r="131" spans="1:8" ht="14.25" customHeight="1">
      <c r="A131" s="2">
        <v>2084008761</v>
      </c>
      <c r="B131" s="2" t="s">
        <v>2317</v>
      </c>
      <c r="C131" s="2" t="s">
        <v>2319</v>
      </c>
      <c r="D131" s="2" t="s">
        <v>2322</v>
      </c>
      <c r="E131" s="3" t="str">
        <f ca="1">IFERROR(__xludf.DUMMYFUNCTION("GOOGLETRANSLATE(B131,""ja"",""vi"")"),"giáo dục kinh doanh")</f>
        <v>giáo dục kinh doanh</v>
      </c>
      <c r="F131" s="3" t="str">
        <f ca="1">IFERROR(__xludf.DUMMYFUNCTION("GOOGLETRANSLATE(C131,""ja"",""vi"")"),"Đấu giá&gt; cuốn sách, tạp chí&gt; kinh doanh, kinh tế&gt; kinh doanh&gt; kinh doanh giáo dục")</f>
        <v>Đấu giá&gt; cuốn sách, tạp chí&gt; kinh doanh, kinh tế&gt; kinh doanh&gt; kinh doanh giáo dục</v>
      </c>
      <c r="G131" s="229" t="str">
        <f t="shared" ref="G131:G145" ca="1" si="4">CONCATENATE(CHAR(34)&amp;"",A131,""&amp;CHAR(34)," : ", CHAR(34)&amp;"",E131,""&amp;CHAR(34),",")</f>
        <v>"2084008761" : "giáo dục kinh doanh",</v>
      </c>
      <c r="H131" s="229" t="str">
        <f t="shared" ref="H131:H145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href="javascript:;"(click)="categoryEvent(2084008761)"&gt;{{"2084008761" | translate}}&lt;/a&gt;&lt;/li&gt;</v>
      </c>
    </row>
    <row r="132" spans="1:8" ht="14.25" customHeight="1">
      <c r="A132" s="2">
        <v>2084008762</v>
      </c>
      <c r="B132" s="2" t="s">
        <v>2325</v>
      </c>
      <c r="C132" s="2" t="s">
        <v>2327</v>
      </c>
      <c r="D132" s="2" t="s">
        <v>2329</v>
      </c>
      <c r="E132" s="3" t="str">
        <f ca="1">IFERROR(__xludf.DUMMYFUNCTION("GOOGLETRANSLATE(B132,""ja"",""vi"")"),"Kế hoạch tiền")</f>
        <v>Kế hoạch tiền</v>
      </c>
      <c r="F132" s="3" t="str">
        <f ca="1">IFERROR(__xludf.DUMMYFUNCTION("GOOGLETRANSLATE(C132,""ja"",""vi"")"),"Đấu giá&gt; cuốn sách, tạp chí&gt; kinh doanh, kinh tế&gt; kinh doanh&gt; kế hoạch tiền")</f>
        <v>Đấu giá&gt; cuốn sách, tạp chí&gt; kinh doanh, kinh tế&gt; kinh doanh&gt; kế hoạch tiền</v>
      </c>
      <c r="G132" s="229" t="str">
        <f t="shared" ca="1" si="4"/>
        <v>"2084008762" : "Kế hoạch tiền",</v>
      </c>
      <c r="H132" s="229" t="str">
        <f t="shared" si="5"/>
        <v>&lt;li class="col-md-3"&gt;&lt;a class="text-cut" href="javascript:;"(click)="categoryEvent(2084008762)"&gt;{{"2084008762" | translate}}&lt;/a&gt;&lt;/li&gt;</v>
      </c>
    </row>
    <row r="133" spans="1:8" ht="14.25" customHeight="1">
      <c r="A133" s="2">
        <v>2084008757</v>
      </c>
      <c r="B133" s="2" t="s">
        <v>2334</v>
      </c>
      <c r="C133" s="2" t="s">
        <v>2335</v>
      </c>
      <c r="D133" s="2" t="s">
        <v>2337</v>
      </c>
      <c r="E133" s="3" t="str">
        <f ca="1">IFERROR(__xludf.DUMMYFUNCTION("GOOGLETRANSLATE(B133,""ja"",""vi"")"),"các vấn đề pháp lý của công ty")</f>
        <v>các vấn đề pháp lý của công ty</v>
      </c>
      <c r="F133" s="3" t="str">
        <f ca="1">IFERROR(__xludf.DUMMYFUNCTION("GOOGLETRANSLATE(C133,""ja"",""vi"")"),"Đấu giá&gt; cuốn sách, tạp chí&gt; kinh doanh, kinh tế&gt; Kinh doanh&gt; Luật doanh nghiệp")</f>
        <v>Đấu giá&gt; cuốn sách, tạp chí&gt; kinh doanh, kinh tế&gt; Kinh doanh&gt; Luật doanh nghiệp</v>
      </c>
      <c r="G133" s="229" t="str">
        <f t="shared" ca="1" si="4"/>
        <v>"2084008757" : "các vấn đề pháp lý của công ty",</v>
      </c>
      <c r="H133" s="229" t="str">
        <f t="shared" si="5"/>
        <v>&lt;li class="col-md-3"&gt;&lt;a class="text-cut" href="javascript:;"(click)="categoryEvent(2084008757)"&gt;{{"2084008757" | translate}}&lt;/a&gt;&lt;/li&gt;</v>
      </c>
    </row>
    <row r="134" spans="1:8" ht="14.25" customHeight="1">
      <c r="A134" s="2">
        <v>2084008754</v>
      </c>
      <c r="B134" s="2" t="s">
        <v>2343</v>
      </c>
      <c r="C134" s="2" t="s">
        <v>2344</v>
      </c>
      <c r="D134" s="2" t="s">
        <v>2345</v>
      </c>
      <c r="E134" s="3" t="str">
        <f ca="1">IFERROR(__xludf.DUMMYFUNCTION("GOOGLETRANSLATE(B134,""ja"",""vi"")"),"Quản trị kinh doanh")</f>
        <v>Quản trị kinh doanh</v>
      </c>
      <c r="F134" s="3" t="str">
        <f ca="1">IFERROR(__xludf.DUMMYFUNCTION("GOOGLETRANSLATE(C134,""ja"",""vi"")"),"Đấu giá&gt; cuốn sách, tạp chí&gt; kinh doanh, kinh tế&gt; Kinh doanh&gt; Quản trị kinh doanh")</f>
        <v>Đấu giá&gt; cuốn sách, tạp chí&gt; kinh doanh, kinh tế&gt; Kinh doanh&gt; Quản trị kinh doanh</v>
      </c>
      <c r="G134" s="229" t="str">
        <f t="shared" ca="1" si="4"/>
        <v>"2084008754" : "Quản trị kinh doanh",</v>
      </c>
      <c r="H134" s="229" t="str">
        <f t="shared" si="5"/>
        <v>&lt;li class="col-md-3"&gt;&lt;a class="text-cut" href="javascript:;"(click)="categoryEvent(2084008754)"&gt;{{"2084008754" | translate}}&lt;/a&gt;&lt;/li&gt;</v>
      </c>
    </row>
    <row r="135" spans="1:8" ht="14.25" customHeight="1">
      <c r="A135" s="2">
        <v>2084008758</v>
      </c>
      <c r="B135" s="2" t="s">
        <v>2349</v>
      </c>
      <c r="C135" s="2" t="s">
        <v>2350</v>
      </c>
      <c r="D135" s="2" t="s">
        <v>2351</v>
      </c>
      <c r="E135" s="3" t="str">
        <f ca="1">IFERROR(__xludf.DUMMYFUNCTION("GOOGLETRANSLATE(B135,""ja"",""vi"")"),"Quảng cáo, bán hàng")</f>
        <v>Quảng cáo, bán hàng</v>
      </c>
      <c r="F135" s="3" t="str">
        <f ca="1">IFERROR(__xludf.DUMMYFUNCTION("GOOGLETRANSLATE(C135,""ja"",""vi"")"),"Đấu giá&gt; cuốn sách, tạp chí&gt; kinh doanh, kinh tế&gt; Kinh doanh&gt; Quảng cáo, Bán hàng")</f>
        <v>Đấu giá&gt; cuốn sách, tạp chí&gt; kinh doanh, kinh tế&gt; Kinh doanh&gt; Quảng cáo, Bán hàng</v>
      </c>
      <c r="G135" s="229" t="str">
        <f t="shared" ca="1" si="4"/>
        <v>"2084008758" : "Quảng cáo, bán hàng",</v>
      </c>
      <c r="H135" s="229" t="str">
        <f t="shared" si="5"/>
        <v>&lt;li class="col-md-3"&gt;&lt;a class="text-cut" href="javascript:;"(click)="categoryEvent(2084008758)"&gt;{{"2084008758" | translate}}&lt;/a&gt;&lt;/li&gt;</v>
      </c>
    </row>
    <row r="136" spans="1:8" ht="14.25" customHeight="1">
      <c r="A136" s="2">
        <v>2084047379</v>
      </c>
      <c r="B136" s="2" t="s">
        <v>2356</v>
      </c>
      <c r="C136" s="2" t="s">
        <v>2357</v>
      </c>
      <c r="D136" s="2" t="s">
        <v>2358</v>
      </c>
      <c r="E136" s="3" t="str">
        <f ca="1">IFERROR(__xludf.DUMMYFUNCTION("GOOGLETRANSLATE(B136,""ja"",""vi"")"),"Tài chính, Kế toán")</f>
        <v>Tài chính, Kế toán</v>
      </c>
      <c r="F136" s="3" t="str">
        <f ca="1">IFERROR(__xludf.DUMMYFUNCTION("GOOGLETRANSLATE(C136,""ja"",""vi"")"),"Đấu giá&gt; cuốn sách, tạp chí&gt; kinh doanh, kinh tế&gt; Kinh doanh&gt; Tài chính, Kế toán")</f>
        <v>Đấu giá&gt; cuốn sách, tạp chí&gt; kinh doanh, kinh tế&gt; Kinh doanh&gt; Tài chính, Kế toán</v>
      </c>
      <c r="G136" s="229" t="str">
        <f t="shared" ca="1" si="4"/>
        <v>"2084047379" : "Tài chính, Kế toán",</v>
      </c>
      <c r="H136" s="229" t="str">
        <f t="shared" si="5"/>
        <v>&lt;li class="col-md-3"&gt;&lt;a class="text-cut" href="javascript:;"(click)="categoryEvent(2084047379)"&gt;{{"2084047379" | translate}}&lt;/a&gt;&lt;/li&gt;</v>
      </c>
    </row>
    <row r="137" spans="1:8" ht="14.25" customHeight="1">
      <c r="A137" s="2">
        <v>2084008759</v>
      </c>
      <c r="B137" s="2" t="s">
        <v>2361</v>
      </c>
      <c r="C137" s="2" t="s">
        <v>2363</v>
      </c>
      <c r="D137" s="2" t="s">
        <v>2364</v>
      </c>
      <c r="E137" s="3" t="str">
        <f ca="1">IFERROR(__xludf.DUMMYFUNCTION("GOOGLETRANSLATE(B137,""ja"",""vi"")"),"Công nghệ làm việc")</f>
        <v>Công nghệ làm việc</v>
      </c>
      <c r="F137" s="3" t="str">
        <f ca="1">IFERROR(__xludf.DUMMYFUNCTION("GOOGLETRANSLATE(C137,""ja"",""vi"")"),"Đấu giá&gt; cuốn sách, tạp chí&gt; kinh doanh, kinh tế&gt; kinh doanh&gt; tác phẩm nghệ thuật")</f>
        <v>Đấu giá&gt; cuốn sách, tạp chí&gt; kinh doanh, kinh tế&gt; kinh doanh&gt; tác phẩm nghệ thuật</v>
      </c>
      <c r="G137" s="229" t="str">
        <f t="shared" ca="1" si="4"/>
        <v>"2084008759" : "Công nghệ làm việc",</v>
      </c>
      <c r="H137" s="229" t="str">
        <f t="shared" si="5"/>
        <v>&lt;li class="col-md-3"&gt;&lt;a class="text-cut" href="javascript:;"(click)="categoryEvent(2084008759)"&gt;{{"2084008759" | translate}}&lt;/a&gt;&lt;/li&gt;</v>
      </c>
    </row>
    <row r="138" spans="1:8" ht="14.25" customHeight="1">
      <c r="A138" s="2">
        <v>2084008760</v>
      </c>
      <c r="B138" s="2" t="s">
        <v>2365</v>
      </c>
      <c r="C138" s="2" t="s">
        <v>2367</v>
      </c>
      <c r="D138" s="2" t="s">
        <v>2368</v>
      </c>
      <c r="E138" s="3" t="str">
        <f ca="1">IFERROR(__xludf.DUMMYFUNCTION("GOOGLETRANSLATE(B138,""ja"",""vi"")"),"Tự phát triển")</f>
        <v>Tự phát triển</v>
      </c>
      <c r="F138" s="3" t="str">
        <f ca="1">IFERROR(__xludf.DUMMYFUNCTION("GOOGLETRANSLATE(C138,""ja"",""vi"")"),"Đấu giá&gt; cuốn sách, tạp chí&gt; kinh doanh, kinh tế&gt; Kinh doanh&gt; tự phát triển")</f>
        <v>Đấu giá&gt; cuốn sách, tạp chí&gt; kinh doanh, kinh tế&gt; Kinh doanh&gt; tự phát triển</v>
      </c>
      <c r="G138" s="229" t="str">
        <f t="shared" ca="1" si="4"/>
        <v>"2084008760" : "Tự phát triển",</v>
      </c>
      <c r="H138" s="229" t="str">
        <f t="shared" si="5"/>
        <v>&lt;li class="col-md-3"&gt;&lt;a class="text-cut" href="javascript:;"(click)="categoryEvent(2084008760)"&gt;{{"2084008760" | translate}}&lt;/a&gt;&lt;/li&gt;</v>
      </c>
    </row>
    <row r="139" spans="1:8" ht="14.25" customHeight="1">
      <c r="A139" s="2">
        <v>2084008756</v>
      </c>
      <c r="B139" s="2" t="s">
        <v>2372</v>
      </c>
      <c r="C139" s="2" t="s">
        <v>2373</v>
      </c>
      <c r="D139" s="2" t="s">
        <v>2375</v>
      </c>
      <c r="E139" s="3" t="str">
        <f ca="1">IFERROR(__xludf.DUMMYFUNCTION("GOOGLETRANSLATE(B139,""ja"",""vi"")"),"Độc lập, khai mạc")</f>
        <v>Độc lập, khai mạc</v>
      </c>
      <c r="F139" s="3" t="str">
        <f ca="1">IFERROR(__xludf.DUMMYFUNCTION("GOOGLETRANSLATE(C139,""ja"",""vi"")"),"Đấu giá&gt; cuốn sách, tạp chí&gt; kinh doanh, kinh tế&gt; kinh doanh&gt; độc lập, khai mạc")</f>
        <v>Đấu giá&gt; cuốn sách, tạp chí&gt; kinh doanh, kinh tế&gt; kinh doanh&gt; độc lập, khai mạc</v>
      </c>
      <c r="G139" s="229" t="str">
        <f t="shared" ca="1" si="4"/>
        <v>"2084008756" : "Độc lập, khai mạc",</v>
      </c>
      <c r="H139" s="229" t="str">
        <f t="shared" si="5"/>
        <v>&lt;li class="col-md-3"&gt;&lt;a class="text-cut" href="javascript:;"(click)="categoryEvent(2084008756)"&gt;{{"2084008756" | translate}}&lt;/a&gt;&lt;/li&gt;</v>
      </c>
    </row>
    <row r="140" spans="1:8" ht="14.25" customHeight="1">
      <c r="A140" s="2">
        <v>2084008763</v>
      </c>
      <c r="B140" s="2" t="s">
        <v>2379</v>
      </c>
      <c r="C140" s="2" t="s">
        <v>2380</v>
      </c>
      <c r="D140" s="2" t="s">
        <v>2381</v>
      </c>
      <c r="E140" s="3" t="str">
        <f ca="1">IFERROR(__xludf.DUMMYFUNCTION("GOOGLETRANSLATE(B140,""ja"",""vi"")"),"phân phát")</f>
        <v>phân phát</v>
      </c>
      <c r="F140" s="3" t="str">
        <f ca="1">IFERROR(__xludf.DUMMYFUNCTION("GOOGLETRANSLATE(C140,""ja"",""vi"")"),"Đấu giá&gt; cuốn sách, tạp chí&gt; kinh doanh, kinh tế&gt; Kinh doanh&gt; Phân phối")</f>
        <v>Đấu giá&gt; cuốn sách, tạp chí&gt; kinh doanh, kinh tế&gt; Kinh doanh&gt; Phân phối</v>
      </c>
      <c r="G140" s="229" t="str">
        <f t="shared" ca="1" si="4"/>
        <v>"2084008763" : "phân phát",</v>
      </c>
      <c r="H140" s="229" t="str">
        <f t="shared" si="5"/>
        <v>&lt;li class="col-md-3"&gt;&lt;a class="text-cut" href="javascript:;"(click)="categoryEvent(2084008763)"&gt;{{"2084008763" | translate}}&lt;/a&gt;&lt;/li&gt;</v>
      </c>
    </row>
    <row r="141" spans="1:8" ht="14.25" customHeight="1">
      <c r="E141" s="3"/>
      <c r="F141" s="3"/>
      <c r="G141" s="229"/>
      <c r="H141" s="229"/>
    </row>
    <row r="142" spans="1:8" ht="24.6" customHeight="1">
      <c r="A142" s="254">
        <v>2084307793</v>
      </c>
      <c r="B142" s="232"/>
      <c r="C142" s="232"/>
      <c r="D142" s="233"/>
      <c r="E142" s="3"/>
      <c r="F142" s="3"/>
      <c r="G142" s="229"/>
      <c r="H142" s="229"/>
    </row>
    <row r="143" spans="1:8" ht="14.25" customHeight="1">
      <c r="A143" s="2">
        <v>2084307794</v>
      </c>
      <c r="B143" s="2" t="s">
        <v>1653</v>
      </c>
      <c r="C143" s="2" t="s">
        <v>2392</v>
      </c>
      <c r="D143" s="2" t="s">
        <v>2393</v>
      </c>
      <c r="E143" s="3" t="str">
        <f ca="1">IFERROR(__xludf.DUMMYFUNCTION("GOOGLETRANSLATE(B143,""ja"",""vi"")"),"thiết bị nhà bếp")</f>
        <v>thiết bị nhà bếp</v>
      </c>
      <c r="F143" s="3" t="str">
        <f ca="1">IFERROR(__xludf.DUMMYFUNCTION("GOOGLETRANSLATE(C143,""ja"",""vi"")"),"Đấu giá&gt; Khác&gt; Cho thuê&gt; Văn phòng, Cửa hàng cung cấp&gt; thiết bị nhà bếp")</f>
        <v>Đấu giá&gt; Khác&gt; Cho thuê&gt; Văn phòng, Cửa hàng cung cấp&gt; thiết bị nhà bếp</v>
      </c>
      <c r="G143" s="229" t="str">
        <f t="shared" ca="1" si="4"/>
        <v>"2084307794" : "thiết bị nhà bếp",</v>
      </c>
      <c r="H143" s="229" t="str">
        <f t="shared" si="5"/>
        <v>&lt;li class="col-md-3"&gt;&lt;a class="text-cut" href="javascript:;"(click)="categoryEvent(2084307794)"&gt;{{"2084307794" | translate}}&lt;/a&gt;&lt;/li&gt;</v>
      </c>
    </row>
    <row r="144" spans="1:8" ht="14.25" customHeight="1">
      <c r="A144" s="2">
        <v>2084307795</v>
      </c>
      <c r="B144" s="2" t="s">
        <v>1552</v>
      </c>
      <c r="C144" s="2" t="s">
        <v>2398</v>
      </c>
      <c r="D144" s="2" t="s">
        <v>2399</v>
      </c>
      <c r="E144" s="3" t="str">
        <f ca="1">IFERROR(__xludf.DUMMYFUNCTION("GOOGLETRANSLATE(B144,""ja"",""vi"")"),"thiết bị OA")</f>
        <v>thiết bị OA</v>
      </c>
      <c r="F144" s="3" t="str">
        <f ca="1">IFERROR(__xludf.DUMMYFUNCTION("GOOGLETRANSLATE(C144,""ja"",""vi"")"),"Đấu giá&gt; Khác&gt; Cho thuê&gt; Văn phòng, Cửa hàng cung cấp&gt; thiết bị OA")</f>
        <v>Đấu giá&gt; Khác&gt; Cho thuê&gt; Văn phòng, Cửa hàng cung cấp&gt; thiết bị OA</v>
      </c>
      <c r="G144" s="229" t="str">
        <f t="shared" ca="1" si="4"/>
        <v>"2084307795" : "thiết bị OA",</v>
      </c>
      <c r="H144" s="229" t="str">
        <f t="shared" si="5"/>
        <v>&lt;li class="col-md-3"&gt;&lt;a class="text-cut" href="javascript:;"(click)="categoryEvent(2084307795)"&gt;{{"2084307795" | translate}}&lt;/a&gt;&lt;/li&gt;</v>
      </c>
    </row>
    <row r="145" spans="1:8" ht="14.25" customHeight="1">
      <c r="A145" s="2">
        <v>2084307796</v>
      </c>
      <c r="B145" s="2" t="s">
        <v>1558</v>
      </c>
      <c r="C145" s="2" t="s">
        <v>2403</v>
      </c>
      <c r="D145" s="2" t="s">
        <v>2405</v>
      </c>
      <c r="E145" s="3" t="str">
        <f ca="1">IFERROR(__xludf.DUMMYFUNCTION("GOOGLETRANSLATE(B145,""ja"",""vi"")"),"nội thất văn phòng")</f>
        <v>nội thất văn phòng</v>
      </c>
      <c r="F145" s="3" t="str">
        <f ca="1">IFERROR(__xludf.DUMMYFUNCTION("GOOGLETRANSLATE(C145,""ja"",""vi"")"),"Đấu giá&gt; Khác&gt; Cho thuê&gt; Văn phòng, Cửa hàng cung cấp&gt; Nội thất văn phòng")</f>
        <v>Đấu giá&gt; Khác&gt; Cho thuê&gt; Văn phòng, Cửa hàng cung cấp&gt; Nội thất văn phòng</v>
      </c>
      <c r="G145" s="229" t="str">
        <f t="shared" ca="1" si="4"/>
        <v>"2084307796" : "nội thất văn phòng",</v>
      </c>
      <c r="H145" s="229" t="str">
        <f t="shared" si="5"/>
        <v>&lt;li class="col-md-3"&gt;&lt;a class="text-cut" href="javascript:;"(click)="categoryEvent(2084307796)"&gt;{{"2084307796" | translate}}&lt;/a&gt;&lt;/li&gt;</v>
      </c>
    </row>
    <row r="146" spans="1:8" ht="14.25" customHeight="1"/>
    <row r="147" spans="1:8" ht="14.25" customHeight="1"/>
    <row r="148" spans="1:8" ht="14.25" customHeight="1"/>
    <row r="149" spans="1:8" ht="14.25" customHeight="1"/>
    <row r="150" spans="1:8" ht="14.25" customHeight="1"/>
    <row r="151" spans="1:8" ht="14.25" customHeight="1"/>
    <row r="152" spans="1:8" ht="14.25" customHeight="1"/>
    <row r="153" spans="1:8" ht="14.25" customHeight="1"/>
    <row r="154" spans="1:8" ht="14.25" customHeight="1"/>
    <row r="155" spans="1:8" ht="14.25" customHeight="1"/>
    <row r="156" spans="1:8" ht="14.25" customHeight="1"/>
    <row r="157" spans="1:8" ht="14.25" customHeight="1"/>
    <row r="158" spans="1:8" ht="14.25" customHeight="1"/>
    <row r="159" spans="1:8" ht="14.25" customHeight="1"/>
    <row r="160" spans="1:8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124:D124"/>
    <mergeCell ref="A130:D130"/>
    <mergeCell ref="A142:D142"/>
    <mergeCell ref="A17:D17"/>
    <mergeCell ref="A99:D99"/>
    <mergeCell ref="A40:D40"/>
    <mergeCell ref="A53:D53"/>
    <mergeCell ref="A68:D68"/>
    <mergeCell ref="A85:D85"/>
    <mergeCell ref="A120:D120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2.5" customWidth="1"/>
    <col min="2" max="2" width="7.296875" customWidth="1"/>
    <col min="3" max="3" width="17.59765625" customWidth="1"/>
    <col min="4" max="4" width="13.69921875" customWidth="1"/>
    <col min="5" max="5" width="9.69921875" customWidth="1"/>
    <col min="6" max="6" width="42.8984375" customWidth="1"/>
    <col min="7" max="7" width="28.796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2084055861</v>
      </c>
      <c r="B2" s="2" t="s">
        <v>1754</v>
      </c>
      <c r="C2" s="2" t="s">
        <v>1756</v>
      </c>
      <c r="D2" s="2" t="s">
        <v>1758</v>
      </c>
      <c r="E2" s="3" t="str">
        <f ca="1">IFERROR(__xludf.DUMMYFUNCTION("GOOGLETRANSLATE(B2,""ja"",""vi"")"),"Cá, sinh vật dưới nước")</f>
        <v>Cá, sinh vật dưới nước</v>
      </c>
      <c r="F2" s="3" t="str">
        <f ca="1">IFERROR(__xludf.DUMMYFUNCTION("GOOGLETRANSLATE(C2,""ja"",""vi"")"),"Đấu giá&gt; có thú nuôi, sinh vật&gt; cá, sinh vật dưới nước")</f>
        <v>Đấu giá&gt; có thú nuôi, sinh vật&gt; cá, sinh vật dưới nước</v>
      </c>
      <c r="G2" s="229" t="str">
        <f ca="1">CONCATENATE(CHAR(34)&amp;"",A2,""&amp;CHAR(34)," : ", CHAR(34)&amp;"",E2,""&amp;CHAR(34),",")</f>
        <v>"2084055861" : "Cá, sinh vật dưới nước",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href="javascript:;"(click)="categoryEvent(2084055861)"&gt;{{"2084055861" | translate}}&lt;/a&gt;&lt;/li&gt;</v>
      </c>
    </row>
    <row r="3" spans="1:8" ht="14.25" customHeight="1">
      <c r="A3" s="16">
        <v>2084055856</v>
      </c>
      <c r="B3" s="16" t="s">
        <v>1764</v>
      </c>
      <c r="C3" s="16" t="s">
        <v>1766</v>
      </c>
      <c r="D3" s="16" t="s">
        <v>1767</v>
      </c>
      <c r="E3" s="3" t="str">
        <f ca="1">IFERROR(__xludf.DUMMYFUNCTION("GOOGLETRANSLATE(B3,""ja"",""vi"")"),"Côn trùng")</f>
        <v>Côn trùng</v>
      </c>
      <c r="F3" s="3" t="str">
        <f ca="1">IFERROR(__xludf.DUMMYFUNCTION("GOOGLETRANSLATE(C3,""ja"",""vi"")"),"Đấu giá&gt; có thú nuôi, sinh vật&gt; côn trùng")</f>
        <v>Đấu giá&gt; có thú nuôi, sinh vật&gt; côn trùng</v>
      </c>
      <c r="G3" s="229" t="str">
        <f t="shared" ref="G3:G41" ca="1" si="0">CONCATENATE(CHAR(34)&amp;"",A3,""&amp;CHAR(34)," : ", CHAR(34)&amp;"",E3,""&amp;CHAR(34),",")</f>
        <v>"2084055856" : "Côn trùng",</v>
      </c>
      <c r="H3" s="229" t="str">
        <f t="shared" ref="H3:H41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href="javascript:;"(click)="categoryEvent(2084055856)"&gt;{{"2084055856" | translate}}&lt;/a&gt;&lt;/li&gt;</v>
      </c>
    </row>
    <row r="4" spans="1:8" ht="14.25" customHeight="1">
      <c r="A4" s="76">
        <v>2084055845</v>
      </c>
      <c r="B4" s="76" t="s">
        <v>1771</v>
      </c>
      <c r="C4" s="76" t="s">
        <v>1773</v>
      </c>
      <c r="D4" s="76" t="s">
        <v>1775</v>
      </c>
      <c r="E4" s="3" t="str">
        <f ca="1">IFERROR(__xludf.DUMMYFUNCTION("GOOGLETRANSLATE(B4,""ja"",""vi"")"),"động vật lưỡng cư")</f>
        <v>động vật lưỡng cư</v>
      </c>
      <c r="F4" s="3" t="str">
        <f ca="1">IFERROR(__xludf.DUMMYFUNCTION("GOOGLETRANSLATE(C4,""ja"",""vi"")"),"Đấu giá&gt; có thú nuôi, sinh vật&gt; động vật lưỡng cư")</f>
        <v>Đấu giá&gt; có thú nuôi, sinh vật&gt; động vật lưỡng cư</v>
      </c>
      <c r="G4" s="229" t="str">
        <f t="shared" ca="1" si="0"/>
        <v>"2084055845" : "động vật lưỡng cư",</v>
      </c>
      <c r="H4" s="229" t="str">
        <f t="shared" si="1"/>
        <v>&lt;li class="col-md-3"&gt;&lt;a class="text-cut" href="javascript:;"(click)="categoryEvent(2084055845)"&gt;{{"2084055845" | translate}}&lt;/a&gt;&lt;/li&gt;</v>
      </c>
    </row>
    <row r="5" spans="1:8" ht="14.25" customHeight="1">
      <c r="A5" s="43">
        <v>24534</v>
      </c>
      <c r="B5" s="43" t="s">
        <v>1780</v>
      </c>
      <c r="C5" s="43" t="s">
        <v>1782</v>
      </c>
      <c r="D5" s="43" t="s">
        <v>1784</v>
      </c>
      <c r="E5" s="3" t="str">
        <f ca="1">IFERROR(__xludf.DUMMYFUNCTION("GOOGLETRANSLATE(B5,""ja"",""vi"")"),"Vật tư thú cưng")</f>
        <v>Vật tư thú cưng</v>
      </c>
      <c r="F5" s="3" t="str">
        <f ca="1">IFERROR(__xludf.DUMMYFUNCTION("GOOGLETRANSLATE(C5,""ja"",""vi"")"),"Đấu giá&gt; có thú nuôi, sinh vật&gt; Đồ Pet")</f>
        <v>Đấu giá&gt; có thú nuôi, sinh vật&gt; Đồ Pet</v>
      </c>
      <c r="G5" s="229" t="str">
        <f t="shared" ca="1" si="0"/>
        <v>"24534" : "Vật tư thú cưng",</v>
      </c>
      <c r="H5" s="229" t="str">
        <f t="shared" si="1"/>
        <v>&lt;li class="col-md-3"&gt;&lt;a class="text-cut" href="javascript:;"(click)="categoryEvent(24534)"&gt;{{"24534" | translate}}&lt;/a&gt;&lt;/li&gt;</v>
      </c>
    </row>
    <row r="6" spans="1:8" ht="14.25" customHeight="1">
      <c r="E6" s="3"/>
      <c r="F6" s="3"/>
      <c r="G6" s="229"/>
      <c r="H6" s="229"/>
    </row>
    <row r="7" spans="1:8" ht="31.2" customHeight="1">
      <c r="A7" s="231">
        <v>2084055861</v>
      </c>
      <c r="B7" s="232"/>
      <c r="C7" s="232"/>
      <c r="D7" s="233"/>
      <c r="E7" s="3"/>
      <c r="F7" s="3"/>
      <c r="G7" s="229"/>
      <c r="H7" s="229"/>
    </row>
    <row r="8" spans="1:8" ht="14.25" customHeight="1">
      <c r="A8" s="2">
        <v>2084055862</v>
      </c>
      <c r="B8" s="2" t="s">
        <v>1797</v>
      </c>
      <c r="C8" s="2" t="s">
        <v>1799</v>
      </c>
      <c r="D8" s="2" t="s">
        <v>1801</v>
      </c>
      <c r="E8" s="3" t="str">
        <f ca="1">IFERROR(__xludf.DUMMYFUNCTION("GOOGLETRANSLATE(B8,""ja"",""vi"")"),"cá chép màu")</f>
        <v>cá chép màu</v>
      </c>
      <c r="F8" s="3" t="str">
        <f ca="1">IFERROR(__xludf.DUMMYFUNCTION("GOOGLETRANSLATE(C8,""ja"",""vi"")"),"Đấu giá&gt; có thú nuôi, sinh vật&gt; cá, đời sống thủy sinh&gt; Koi")</f>
        <v>Đấu giá&gt; có thú nuôi, sinh vật&gt; cá, đời sống thủy sinh&gt; Koi</v>
      </c>
      <c r="G8" s="229" t="str">
        <f t="shared" ca="1" si="0"/>
        <v>"2084055862" : "cá chép màu",</v>
      </c>
      <c r="H8" s="229" t="str">
        <f t="shared" si="1"/>
        <v>&lt;li class="col-md-3"&gt;&lt;a class="text-cut" href="javascript:;"(click)="categoryEvent(2084055862)"&gt;{{"2084055862" | translate}}&lt;/a&gt;&lt;/li&gt;</v>
      </c>
    </row>
    <row r="9" spans="1:8" ht="14.25" customHeight="1">
      <c r="A9" s="2">
        <v>2084055863</v>
      </c>
      <c r="B9" s="2" t="s">
        <v>1806</v>
      </c>
      <c r="C9" s="2" t="s">
        <v>1808</v>
      </c>
      <c r="D9" s="2" t="s">
        <v>1810</v>
      </c>
      <c r="E9" s="3" t="str">
        <f ca="1">IFERROR(__xludf.DUMMYFUNCTION("GOOGLETRANSLATE(B9,""ja"",""vi"")"),"cá vàng")</f>
        <v>cá vàng</v>
      </c>
      <c r="F9" s="3" t="str">
        <f ca="1">IFERROR(__xludf.DUMMYFUNCTION("GOOGLETRANSLATE(C9,""ja"",""vi"")"),"Đấu giá&gt; có thú nuôi, sinh vật&gt; cá, đời sống thủy sinh&gt; cá vàng")</f>
        <v>Đấu giá&gt; có thú nuôi, sinh vật&gt; cá, đời sống thủy sinh&gt; cá vàng</v>
      </c>
      <c r="G9" s="229" t="str">
        <f t="shared" ca="1" si="0"/>
        <v>"2084055863" : "cá vàng",</v>
      </c>
      <c r="H9" s="229" t="str">
        <f t="shared" si="1"/>
        <v>&lt;li class="col-md-3"&gt;&lt;a class="text-cut" href="javascript:;"(click)="categoryEvent(2084055863)"&gt;{{"2084055863" | translate}}&lt;/a&gt;&lt;/li&gt;</v>
      </c>
    </row>
    <row r="10" spans="1:8" ht="14.25" customHeight="1">
      <c r="A10" s="2">
        <v>2084055864</v>
      </c>
      <c r="B10" s="2" t="s">
        <v>1815</v>
      </c>
      <c r="C10" s="2" t="s">
        <v>1816</v>
      </c>
      <c r="D10" s="2" t="s">
        <v>1817</v>
      </c>
      <c r="E10" s="3" t="str">
        <f ca="1">IFERROR(__xludf.DUMMYFUNCTION("GOOGLETRANSLATE(B10,""ja"",""vi"")"),"cá nước ngọt")</f>
        <v>cá nước ngọt</v>
      </c>
      <c r="F10" s="3" t="str">
        <f ca="1">IFERROR(__xludf.DUMMYFUNCTION("GOOGLETRANSLATE(C10,""ja"",""vi"")"),"Đấu giá&gt; có thú nuôi, sinh vật&gt; cá, đời sống thủy sinh&gt; cá sông")</f>
        <v>Đấu giá&gt; có thú nuôi, sinh vật&gt; cá, đời sống thủy sinh&gt; cá sông</v>
      </c>
      <c r="G10" s="229" t="str">
        <f t="shared" ca="1" si="0"/>
        <v>"2084055864" : "cá nước ngọt",</v>
      </c>
      <c r="H10" s="229" t="str">
        <f t="shared" si="1"/>
        <v>&lt;li class="col-md-3"&gt;&lt;a class="text-cut" href="javascript:;"(click)="categoryEvent(2084055864)"&gt;{{"2084055864" | translate}}&lt;/a&gt;&lt;/li&gt;</v>
      </c>
    </row>
    <row r="11" spans="1:8" ht="14.25" customHeight="1">
      <c r="A11" s="2">
        <v>2084055865</v>
      </c>
      <c r="B11" s="2" t="s">
        <v>1822</v>
      </c>
      <c r="C11" s="2" t="s">
        <v>1824</v>
      </c>
      <c r="D11" s="2" t="s">
        <v>1825</v>
      </c>
      <c r="E11" s="3" t="str">
        <f ca="1">IFERROR(__xludf.DUMMYFUNCTION("GOOGLETRANSLATE(B11,""ja"",""vi"")"),"cá nhiệt đới")</f>
        <v>cá nhiệt đới</v>
      </c>
      <c r="F11" s="3" t="str">
        <f ca="1">IFERROR(__xludf.DUMMYFUNCTION("GOOGLETRANSLATE(C11,""ja"",""vi"")"),"Đấu giá&gt; có thú nuôi, sinh vật&gt; cá, đời sống thủy sinh&gt; cá nhiệt đới")</f>
        <v>Đấu giá&gt; có thú nuôi, sinh vật&gt; cá, đời sống thủy sinh&gt; cá nhiệt đới</v>
      </c>
      <c r="G11" s="229" t="str">
        <f t="shared" ca="1" si="0"/>
        <v>"2084055865" : "cá nhiệt đới",</v>
      </c>
      <c r="H11" s="229" t="str">
        <f t="shared" si="1"/>
        <v>&lt;li class="col-md-3"&gt;&lt;a class="text-cut" href="javascript:;"(click)="categoryEvent(2084055865)"&gt;{{"2084055865" | translate}}&lt;/a&gt;&lt;/li&gt;</v>
      </c>
    </row>
    <row r="12" spans="1:8" ht="14.25" customHeight="1">
      <c r="A12" s="2">
        <v>2084228291</v>
      </c>
      <c r="B12" s="2" t="s">
        <v>1831</v>
      </c>
      <c r="C12" s="2" t="s">
        <v>1832</v>
      </c>
      <c r="D12" s="2" t="s">
        <v>1833</v>
      </c>
      <c r="E12" s="3" t="str">
        <f ca="1">IFERROR(__xludf.DUMMYFUNCTION("GOOGLETRANSLATE(B12,""ja"",""vi"")"),"giáp xác")</f>
        <v>giáp xác</v>
      </c>
      <c r="F12" s="3" t="str">
        <f ca="1">IFERROR(__xludf.DUMMYFUNCTION("GOOGLETRANSLATE(C12,""ja"",""vi"")"),"Đấu giá&gt; có thú nuôi, sinh vật&gt; cá, đời sống thủy sinh&gt; động vật giáp xác")</f>
        <v>Đấu giá&gt; có thú nuôi, sinh vật&gt; cá, đời sống thủy sinh&gt; động vật giáp xác</v>
      </c>
      <c r="G12" s="229" t="str">
        <f t="shared" ca="1" si="0"/>
        <v>"2084228291" : "giáp xác",</v>
      </c>
      <c r="H12" s="229" t="str">
        <f t="shared" si="1"/>
        <v>&lt;li class="col-md-3"&gt;&lt;a class="text-cut" href="javascript:;"(click)="categoryEvent(2084228291)"&gt;{{"2084228291" | translate}}&lt;/a&gt;&lt;/li&gt;</v>
      </c>
    </row>
    <row r="13" spans="1:8" ht="14.25" customHeight="1">
      <c r="A13" s="2">
        <v>24306</v>
      </c>
      <c r="B13" s="2" t="s">
        <v>1836</v>
      </c>
      <c r="C13" s="2" t="s">
        <v>1837</v>
      </c>
      <c r="D13" s="2" t="s">
        <v>1839</v>
      </c>
      <c r="E13" s="3" t="str">
        <f ca="1">IFERROR(__xludf.DUMMYFUNCTION("GOOGLETRANSLATE(B13,""ja"",""vi"")"),"Các loài cây thủy")</f>
        <v>Các loài cây thủy</v>
      </c>
      <c r="F13" s="3" t="str">
        <f ca="1">IFERROR(__xludf.DUMMYFUNCTION("GOOGLETRANSLATE(C13,""ja"",""vi"")"),"Đấu giá&gt; có thú nuôi, sinh vật&gt; cá, đời sống thủy sinh&gt; Cây nước")</f>
        <v>Đấu giá&gt; có thú nuôi, sinh vật&gt; cá, đời sống thủy sinh&gt; Cây nước</v>
      </c>
      <c r="G13" s="229" t="str">
        <f t="shared" ca="1" si="0"/>
        <v>"24306" : "Các loài cây thủy",</v>
      </c>
      <c r="H13" s="229" t="str">
        <f t="shared" si="1"/>
        <v>&lt;li class="col-md-3"&gt;&lt;a class="text-cut" href="javascript:;"(click)="categoryEvent(24306)"&gt;{{"24306" | translate}}&lt;/a&gt;&lt;/li&gt;</v>
      </c>
    </row>
    <row r="14" spans="1:8" ht="14.25" customHeight="1">
      <c r="A14" s="2">
        <v>24246</v>
      </c>
      <c r="B14" s="2" t="s">
        <v>1844</v>
      </c>
      <c r="C14" s="2" t="s">
        <v>1846</v>
      </c>
      <c r="D14" s="2" t="s">
        <v>1848</v>
      </c>
      <c r="E14" s="3" t="str">
        <f ca="1">IFERROR(__xludf.DUMMYFUNCTION("GOOGLETRANSLATE(B14,""ja"",""vi"")"),"Thực phẩm, vật tư chăn nuôi")</f>
        <v>Thực phẩm, vật tư chăn nuôi</v>
      </c>
      <c r="F14" s="3" t="str">
        <f ca="1">IFERROR(__xludf.DUMMYFUNCTION("GOOGLETRANSLATE(C14,""ja"",""vi"")"),"Đấu giá&gt; có thú nuôi, sinh vật&gt; cá, đời sống thủy sinh&gt; mồi, vật tư chăn nuôi")</f>
        <v>Đấu giá&gt; có thú nuôi, sinh vật&gt; cá, đời sống thủy sinh&gt; mồi, vật tư chăn nuôi</v>
      </c>
      <c r="G14" s="229" t="str">
        <f t="shared" ca="1" si="0"/>
        <v>"24246" : "Thực phẩm, vật tư chăn nuôi",</v>
      </c>
      <c r="H14" s="229" t="str">
        <f t="shared" si="1"/>
        <v>&lt;li class="col-md-3"&gt;&lt;a class="text-cut" href="javascript:;"(click)="categoryEvent(24246)"&gt;{{"24246" | translate}}&lt;/a&gt;&lt;/li&gt;</v>
      </c>
    </row>
    <row r="15" spans="1:8" ht="14.25" customHeight="1">
      <c r="A15" s="2">
        <v>2084055869</v>
      </c>
      <c r="B15" s="2" t="s">
        <v>16</v>
      </c>
      <c r="C15" s="2" t="s">
        <v>1852</v>
      </c>
      <c r="D15" s="2" t="s">
        <v>1854</v>
      </c>
      <c r="E15" s="3" t="str">
        <f ca="1">IFERROR(__xludf.DUMMYFUNCTION("GOOGLETRANSLATE(B15,""ja"",""vi"")"),"nếu không thì")</f>
        <v>nếu không thì</v>
      </c>
      <c r="F15" s="3" t="str">
        <f ca="1">IFERROR(__xludf.DUMMYFUNCTION("GOOGLETRANSLATE(C15,""ja"",""vi"")"),"Đấu giá&gt; có thú nuôi, sinh vật&gt; cá, đời sống thủy sinh&gt; Khác")</f>
        <v>Đấu giá&gt; có thú nuôi, sinh vật&gt; cá, đời sống thủy sinh&gt; Khác</v>
      </c>
      <c r="G15" s="229" t="str">
        <f t="shared" ca="1" si="0"/>
        <v>"2084055869" : "nếu không thì",</v>
      </c>
      <c r="H15" s="229" t="str">
        <f t="shared" si="1"/>
        <v>&lt;li class="col-md-3"&gt;&lt;a class="text-cut" href="javascript:;"(click)="categoryEvent(2084055869)"&gt;{{"2084055869" | translate}}&lt;/a&gt;&lt;/li&gt;</v>
      </c>
    </row>
    <row r="16" spans="1:8" ht="14.25" customHeight="1">
      <c r="E16" s="3"/>
      <c r="F16" s="3"/>
      <c r="G16" s="229"/>
      <c r="H16" s="229"/>
    </row>
    <row r="17" spans="1:8" ht="22.2" customHeight="1">
      <c r="A17" s="252">
        <v>2084055856</v>
      </c>
      <c r="B17" s="232"/>
      <c r="C17" s="232"/>
      <c r="D17" s="233"/>
      <c r="E17" s="3"/>
      <c r="F17" s="3"/>
      <c r="G17" s="229"/>
      <c r="H17" s="229"/>
    </row>
    <row r="18" spans="1:8" ht="14.25" customHeight="1">
      <c r="A18" s="2">
        <v>2084061397</v>
      </c>
      <c r="B18" s="2" t="s">
        <v>1862</v>
      </c>
      <c r="C18" s="2" t="s">
        <v>1863</v>
      </c>
      <c r="D18" s="2" t="s">
        <v>1864</v>
      </c>
      <c r="E18" s="3" t="str">
        <f ca="1">IFERROR(__xludf.DUMMYFUNCTION("GOOGLETRANSLATE(B18,""ja"",""vi"")"),"Beetle")</f>
        <v>Beetle</v>
      </c>
      <c r="F18" s="3" t="str">
        <f ca="1">IFERROR(__xludf.DUMMYFUNCTION("GOOGLETRANSLATE(C18,""ja"",""vi"")"),"Đấu giá&gt; có thú nuôi, sinh vật&gt; côn trùng&gt; bọ cánh cứng")</f>
        <v>Đấu giá&gt; có thú nuôi, sinh vật&gt; côn trùng&gt; bọ cánh cứng</v>
      </c>
      <c r="G18" s="229" t="str">
        <f t="shared" ca="1" si="0"/>
        <v>"2084061397" : "Beetle",</v>
      </c>
      <c r="H18" s="229" t="str">
        <f t="shared" si="1"/>
        <v>&lt;li class="col-md-3"&gt;&lt;a class="text-cut" href="javascript:;"(click)="categoryEvent(2084061397)"&gt;{{"2084061397" | translate}}&lt;/a&gt;&lt;/li&gt;</v>
      </c>
    </row>
    <row r="19" spans="1:8" ht="14.25" customHeight="1">
      <c r="A19" s="2">
        <v>2084061390</v>
      </c>
      <c r="B19" s="2" t="s">
        <v>1869</v>
      </c>
      <c r="C19" s="2" t="s">
        <v>1871</v>
      </c>
      <c r="D19" s="2" t="s">
        <v>1874</v>
      </c>
      <c r="E19" s="3" t="str">
        <f ca="1">IFERROR(__xludf.DUMMYFUNCTION("GOOGLETRANSLATE(B19,""ja"",""vi"")"),"nai")</f>
        <v>nai</v>
      </c>
      <c r="F19" s="3" t="str">
        <f ca="1">IFERROR(__xludf.DUMMYFUNCTION("GOOGLETRANSLATE(C19,""ja"",""vi"")"),"Đấu giá&gt; có thú nuôi, sinh vật&gt; côn trùng&gt; hươu")</f>
        <v>Đấu giá&gt; có thú nuôi, sinh vật&gt; côn trùng&gt; hươu</v>
      </c>
      <c r="G19" s="229" t="str">
        <f t="shared" ca="1" si="0"/>
        <v>"2084061390" : "nai",</v>
      </c>
      <c r="H19" s="229" t="str">
        <f t="shared" si="1"/>
        <v>&lt;li class="col-md-3"&gt;&lt;a class="text-cut" href="javascript:;"(click)="categoryEvent(2084061390)"&gt;{{"2084061390" | translate}}&lt;/a&gt;&lt;/li&gt;</v>
      </c>
    </row>
    <row r="20" spans="1:8" ht="14.25" customHeight="1">
      <c r="A20" s="2">
        <v>2084061389</v>
      </c>
      <c r="B20" s="2" t="s">
        <v>1876</v>
      </c>
      <c r="C20" s="2" t="s">
        <v>1877</v>
      </c>
      <c r="D20" s="2" t="s">
        <v>1879</v>
      </c>
      <c r="E20" s="3" t="str">
        <f ca="1">IFERROR(__xludf.DUMMYFUNCTION("GOOGLETRANSLATE(B20,""ja"",""vi"")"),"cua ẩn sĩ")</f>
        <v>cua ẩn sĩ</v>
      </c>
      <c r="F20" s="3" t="str">
        <f ca="1">IFERROR(__xludf.DUMMYFUNCTION("GOOGLETRANSLATE(C20,""ja"",""vi"")"),"Đấu giá&gt; có thú nuôi, sinh vật&gt; côn trùng&gt; cua ẩn sĩ")</f>
        <v>Đấu giá&gt; có thú nuôi, sinh vật&gt; côn trùng&gt; cua ẩn sĩ</v>
      </c>
      <c r="G20" s="229" t="str">
        <f t="shared" ca="1" si="0"/>
        <v>"2084061389" : "cua ẩn sĩ",</v>
      </c>
      <c r="H20" s="229" t="str">
        <f t="shared" si="1"/>
        <v>&lt;li class="col-md-3"&gt;&lt;a class="text-cut" href="javascript:;"(click)="categoryEvent(2084061389)"&gt;{{"2084061389" | translate}}&lt;/a&gt;&lt;/li&gt;</v>
      </c>
    </row>
    <row r="21" spans="1:8" ht="14.25" customHeight="1">
      <c r="A21" s="2">
        <v>2084061345</v>
      </c>
      <c r="B21" s="2" t="s">
        <v>1844</v>
      </c>
      <c r="C21" s="2" t="s">
        <v>1882</v>
      </c>
      <c r="D21" s="2" t="s">
        <v>1884</v>
      </c>
      <c r="E21" s="3" t="str">
        <f ca="1">IFERROR(__xludf.DUMMYFUNCTION("GOOGLETRANSLATE(B21,""ja"",""vi"")"),"Thực phẩm, vật tư chăn nuôi")</f>
        <v>Thực phẩm, vật tư chăn nuôi</v>
      </c>
      <c r="F21" s="3" t="str">
        <f ca="1">IFERROR(__xludf.DUMMYFUNCTION("GOOGLETRANSLATE(C21,""ja"",""vi"")"),"Đấu giá&gt; có thú nuôi, sinh vật&gt; côn trùng&gt; mồi, vật tư chăn nuôi")</f>
        <v>Đấu giá&gt; có thú nuôi, sinh vật&gt; côn trùng&gt; mồi, vật tư chăn nuôi</v>
      </c>
      <c r="G21" s="229" t="str">
        <f t="shared" ca="1" si="0"/>
        <v>"2084061345" : "Thực phẩm, vật tư chăn nuôi",</v>
      </c>
      <c r="H21" s="229" t="str">
        <f t="shared" si="1"/>
        <v>&lt;li class="col-md-3"&gt;&lt;a class="text-cut" href="javascript:;"(click)="categoryEvent(2084061345)"&gt;{{"2084061345" | translate}}&lt;/a&gt;&lt;/li&gt;</v>
      </c>
    </row>
    <row r="22" spans="1:8" ht="14.25" customHeight="1">
      <c r="A22" s="2">
        <v>2084061404</v>
      </c>
      <c r="B22" s="2" t="s">
        <v>16</v>
      </c>
      <c r="C22" s="2" t="s">
        <v>1890</v>
      </c>
      <c r="D22" s="2" t="s">
        <v>1891</v>
      </c>
      <c r="E22" s="3" t="str">
        <f ca="1">IFERROR(__xludf.DUMMYFUNCTION("GOOGLETRANSLATE(B22,""ja"",""vi"")"),"nếu không thì")</f>
        <v>nếu không thì</v>
      </c>
      <c r="F22" s="3" t="str">
        <f ca="1">IFERROR(__xludf.DUMMYFUNCTION("GOOGLETRANSLATE(C22,""ja"",""vi"")"),"Đấu giá&gt; có thú nuôi, sinh vật&gt; côn trùng&gt; Khác")</f>
        <v>Đấu giá&gt; có thú nuôi, sinh vật&gt; côn trùng&gt; Khác</v>
      </c>
      <c r="G22" s="229" t="str">
        <f t="shared" ca="1" si="0"/>
        <v>"2084061404" : "nếu không thì",</v>
      </c>
      <c r="H22" s="229" t="str">
        <f t="shared" si="1"/>
        <v>&lt;li class="col-md-3"&gt;&lt;a class="text-cut" href="javascript:;"(click)="categoryEvent(2084061404)"&gt;{{"2084061404" | translate}}&lt;/a&gt;&lt;/li&gt;</v>
      </c>
    </row>
    <row r="23" spans="1:8" ht="14.25" customHeight="1">
      <c r="E23" s="3"/>
      <c r="F23" s="3"/>
      <c r="G23" s="229"/>
      <c r="H23" s="229"/>
    </row>
    <row r="24" spans="1:8" ht="26.4" customHeight="1">
      <c r="A24" s="246">
        <v>2084055845</v>
      </c>
      <c r="B24" s="232"/>
      <c r="C24" s="232"/>
      <c r="D24" s="233"/>
      <c r="E24" s="3"/>
      <c r="F24" s="3"/>
      <c r="G24" s="229"/>
      <c r="H24" s="229"/>
    </row>
    <row r="25" spans="1:8" ht="14.25" customHeight="1">
      <c r="A25" s="2">
        <v>2084055854</v>
      </c>
      <c r="B25" s="2" t="s">
        <v>1904</v>
      </c>
      <c r="C25" s="2" t="s">
        <v>1905</v>
      </c>
      <c r="D25" s="2" t="s">
        <v>1906</v>
      </c>
      <c r="E25" s="3" t="str">
        <f ca="1">IFERROR(__xludf.DUMMYFUNCTION("GOOGLETRANSLATE(B25,""ja"",""vi"")"),"Newt, Salamander")</f>
        <v>Newt, Salamander</v>
      </c>
      <c r="F25" s="3" t="str">
        <f ca="1">IFERROR(__xludf.DUMMYFUNCTION("GOOGLETRANSLATE(C25,""ja"",""vi"")"),"Đấu giá&gt; có thú nuôi, sinh vật&gt; động vật lưỡng cư&gt; Newt, Salamander")</f>
        <v>Đấu giá&gt; có thú nuôi, sinh vật&gt; động vật lưỡng cư&gt; Newt, Salamander</v>
      </c>
      <c r="G25" s="229" t="str">
        <f t="shared" ca="1" si="0"/>
        <v>"2084055854" : "Newt, Salamander",</v>
      </c>
      <c r="H25" s="229" t="str">
        <f t="shared" si="1"/>
        <v>&lt;li class="col-md-3"&gt;&lt;a class="text-cut" href="javascript:;"(click)="categoryEvent(2084055854)"&gt;{{"2084055854" | translate}}&lt;/a&gt;&lt;/li&gt;</v>
      </c>
    </row>
    <row r="26" spans="1:8" ht="14.25" customHeight="1">
      <c r="A26" s="2">
        <v>2084055853</v>
      </c>
      <c r="B26" s="2" t="s">
        <v>1909</v>
      </c>
      <c r="C26" s="2" t="s">
        <v>1910</v>
      </c>
      <c r="D26" s="2" t="s">
        <v>1911</v>
      </c>
      <c r="E26" s="3" t="str">
        <f ca="1">IFERROR(__xludf.DUMMYFUNCTION("GOOGLETRANSLATE(B26,""ja"",""vi"")"),"con ếch")</f>
        <v>con ếch</v>
      </c>
      <c r="F26" s="3" t="str">
        <f ca="1">IFERROR(__xludf.DUMMYFUNCTION("GOOGLETRANSLATE(C26,""ja"",""vi"")"),"Đấu giá&gt; có thú nuôi, sinh vật&gt; động vật lưỡng cư&gt; ếch")</f>
        <v>Đấu giá&gt; có thú nuôi, sinh vật&gt; động vật lưỡng cư&gt; ếch</v>
      </c>
      <c r="G26" s="229" t="str">
        <f t="shared" ca="1" si="0"/>
        <v>"2084055853" : "con ếch",</v>
      </c>
      <c r="H26" s="229" t="str">
        <f t="shared" si="1"/>
        <v>&lt;li class="col-md-3"&gt;&lt;a class="text-cut" href="javascript:;"(click)="categoryEvent(2084055853)"&gt;{{"2084055853" | translate}}&lt;/a&gt;&lt;/li&gt;</v>
      </c>
    </row>
    <row r="27" spans="1:8" ht="14.25" customHeight="1">
      <c r="A27" s="2">
        <v>2084047553</v>
      </c>
      <c r="B27" s="2" t="s">
        <v>1844</v>
      </c>
      <c r="C27" s="2" t="s">
        <v>1917</v>
      </c>
      <c r="D27" s="2" t="s">
        <v>1918</v>
      </c>
      <c r="E27" s="3" t="str">
        <f ca="1">IFERROR(__xludf.DUMMYFUNCTION("GOOGLETRANSLATE(B27,""ja"",""vi"")"),"Thực phẩm, vật tư chăn nuôi")</f>
        <v>Thực phẩm, vật tư chăn nuôi</v>
      </c>
      <c r="F27" s="3" t="str">
        <f ca="1">IFERROR(__xludf.DUMMYFUNCTION("GOOGLETRANSLATE(C27,""ja"",""vi"")"),"Đấu giá&gt; có thú nuôi, sinh vật&gt; động vật lưỡng cư&gt; mồi, vật tư chăn nuôi")</f>
        <v>Đấu giá&gt; có thú nuôi, sinh vật&gt; động vật lưỡng cư&gt; mồi, vật tư chăn nuôi</v>
      </c>
      <c r="G27" s="229" t="str">
        <f t="shared" ca="1" si="0"/>
        <v>"2084047553" : "Thực phẩm, vật tư chăn nuôi",</v>
      </c>
      <c r="H27" s="229" t="str">
        <f t="shared" si="1"/>
        <v>&lt;li class="col-md-3"&gt;&lt;a class="text-cut" href="javascript:;"(click)="categoryEvent(2084047553)"&gt;{{"2084047553" | translate}}&lt;/a&gt;&lt;/li&gt;</v>
      </c>
    </row>
    <row r="28" spans="1:8" ht="14.25" customHeight="1">
      <c r="A28" s="2">
        <v>2084055855</v>
      </c>
      <c r="B28" s="2" t="s">
        <v>16</v>
      </c>
      <c r="C28" s="2" t="s">
        <v>1922</v>
      </c>
      <c r="D28" s="2" t="s">
        <v>1924</v>
      </c>
      <c r="E28" s="3" t="str">
        <f ca="1">IFERROR(__xludf.DUMMYFUNCTION("GOOGLETRANSLATE(B28,""ja"",""vi"")"),"nếu không thì")</f>
        <v>nếu không thì</v>
      </c>
      <c r="F28" s="3" t="str">
        <f ca="1">IFERROR(__xludf.DUMMYFUNCTION("GOOGLETRANSLATE(C28,""ja"",""vi"")"),"Đấu giá&gt; có thú nuôi, sinh vật&gt; động vật lưỡng cư&gt; Khác")</f>
        <v>Đấu giá&gt; có thú nuôi, sinh vật&gt; động vật lưỡng cư&gt; Khác</v>
      </c>
      <c r="G28" s="229" t="str">
        <f t="shared" ca="1" si="0"/>
        <v>"2084055855" : "nếu không thì",</v>
      </c>
      <c r="H28" s="229" t="str">
        <f t="shared" si="1"/>
        <v>&lt;li class="col-md-3"&gt;&lt;a class="text-cut" href="javascript:;"(click)="categoryEvent(2084055855)"&gt;{{"2084055855" | translate}}&lt;/a&gt;&lt;/li&gt;</v>
      </c>
    </row>
    <row r="29" spans="1:8" ht="14.25" customHeight="1">
      <c r="E29" s="3"/>
      <c r="F29" s="3"/>
      <c r="G29" s="229"/>
      <c r="H29" s="229"/>
    </row>
    <row r="30" spans="1:8" ht="33.6" customHeight="1">
      <c r="A30" s="261">
        <v>24534</v>
      </c>
      <c r="B30" s="232"/>
      <c r="C30" s="232"/>
      <c r="D30" s="233"/>
      <c r="E30" s="3"/>
      <c r="F30" s="3"/>
      <c r="G30" s="229"/>
      <c r="H30" s="229"/>
    </row>
    <row r="31" spans="1:8" ht="14.25" customHeight="1">
      <c r="A31" s="2">
        <v>2084008190</v>
      </c>
      <c r="B31" s="2" t="s">
        <v>1941</v>
      </c>
      <c r="C31" s="2" t="s">
        <v>1942</v>
      </c>
      <c r="D31" s="2" t="s">
        <v>1945</v>
      </c>
      <c r="E31" s="3" t="str">
        <f ca="1">IFERROR(__xludf.DUMMYFUNCTION("GOOGLETRANSLATE(B31,""ja"",""vi"")"),"chó")</f>
        <v>chó</v>
      </c>
      <c r="F31" s="3" t="str">
        <f ca="1">IFERROR(__xludf.DUMMYFUNCTION("GOOGLETRANSLATE(C31,""ja"",""vi"")"),"Đấu giá&gt; nhà, nội thất&gt; Đồ Pet&gt; Chó")</f>
        <v>Đấu giá&gt; nhà, nội thất&gt; Đồ Pet&gt; Chó</v>
      </c>
      <c r="G31" s="229" t="str">
        <f t="shared" ca="1" si="0"/>
        <v>"2084008190" : "chó",</v>
      </c>
      <c r="H31" s="229" t="str">
        <f t="shared" si="1"/>
        <v>&lt;li class="col-md-3"&gt;&lt;a class="text-cut" href="javascript:;"(click)="categoryEvent(2084008190)"&gt;{{"2084008190" | translate}}&lt;/a&gt;&lt;/li&gt;</v>
      </c>
    </row>
    <row r="32" spans="1:8" ht="14.25" customHeight="1">
      <c r="A32" s="2">
        <v>2084008191</v>
      </c>
      <c r="B32" s="2" t="s">
        <v>1950</v>
      </c>
      <c r="C32" s="2" t="s">
        <v>1951</v>
      </c>
      <c r="D32" s="2" t="s">
        <v>1952</v>
      </c>
      <c r="E32" s="3" t="str">
        <f ca="1">IFERROR(__xludf.DUMMYFUNCTION("GOOGLETRANSLATE(B32,""ja"",""vi"")"),"con mèo")</f>
        <v>con mèo</v>
      </c>
      <c r="F32" s="3" t="str">
        <f ca="1">IFERROR(__xludf.DUMMYFUNCTION("GOOGLETRANSLATE(C32,""ja"",""vi"")"),"Đấu giá&gt; nhà, nội thất&gt; Đồ Pet&gt; mèo")</f>
        <v>Đấu giá&gt; nhà, nội thất&gt; Đồ Pet&gt; mèo</v>
      </c>
      <c r="G32" s="229" t="str">
        <f t="shared" ca="1" si="0"/>
        <v>"2084008191" : "con mèo",</v>
      </c>
      <c r="H32" s="229" t="str">
        <f t="shared" si="1"/>
        <v>&lt;li class="col-md-3"&gt;&lt;a class="text-cut" href="javascript:;"(click)="categoryEvent(2084008191)"&gt;{{"2084008191" | translate}}&lt;/a&gt;&lt;/li&gt;</v>
      </c>
    </row>
    <row r="33" spans="1:8" ht="14.25" customHeight="1">
      <c r="A33" s="2">
        <v>2084008192</v>
      </c>
      <c r="B33" s="2" t="s">
        <v>1955</v>
      </c>
      <c r="C33" s="2" t="s">
        <v>1957</v>
      </c>
      <c r="D33" s="2" t="s">
        <v>1961</v>
      </c>
      <c r="E33" s="3" t="str">
        <f ca="1">IFERROR(__xludf.DUMMYFUNCTION("GOOGLETRANSLATE(B33,""ja"",""vi"")"),"động vật nhỏ")</f>
        <v>động vật nhỏ</v>
      </c>
      <c r="F33" s="3" t="str">
        <f ca="1">IFERROR(__xludf.DUMMYFUNCTION("GOOGLETRANSLATE(C33,""ja"",""vi"")"),"Đấu giá&gt; nhà, nội thất&gt; Đồ Pet&gt; Loài vật nhỏ")</f>
        <v>Đấu giá&gt; nhà, nội thất&gt; Đồ Pet&gt; Loài vật nhỏ</v>
      </c>
      <c r="G33" s="229" t="str">
        <f t="shared" ca="1" si="0"/>
        <v>"2084008192" : "động vật nhỏ",</v>
      </c>
      <c r="H33" s="229" t="str">
        <f t="shared" si="1"/>
        <v>&lt;li class="col-md-3"&gt;&lt;a class="text-cut" href="javascript:;"(click)="categoryEvent(2084008192)"&gt;{{"2084008192" | translate}}&lt;/a&gt;&lt;/li&gt;</v>
      </c>
    </row>
    <row r="34" spans="1:8" ht="14.25" customHeight="1">
      <c r="A34" s="2">
        <v>2084008193</v>
      </c>
      <c r="B34" s="2" t="s">
        <v>1968</v>
      </c>
      <c r="C34" s="2" t="s">
        <v>1971</v>
      </c>
      <c r="D34" s="2" t="s">
        <v>1973</v>
      </c>
      <c r="E34" s="3" t="str">
        <f ca="1">IFERROR(__xludf.DUMMYFUNCTION("GOOGLETRANSLATE(B34,""ja"",""vi"")"),"chim")</f>
        <v>chim</v>
      </c>
      <c r="F34" s="3" t="str">
        <f ca="1">IFERROR(__xludf.DUMMYFUNCTION("GOOGLETRANSLATE(C34,""ja"",""vi"")"),"Đấu giá&gt; nhà, nội thất&gt; Đồ Pet&gt; chim")</f>
        <v>Đấu giá&gt; nhà, nội thất&gt; Đồ Pet&gt; chim</v>
      </c>
      <c r="G34" s="229" t="str">
        <f t="shared" ca="1" si="0"/>
        <v>"2084008193" : "chim",</v>
      </c>
      <c r="H34" s="229" t="str">
        <f t="shared" si="1"/>
        <v>&lt;li class="col-md-3"&gt;&lt;a class="text-cut" href="javascript:;"(click)="categoryEvent(2084008193)"&gt;{{"2084008193" | translate}}&lt;/a&gt;&lt;/li&gt;</v>
      </c>
    </row>
    <row r="35" spans="1:8" ht="14.25" customHeight="1">
      <c r="A35" s="2">
        <v>24246</v>
      </c>
      <c r="B35" s="2" t="s">
        <v>1980</v>
      </c>
      <c r="C35" s="2" t="s">
        <v>1983</v>
      </c>
      <c r="D35" s="2" t="s">
        <v>1985</v>
      </c>
      <c r="E35" s="3" t="str">
        <f ca="1">IFERROR(__xludf.DUMMYFUNCTION("GOOGLETRANSLATE(B35,""ja"",""vi"")"),", Nhà máy nước cá")</f>
        <v>, Nhà máy nước cá</v>
      </c>
      <c r="F35" s="3" t="str">
        <f ca="1">IFERROR(__xludf.DUMMYFUNCTION("GOOGLETRANSLATE(C35,""ja"",""vi"")"),"Đấu giá&gt; nhà, nội thất&gt; Đồ Pet&gt; cá, nhà máy nước")</f>
        <v>Đấu giá&gt; nhà, nội thất&gt; Đồ Pet&gt; cá, nhà máy nước</v>
      </c>
      <c r="G35" s="229" t="str">
        <f t="shared" ca="1" si="0"/>
        <v>"24246" : ", Nhà máy nước cá",</v>
      </c>
      <c r="H35" s="229" t="str">
        <f t="shared" si="1"/>
        <v>&lt;li class="col-md-3"&gt;&lt;a class="text-cut" href="javascript:;"(click)="categoryEvent(24246)"&gt;{{"24246" | translate}}&lt;/a&gt;&lt;/li&gt;</v>
      </c>
    </row>
    <row r="36" spans="1:8" ht="14.25" customHeight="1">
      <c r="A36" s="2">
        <v>2084047553</v>
      </c>
      <c r="B36" s="2" t="s">
        <v>1989</v>
      </c>
      <c r="C36" s="2" t="s">
        <v>1990</v>
      </c>
      <c r="D36" s="2" t="s">
        <v>1993</v>
      </c>
      <c r="E36" s="3" t="str">
        <f ca="1">IFERROR(__xludf.DUMMYFUNCTION("GOOGLETRANSLATE(B36,""ja"",""vi"")"),"Bò sát, lưỡng cư nguồn cung cấp")</f>
        <v>Bò sát, lưỡng cư nguồn cung cấp</v>
      </c>
      <c r="F36" s="3" t="str">
        <f ca="1">IFERROR(__xludf.DUMMYFUNCTION("GOOGLETRANSLATE(C36,""ja"",""vi"")"),"Đấu giá&gt; nhà, nội thất&gt; Đồ Pet&gt; bò sát, lưỡng cư nguồn cung cấp")</f>
        <v>Đấu giá&gt; nhà, nội thất&gt; Đồ Pet&gt; bò sát, lưỡng cư nguồn cung cấp</v>
      </c>
      <c r="G36" s="229" t="str">
        <f t="shared" ca="1" si="0"/>
        <v>"2084047553" : "Bò sát, lưỡng cư nguồn cung cấp",</v>
      </c>
      <c r="H36" s="229" t="str">
        <f t="shared" si="1"/>
        <v>&lt;li class="col-md-3"&gt;&lt;a class="text-cut" href="javascript:;"(click)="categoryEvent(2084047553)"&gt;{{"2084047553" | translate}}&lt;/a&gt;&lt;/li&gt;</v>
      </c>
    </row>
    <row r="37" spans="1:8" ht="14.25" customHeight="1">
      <c r="A37" s="2">
        <v>2084061345</v>
      </c>
      <c r="B37" s="2" t="s">
        <v>1764</v>
      </c>
      <c r="C37" s="2" t="s">
        <v>1998</v>
      </c>
      <c r="D37" s="2" t="s">
        <v>1999</v>
      </c>
      <c r="E37" s="3" t="str">
        <f ca="1">IFERROR(__xludf.DUMMYFUNCTION("GOOGLETRANSLATE(B37,""ja"",""vi"")"),"Côn trùng")</f>
        <v>Côn trùng</v>
      </c>
      <c r="F37" s="3" t="str">
        <f ca="1">IFERROR(__xludf.DUMMYFUNCTION("GOOGLETRANSLATE(C37,""ja"",""vi"")"),"Đấu giá&gt; nhà, nội thất&gt; Đồ Pet&gt; côn trùng")</f>
        <v>Đấu giá&gt; nhà, nội thất&gt; Đồ Pet&gt; côn trùng</v>
      </c>
      <c r="G37" s="229" t="str">
        <f t="shared" ca="1" si="0"/>
        <v>"2084061345" : "Côn trùng",</v>
      </c>
      <c r="H37" s="229" t="str">
        <f t="shared" si="1"/>
        <v>&lt;li class="col-md-3"&gt;&lt;a class="text-cut" href="javascript:;"(click)="categoryEvent(2084061345)"&gt;{{"2084061345" | translate}}&lt;/a&gt;&lt;/li&gt;</v>
      </c>
    </row>
    <row r="38" spans="1:8" ht="14.25" customHeight="1">
      <c r="A38" s="2">
        <v>24538</v>
      </c>
      <c r="B38" s="2" t="s">
        <v>2003</v>
      </c>
      <c r="C38" s="2" t="s">
        <v>2005</v>
      </c>
      <c r="D38" s="2" t="s">
        <v>2008</v>
      </c>
      <c r="E38" s="3" t="str">
        <f ca="1">IFERROR(__xludf.DUMMYFUNCTION("GOOGLETRANSLATE(B38,""ja"",""vi"")"),"Cage, lồng")</f>
        <v>Cage, lồng</v>
      </c>
      <c r="F38" s="3" t="str">
        <f ca="1">IFERROR(__xludf.DUMMYFUNCTION("GOOGLETRANSLATE(C38,""ja"",""vi"")"),"Đấu giá&gt; nhà, nội thất&gt; Đồ Pet&gt; lồng, lồng")</f>
        <v>Đấu giá&gt; nhà, nội thất&gt; Đồ Pet&gt; lồng, lồng</v>
      </c>
      <c r="G38" s="229" t="str">
        <f t="shared" ca="1" si="0"/>
        <v>"24538" : "Cage, lồng",</v>
      </c>
      <c r="H38" s="229" t="str">
        <f t="shared" si="1"/>
        <v>&lt;li class="col-md-3"&gt;&lt;a class="text-cut" href="javascript:;"(click)="categoryEvent(24538)"&gt;{{"24538" | translate}}&lt;/a&gt;&lt;/li&gt;</v>
      </c>
    </row>
    <row r="39" spans="1:8" ht="14.25" customHeight="1">
      <c r="A39" s="2">
        <v>24542</v>
      </c>
      <c r="B39" s="2" t="s">
        <v>2012</v>
      </c>
      <c r="C39" s="2" t="s">
        <v>2013</v>
      </c>
      <c r="D39" s="2" t="s">
        <v>2014</v>
      </c>
      <c r="E39" s="3" t="str">
        <f ca="1">IFERROR(__xludf.DUMMYFUNCTION("GOOGLETRANSLATE(B39,""ja"",""vi"")"),"thức ăn vật nuôi")</f>
        <v>thức ăn vật nuôi</v>
      </c>
      <c r="F39" s="3" t="str">
        <f ca="1">IFERROR(__xludf.DUMMYFUNCTION("GOOGLETRANSLATE(C39,""ja"",""vi"")"),"Đấu giá&gt; nhà, nội thất&gt; Đồ Pet&gt; Pet Food")</f>
        <v>Đấu giá&gt; nhà, nội thất&gt; Đồ Pet&gt; Pet Food</v>
      </c>
      <c r="G39" s="229" t="str">
        <f t="shared" ca="1" si="0"/>
        <v>"24542" : "thức ăn vật nuôi",</v>
      </c>
      <c r="H39" s="229" t="str">
        <f t="shared" si="1"/>
        <v>&lt;li class="col-md-3"&gt;&lt;a class="text-cut" href="javascript:;"(click)="categoryEvent(24542)"&gt;{{"24542" | translate}}&lt;/a&gt;&lt;/li&gt;</v>
      </c>
    </row>
    <row r="40" spans="1:8" ht="14.25" customHeight="1">
      <c r="A40" s="2">
        <v>2084008884</v>
      </c>
      <c r="B40" s="2" t="s">
        <v>162</v>
      </c>
      <c r="C40" s="2" t="s">
        <v>2018</v>
      </c>
      <c r="D40" s="2" t="s">
        <v>2019</v>
      </c>
      <c r="E40" s="3" t="str">
        <f ca="1">IFERROR(__xludf.DUMMYFUNCTION("GOOGLETRANSLATE(B40,""ja"",""vi"")"),"Sách, tạp chí")</f>
        <v>Sách, tạp chí</v>
      </c>
      <c r="F40" s="3" t="str">
        <f ca="1">IFERROR(__xludf.DUMMYFUNCTION("GOOGLETRANSLATE(C40,""ja"",""vi"")"),"Đấu giá&gt; nhà, Đồ nội thất&gt; Pet&gt; Sách, tạp chí")</f>
        <v>Đấu giá&gt; nhà, Đồ nội thất&gt; Pet&gt; Sách, tạp chí</v>
      </c>
      <c r="G40" s="229" t="str">
        <f t="shared" ca="1" si="0"/>
        <v>"2084008884" : "Sách, tạp chí",</v>
      </c>
      <c r="H40" s="229" t="str">
        <f t="shared" si="1"/>
        <v>&lt;li class="col-md-3"&gt;&lt;a class="text-cut" href="javascript:;"(click)="categoryEvent(2084008884)"&gt;{{"2084008884" | translate}}&lt;/a&gt;&lt;/li&gt;</v>
      </c>
    </row>
    <row r="41" spans="1:8" ht="14.25" customHeight="1">
      <c r="A41" s="2">
        <v>24546</v>
      </c>
      <c r="B41" s="2" t="s">
        <v>16</v>
      </c>
      <c r="C41" s="2" t="s">
        <v>2023</v>
      </c>
      <c r="D41" s="2" t="s">
        <v>2026</v>
      </c>
      <c r="E41" s="3" t="str">
        <f ca="1">IFERROR(__xludf.DUMMYFUNCTION("GOOGLETRANSLATE(B41,""ja"",""vi"")"),"nếu không thì")</f>
        <v>nếu không thì</v>
      </c>
      <c r="F41" s="3" t="str">
        <f ca="1">IFERROR(__xludf.DUMMYFUNCTION("GOOGLETRANSLATE(C41,""ja"",""vi"")"),"Đấu giá&gt; nhà, nội thất&gt; Đồ Pet&gt; Khác")</f>
        <v>Đấu giá&gt; nhà, nội thất&gt; Đồ Pet&gt; Khác</v>
      </c>
      <c r="G41" s="229" t="str">
        <f t="shared" ca="1" si="0"/>
        <v>"24546" : "nếu không thì",</v>
      </c>
      <c r="H41" s="229" t="str">
        <f t="shared" si="1"/>
        <v>&lt;li class="col-md-3"&gt;&lt;a class="text-cut" href="javascript:;"(click)="categoryEvent(24546)"&gt;{{"24546" | translate}}&lt;/a&gt;&lt;/li&gt;</v>
      </c>
    </row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7:D7"/>
    <mergeCell ref="A17:D17"/>
    <mergeCell ref="A24:D24"/>
    <mergeCell ref="A30:D30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0.69921875" customWidth="1"/>
    <col min="2" max="2" width="13.8984375" customWidth="1"/>
    <col min="3" max="3" width="30.3984375" customWidth="1"/>
    <col min="4" max="4" width="18" customWidth="1"/>
    <col min="5" max="5" width="13.5" customWidth="1"/>
    <col min="6" max="6" width="38.296875" customWidth="1"/>
    <col min="7" max="7" width="23.796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42168</v>
      </c>
      <c r="B2" s="2" t="s">
        <v>2035</v>
      </c>
      <c r="C2" s="2" t="s">
        <v>2036</v>
      </c>
      <c r="D2" s="2" t="s">
        <v>2037</v>
      </c>
      <c r="E2" s="3" t="str">
        <f ca="1">IFERROR(__xludf.DUMMYFUNCTION("GOOGLETRANSLATE(B2,""ja"",""vi"")"),"Nhà bếp, bộ đồ ăn")</f>
        <v>Nhà bếp, bộ đồ ăn</v>
      </c>
      <c r="F2" s="3" t="str">
        <f ca="1">IFERROR(__xludf.DUMMYFUNCTION("GOOGLETRANSLATE(C2,""ja"",""vi"")"),"Đấu giá&gt; nhà, nội thất&gt; bếp, bộ đồ ăn")</f>
        <v>Đấu giá&gt; nhà, nội thất&gt; bếp, bộ đồ ăn</v>
      </c>
      <c r="G2" s="229" t="str">
        <f ca="1">CONCATENATE(CHAR(34)&amp;"",A2,""&amp;CHAR(34)," : ", CHAR(34)&amp;"",E2,""&amp;CHAR(34),",")</f>
        <v>"42168" : "Nhà bếp, bộ đồ ăn",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href="javascript:;"(click)="categoryEvent(42168)"&gt;{{"42168" | translate}}&lt;/a&gt;&lt;/li&gt;</v>
      </c>
    </row>
    <row r="3" spans="1:8" ht="14.25" customHeight="1">
      <c r="A3" s="4">
        <v>42160</v>
      </c>
      <c r="B3" s="4" t="s">
        <v>2041</v>
      </c>
      <c r="C3" s="4" t="s">
        <v>2042</v>
      </c>
      <c r="D3" s="4" t="s">
        <v>2043</v>
      </c>
      <c r="E3" s="3" t="str">
        <f ca="1">IFERROR(__xludf.DUMMYFUNCTION("GOOGLETRANSLATE(B3,""ja"",""vi"")"),"hàng gia dụng")</f>
        <v>hàng gia dụng</v>
      </c>
      <c r="F3" s="3" t="str">
        <f ca="1">IFERROR(__xludf.DUMMYFUNCTION("GOOGLETRANSLATE(C3,""ja"",""vi"")"),"Đấu giá&gt; nhà, nội thất&gt; hàng gia dụng")</f>
        <v>Đấu giá&gt; nhà, nội thất&gt; hàng gia dụng</v>
      </c>
      <c r="G3" s="229" t="str">
        <f t="shared" ref="G3:G66" ca="1" si="0">CONCATENATE(CHAR(34)&amp;"",A3,""&amp;CHAR(34)," : ", CHAR(34)&amp;"",E3,""&amp;CHAR(34),",")</f>
        <v>"42160" : "hàng gia dụng",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href="javascript:;"(click)="categoryEvent(42160)"&gt;{{"42160" | translate}}&lt;/a&gt;&lt;/li&gt;</v>
      </c>
    </row>
    <row r="4" spans="1:8" ht="14.25" customHeight="1">
      <c r="A4" s="5">
        <v>2084288099</v>
      </c>
      <c r="B4" s="5" t="s">
        <v>2047</v>
      </c>
      <c r="C4" s="5" t="s">
        <v>2048</v>
      </c>
      <c r="D4" s="5" t="s">
        <v>2049</v>
      </c>
      <c r="E4" s="3" t="str">
        <f ca="1">IFERROR(__xludf.DUMMYFUNCTION("GOOGLETRANSLATE(B4,""ja"",""vi"")"),"lưu trữ")</f>
        <v>lưu trữ</v>
      </c>
      <c r="F4" s="3" t="str">
        <f ca="1">IFERROR(__xludf.DUMMYFUNCTION("GOOGLETRANSLATE(C4,""ja"",""vi"")"),"Đấu giá&gt; nhà, nội thất&gt; lưu trữ")</f>
        <v>Đấu giá&gt; nhà, nội thất&gt; lưu trữ</v>
      </c>
      <c r="G4" s="229" t="str">
        <f t="shared" ca="1" si="0"/>
        <v>"2084288099" : "lưu trữ",</v>
      </c>
      <c r="H4" s="229" t="str">
        <f t="shared" si="1"/>
        <v>&lt;li class="col-md-3"&gt;&lt;a class="text-cut" href="javascript:;"(click)="categoryEvent(2084288099)"&gt;{{"2084288099" | translate}}&lt;/a&gt;&lt;/li&gt;</v>
      </c>
    </row>
    <row r="5" spans="1:8" ht="14.25" customHeight="1">
      <c r="A5" s="8">
        <v>24230</v>
      </c>
      <c r="B5" s="8" t="s">
        <v>2053</v>
      </c>
      <c r="C5" s="8" t="s">
        <v>2054</v>
      </c>
      <c r="D5" s="8" t="s">
        <v>2055</v>
      </c>
      <c r="E5" s="3" t="str">
        <f ca="1">IFERROR(__xludf.DUMMYFUNCTION("GOOGLETRANSLATE(B5,""ja"",""vi"")"),"Nội thất, trang trí nội thất")</f>
        <v>Nội thất, trang trí nội thất</v>
      </c>
      <c r="F5" s="3" t="str">
        <f ca="1">IFERROR(__xludf.DUMMYFUNCTION("GOOGLETRANSLATE(C5,""ja"",""vi"")"),"Đấu giá&gt; nhà, nội thất&gt; nội thất, nội thất")</f>
        <v>Đấu giá&gt; nhà, nội thất&gt; nội thất, nội thất</v>
      </c>
      <c r="G5" s="229" t="str">
        <f t="shared" ca="1" si="0"/>
        <v>"24230" : "Nội thất, trang trí nội thất",</v>
      </c>
      <c r="H5" s="229" t="str">
        <f t="shared" si="1"/>
        <v>&lt;li class="col-md-3"&gt;&lt;a class="text-cut" href="javascript:;"(click)="categoryEvent(24230)"&gt;{{"24230" | translate}}&lt;/a&gt;&lt;/li&gt;</v>
      </c>
    </row>
    <row r="6" spans="1:8" ht="14.25" customHeight="1">
      <c r="A6" s="6">
        <v>2084240626</v>
      </c>
      <c r="B6" s="6" t="s">
        <v>2057</v>
      </c>
      <c r="C6" s="6" t="s">
        <v>2058</v>
      </c>
      <c r="D6" s="6" t="s">
        <v>2060</v>
      </c>
      <c r="E6" s="3" t="str">
        <f ca="1">IFERROR(__xludf.DUMMYFUNCTION("GOOGLETRANSLATE(B6,""ja"",""vi"")"),"công việc thủ công")</f>
        <v>công việc thủ công</v>
      </c>
      <c r="F6" s="3" t="str">
        <f ca="1">IFERROR(__xludf.DUMMYFUNCTION("GOOGLETRANSLATE(C6,""ja"",""vi"")"),"Đấu giá&gt; nhà, nội thất&gt; công việc thủ công")</f>
        <v>Đấu giá&gt; nhà, nội thất&gt; công việc thủ công</v>
      </c>
      <c r="G6" s="229" t="str">
        <f t="shared" ca="1" si="0"/>
        <v>"2084240626" : "công việc thủ công",</v>
      </c>
      <c r="H6" s="229" t="str">
        <f t="shared" si="1"/>
        <v>&lt;li class="col-md-3"&gt;&lt;a class="text-cut" href="javascript:;"(click)="categoryEvent(2084240626)"&gt;{{"2084240626" | translate}}&lt;/a&gt;&lt;/li&gt;</v>
      </c>
    </row>
    <row r="7" spans="1:8" ht="14.25" customHeight="1">
      <c r="A7" s="9">
        <v>24642</v>
      </c>
      <c r="B7" s="9" t="s">
        <v>2062</v>
      </c>
      <c r="C7" s="9" t="s">
        <v>2064</v>
      </c>
      <c r="D7" s="9" t="s">
        <v>2066</v>
      </c>
      <c r="E7" s="3" t="str">
        <f ca="1">IFERROR(__xludf.DUMMYFUNCTION("GOOGLETRANSLATE(B7,""ja"",""vi"")"),"Công cụ, vật tư DIY")</f>
        <v>Công cụ, vật tư DIY</v>
      </c>
      <c r="F7" s="3" t="str">
        <f ca="1">IFERROR(__xludf.DUMMYFUNCTION("GOOGLETRANSLATE(C7,""ja"",""vi"")"),"Đấu giá&gt; nhà, nội thất&gt; công cụ, vật tư DIY")</f>
        <v>Đấu giá&gt; nhà, nội thất&gt; công cụ, vật tư DIY</v>
      </c>
      <c r="G7" s="229" t="str">
        <f t="shared" ca="1" si="0"/>
        <v>"24642" : "Công cụ, vật tư DIY",</v>
      </c>
      <c r="H7" s="229" t="str">
        <f t="shared" si="1"/>
        <v>&lt;li class="col-md-3"&gt;&lt;a class="text-cut" href="javascript:;"(click)="categoryEvent(24642)"&gt;{{"24642" | translate}}&lt;/a&gt;&lt;/li&gt;</v>
      </c>
    </row>
    <row r="8" spans="1:8" ht="14.25" customHeight="1">
      <c r="A8" s="7">
        <v>2084042017</v>
      </c>
      <c r="B8" s="7" t="s">
        <v>2067</v>
      </c>
      <c r="C8" s="7" t="s">
        <v>2069</v>
      </c>
      <c r="D8" s="7" t="s">
        <v>2070</v>
      </c>
      <c r="E8" s="3" t="str">
        <f ca="1">IFERROR(__xludf.DUMMYFUNCTION("GOOGLETRANSLATE(B8,""ja"",""vi"")"),"Kinh doanh vật liệu xây dựng")</f>
        <v>Kinh doanh vật liệu xây dựng</v>
      </c>
      <c r="F8" s="3" t="str">
        <f ca="1">IFERROR(__xludf.DUMMYFUNCTION("GOOGLETRANSLATE(C8,""ja"",""vi"")"),"Đấu giá&gt; nhà, nội thất&gt; kinh doanh vật liệu xây dựng")</f>
        <v>Đấu giá&gt; nhà, nội thất&gt; kinh doanh vật liệu xây dựng</v>
      </c>
      <c r="G8" s="229" t="str">
        <f t="shared" ca="1" si="0"/>
        <v>"2084042017" : "Kinh doanh vật liệu xây dựng",</v>
      </c>
      <c r="H8" s="229" t="str">
        <f t="shared" si="1"/>
        <v>&lt;li class="col-md-3"&gt;&lt;a class="text-cut" href="javascript:;"(click)="categoryEvent(2084042017)"&gt;{{"2084042017" | translate}}&lt;/a&gt;&lt;/li&gt;</v>
      </c>
    </row>
    <row r="9" spans="1:8" ht="14.25" customHeight="1">
      <c r="A9" s="41">
        <v>24466</v>
      </c>
      <c r="B9" s="41" t="s">
        <v>2073</v>
      </c>
      <c r="C9" s="41" t="s">
        <v>2074</v>
      </c>
      <c r="D9" s="41" t="s">
        <v>2075</v>
      </c>
      <c r="E9" s="3" t="str">
        <f ca="1">IFERROR(__xludf.DUMMYFUNCTION("GOOGLETRANSLATE(B9,""ja"",""vi"")"),"thiết bị điện")</f>
        <v>thiết bị điện</v>
      </c>
      <c r="F9" s="3" t="str">
        <f ca="1">IFERROR(__xludf.DUMMYFUNCTION("GOOGLETRANSLATE(C9,""ja"",""vi"")"),"Đấu giá&gt; nhà, nội thất&gt; thiết bị")</f>
        <v>Đấu giá&gt; nhà, nội thất&gt; thiết bị</v>
      </c>
      <c r="G9" s="229" t="str">
        <f t="shared" ca="1" si="0"/>
        <v>"24466" : "thiết bị điện",</v>
      </c>
      <c r="H9" s="229" t="str">
        <f t="shared" si="1"/>
        <v>&lt;li class="col-md-3"&gt;&lt;a class="text-cut" href="javascript:;"(click)="categoryEvent(24466)"&gt;{{"24466" | translate}}&lt;/a&gt;&lt;/li&gt;</v>
      </c>
    </row>
    <row r="10" spans="1:8" ht="14.25" customHeight="1">
      <c r="A10" s="16">
        <v>2084047969</v>
      </c>
      <c r="B10" s="16" t="s">
        <v>2078</v>
      </c>
      <c r="C10" s="16" t="s">
        <v>2080</v>
      </c>
      <c r="D10" s="16" t="s">
        <v>2081</v>
      </c>
      <c r="E10" s="3" t="str">
        <f ca="1">IFERROR(__xludf.DUMMYFUNCTION("GOOGLETRANSLATE(B10,""ja"",""vi"")"),"phòng chống thiên tai, an ninh")</f>
        <v>phòng chống thiên tai, an ninh</v>
      </c>
      <c r="F10" s="3" t="str">
        <f ca="1">IFERROR(__xludf.DUMMYFUNCTION("GOOGLETRANSLATE(C10,""ja"",""vi"")"),"Đấu giá&gt; nhà, nội thất&gt; phòng chống thiên tai, an ninh")</f>
        <v>Đấu giá&gt; nhà, nội thất&gt; phòng chống thiên tai, an ninh</v>
      </c>
      <c r="G10" s="229" t="str">
        <f t="shared" ca="1" si="0"/>
        <v>"2084047969" : "phòng chống thiên tai, an ninh",</v>
      </c>
      <c r="H10" s="229" t="str">
        <f t="shared" si="1"/>
        <v>&lt;li class="col-md-3"&gt;&lt;a class="text-cut" href="javascript:;"(click)="categoryEvent(2084047969)"&gt;{{"2084047969" | translate}}&lt;/a&gt;&lt;/li&gt;</v>
      </c>
    </row>
    <row r="11" spans="1:8" ht="14.25" customHeight="1">
      <c r="A11" s="43">
        <v>20284</v>
      </c>
      <c r="B11" s="43" t="s">
        <v>2084</v>
      </c>
      <c r="C11" s="43" t="s">
        <v>2086</v>
      </c>
      <c r="D11" s="43" t="s">
        <v>2087</v>
      </c>
      <c r="E11" s="3" t="str">
        <f ca="1">IFERROR(__xludf.DUMMYFUNCTION("GOOGLETRANSLATE(B11,""ja"",""vi"")"),"Theo mùa, tổ chức sự kiện thường niên")</f>
        <v>Theo mùa, tổ chức sự kiện thường niên</v>
      </c>
      <c r="F11" s="3" t="str">
        <f ca="1">IFERROR(__xludf.DUMMYFUNCTION("GOOGLETRANSLATE(C11,""ja"",""vi"")"),"Đấu giá&gt; nhà, nội thất&gt; mùa, sự kiện hàng năm")</f>
        <v>Đấu giá&gt; nhà, nội thất&gt; mùa, sự kiện hàng năm</v>
      </c>
      <c r="G11" s="229" t="str">
        <f t="shared" ca="1" si="0"/>
        <v>"20284" : "Theo mùa, tổ chức sự kiện thường niên",</v>
      </c>
      <c r="H11" s="229" t="str">
        <f t="shared" si="1"/>
        <v>&lt;li class="col-md-3"&gt;&lt;a class="text-cut" href="javascript:;"(click)="categoryEvent(20284)"&gt;{{"20284" | translate}}&lt;/a&gt;&lt;/li&gt;</v>
      </c>
    </row>
    <row r="12" spans="1:8" ht="14.25" customHeight="1">
      <c r="A12" s="45">
        <v>2084061209</v>
      </c>
      <c r="B12" s="45" t="s">
        <v>2091</v>
      </c>
      <c r="C12" s="45" t="s">
        <v>2092</v>
      </c>
      <c r="D12" s="45" t="s">
        <v>2093</v>
      </c>
      <c r="E12" s="3" t="str">
        <f ca="1">IFERROR(__xludf.DUMMYFUNCTION("GOOGLETRANSLATE(B12,""ja"",""vi"")"),"nghi lễ gia đình")</f>
        <v>nghi lễ gia đình</v>
      </c>
      <c r="F12" s="3" t="str">
        <f ca="1">IFERROR(__xludf.DUMMYFUNCTION("GOOGLETRANSLATE(C12,""ja"",""vi"")"),"Đấu giá&gt; nhà, nội thất&gt; dịp lễ")</f>
        <v>Đấu giá&gt; nhà, nội thất&gt; dịp lễ</v>
      </c>
      <c r="G12" s="229" t="str">
        <f t="shared" ca="1" si="0"/>
        <v>"2084061209" : "nghi lễ gia đình",</v>
      </c>
      <c r="H12" s="229" t="str">
        <f t="shared" si="1"/>
        <v>&lt;li class="col-md-3"&gt;&lt;a class="text-cut" href="javascript:;"(click)="categoryEvent(2084061209)"&gt;{{"2084061209" | translate}}&lt;/a&gt;&lt;/li&gt;</v>
      </c>
    </row>
    <row r="13" spans="1:8" ht="14.25" customHeight="1">
      <c r="A13" s="48">
        <v>2084059849</v>
      </c>
      <c r="B13" s="48" t="s">
        <v>2095</v>
      </c>
      <c r="C13" s="48" t="s">
        <v>2098</v>
      </c>
      <c r="D13" s="48" t="s">
        <v>2101</v>
      </c>
      <c r="E13" s="3" t="str">
        <f ca="1">IFERROR(__xludf.DUMMYFUNCTION("GOOGLETRANSLATE(B13,""ja"",""vi"")"),"bàn thờ Phật giáo, Phật giáo phụ kiện bàn thờ")</f>
        <v>bàn thờ Phật giáo, Phật giáo phụ kiện bàn thờ</v>
      </c>
      <c r="F13" s="3" t="str">
        <f ca="1">IFERROR(__xludf.DUMMYFUNCTION("GOOGLETRANSLATE(C13,""ja"",""vi"")"),"Đấu giá&gt; nhà, nội thất&gt; gia đình Phật giáo bàn thờ, phụ kiện bàn thờ Phật giáo")</f>
        <v>Đấu giá&gt; nhà, nội thất&gt; gia đình Phật giáo bàn thờ, phụ kiện bàn thờ Phật giáo</v>
      </c>
      <c r="G13" s="229" t="str">
        <f t="shared" ca="1" si="0"/>
        <v>"2084059849" : "bàn thờ Phật giáo, Phật giáo phụ kiện bàn thờ",</v>
      </c>
      <c r="H13" s="229" t="str">
        <f t="shared" si="1"/>
        <v>&lt;li class="col-md-3"&gt;&lt;a class="text-cut" href="javascript:;"(click)="categoryEvent(2084059849)"&gt;{{"2084059849" | translate}}&lt;/a&gt;&lt;/li&gt;</v>
      </c>
    </row>
    <row r="14" spans="1:8" ht="14.25" customHeight="1">
      <c r="A14" s="50">
        <v>24534</v>
      </c>
      <c r="B14" s="50" t="s">
        <v>1780</v>
      </c>
      <c r="C14" s="50" t="s">
        <v>2106</v>
      </c>
      <c r="D14" s="50" t="s">
        <v>2107</v>
      </c>
      <c r="E14" s="3" t="str">
        <f ca="1">IFERROR(__xludf.DUMMYFUNCTION("GOOGLETRANSLATE(B14,""ja"",""vi"")"),"Vật tư thú cưng")</f>
        <v>Vật tư thú cưng</v>
      </c>
      <c r="F14" s="3" t="str">
        <f ca="1">IFERROR(__xludf.DUMMYFUNCTION("GOOGLETRANSLATE(C14,""ja"",""vi"")"),"Đấu giá&gt; nhà, nội thất&gt; nguồn cung cấp vật nuôi")</f>
        <v>Đấu giá&gt; nhà, nội thất&gt; nguồn cung cấp vật nuôi</v>
      </c>
      <c r="G14" s="229" t="str">
        <f t="shared" ca="1" si="0"/>
        <v>"24534" : "Vật tư thú cưng",</v>
      </c>
      <c r="H14" s="229" t="str">
        <f t="shared" si="1"/>
        <v>&lt;li class="col-md-3"&gt;&lt;a class="text-cut" href="javascript:;"(click)="categoryEvent(24534)"&gt;{{"24534" | translate}}&lt;/a&gt;&lt;/li&gt;</v>
      </c>
    </row>
    <row r="15" spans="1:8" ht="14.25" customHeight="1">
      <c r="A15" s="53">
        <v>2084048832</v>
      </c>
      <c r="B15" s="53" t="s">
        <v>2113</v>
      </c>
      <c r="C15" s="53" t="s">
        <v>2115</v>
      </c>
      <c r="D15" s="53" t="s">
        <v>2116</v>
      </c>
      <c r="E15" s="3" t="str">
        <f ca="1">IFERROR(__xludf.DUMMYFUNCTION("GOOGLETRANSLATE(B15,""ja"",""vi"")"),"kiểm soát dịch hại, thuốc chống côn trùng")</f>
        <v>kiểm soát dịch hại, thuốc chống côn trùng</v>
      </c>
      <c r="F15" s="3" t="str">
        <f ca="1">IFERROR(__xludf.DUMMYFUNCTION("GOOGLETRANSLATE(C15,""ja"",""vi"")"),"Đấu giá&gt; nhà, nội thất&gt; kiểm soát dịch hại, thuốc chống côn trùng")</f>
        <v>Đấu giá&gt; nhà, nội thất&gt; kiểm soát dịch hại, thuốc chống côn trùng</v>
      </c>
      <c r="G15" s="229" t="str">
        <f t="shared" ca="1" si="0"/>
        <v>"2084048832" : "kiểm soát dịch hại, thuốc chống côn trùng",</v>
      </c>
      <c r="H15" s="229" t="str">
        <f t="shared" si="1"/>
        <v>&lt;li class="col-md-3"&gt;&lt;a class="text-cut" href="javascript:;"(click)="categoryEvent(2084048832)"&gt;{{"2084048832" | translate}}&lt;/a&gt;&lt;/li&gt;</v>
      </c>
    </row>
    <row r="16" spans="1:8" ht="14.25" customHeight="1">
      <c r="A16" s="56">
        <v>2084307800</v>
      </c>
      <c r="B16" s="56" t="s">
        <v>2119</v>
      </c>
      <c r="C16" s="56" t="s">
        <v>2122</v>
      </c>
      <c r="D16" s="56" t="s">
        <v>2124</v>
      </c>
      <c r="E16" s="3" t="str">
        <f ca="1">IFERROR(__xludf.DUMMYFUNCTION("GOOGLETRANSLATE(B16,""ja"",""vi"")"),"Đồ gỗ, nội thất cho thuê")</f>
        <v>Đồ gỗ, nội thất cho thuê</v>
      </c>
      <c r="F16" s="3" t="str">
        <f ca="1">IFERROR(__xludf.DUMMYFUNCTION("GOOGLETRANSLATE(C16,""ja"",""vi"")"),"Đấu giá&gt; nhà, nội thất&gt; nội thất, cho thuê nội thất")</f>
        <v>Đấu giá&gt; nhà, nội thất&gt; nội thất, cho thuê nội thất</v>
      </c>
      <c r="G16" s="229" t="str">
        <f t="shared" ca="1" si="0"/>
        <v>"2084307800" : "Đồ gỗ, nội thất cho thuê",</v>
      </c>
      <c r="H16" s="229" t="str">
        <f t="shared" si="1"/>
        <v>&lt;li class="col-md-3"&gt;&lt;a class="text-cut" href="javascript:;"(click)="categoryEvent(2084307800)"&gt;{{"2084307800" | translate}}&lt;/a&gt;&lt;/li&gt;</v>
      </c>
    </row>
    <row r="17" spans="1:8" ht="14.25" customHeight="1">
      <c r="A17" s="59">
        <v>2084307804</v>
      </c>
      <c r="B17" s="59" t="s">
        <v>2125</v>
      </c>
      <c r="C17" s="59" t="s">
        <v>2126</v>
      </c>
      <c r="D17" s="59" t="s">
        <v>2128</v>
      </c>
      <c r="E17" s="3" t="str">
        <f ca="1">IFERROR(__xludf.DUMMYFUNCTION("GOOGLETRANSLATE(B17,""ja"",""vi"")"),"Công cụ, DIY thiết bị cho thuê")</f>
        <v>Công cụ, DIY thiết bị cho thuê</v>
      </c>
      <c r="F17" s="3" t="str">
        <f ca="1">IFERROR(__xludf.DUMMYFUNCTION("GOOGLETRANSLATE(C17,""ja"",""vi"")"),"Đấu giá&gt; nhà, nội thất&gt; công cụ, DIY thiết bị cho thuê")</f>
        <v>Đấu giá&gt; nhà, nội thất&gt; công cụ, DIY thiết bị cho thuê</v>
      </c>
      <c r="G17" s="229" t="str">
        <f t="shared" ca="1" si="0"/>
        <v>"2084307804" : "Công cụ, DIY thiết bị cho thuê",</v>
      </c>
      <c r="H17" s="229" t="str">
        <f t="shared" si="1"/>
        <v>&lt;li class="col-md-3"&gt;&lt;a class="text-cut" href="javascript:;"(click)="categoryEvent(2084307804)"&gt;{{"2084307804" | translate}}&lt;/a&gt;&lt;/li&gt;</v>
      </c>
    </row>
    <row r="18" spans="1:8" ht="14.25" customHeight="1">
      <c r="A18" s="63">
        <v>24678</v>
      </c>
      <c r="B18" s="63" t="s">
        <v>16</v>
      </c>
      <c r="C18" s="63" t="s">
        <v>2131</v>
      </c>
      <c r="D18" s="63" t="s">
        <v>2132</v>
      </c>
      <c r="E18" s="3" t="str">
        <f ca="1">IFERROR(__xludf.DUMMYFUNCTION("GOOGLETRANSLATE(B18,""ja"",""vi"")"),"nếu không thì")</f>
        <v>nếu không thì</v>
      </c>
      <c r="F18" s="3" t="str">
        <f ca="1">IFERROR(__xludf.DUMMYFUNCTION("GOOGLETRANSLATE(C18,""ja"",""vi"")"),"Đấu giá&gt; nhà, nội thất&gt; Khác")</f>
        <v>Đấu giá&gt; nhà, nội thất&gt; Khác</v>
      </c>
      <c r="G18" s="229" t="str">
        <f t="shared" ca="1" si="0"/>
        <v>"24678" : "nếu không thì",</v>
      </c>
      <c r="H18" s="229" t="str">
        <f t="shared" si="1"/>
        <v>&lt;li class="col-md-3"&gt;&lt;a class="text-cut" href="javascript:;"(click)="categoryEvent(24678)"&gt;{{"24678" | translate}}&lt;/a&gt;&lt;/li&gt;</v>
      </c>
    </row>
    <row r="19" spans="1:8" ht="14.25" customHeight="1">
      <c r="E19" s="3"/>
      <c r="F19" s="3"/>
      <c r="G19" s="229"/>
      <c r="H19" s="229"/>
    </row>
    <row r="20" spans="1:8" ht="14.25" customHeight="1">
      <c r="A20" s="231">
        <v>42168</v>
      </c>
      <c r="B20" s="232"/>
      <c r="C20" s="232"/>
      <c r="D20" s="233"/>
      <c r="E20" s="3"/>
      <c r="F20" s="3"/>
      <c r="G20" s="229"/>
      <c r="H20" s="229"/>
    </row>
    <row r="21" spans="1:8" ht="14.25" customHeight="1">
      <c r="A21" s="2">
        <v>42173</v>
      </c>
      <c r="B21" s="2" t="s">
        <v>2144</v>
      </c>
      <c r="C21" s="2" t="s">
        <v>2145</v>
      </c>
      <c r="D21" s="2" t="s">
        <v>2146</v>
      </c>
      <c r="E21" s="3" t="str">
        <f ca="1">IFERROR(__xludf.DUMMYFUNCTION("GOOGLETRANSLATE(B21,""ja"",""vi"")"),"đồ dùng trên bàn")</f>
        <v>đồ dùng trên bàn</v>
      </c>
      <c r="F21" s="3" t="str">
        <f ca="1">IFERROR(__xludf.DUMMYFUNCTION("GOOGLETRANSLATE(C21,""ja"",""vi"")"),"Đấu giá&gt; nhà, nội thất&gt; bếp, bộ đồ ăn&gt; bộ đồ ăn")</f>
        <v>Đấu giá&gt; nhà, nội thất&gt; bếp, bộ đồ ăn&gt; bộ đồ ăn</v>
      </c>
      <c r="G21" s="229" t="str">
        <f t="shared" ca="1" si="0"/>
        <v>"42173" : "đồ dùng trên bàn",</v>
      </c>
      <c r="H21" s="229" t="str">
        <f t="shared" si="1"/>
        <v>&lt;li class="col-md-3"&gt;&lt;a class="text-cut" href="javascript:;"(click)="categoryEvent(42173)"&gt;{{"42173" | translate}}&lt;/a&gt;&lt;/li&gt;</v>
      </c>
    </row>
    <row r="22" spans="1:8" ht="14.25" customHeight="1">
      <c r="A22" s="2">
        <v>42174</v>
      </c>
      <c r="B22" s="2" t="s">
        <v>2151</v>
      </c>
      <c r="C22" s="2" t="s">
        <v>2153</v>
      </c>
      <c r="D22" s="2" t="s">
        <v>2154</v>
      </c>
      <c r="E22" s="3" t="str">
        <f ca="1">IFERROR(__xludf.DUMMYFUNCTION("GOOGLETRANSLATE(B22,""ja"",""vi"")"),"dao kéo")</f>
        <v>dao kéo</v>
      </c>
      <c r="F22" s="3" t="str">
        <f ca="1">IFERROR(__xludf.DUMMYFUNCTION("GOOGLETRANSLATE(C22,""ja"",""vi"")"),"Đấu giá&gt; nhà, nội thất&gt; bếp, bộ đồ ăn&gt; dao kéo")</f>
        <v>Đấu giá&gt; nhà, nội thất&gt; bếp, bộ đồ ăn&gt; dao kéo</v>
      </c>
      <c r="G22" s="229" t="str">
        <f t="shared" ca="1" si="0"/>
        <v>"42174" : "dao kéo",</v>
      </c>
      <c r="H22" s="229" t="str">
        <f t="shared" si="1"/>
        <v>&lt;li class="col-md-3"&gt;&lt;a class="text-cut" href="javascript:;"(click)="categoryEvent(42174)"&gt;{{"42174" | translate}}&lt;/a&gt;&lt;/li&gt;</v>
      </c>
    </row>
    <row r="23" spans="1:8" ht="14.25" customHeight="1">
      <c r="A23" s="2">
        <v>2084005661</v>
      </c>
      <c r="B23" s="2" t="s">
        <v>2159</v>
      </c>
      <c r="C23" s="2" t="s">
        <v>2161</v>
      </c>
      <c r="D23" s="2" t="s">
        <v>2162</v>
      </c>
      <c r="E23" s="3" t="str">
        <f ca="1">IFERROR(__xludf.DUMMYFUNCTION("GOOGLETRANSLATE(B23,""ja"",""vi"")"),"vải trải bàn")</f>
        <v>vải trải bàn</v>
      </c>
      <c r="F23" s="3" t="str">
        <f ca="1">IFERROR(__xludf.DUMMYFUNCTION("GOOGLETRANSLATE(C23,""ja"",""vi"")"),"Đấu giá&gt; nhà, nội thất&gt; bếp, bộ đồ ăn&gt; Khăn trải bàn")</f>
        <v>Đấu giá&gt; nhà, nội thất&gt; bếp, bộ đồ ăn&gt; Khăn trải bàn</v>
      </c>
      <c r="G23" s="229" t="str">
        <f t="shared" ca="1" si="0"/>
        <v>"2084005661" : "vải trải bàn",</v>
      </c>
      <c r="H23" s="229" t="str">
        <f t="shared" si="1"/>
        <v>&lt;li class="col-md-3"&gt;&lt;a class="text-cut" href="javascript:;"(click)="categoryEvent(2084005661)"&gt;{{"2084005661" | translate}}&lt;/a&gt;&lt;/li&gt;</v>
      </c>
    </row>
    <row r="24" spans="1:8" ht="14.25" customHeight="1">
      <c r="A24" s="2">
        <v>42170</v>
      </c>
      <c r="B24" s="2" t="s">
        <v>2167</v>
      </c>
      <c r="C24" s="2" t="s">
        <v>2170</v>
      </c>
      <c r="D24" s="2" t="s">
        <v>2172</v>
      </c>
      <c r="E24" s="3" t="str">
        <f ca="1">IFERROR(__xludf.DUMMYFUNCTION("GOOGLETRANSLATE(B24,""ja"",""vi"")"),"dụng cụ nhà bếp")</f>
        <v>dụng cụ nhà bếp</v>
      </c>
      <c r="F24" s="3" t="str">
        <f ca="1">IFERROR(__xludf.DUMMYFUNCTION("GOOGLETRANSLATE(C24,""ja"",""vi"")"),"Đấu giá&gt; nhà, nội thất&gt; bếp, bộ đồ ăn&gt; dụng cụ nấu")</f>
        <v>Đấu giá&gt; nhà, nội thất&gt; bếp, bộ đồ ăn&gt; dụng cụ nấu</v>
      </c>
      <c r="G24" s="229" t="str">
        <f t="shared" ca="1" si="0"/>
        <v>"42170" : "dụng cụ nhà bếp",</v>
      </c>
      <c r="H24" s="229" t="str">
        <f t="shared" si="1"/>
        <v>&lt;li class="col-md-3"&gt;&lt;a class="text-cut" href="javascript:;"(click)="categoryEvent(42170)"&gt;{{"42170" | translate}}&lt;/a&gt;&lt;/li&gt;</v>
      </c>
    </row>
    <row r="25" spans="1:8" ht="14.25" customHeight="1">
      <c r="A25" s="2">
        <v>2084061597</v>
      </c>
      <c r="B25" s="2" t="s">
        <v>2174</v>
      </c>
      <c r="C25" s="2" t="s">
        <v>2177</v>
      </c>
      <c r="D25" s="2" t="s">
        <v>2180</v>
      </c>
      <c r="E25" s="3" t="str">
        <f ca="1">IFERROR(__xludf.DUMMYFUNCTION("GOOGLETRANSLATE(B25,""ja"",""vi"")"),"máy nghiền đá")</f>
        <v>máy nghiền đá</v>
      </c>
      <c r="F25" s="3" t="str">
        <f ca="1">IFERROR(__xludf.DUMMYFUNCTION("GOOGLETRANSLATE(C25,""ja"",""vi"")"),"Đấu giá&gt; nhà, nội thất&gt; bếp, bộ đồ ăn&gt; máy nghiền đá")</f>
        <v>Đấu giá&gt; nhà, nội thất&gt; bếp, bộ đồ ăn&gt; máy nghiền đá</v>
      </c>
      <c r="G25" s="229" t="str">
        <f t="shared" ca="1" si="0"/>
        <v>"2084061597" : "máy nghiền đá",</v>
      </c>
      <c r="H25" s="229" t="str">
        <f t="shared" si="1"/>
        <v>&lt;li class="col-md-3"&gt;&lt;a class="text-cut" href="javascript:;"(click)="categoryEvent(2084061597)"&gt;{{"2084061597" | translate}}&lt;/a&gt;&lt;/li&gt;</v>
      </c>
    </row>
    <row r="26" spans="1:8" ht="14.25" customHeight="1">
      <c r="A26" s="2">
        <v>2084015574</v>
      </c>
      <c r="B26" s="2" t="s">
        <v>2182</v>
      </c>
      <c r="C26" s="2" t="s">
        <v>2184</v>
      </c>
      <c r="D26" s="2" t="s">
        <v>2186</v>
      </c>
      <c r="E26" s="3" t="str">
        <f ca="1">IFERROR(__xludf.DUMMYFUNCTION("GOOGLETRANSLATE(B26,""ja"",""vi"")"),"phụ kiện")</f>
        <v>phụ kiện</v>
      </c>
      <c r="F26" s="3" t="str">
        <f ca="1">IFERROR(__xludf.DUMMYFUNCTION("GOOGLETRANSLATE(C26,""ja"",""vi"")"),"Đấu giá&gt; nhà, nội thất&gt; bếp, bộ đồ ăn&gt; Phụ kiện")</f>
        <v>Đấu giá&gt; nhà, nội thất&gt; bếp, bộ đồ ăn&gt; Phụ kiện</v>
      </c>
      <c r="G26" s="229" t="str">
        <f t="shared" ca="1" si="0"/>
        <v>"2084015574" : "phụ kiện",</v>
      </c>
      <c r="H26" s="229" t="str">
        <f t="shared" si="1"/>
        <v>&lt;li class="col-md-3"&gt;&lt;a class="text-cut" href="javascript:;"(click)="categoryEvent(2084015574)"&gt;{{"2084015574" | translate}}&lt;/a&gt;&lt;/li&gt;</v>
      </c>
    </row>
    <row r="27" spans="1:8" ht="14.25" customHeight="1">
      <c r="A27" s="2">
        <v>2084044991</v>
      </c>
      <c r="B27" s="2" t="s">
        <v>2190</v>
      </c>
      <c r="C27" s="2" t="s">
        <v>2191</v>
      </c>
      <c r="D27" s="2" t="s">
        <v>2193</v>
      </c>
      <c r="E27" s="3" t="str">
        <f ca="1">IFERROR(__xludf.DUMMYFUNCTION("GOOGLETRANSLATE(B27,""ja"",""vi"")"),"rượu Hàng")</f>
        <v>rượu Hàng</v>
      </c>
      <c r="F27" s="3" t="str">
        <f ca="1">IFERROR(__xludf.DUMMYFUNCTION("GOOGLETRANSLATE(C27,""ja"",""vi"")"),"Đấu giá&gt; nhà, nội thất&gt; bếp, bộ đồ ăn&gt; hàng rượu")</f>
        <v>Đấu giá&gt; nhà, nội thất&gt; bếp, bộ đồ ăn&gt; hàng rượu</v>
      </c>
      <c r="G27" s="229" t="str">
        <f t="shared" ca="1" si="0"/>
        <v>"2084044991" : "rượu Hàng",</v>
      </c>
      <c r="H27" s="229" t="str">
        <f t="shared" si="1"/>
        <v>&lt;li class="col-md-3"&gt;&lt;a class="text-cut" href="javascript:;"(click)="categoryEvent(2084044991)"&gt;{{"2084044991" | translate}}&lt;/a&gt;&lt;/li&gt;</v>
      </c>
    </row>
    <row r="28" spans="1:8" ht="14.25" customHeight="1">
      <c r="A28" s="2">
        <v>2084018499</v>
      </c>
      <c r="B28" s="2" t="s">
        <v>2198</v>
      </c>
      <c r="C28" s="2" t="s">
        <v>2200</v>
      </c>
      <c r="D28" s="2" t="s">
        <v>2202</v>
      </c>
      <c r="E28" s="3" t="str">
        <f ca="1">IFERROR(__xludf.DUMMYFUNCTION("GOOGLETRANSLATE(B28,""ja"",""vi"")"),"khăn")</f>
        <v>khăn</v>
      </c>
      <c r="F28" s="3" t="str">
        <f ca="1">IFERROR(__xludf.DUMMYFUNCTION("GOOGLETRANSLATE(C28,""ja"",""vi"")"),"Đấu giá&gt; nhà, nội thất&gt; bếp, bộ đồ ăn&gt; tạp dề")</f>
        <v>Đấu giá&gt; nhà, nội thất&gt; bếp, bộ đồ ăn&gt; tạp dề</v>
      </c>
      <c r="G28" s="229" t="str">
        <f t="shared" ca="1" si="0"/>
        <v>"2084018499" : "khăn",</v>
      </c>
      <c r="H28" s="229" t="str">
        <f t="shared" si="1"/>
        <v>&lt;li class="col-md-3"&gt;&lt;a class="text-cut" href="javascript:;"(click)="categoryEvent(2084018499)"&gt;{{"2084018499" | translate}}&lt;/a&gt;&lt;/li&gt;</v>
      </c>
    </row>
    <row r="29" spans="1:8" ht="14.25" customHeight="1">
      <c r="A29" s="2">
        <v>2084061480</v>
      </c>
      <c r="B29" s="2" t="s">
        <v>2206</v>
      </c>
      <c r="C29" s="2" t="s">
        <v>2210</v>
      </c>
      <c r="D29" s="2" t="s">
        <v>2211</v>
      </c>
      <c r="E29" s="3" t="str">
        <f ca="1">IFERROR(__xludf.DUMMYFUNCTION("GOOGLETRANSLATE(B29,""ja"",""vi"")"),"bếp mat")</f>
        <v>bếp mat</v>
      </c>
      <c r="F29" s="3" t="str">
        <f ca="1">IFERROR(__xludf.DUMMYFUNCTION("GOOGLETRANSLATE(C29,""ja"",""vi"")"),"Đấu giá&gt; nhà, nội thất&gt; bếp, bộ đồ ăn&gt; mat bếp")</f>
        <v>Đấu giá&gt; nhà, nội thất&gt; bếp, bộ đồ ăn&gt; mat bếp</v>
      </c>
      <c r="G29" s="229" t="str">
        <f t="shared" ca="1" si="0"/>
        <v>"2084061480" : "bếp mat",</v>
      </c>
      <c r="H29" s="229" t="str">
        <f t="shared" si="1"/>
        <v>&lt;li class="col-md-3"&gt;&lt;a class="text-cut" href="javascript:;"(click)="categoryEvent(2084061480)"&gt;{{"2084061480" | translate}}&lt;/a&gt;&lt;/li&gt;</v>
      </c>
    </row>
    <row r="30" spans="1:8" ht="14.25" customHeight="1">
      <c r="A30" s="2">
        <v>2084044977</v>
      </c>
      <c r="B30" s="2" t="s">
        <v>2214</v>
      </c>
      <c r="C30" s="2" t="s">
        <v>2216</v>
      </c>
      <c r="D30" s="2" t="s">
        <v>2219</v>
      </c>
      <c r="E30" s="3" t="str">
        <f ca="1">IFERROR(__xludf.DUMMYFUNCTION("GOOGLETRANSLATE(B30,""ja"",""vi"")"),"Cooler hộp, túi lạnh")</f>
        <v>Cooler hộp, túi lạnh</v>
      </c>
      <c r="F30" s="3" t="str">
        <f ca="1">IFERROR(__xludf.DUMMYFUNCTION("GOOGLETRANSLATE(C30,""ja"",""vi"")"),"Đấu giá&gt; nhà, nội thất&gt; bếp, bộ đồ ăn&gt; mát hộp, túi lạnh")</f>
        <v>Đấu giá&gt; nhà, nội thất&gt; bếp, bộ đồ ăn&gt; mát hộp, túi lạnh</v>
      </c>
      <c r="G30" s="229" t="str">
        <f t="shared" ca="1" si="0"/>
        <v>"2084044977" : "Cooler hộp, túi lạnh",</v>
      </c>
      <c r="H30" s="229" t="str">
        <f t="shared" si="1"/>
        <v>&lt;li class="col-md-3"&gt;&lt;a class="text-cut" href="javascript:;"(click)="categoryEvent(2084044977)"&gt;{{"2084044977" | translate}}&lt;/a&gt;&lt;/li&gt;</v>
      </c>
    </row>
    <row r="31" spans="1:8" ht="14.25" customHeight="1">
      <c r="A31" s="2">
        <v>2084054097</v>
      </c>
      <c r="B31" s="2" t="s">
        <v>2223</v>
      </c>
      <c r="C31" s="2" t="s">
        <v>2225</v>
      </c>
      <c r="D31" s="2" t="s">
        <v>2227</v>
      </c>
      <c r="E31" s="3" t="str">
        <f ca="1">IFERROR(__xludf.DUMMYFUNCTION("GOOGLETRANSLATE(B31,""ja"",""vi"")"),"cối xay cà phê")</f>
        <v>cối xay cà phê</v>
      </c>
      <c r="F31" s="3" t="str">
        <f ca="1">IFERROR(__xludf.DUMMYFUNCTION("GOOGLETRANSLATE(C31,""ja"",""vi"")"),"Đấu giá&gt; nhà, nội thất&gt; bếp, bộ đồ ăn&gt; cối xay cà phê")</f>
        <v>Đấu giá&gt; nhà, nội thất&gt; bếp, bộ đồ ăn&gt; cối xay cà phê</v>
      </c>
      <c r="G31" s="229" t="str">
        <f t="shared" ca="1" si="0"/>
        <v>"2084054097" : "cối xay cà phê",</v>
      </c>
      <c r="H31" s="229" t="str">
        <f t="shared" si="1"/>
        <v>&lt;li class="col-md-3"&gt;&lt;a class="text-cut" href="javascript:;"(click)="categoryEvent(2084054097)"&gt;{{"2084054097" | translate}}&lt;/a&gt;&lt;/li&gt;</v>
      </c>
    </row>
    <row r="32" spans="1:8" ht="14.25" customHeight="1">
      <c r="A32" s="2">
        <v>2084258414</v>
      </c>
      <c r="B32" s="2" t="s">
        <v>2230</v>
      </c>
      <c r="C32" s="2" t="s">
        <v>2232</v>
      </c>
      <c r="D32" s="2" t="s">
        <v>2234</v>
      </c>
      <c r="E32" s="3" t="str">
        <f ca="1">IFERROR(__xludf.DUMMYFUNCTION("GOOGLETRANSLATE(B32,""ja"",""vi"")"),"thiết bị cung cấp nước nóng")</f>
        <v>thiết bị cung cấp nước nóng</v>
      </c>
      <c r="F32" s="3" t="str">
        <f ca="1">IFERROR(__xludf.DUMMYFUNCTION("GOOGLETRANSLATE(C32,""ja"",""vi"")"),"Đấu giá&gt; nhà, nội thất&gt; bếp, bộ đồ ăn&gt; thiết bị cung cấp nước nóng")</f>
        <v>Đấu giá&gt; nhà, nội thất&gt; bếp, bộ đồ ăn&gt; thiết bị cung cấp nước nóng</v>
      </c>
      <c r="G32" s="229" t="str">
        <f t="shared" ca="1" si="0"/>
        <v>"2084258414" : "thiết bị cung cấp nước nóng",</v>
      </c>
      <c r="H32" s="229" t="str">
        <f t="shared" si="1"/>
        <v>&lt;li class="col-md-3"&gt;&lt;a class="text-cut" href="javascript:;"(click)="categoryEvent(2084258414)"&gt;{{"2084258414" | translate}}&lt;/a&gt;&lt;/li&gt;</v>
      </c>
    </row>
    <row r="33" spans="1:8" ht="14.25" customHeight="1">
      <c r="A33" s="2">
        <v>2084015566</v>
      </c>
      <c r="B33" s="2" t="s">
        <v>2239</v>
      </c>
      <c r="C33" s="2" t="s">
        <v>2241</v>
      </c>
      <c r="D33" s="2" t="s">
        <v>2242</v>
      </c>
      <c r="E33" s="3" t="str">
        <f ca="1">IFERROR(__xludf.DUMMYFUNCTION("GOOGLETRANSLATE(B33,""ja"",""vi"")"),"Lưu trữ, phụ kiện nhà bếp")</f>
        <v>Lưu trữ, phụ kiện nhà bếp</v>
      </c>
      <c r="F33" s="3" t="str">
        <f ca="1">IFERROR(__xludf.DUMMYFUNCTION("GOOGLETRANSLATE(C33,""ja"",""vi"")"),"Đấu giá&gt; nhà, nội thất&gt; bếp, bộ đồ ăn&gt; lưu trữ, nhà bếp hàng linh tinh")</f>
        <v>Đấu giá&gt; nhà, nội thất&gt; bếp, bộ đồ ăn&gt; lưu trữ, nhà bếp hàng linh tinh</v>
      </c>
      <c r="G33" s="229" t="str">
        <f t="shared" ca="1" si="0"/>
        <v>"2084015566" : "Lưu trữ, phụ kiện nhà bếp",</v>
      </c>
      <c r="H33" s="229" t="str">
        <f t="shared" si="1"/>
        <v>&lt;li class="col-md-3"&gt;&lt;a class="text-cut" href="javascript:;"(click)="categoryEvent(2084015566)"&gt;{{"2084015566" | translate}}&lt;/a&gt;&lt;/li&gt;</v>
      </c>
    </row>
    <row r="34" spans="1:8" ht="14.25" customHeight="1">
      <c r="A34" s="2">
        <v>2084006902</v>
      </c>
      <c r="B34" s="2" t="s">
        <v>2244</v>
      </c>
      <c r="C34" s="2" t="s">
        <v>2246</v>
      </c>
      <c r="D34" s="2" t="s">
        <v>2247</v>
      </c>
      <c r="E34" s="3" t="str">
        <f ca="1">IFERROR(__xludf.DUMMYFUNCTION("GOOGLETRANSLATE(B34,""ja"",""vi"")"),"lọc nước")</f>
        <v>lọc nước</v>
      </c>
      <c r="F34" s="3" t="str">
        <f ca="1">IFERROR(__xludf.DUMMYFUNCTION("GOOGLETRANSLATE(C34,""ja"",""vi"")"),"Đấu giá&gt; nhà, nội thất&gt; bếp, bộ đồ ăn&gt; lọc nước")</f>
        <v>Đấu giá&gt; nhà, nội thất&gt; bếp, bộ đồ ăn&gt; lọc nước</v>
      </c>
      <c r="G34" s="229" t="str">
        <f t="shared" ca="1" si="0"/>
        <v>"2084006902" : "lọc nước",</v>
      </c>
      <c r="H34" s="229" t="str">
        <f t="shared" si="1"/>
        <v>&lt;li class="col-md-3"&gt;&lt;a class="text-cut" href="javascript:;"(click)="categoryEvent(2084006902)"&gt;{{"2084006902" | translate}}&lt;/a&gt;&lt;/li&gt;</v>
      </c>
    </row>
    <row r="35" spans="1:8" ht="14.25" customHeight="1">
      <c r="A35" s="2">
        <v>2084008364</v>
      </c>
      <c r="B35" s="2" t="s">
        <v>2073</v>
      </c>
      <c r="C35" s="2" t="s">
        <v>2251</v>
      </c>
      <c r="D35" s="2" t="s">
        <v>2252</v>
      </c>
      <c r="E35" s="3" t="str">
        <f ca="1">IFERROR(__xludf.DUMMYFUNCTION("GOOGLETRANSLATE(B35,""ja"",""vi"")"),"thiết bị điện")</f>
        <v>thiết bị điện</v>
      </c>
      <c r="F35" s="3" t="str">
        <f ca="1">IFERROR(__xludf.DUMMYFUNCTION("GOOGLETRANSLATE(C35,""ja"",""vi"")"),"Đấu giá&gt; Nhà ở, nội thất&gt; Nhà bếp, bộ đồ ăn&gt; thiết bị")</f>
        <v>Đấu giá&gt; Nhà ở, nội thất&gt; Nhà bếp, bộ đồ ăn&gt; thiết bị</v>
      </c>
      <c r="G35" s="229" t="str">
        <f t="shared" ca="1" si="0"/>
        <v>"2084008364" : "thiết bị điện",</v>
      </c>
      <c r="H35" s="229" t="str">
        <f t="shared" si="1"/>
        <v>&lt;li class="col-md-3"&gt;&lt;a class="text-cut" href="javascript:;"(click)="categoryEvent(2084008364)"&gt;{{"2084008364" | translate}}&lt;/a&gt;&lt;/li&gt;</v>
      </c>
    </row>
    <row r="36" spans="1:8" ht="14.25" customHeight="1">
      <c r="A36" s="2">
        <v>2084015563</v>
      </c>
      <c r="B36" s="2" t="s">
        <v>2256</v>
      </c>
      <c r="C36" s="2" t="s">
        <v>2257</v>
      </c>
      <c r="D36" s="2" t="s">
        <v>2259</v>
      </c>
      <c r="E36" s="3" t="str">
        <f ca="1">IFERROR(__xludf.DUMMYFUNCTION("GOOGLETRANSLATE(B36,""ja"",""vi"")"),"nguồn cung cấp bữa ăn trưa")</f>
        <v>nguồn cung cấp bữa ăn trưa</v>
      </c>
      <c r="F36" s="3" t="str">
        <f ca="1">IFERROR(__xludf.DUMMYFUNCTION("GOOGLETRANSLATE(C36,""ja"",""vi"")"),"Đấu giá&gt; nhà, nội thất&gt; bếp, bộ đồ ăn&gt; bento nguồn cung cấp")</f>
        <v>Đấu giá&gt; nhà, nội thất&gt; bếp, bộ đồ ăn&gt; bento nguồn cung cấp</v>
      </c>
      <c r="G36" s="229" t="str">
        <f t="shared" ca="1" si="0"/>
        <v>"2084015563" : "nguồn cung cấp bữa ăn trưa",</v>
      </c>
      <c r="H36" s="229" t="str">
        <f t="shared" si="1"/>
        <v>&lt;li class="col-md-3"&gt;&lt;a class="text-cut" href="javascript:;"(click)="categoryEvent(2084015563)"&gt;{{"2084015563" | translate}}&lt;/a&gt;&lt;/li&gt;</v>
      </c>
    </row>
    <row r="37" spans="1:8" ht="14.25" customHeight="1">
      <c r="A37" s="2">
        <v>2084005974</v>
      </c>
      <c r="B37" s="2" t="s">
        <v>2263</v>
      </c>
      <c r="C37" s="2" t="s">
        <v>2264</v>
      </c>
      <c r="D37" s="2" t="s">
        <v>2265</v>
      </c>
      <c r="E37" s="3" t="str">
        <f ca="1">IFERROR(__xludf.DUMMYFUNCTION("GOOGLETRANSLATE(B37,""ja"",""vi"")"),"thùng chứa")</f>
        <v>thùng chứa</v>
      </c>
      <c r="F37" s="3" t="str">
        <f ca="1">IFERROR(__xludf.DUMMYFUNCTION("GOOGLETRANSLATE(C37,""ja"",""vi"")"),"Đấu giá&gt; nhà, nội thất&gt; bếp, bộ đồ ăn&gt; chứa")</f>
        <v>Đấu giá&gt; nhà, nội thất&gt; bếp, bộ đồ ăn&gt; chứa</v>
      </c>
      <c r="G37" s="229" t="str">
        <f t="shared" ca="1" si="0"/>
        <v>"2084005974" : "thùng chứa",</v>
      </c>
      <c r="H37" s="229" t="str">
        <f t="shared" si="1"/>
        <v>&lt;li class="col-md-3"&gt;&lt;a class="text-cut" href="javascript:;"(click)="categoryEvent(2084005974)"&gt;{{"2084005974" | translate}}&lt;/a&gt;&lt;/li&gt;</v>
      </c>
    </row>
    <row r="38" spans="1:8" ht="14.25" customHeight="1">
      <c r="A38" s="2">
        <v>42172</v>
      </c>
      <c r="B38" s="2" t="s">
        <v>16</v>
      </c>
      <c r="C38" s="2" t="s">
        <v>2268</v>
      </c>
      <c r="D38" s="2" t="s">
        <v>2270</v>
      </c>
      <c r="E38" s="3" t="str">
        <f ca="1">IFERROR(__xludf.DUMMYFUNCTION("GOOGLETRANSLATE(B38,""ja"",""vi"")"),"nếu không thì")</f>
        <v>nếu không thì</v>
      </c>
      <c r="F38" s="3" t="str">
        <f ca="1">IFERROR(__xludf.DUMMYFUNCTION("GOOGLETRANSLATE(C38,""ja"",""vi"")"),"Đấu giá&gt; nhà, nội thất&gt; bếp, bộ đồ ăn&gt; Khác")</f>
        <v>Đấu giá&gt; nhà, nội thất&gt; bếp, bộ đồ ăn&gt; Khác</v>
      </c>
      <c r="G38" s="229" t="str">
        <f t="shared" ca="1" si="0"/>
        <v>"42172" : "nếu không thì",</v>
      </c>
      <c r="H38" s="229" t="str">
        <f t="shared" si="1"/>
        <v>&lt;li class="col-md-3"&gt;&lt;a class="text-cut" href="javascript:;"(click)="categoryEvent(42172)"&gt;{{"42172" | translate}}&lt;/a&gt;&lt;/li&gt;</v>
      </c>
    </row>
    <row r="39" spans="1:8" ht="14.25" customHeight="1">
      <c r="E39" s="3"/>
      <c r="F39" s="3"/>
      <c r="G39" s="229"/>
      <c r="H39" s="229"/>
    </row>
    <row r="40" spans="1:8" ht="14.25" customHeight="1">
      <c r="A40" s="239">
        <v>42160</v>
      </c>
      <c r="B40" s="232"/>
      <c r="C40" s="232"/>
      <c r="D40" s="233"/>
      <c r="E40" s="3"/>
      <c r="F40" s="3"/>
      <c r="G40" s="229"/>
      <c r="H40" s="229"/>
    </row>
    <row r="41" spans="1:8" ht="14.25" customHeight="1">
      <c r="A41" s="2">
        <v>2084006704</v>
      </c>
      <c r="B41" s="2" t="s">
        <v>2278</v>
      </c>
      <c r="C41" s="2" t="s">
        <v>2280</v>
      </c>
      <c r="D41" s="2" t="s">
        <v>2281</v>
      </c>
      <c r="E41" s="3" t="str">
        <f ca="1">IFERROR(__xludf.DUMMYFUNCTION("GOOGLETRANSLATE(B41,""ja"",""vi"")"),"làm vườn cung cấp")</f>
        <v>làm vườn cung cấp</v>
      </c>
      <c r="F41" s="3" t="str">
        <f ca="1">IFERROR(__xludf.DUMMYFUNCTION("GOOGLETRANSLATE(C41,""ja"",""vi"")"),"Đấu giá&gt; nhà, nội thất&gt; hàng gia dụng&gt; Đồ làm vườn")</f>
        <v>Đấu giá&gt; nhà, nội thất&gt; hàng gia dụng&gt; Đồ làm vườn</v>
      </c>
      <c r="G41" s="229" t="str">
        <f t="shared" ca="1" si="0"/>
        <v>"2084006704" : "làm vườn cung cấp",</v>
      </c>
      <c r="H41" s="229" t="str">
        <f t="shared" si="1"/>
        <v>&lt;li class="col-md-3"&gt;&lt;a class="text-cut" href="javascript:;"(click)="categoryEvent(2084006704)"&gt;{{"2084006704" | translate}}&lt;/a&gt;&lt;/li&gt;</v>
      </c>
    </row>
    <row r="42" spans="1:8" ht="14.25" customHeight="1">
      <c r="A42" s="2">
        <v>42168</v>
      </c>
      <c r="B42" s="2" t="s">
        <v>2035</v>
      </c>
      <c r="C42" s="2" t="s">
        <v>2288</v>
      </c>
      <c r="D42" s="2" t="s">
        <v>2289</v>
      </c>
      <c r="E42" s="3" t="str">
        <f ca="1">IFERROR(__xludf.DUMMYFUNCTION("GOOGLETRANSLATE(B42,""ja"",""vi"")"),"Nhà bếp, bộ đồ ăn")</f>
        <v>Nhà bếp, bộ đồ ăn</v>
      </c>
      <c r="F42" s="3" t="str">
        <f ca="1">IFERROR(__xludf.DUMMYFUNCTION("GOOGLETRANSLATE(C42,""ja"",""vi"")"),"Đấu giá&gt; nhà, nội thất&gt; đồ gia dụng&gt; bếp, bộ đồ ăn")</f>
        <v>Đấu giá&gt; nhà, nội thất&gt; đồ gia dụng&gt; bếp, bộ đồ ăn</v>
      </c>
      <c r="G42" s="229" t="str">
        <f t="shared" ca="1" si="0"/>
        <v>"42168" : "Nhà bếp, bộ đồ ăn",</v>
      </c>
      <c r="H42" s="229" t="str">
        <f t="shared" si="1"/>
        <v>&lt;li class="col-md-3"&gt;&lt;a class="text-cut" href="javascript:;"(click)="categoryEvent(42168)"&gt;{{"42168" | translate}}&lt;/a&gt;&lt;/li&gt;</v>
      </c>
    </row>
    <row r="43" spans="1:8" ht="14.25" customHeight="1">
      <c r="A43" s="2">
        <v>2084024423</v>
      </c>
      <c r="B43" s="2" t="s">
        <v>2295</v>
      </c>
      <c r="C43" s="2" t="s">
        <v>2297</v>
      </c>
      <c r="D43" s="2" t="s">
        <v>2299</v>
      </c>
      <c r="E43" s="3" t="str">
        <f ca="1">IFERROR(__xludf.DUMMYFUNCTION("GOOGLETRANSLATE(B43,""ja"",""vi"")"),"nến")</f>
        <v>nến</v>
      </c>
      <c r="F43" s="3" t="str">
        <f ca="1">IFERROR(__xludf.DUMMYFUNCTION("GOOGLETRANSLATE(C43,""ja"",""vi"")"),"Đấu giá&gt; nhà, nội thất&gt; hàng gia dụng&gt; nến")</f>
        <v>Đấu giá&gt; nhà, nội thất&gt; hàng gia dụng&gt; nến</v>
      </c>
      <c r="G43" s="229" t="str">
        <f t="shared" ca="1" si="0"/>
        <v>"2084024423" : "nến",</v>
      </c>
      <c r="H43" s="229" t="str">
        <f t="shared" si="1"/>
        <v>&lt;li class="col-md-3"&gt;&lt;a class="text-cut" href="javascript:;"(click)="categoryEvent(2084024423)"&gt;{{"2084024423" | translate}}&lt;/a&gt;&lt;/li&gt;</v>
      </c>
    </row>
    <row r="44" spans="1:8" ht="14.25" customHeight="1">
      <c r="A44" s="2">
        <v>2084047779</v>
      </c>
      <c r="B44" s="2" t="s">
        <v>2305</v>
      </c>
      <c r="C44" s="2" t="s">
        <v>2308</v>
      </c>
      <c r="D44" s="2" t="s">
        <v>2310</v>
      </c>
      <c r="E44" s="3" t="str">
        <f ca="1">IFERROR(__xludf.DUMMYFUNCTION("GOOGLETRANSLATE(B44,""ja"",""vi"")"),"dép lê")</f>
        <v>dép lê</v>
      </c>
      <c r="F44" s="3" t="str">
        <f ca="1">IFERROR(__xludf.DUMMYFUNCTION("GOOGLETRANSLATE(C44,""ja"",""vi"")"),"Đấu giá&gt; nhà, nội thất&gt; đồ gia dụng&gt; dép")</f>
        <v>Đấu giá&gt; nhà, nội thất&gt; đồ gia dụng&gt; dép</v>
      </c>
      <c r="G44" s="229" t="str">
        <f t="shared" ca="1" si="0"/>
        <v>"2084047779" : "dép lê",</v>
      </c>
      <c r="H44" s="229" t="str">
        <f t="shared" si="1"/>
        <v>&lt;li class="col-md-3"&gt;&lt;a class="text-cut" href="javascript:;"(click)="categoryEvent(2084047779)"&gt;{{"2084047779" | translate}}&lt;/a&gt;&lt;/li&gt;</v>
      </c>
    </row>
    <row r="45" spans="1:8" ht="14.25" customHeight="1">
      <c r="A45" s="2">
        <v>2084006324</v>
      </c>
      <c r="B45" s="2" t="s">
        <v>323</v>
      </c>
      <c r="C45" s="2" t="s">
        <v>2314</v>
      </c>
      <c r="D45" s="2" t="s">
        <v>2315</v>
      </c>
      <c r="E45" s="3" t="str">
        <f ca="1">IFERROR(__xludf.DUMMYFUNCTION("GOOGLETRANSLATE(B45,""ja"",""vi"")"),"khăn tắm")</f>
        <v>khăn tắm</v>
      </c>
      <c r="F45" s="3" t="str">
        <f ca="1">IFERROR(__xludf.DUMMYFUNCTION("GOOGLETRANSLATE(C45,""ja"",""vi"")"),"Đấu giá&gt; nhà, nội thất&gt; đồ gia dụng&gt; khăn")</f>
        <v>Đấu giá&gt; nhà, nội thất&gt; đồ gia dụng&gt; khăn</v>
      </c>
      <c r="G45" s="229" t="str">
        <f t="shared" ca="1" si="0"/>
        <v>"2084006324" : "khăn tắm",</v>
      </c>
      <c r="H45" s="229" t="str">
        <f t="shared" si="1"/>
        <v>&lt;li class="col-md-3"&gt;&lt;a class="text-cut" href="javascript:;"(click)="categoryEvent(2084006324)"&gt;{{"2084006324" | translate}}&lt;/a&gt;&lt;/li&gt;</v>
      </c>
    </row>
    <row r="46" spans="1:8" ht="14.25" customHeight="1">
      <c r="A46" s="2">
        <v>2084024460</v>
      </c>
      <c r="B46" s="2" t="s">
        <v>2320</v>
      </c>
      <c r="C46" s="2" t="s">
        <v>2323</v>
      </c>
      <c r="D46" s="2" t="s">
        <v>2324</v>
      </c>
      <c r="E46" s="3" t="str">
        <f ca="1">IFERROR(__xludf.DUMMYFUNCTION("GOOGLETRANSLATE(B46,""ja"",""vi"")"),"nhà vệ sinh")</f>
        <v>nhà vệ sinh</v>
      </c>
      <c r="F46" s="3" t="str">
        <f ca="1">IFERROR(__xludf.DUMMYFUNCTION("GOOGLETRANSLATE(C46,""ja"",""vi"")"),"Đấu giá&gt; nhà, nội thất&gt; đồ gia dụng&gt; nhà vệ sinh")</f>
        <v>Đấu giá&gt; nhà, nội thất&gt; đồ gia dụng&gt; nhà vệ sinh</v>
      </c>
      <c r="G46" s="229" t="str">
        <f t="shared" ca="1" si="0"/>
        <v>"2084024460" : "nhà vệ sinh",</v>
      </c>
      <c r="H46" s="229" t="str">
        <f t="shared" si="1"/>
        <v>&lt;li class="col-md-3"&gt;&lt;a class="text-cut" href="javascript:;"(click)="categoryEvent(2084024460)"&gt;{{"2084024460" | translate}}&lt;/a&gt;&lt;/li&gt;</v>
      </c>
    </row>
    <row r="47" spans="1:8" ht="14.25" customHeight="1">
      <c r="A47" s="2">
        <v>2084061604</v>
      </c>
      <c r="B47" s="2" t="s">
        <v>2331</v>
      </c>
      <c r="C47" s="2" t="s">
        <v>2332</v>
      </c>
      <c r="D47" s="2" t="s">
        <v>2333</v>
      </c>
      <c r="E47" s="3" t="str">
        <f ca="1">IFERROR(__xludf.DUMMYFUNCTION("GOOGLETRANSLATE(B47,""ja"",""vi"")"),"móc")</f>
        <v>móc</v>
      </c>
      <c r="F47" s="3" t="str">
        <f ca="1">IFERROR(__xludf.DUMMYFUNCTION("GOOGLETRANSLATE(C47,""ja"",""vi"")"),"Đấu giá&gt; nhà, nội thất&gt; đồ gia dụng&gt; móc")</f>
        <v>Đấu giá&gt; nhà, nội thất&gt; đồ gia dụng&gt; móc</v>
      </c>
      <c r="G47" s="229" t="str">
        <f t="shared" ca="1" si="0"/>
        <v>"2084061604" : "móc",</v>
      </c>
      <c r="H47" s="229" t="str">
        <f t="shared" si="1"/>
        <v>&lt;li class="col-md-3"&gt;&lt;a class="text-cut" href="javascript:;"(click)="categoryEvent(2084061604)"&gt;{{"2084061604" | translate}}&lt;/a&gt;&lt;/li&gt;</v>
      </c>
    </row>
    <row r="48" spans="1:8" ht="14.25" customHeight="1">
      <c r="A48" s="2">
        <v>2084024451</v>
      </c>
      <c r="B48" s="2" t="s">
        <v>2339</v>
      </c>
      <c r="C48" s="2" t="s">
        <v>2341</v>
      </c>
      <c r="D48" s="2" t="s">
        <v>2342</v>
      </c>
      <c r="E48" s="3" t="str">
        <f ca="1">IFERROR(__xludf.DUMMYFUNCTION("GOOGLETRANSLATE(B48,""ja"",""vi"")"),"xe buýt")</f>
        <v>xe buýt</v>
      </c>
      <c r="F48" s="3" t="str">
        <f ca="1">IFERROR(__xludf.DUMMYFUNCTION("GOOGLETRANSLATE(C48,""ja"",""vi"")"),"Đấu giá&gt; nhà, nội thất&gt; hàng gia dụng&gt; xe buýt")</f>
        <v>Đấu giá&gt; nhà, nội thất&gt; hàng gia dụng&gt; xe buýt</v>
      </c>
      <c r="G48" s="229" t="str">
        <f t="shared" ca="1" si="0"/>
        <v>"2084024451" : "xe buýt",</v>
      </c>
      <c r="H48" s="229" t="str">
        <f t="shared" si="1"/>
        <v>&lt;li class="col-md-3"&gt;&lt;a class="text-cut" href="javascript:;"(click)="categoryEvent(2084024451)"&gt;{{"2084024451" | translate}}&lt;/a&gt;&lt;/li&gt;</v>
      </c>
    </row>
    <row r="49" spans="1:8" ht="14.25" customHeight="1">
      <c r="A49" s="2">
        <v>2084048832</v>
      </c>
      <c r="B49" s="2" t="s">
        <v>2113</v>
      </c>
      <c r="C49" s="2" t="s">
        <v>2352</v>
      </c>
      <c r="D49" s="2" t="s">
        <v>2354</v>
      </c>
      <c r="E49" s="3" t="str">
        <f ca="1">IFERROR(__xludf.DUMMYFUNCTION("GOOGLETRANSLATE(B49,""ja"",""vi"")"),"kiểm soát dịch hại, thuốc chống côn trùng")</f>
        <v>kiểm soát dịch hại, thuốc chống côn trùng</v>
      </c>
      <c r="F49" s="3" t="str">
        <f ca="1">IFERROR(__xludf.DUMMYFUNCTION("GOOGLETRANSLATE(C49,""ja"",""vi"")"),"Đấu giá&gt; nhà, nội thất&gt; hàng gia dụng&gt; kiểm soát dịch hại, thuốc chống côn trùng")</f>
        <v>Đấu giá&gt; nhà, nội thất&gt; hàng gia dụng&gt; kiểm soát dịch hại, thuốc chống côn trùng</v>
      </c>
      <c r="G49" s="229" t="str">
        <f t="shared" ca="1" si="0"/>
        <v>"2084048832" : "kiểm soát dịch hại, thuốc chống côn trùng",</v>
      </c>
      <c r="H49" s="229" t="str">
        <f t="shared" si="1"/>
        <v>&lt;li class="col-md-3"&gt;&lt;a class="text-cut" href="javascript:;"(click)="categoryEvent(2084048832)"&gt;{{"2084048832" | translate}}&lt;/a&gt;&lt;/li&gt;</v>
      </c>
    </row>
    <row r="50" spans="1:8" ht="14.25" customHeight="1">
      <c r="A50" s="2">
        <v>2084238534</v>
      </c>
      <c r="B50" s="2" t="s">
        <v>2359</v>
      </c>
      <c r="C50" s="2" t="s">
        <v>2360</v>
      </c>
      <c r="D50" s="2" t="s">
        <v>2362</v>
      </c>
      <c r="E50" s="3" t="str">
        <f ca="1">IFERROR(__xludf.DUMMYFUNCTION("GOOGLETRANSLATE(B50,""ja"",""vi"")"),"giày nguồn cung cấp")</f>
        <v>giày nguồn cung cấp</v>
      </c>
      <c r="F50" s="3" t="str">
        <f ca="1">IFERROR(__xludf.DUMMYFUNCTION("GOOGLETRANSLATE(C50,""ja"",""vi"")"),"Đấu giá&gt; nhà, nội thất&gt; hàng gia dụng&gt; giày cung cấp")</f>
        <v>Đấu giá&gt; nhà, nội thất&gt; hàng gia dụng&gt; giày cung cấp</v>
      </c>
      <c r="G50" s="229" t="str">
        <f t="shared" ca="1" si="0"/>
        <v>"2084238534" : "giày nguồn cung cấp",</v>
      </c>
      <c r="H50" s="229" t="str">
        <f t="shared" si="1"/>
        <v>&lt;li class="col-md-3"&gt;&lt;a class="text-cut" href="javascript:;"(click)="categoryEvent(2084238534)"&gt;{{"2084238534" | translate}}&lt;/a&gt;&lt;/li&gt;</v>
      </c>
    </row>
    <row r="51" spans="1:8" ht="14.25" customHeight="1">
      <c r="A51" s="2">
        <v>2084238529</v>
      </c>
      <c r="B51" s="2" t="s">
        <v>2366</v>
      </c>
      <c r="C51" s="2" t="s">
        <v>2369</v>
      </c>
      <c r="D51" s="2" t="s">
        <v>2370</v>
      </c>
      <c r="E51" s="3" t="str">
        <f ca="1">IFERROR(__xludf.DUMMYFUNCTION("GOOGLETRANSLATE(B51,""ja"",""vi"")"),"hàng da")</f>
        <v>hàng da</v>
      </c>
      <c r="F51" s="3" t="str">
        <f ca="1">IFERROR(__xludf.DUMMYFUNCTION("GOOGLETRANSLATE(C51,""ja"",""vi"")"),"Đấu giá&gt; nhà, nội thất&gt; đồ gia dụng&gt; nguồn cung cấp da")</f>
        <v>Đấu giá&gt; nhà, nội thất&gt; đồ gia dụng&gt; nguồn cung cấp da</v>
      </c>
      <c r="G51" s="229" t="str">
        <f t="shared" ca="1" si="0"/>
        <v>"2084238529" : "hàng da",</v>
      </c>
      <c r="H51" s="229" t="str">
        <f t="shared" si="1"/>
        <v>&lt;li class="col-md-3"&gt;&lt;a class="text-cut" href="javascript:;"(click)="categoryEvent(2084238529)"&gt;{{"2084238529" | translate}}&lt;/a&gt;&lt;/li&gt;</v>
      </c>
    </row>
    <row r="52" spans="1:8" ht="14.25" customHeight="1">
      <c r="A52" s="2">
        <v>2084047857</v>
      </c>
      <c r="B52" s="2" t="s">
        <v>2376</v>
      </c>
      <c r="C52" s="2" t="s">
        <v>2377</v>
      </c>
      <c r="D52" s="2" t="s">
        <v>2378</v>
      </c>
      <c r="E52" s="3" t="str">
        <f ca="1">IFERROR(__xludf.DUMMYFUNCTION("GOOGLETRANSLATE(B52,""ja"",""vi"")"),"Một đệm")</f>
        <v>Một đệm</v>
      </c>
      <c r="F52" s="3" t="str">
        <f ca="1">IFERROR(__xludf.DUMMYFUNCTION("GOOGLETRANSLATE(C52,""ja"",""vi"")"),"Đấu giá&gt; nhà, nội thất&gt; đồ gia dụng&gt; đệm")</f>
        <v>Đấu giá&gt; nhà, nội thất&gt; đồ gia dụng&gt; đệm</v>
      </c>
      <c r="G52" s="229" t="str">
        <f t="shared" ca="1" si="0"/>
        <v>"2084047857" : "Một đệm",</v>
      </c>
      <c r="H52" s="229" t="str">
        <f t="shared" si="1"/>
        <v>&lt;li class="col-md-3"&gt;&lt;a class="text-cut" href="javascript:;"(click)="categoryEvent(2084047857)"&gt;{{"2084047857" | translate}}&lt;/a&gt;&lt;/li&gt;</v>
      </c>
    </row>
    <row r="53" spans="1:8" ht="14.25" customHeight="1">
      <c r="A53" s="2">
        <v>2084006343</v>
      </c>
      <c r="B53" s="2" t="s">
        <v>2385</v>
      </c>
      <c r="C53" s="2" t="s">
        <v>2386</v>
      </c>
      <c r="D53" s="2" t="s">
        <v>2387</v>
      </c>
      <c r="E53" s="3" t="str">
        <f ca="1">IFERROR(__xludf.DUMMYFUNCTION("GOOGLETRANSLATE(B53,""ja"",""vi"")"),"Bộ đồ giường")</f>
        <v>Bộ đồ giường</v>
      </c>
      <c r="F53" s="3" t="str">
        <f ca="1">IFERROR(__xludf.DUMMYFUNCTION("GOOGLETRANSLATE(C53,""ja"",""vi"")"),"Đấu giá&gt; nhà, nội thất&gt; đồ gia dụng&gt; giường")</f>
        <v>Đấu giá&gt; nhà, nội thất&gt; đồ gia dụng&gt; giường</v>
      </c>
      <c r="G53" s="229" t="str">
        <f t="shared" ca="1" si="0"/>
        <v>"2084006343" : "Bộ đồ giường",</v>
      </c>
      <c r="H53" s="229" t="str">
        <f t="shared" si="1"/>
        <v>&lt;li class="col-md-3"&gt;&lt;a class="text-cut" href="javascript:;"(click)="categoryEvent(2084006343)"&gt;{{"2084006343" | translate}}&lt;/a&gt;&lt;/li&gt;</v>
      </c>
    </row>
    <row r="54" spans="1:8" ht="14.25" customHeight="1">
      <c r="A54" s="2">
        <v>2084024430</v>
      </c>
      <c r="B54" s="2" t="s">
        <v>2391</v>
      </c>
      <c r="C54" s="2" t="s">
        <v>2394</v>
      </c>
      <c r="D54" s="2" t="s">
        <v>2395</v>
      </c>
      <c r="E54" s="3" t="str">
        <f ca="1">IFERROR(__xludf.DUMMYFUNCTION("GOOGLETRANSLATE(B54,""ja"",""vi"")"),"nguồn cung cấp Dịch vụ giặt ủi")</f>
        <v>nguồn cung cấp Dịch vụ giặt ủi</v>
      </c>
      <c r="F54" s="3" t="str">
        <f ca="1">IFERROR(__xludf.DUMMYFUNCTION("GOOGLETRANSLATE(C54,""ja"",""vi"")"),"Đấu giá&gt; nhà, nội thất&gt; đồ gia dụng&gt; nguồn cung cấp máy giặt")</f>
        <v>Đấu giá&gt; nhà, nội thất&gt; đồ gia dụng&gt; nguồn cung cấp máy giặt</v>
      </c>
      <c r="G54" s="229" t="str">
        <f t="shared" ca="1" si="0"/>
        <v>"2084024430" : "nguồn cung cấp Dịch vụ giặt ủi",</v>
      </c>
      <c r="H54" s="229" t="str">
        <f t="shared" si="1"/>
        <v>&lt;li class="col-md-3"&gt;&lt;a class="text-cut" href="javascript:;"(click)="categoryEvent(2084024430)"&gt;{{"2084024430" | translate}}&lt;/a&gt;&lt;/li&gt;</v>
      </c>
    </row>
    <row r="55" spans="1:8" ht="14.25" customHeight="1">
      <c r="A55" s="2">
        <v>2084024446</v>
      </c>
      <c r="B55" s="2" t="s">
        <v>2401</v>
      </c>
      <c r="C55" s="2" t="s">
        <v>2402</v>
      </c>
      <c r="D55" s="2" t="s">
        <v>2404</v>
      </c>
      <c r="E55" s="3" t="str">
        <f ca="1">IFERROR(__xludf.DUMMYFUNCTION("GOOGLETRANSLATE(B55,""ja"",""vi"")"),"sản phẩm tẩy rửa")</f>
        <v>sản phẩm tẩy rửa</v>
      </c>
      <c r="F55" s="3" t="str">
        <f ca="1">IFERROR(__xludf.DUMMYFUNCTION("GOOGLETRANSLATE(C55,""ja"",""vi"")"),"Đấu giá&gt; nhà, nội thất&gt; đồ gia dụng&gt; Sản phẩm làm sạch")</f>
        <v>Đấu giá&gt; nhà, nội thất&gt; đồ gia dụng&gt; Sản phẩm làm sạch</v>
      </c>
      <c r="G55" s="229" t="str">
        <f t="shared" ca="1" si="0"/>
        <v>"2084024446" : "sản phẩm tẩy rửa",</v>
      </c>
      <c r="H55" s="229" t="str">
        <f t="shared" si="1"/>
        <v>&lt;li class="col-md-3"&gt;&lt;a class="text-cut" href="javascript:;"(click)="categoryEvent(2084024446)"&gt;{{"2084024446" | translate}}&lt;/a&gt;&lt;/li&gt;</v>
      </c>
    </row>
    <row r="56" spans="1:8" ht="14.25" customHeight="1">
      <c r="A56" s="2">
        <v>2084024425</v>
      </c>
      <c r="B56" s="2" t="s">
        <v>2409</v>
      </c>
      <c r="C56" s="2" t="s">
        <v>2410</v>
      </c>
      <c r="D56" s="2" t="s">
        <v>2411</v>
      </c>
      <c r="E56" s="3" t="str">
        <f ca="1">IFERROR(__xludf.DUMMYFUNCTION("GOOGLETRANSLATE(B56,""ja"",""vi"")"),"Nước hoa, khử mùi")</f>
        <v>Nước hoa, khử mùi</v>
      </c>
      <c r="F56" s="3" t="str">
        <f ca="1">IFERROR(__xludf.DUMMYFUNCTION("GOOGLETRANSLATE(C56,""ja"",""vi"")"),"Đấu giá&gt; nhà, nội thất&gt; hàng gia dụng&gt; hương thơm, khử mùi")</f>
        <v>Đấu giá&gt; nhà, nội thất&gt; hàng gia dụng&gt; hương thơm, khử mùi</v>
      </c>
      <c r="G56" s="229" t="str">
        <f t="shared" ca="1" si="0"/>
        <v>"2084024425" : "Nước hoa, khử mùi",</v>
      </c>
      <c r="H56" s="229" t="str">
        <f t="shared" si="1"/>
        <v>&lt;li class="col-md-3"&gt;&lt;a class="text-cut" href="javascript:;"(click)="categoryEvent(2084024425)"&gt;{{"2084024425" | translate}}&lt;/a&gt;&lt;/li&gt;</v>
      </c>
    </row>
    <row r="57" spans="1:8" ht="14.25" customHeight="1">
      <c r="A57" s="2">
        <v>2084292321</v>
      </c>
      <c r="B57" s="2" t="s">
        <v>2415</v>
      </c>
      <c r="C57" s="2" t="s">
        <v>2416</v>
      </c>
      <c r="D57" s="2" t="s">
        <v>2417</v>
      </c>
      <c r="E57" s="3" t="str">
        <f ca="1">IFERROR(__xludf.DUMMYFUNCTION("GOOGLETRANSLATE(B57,""ja"",""vi"")"),"Cây nến")</f>
        <v>Cây nến</v>
      </c>
      <c r="F57" s="3" t="str">
        <f ca="1">IFERROR(__xludf.DUMMYFUNCTION("GOOGLETRANSLATE(C57,""ja"",""vi"")"),"Đấu giá&gt; nhà, nội thất&gt; hàng gia dụng&gt; nến")</f>
        <v>Đấu giá&gt; nhà, nội thất&gt; hàng gia dụng&gt; nến</v>
      </c>
      <c r="G57" s="229" t="str">
        <f t="shared" ca="1" si="0"/>
        <v>"2084292321" : "Cây nến",</v>
      </c>
      <c r="H57" s="229" t="str">
        <f t="shared" si="1"/>
        <v>&lt;li class="col-md-3"&gt;&lt;a class="text-cut" href="javascript:;"(click)="categoryEvent(2084292321)"&gt;{{"2084292321" | translate}}&lt;/a&gt;&lt;/li&gt;</v>
      </c>
    </row>
    <row r="58" spans="1:8" ht="14.25" customHeight="1">
      <c r="A58" s="2">
        <v>20924</v>
      </c>
      <c r="B58" s="2" t="s">
        <v>2421</v>
      </c>
      <c r="C58" s="2" t="s">
        <v>2422</v>
      </c>
      <c r="D58" s="2" t="s">
        <v>2423</v>
      </c>
      <c r="E58" s="3" t="str">
        <f ca="1">IFERROR(__xludf.DUMMYFUNCTION("GOOGLETRANSLATE(B58,""ja"",""vi"")"),"nghề tay, thủ công mỹ nghệ")</f>
        <v>nghề tay, thủ công mỹ nghệ</v>
      </c>
      <c r="F58" s="3" t="str">
        <f ca="1">IFERROR(__xludf.DUMMYFUNCTION("GOOGLETRANSLATE(C58,""ja"",""vi"")"),"Đấu giá&gt; nhà, nội thất&gt; hàng gia dụng&gt; Tay nghề, thủ công mỹ nghệ")</f>
        <v>Đấu giá&gt; nhà, nội thất&gt; hàng gia dụng&gt; Tay nghề, thủ công mỹ nghệ</v>
      </c>
      <c r="G58" s="229" t="str">
        <f t="shared" ca="1" si="0"/>
        <v>"20924" : "nghề tay, thủ công mỹ nghệ",</v>
      </c>
      <c r="H58" s="229" t="str">
        <f t="shared" si="1"/>
        <v>&lt;li class="col-md-3"&gt;&lt;a class="text-cut" href="javascript:;"(click)="categoryEvent(20924)"&gt;{{"20924" | translate}}&lt;/a&gt;&lt;/li&gt;</v>
      </c>
    </row>
    <row r="59" spans="1:8" ht="14.25" customHeight="1">
      <c r="A59" s="2">
        <v>24462</v>
      </c>
      <c r="B59" s="2" t="s">
        <v>16</v>
      </c>
      <c r="C59" s="2" t="s">
        <v>2426</v>
      </c>
      <c r="D59" s="2" t="s">
        <v>2427</v>
      </c>
      <c r="E59" s="3" t="str">
        <f ca="1">IFERROR(__xludf.DUMMYFUNCTION("GOOGLETRANSLATE(B59,""ja"",""vi"")"),"nếu không thì")</f>
        <v>nếu không thì</v>
      </c>
      <c r="F59" s="3" t="str">
        <f ca="1">IFERROR(__xludf.DUMMYFUNCTION("GOOGLETRANSLATE(C59,""ja"",""vi"")"),"Đấu giá&gt; nhà, nội thất&gt; hàng gia dụng&gt; Khác")</f>
        <v>Đấu giá&gt; nhà, nội thất&gt; hàng gia dụng&gt; Khác</v>
      </c>
      <c r="G59" s="229" t="str">
        <f t="shared" ca="1" si="0"/>
        <v>"24462" : "nếu không thì",</v>
      </c>
      <c r="H59" s="229" t="str">
        <f t="shared" si="1"/>
        <v>&lt;li class="col-md-3"&gt;&lt;a class="text-cut" href="javascript:;"(click)="categoryEvent(24462)"&gt;{{"24462" | translate}}&lt;/a&gt;&lt;/li&gt;</v>
      </c>
    </row>
    <row r="60" spans="1:8" ht="14.25" customHeight="1">
      <c r="E60" s="3"/>
      <c r="F60" s="3"/>
      <c r="G60" s="229"/>
      <c r="H60" s="229"/>
    </row>
    <row r="61" spans="1:8" ht="14.25" customHeight="1">
      <c r="A61" s="240">
        <v>2084288099</v>
      </c>
      <c r="B61" s="232"/>
      <c r="C61" s="232"/>
      <c r="D61" s="233"/>
      <c r="E61" s="3"/>
      <c r="F61" s="3"/>
      <c r="G61" s="229"/>
      <c r="H61" s="229"/>
    </row>
    <row r="62" spans="1:8" ht="14.25" customHeight="1">
      <c r="A62" s="2">
        <v>2084288100</v>
      </c>
      <c r="B62" s="2" t="s">
        <v>2431</v>
      </c>
      <c r="C62" s="2" t="s">
        <v>2432</v>
      </c>
      <c r="D62" s="2" t="s">
        <v>2434</v>
      </c>
      <c r="E62" s="3" t="str">
        <f ca="1">IFERROR(__xludf.DUMMYFUNCTION("GOOGLETRANSLATE(B62,""ja"",""vi"")"),"lưu trữ sống")</f>
        <v>lưu trữ sống</v>
      </c>
      <c r="F62" s="3" t="str">
        <f ca="1">IFERROR(__xludf.DUMMYFUNCTION("GOOGLETRANSLATE(C62,""ja"",""vi"")"),"Đấu giá&gt; nhà, nội thất&gt; lưu trữ&gt; lưu trữ Sống")</f>
        <v>Đấu giá&gt; nhà, nội thất&gt; lưu trữ&gt; lưu trữ Sống</v>
      </c>
      <c r="G62" s="229" t="str">
        <f t="shared" ca="1" si="0"/>
        <v>"2084288100" : "lưu trữ sống",</v>
      </c>
      <c r="H62" s="229" t="str">
        <f t="shared" si="1"/>
        <v>&lt;li class="col-md-3"&gt;&lt;a class="text-cut" href="javascript:;"(click)="categoryEvent(2084288100)"&gt;{{"2084288100" | translate}}&lt;/a&gt;&lt;/li&gt;</v>
      </c>
    </row>
    <row r="63" spans="1:8" ht="14.25" customHeight="1">
      <c r="A63" s="2">
        <v>2084288113</v>
      </c>
      <c r="B63" s="2" t="s">
        <v>2437</v>
      </c>
      <c r="C63" s="2" t="s">
        <v>2438</v>
      </c>
      <c r="D63" s="2" t="s">
        <v>2439</v>
      </c>
      <c r="E63" s="3" t="str">
        <f ca="1">IFERROR(__xludf.DUMMYFUNCTION("GOOGLETRANSLATE(B63,""ja"",""vi"")"),"lưu trữ nhà bếp")</f>
        <v>lưu trữ nhà bếp</v>
      </c>
      <c r="F63" s="3" t="str">
        <f ca="1">IFERROR(__xludf.DUMMYFUNCTION("GOOGLETRANSLATE(C63,""ja"",""vi"")"),"Đấu giá&gt; nhà, nội thất&gt; lưu trữ&gt; lưu trữ nhà bếp")</f>
        <v>Đấu giá&gt; nhà, nội thất&gt; lưu trữ&gt; lưu trữ nhà bếp</v>
      </c>
      <c r="G63" s="229" t="str">
        <f t="shared" ca="1" si="0"/>
        <v>"2084288113" : "lưu trữ nhà bếp",</v>
      </c>
      <c r="H63" s="229" t="str">
        <f t="shared" si="1"/>
        <v>&lt;li class="col-md-3"&gt;&lt;a class="text-cut" href="javascript:;"(click)="categoryEvent(2084288113)"&gt;{{"2084288113" | translate}}&lt;/a&gt;&lt;/li&gt;</v>
      </c>
    </row>
    <row r="64" spans="1:8" ht="14.25" customHeight="1">
      <c r="A64" s="2">
        <v>2084288124</v>
      </c>
      <c r="B64" s="2" t="s">
        <v>2442</v>
      </c>
      <c r="C64" s="2" t="s">
        <v>2443</v>
      </c>
      <c r="D64" s="2" t="s">
        <v>2444</v>
      </c>
      <c r="E64" s="3" t="str">
        <f ca="1">IFERROR(__xludf.DUMMYFUNCTION("GOOGLETRANSLATE(B64,""ja"",""vi"")"),"Sách / CD / DVD lưu trữ")</f>
        <v>Sách / CD / DVD lưu trữ</v>
      </c>
      <c r="F64" s="3" t="str">
        <f ca="1">IFERROR(__xludf.DUMMYFUNCTION("GOOGLETRANSLATE(C64,""ja"",""vi"")"),"Đấu giá&gt; nhà, nội thất&gt; lưu trữ&gt; Sách / CD / DVD lưu trữ")</f>
        <v>Đấu giá&gt; nhà, nội thất&gt; lưu trữ&gt; Sách / CD / DVD lưu trữ</v>
      </c>
      <c r="G64" s="229" t="str">
        <f t="shared" ca="1" si="0"/>
        <v>"2084288124" : "Sách / CD / DVD lưu trữ",</v>
      </c>
      <c r="H64" s="229" t="str">
        <f t="shared" si="1"/>
        <v>&lt;li class="col-md-3"&gt;&lt;a class="text-cut" href="javascript:;"(click)="categoryEvent(2084288124)"&gt;{{"2084288124" | translate}}&lt;/a&gt;&lt;/li&gt;</v>
      </c>
    </row>
    <row r="65" spans="1:8" ht="14.25" customHeight="1">
      <c r="A65" s="2">
        <v>2084288133</v>
      </c>
      <c r="B65" s="2" t="s">
        <v>2445</v>
      </c>
      <c r="C65" s="2" t="s">
        <v>2446</v>
      </c>
      <c r="D65" s="2" t="s">
        <v>2447</v>
      </c>
      <c r="E65" s="3" t="str">
        <f ca="1">IFERROR(__xludf.DUMMYFUNCTION("GOOGLETRANSLATE(B65,""ja"",""vi"")"),"Phòng học / văn phòng / kinh doanh cho việc lưu trữ")</f>
        <v>Phòng học / văn phòng / kinh doanh cho việc lưu trữ</v>
      </c>
      <c r="F65" s="3" t="str">
        <f ca="1">IFERROR(__xludf.DUMMYFUNCTION("GOOGLETRANSLATE(C65,""ja"",""vi"")"),"Đấu giá&gt; nhà, nội thất&gt; lưu trữ&gt; nghiên cứu / văn phòng / kinh doanh cho việc lưu trữ")</f>
        <v>Đấu giá&gt; nhà, nội thất&gt; lưu trữ&gt; nghiên cứu / văn phòng / kinh doanh cho việc lưu trữ</v>
      </c>
      <c r="G65" s="229" t="str">
        <f t="shared" ca="1" si="0"/>
        <v>"2084288133" : "Phòng học / văn phòng / kinh doanh cho việc lưu trữ",</v>
      </c>
      <c r="H65" s="229" t="str">
        <f t="shared" si="1"/>
        <v>&lt;li class="col-md-3"&gt;&lt;a class="text-cut" href="javascript:;"(click)="categoryEvent(2084288133)"&gt;{{"2084288133" | translate}}&lt;/a&gt;&lt;/li&gt;</v>
      </c>
    </row>
    <row r="66" spans="1:8" ht="14.25" customHeight="1">
      <c r="A66" s="2">
        <v>2084288147</v>
      </c>
      <c r="B66" s="2" t="s">
        <v>2448</v>
      </c>
      <c r="C66" s="2" t="s">
        <v>2449</v>
      </c>
      <c r="D66" s="2" t="s">
        <v>2450</v>
      </c>
      <c r="E66" s="3" t="str">
        <f ca="1">IFERROR(__xludf.DUMMYFUNCTION("GOOGLETRANSLATE(B66,""ja"",""vi"")"),"Quần áo / tủ quần áo / lưu trữ tủ quần áo")</f>
        <v>Quần áo / tủ quần áo / lưu trữ tủ quần áo</v>
      </c>
      <c r="F66" s="3" t="str">
        <f ca="1">IFERROR(__xludf.DUMMYFUNCTION("GOOGLETRANSLATE(C66,""ja"",""vi"")"),"Đấu giá&gt; nhà, nội thất&gt; lưu trữ&gt; quần áo / tủ quần áo / tủ lưu trữ")</f>
        <v>Đấu giá&gt; nhà, nội thất&gt; lưu trữ&gt; quần áo / tủ quần áo / tủ lưu trữ</v>
      </c>
      <c r="G66" s="229" t="str">
        <f t="shared" ca="1" si="0"/>
        <v>"2084288147" : "Quần áo / tủ quần áo / lưu trữ tủ quần áo",</v>
      </c>
      <c r="H66" s="229" t="str">
        <f t="shared" si="1"/>
        <v>&lt;li class="col-md-3"&gt;&lt;a class="text-cut" href="javascript:;"(click)="categoryEvent(2084288147)"&gt;{{"2084288147" | translate}}&lt;/a&gt;&lt;/li&gt;</v>
      </c>
    </row>
    <row r="67" spans="1:8" ht="14.25" customHeight="1">
      <c r="A67" s="2">
        <v>2084288156</v>
      </c>
      <c r="B67" s="2" t="s">
        <v>2454</v>
      </c>
      <c r="C67" s="2" t="s">
        <v>2457</v>
      </c>
      <c r="D67" s="2" t="s">
        <v>2459</v>
      </c>
      <c r="E67" s="3" t="str">
        <f ca="1">IFERROR(__xludf.DUMMYFUNCTION("GOOGLETRANSLATE(B67,""ja"",""vi"")"),"Bath / lưu trữ nhà vệ sinh")</f>
        <v>Bath / lưu trữ nhà vệ sinh</v>
      </c>
      <c r="F67" s="3" t="str">
        <f ca="1">IFERROR(__xludf.DUMMYFUNCTION("GOOGLETRANSLATE(C67,""ja"",""vi"")"),"Đấu giá&gt; nhà, nội thất&gt; lưu trữ&gt; tắm / lưu trữ nhà vệ sinh")</f>
        <v>Đấu giá&gt; nhà, nội thất&gt; lưu trữ&gt; tắm / lưu trữ nhà vệ sinh</v>
      </c>
      <c r="G67" s="229" t="str">
        <f t="shared" ref="G67:G130" ca="1" si="2">CONCATENATE(CHAR(34)&amp;"",A67,""&amp;CHAR(34)," : ", CHAR(34)&amp;"",E67,""&amp;CHAR(34),",")</f>
        <v>"2084288156" : "Bath / lưu trữ nhà vệ sinh",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href="javascript:;"(click)="categoryEvent(2084288156)"&gt;{{"2084288156" | translate}}&lt;/a&gt;&lt;/li&gt;</v>
      </c>
    </row>
    <row r="68" spans="1:8" ht="14.25" customHeight="1">
      <c r="A68" s="2">
        <v>2084288164</v>
      </c>
      <c r="B68" s="2" t="s">
        <v>2461</v>
      </c>
      <c r="C68" s="2" t="s">
        <v>2463</v>
      </c>
      <c r="D68" s="2" t="s">
        <v>2464</v>
      </c>
      <c r="E68" s="3" t="str">
        <f ca="1">IFERROR(__xludf.DUMMYFUNCTION("GOOGLETRANSLATE(B68,""ja"",""vi"")"),"Dịch vụ giặt ủi")</f>
        <v>Dịch vụ giặt ủi</v>
      </c>
      <c r="F68" s="3" t="str">
        <f ca="1">IFERROR(__xludf.DUMMYFUNCTION("GOOGLETRANSLATE(C68,""ja"",""vi"")"),"Đấu giá&gt; nhà, nội thất&gt; lưu trữ&gt; Dịch vụ giặt ủi")</f>
        <v>Đấu giá&gt; nhà, nội thất&gt; lưu trữ&gt; Dịch vụ giặt ủi</v>
      </c>
      <c r="G68" s="229" t="str">
        <f t="shared" ca="1" si="2"/>
        <v>"2084288164" : "Dịch vụ giặt ủi",</v>
      </c>
      <c r="H68" s="229" t="str">
        <f t="shared" si="3"/>
        <v>&lt;li class="col-md-3"&gt;&lt;a class="text-cut" href="javascript:;"(click)="categoryEvent(2084288164)"&gt;{{"2084288164" | translate}}&lt;/a&gt;&lt;/li&gt;</v>
      </c>
    </row>
    <row r="69" spans="1:8" ht="14.25" customHeight="1">
      <c r="A69" s="2">
        <v>2084288171</v>
      </c>
      <c r="B69" s="2" t="s">
        <v>2468</v>
      </c>
      <c r="C69" s="2" t="s">
        <v>2470</v>
      </c>
      <c r="D69" s="2" t="s">
        <v>2471</v>
      </c>
      <c r="E69" s="3" t="str">
        <f ca="1">IFERROR(__xludf.DUMMYFUNCTION("GOOGLETRANSLATE(B69,""ja"",""vi"")"),"Lối vào / lưu trữ ngoài trời")</f>
        <v>Lối vào / lưu trữ ngoài trời</v>
      </c>
      <c r="F69" s="3" t="str">
        <f ca="1">IFERROR(__xludf.DUMMYFUNCTION("GOOGLETRANSLATE(C69,""ja"",""vi"")"),"Đấu giá&gt; nhà, nội thất&gt; lưu trữ&gt; lối vào / lưu trữ ngoài trời")</f>
        <v>Đấu giá&gt; nhà, nội thất&gt; lưu trữ&gt; lối vào / lưu trữ ngoài trời</v>
      </c>
      <c r="G69" s="229" t="str">
        <f t="shared" ca="1" si="2"/>
        <v>"2084288171" : "Lối vào / lưu trữ ngoài trời",</v>
      </c>
      <c r="H69" s="229" t="str">
        <f t="shared" si="3"/>
        <v>&lt;li class="col-md-3"&gt;&lt;a class="text-cut" href="javascript:;"(click)="categoryEvent(2084288171)"&gt;{{"2084288171" | translate}}&lt;/a&gt;&lt;/li&gt;</v>
      </c>
    </row>
    <row r="70" spans="1:8" ht="14.25" customHeight="1">
      <c r="A70" s="2">
        <v>2084288178</v>
      </c>
      <c r="B70" s="2" t="s">
        <v>2472</v>
      </c>
      <c r="C70" s="2" t="s">
        <v>2473</v>
      </c>
      <c r="D70" s="2" t="s">
        <v>2475</v>
      </c>
      <c r="E70" s="3" t="str">
        <f ca="1">IFERROR(__xludf.DUMMYFUNCTION("GOOGLETRANSLATE(B70,""ja"",""vi"")"),"Trẻ em lưu trữ sản phẩm")</f>
        <v>Trẻ em lưu trữ sản phẩm</v>
      </c>
      <c r="F70" s="3" t="str">
        <f ca="1">IFERROR(__xludf.DUMMYFUNCTION("GOOGLETRANSLATE(C70,""ja"",""vi"")"),"Đấu giá&gt; nhà, nội thất&gt; lưu trữ&gt; Sản phẩm cho trẻ em lưu trữ")</f>
        <v>Đấu giá&gt; nhà, nội thất&gt; lưu trữ&gt; Sản phẩm cho trẻ em lưu trữ</v>
      </c>
      <c r="G70" s="229" t="str">
        <f t="shared" ca="1" si="2"/>
        <v>"2084288178" : "Trẻ em lưu trữ sản phẩm",</v>
      </c>
      <c r="H70" s="229" t="str">
        <f t="shared" si="3"/>
        <v>&lt;li class="col-md-3"&gt;&lt;a class="text-cut" href="javascript:;"(click)="categoryEvent(2084288178)"&gt;{{"2084288178" | translate}}&lt;/a&gt;&lt;/li&gt;</v>
      </c>
    </row>
    <row r="71" spans="1:8" ht="14.25" customHeight="1">
      <c r="A71" s="2">
        <v>2084055700</v>
      </c>
      <c r="B71" s="2" t="s">
        <v>2477</v>
      </c>
      <c r="C71" s="2" t="s">
        <v>2478</v>
      </c>
      <c r="D71" s="2" t="s">
        <v>2480</v>
      </c>
      <c r="E71" s="3" t="str">
        <f ca="1">IFERROR(__xludf.DUMMYFUNCTION("GOOGLETRANSLATE(B71,""ja"",""vi"")"),"sản phẩm phòng chống rơi đồ nội thất")</f>
        <v>sản phẩm phòng chống rơi đồ nội thất</v>
      </c>
      <c r="F71" s="3" t="str">
        <f ca="1">IFERROR(__xludf.DUMMYFUNCTION("GOOGLETRANSLATE(C71,""ja"",""vi"")"),"Đấu giá&gt; nhà, nội thất&gt; lưu trữ&gt; Sản phẩm phòng chống sụp đổ Đồ")</f>
        <v>Đấu giá&gt; nhà, nội thất&gt; lưu trữ&gt; Sản phẩm phòng chống sụp đổ Đồ</v>
      </c>
      <c r="G71" s="229" t="str">
        <f t="shared" ca="1" si="2"/>
        <v>"2084055700" : "sản phẩm phòng chống rơi đồ nội thất",</v>
      </c>
      <c r="H71" s="229" t="str">
        <f t="shared" si="3"/>
        <v>&lt;li class="col-md-3"&gt;&lt;a class="text-cut" href="javascript:;"(click)="categoryEvent(2084055700)"&gt;{{"2084055700" | translate}}&lt;/a&gt;&lt;/li&gt;</v>
      </c>
    </row>
    <row r="72" spans="1:8" ht="14.25" customHeight="1">
      <c r="E72" s="3"/>
      <c r="F72" s="3"/>
      <c r="G72" s="229"/>
      <c r="H72" s="229"/>
    </row>
    <row r="73" spans="1:8" ht="14.25" customHeight="1">
      <c r="A73" s="237">
        <v>24230</v>
      </c>
      <c r="B73" s="232"/>
      <c r="C73" s="232"/>
      <c r="D73" s="233"/>
      <c r="E73" s="3"/>
      <c r="F73" s="3"/>
      <c r="G73" s="229"/>
      <c r="H73" s="229"/>
    </row>
    <row r="74" spans="1:8" ht="14.25" customHeight="1">
      <c r="A74" s="2">
        <v>2084283581</v>
      </c>
      <c r="B74" s="2" t="s">
        <v>2486</v>
      </c>
      <c r="C74" s="2" t="s">
        <v>2489</v>
      </c>
      <c r="D74" s="2" t="s">
        <v>2491</v>
      </c>
      <c r="E74" s="3" t="str">
        <f ca="1">IFERROR(__xludf.DUMMYFUNCTION("GOOGLETRANSLATE(B74,""ja"",""vi"")"),"Nhãn hiệu / thiết kế bởi")</f>
        <v>Nhãn hiệu / thiết kế bởi</v>
      </c>
      <c r="F74" s="3" t="str">
        <f ca="1">IFERROR(__xludf.DUMMYFUNCTION("GOOGLETRANSLATE(C74,""ja"",""vi"")"),"Đấu giá&gt; nhà, nội thất&gt; nội thất, nội thất&gt; Nhãn hiệu / thiết kế bởi")</f>
        <v>Đấu giá&gt; nhà, nội thất&gt; nội thất, nội thất&gt; Nhãn hiệu / thiết kế bởi</v>
      </c>
      <c r="G74" s="229" t="str">
        <f t="shared" ca="1" si="2"/>
        <v>"2084283581" : "Nhãn hiệu / thiết kế bởi",</v>
      </c>
      <c r="H74" s="229" t="str">
        <f t="shared" si="3"/>
        <v>&lt;li class="col-md-3"&gt;&lt;a class="text-cut" href="javascript:;"(click)="categoryEvent(2084283581)"&gt;{{"2084283581" | translate}}&lt;/a&gt;&lt;/li&gt;</v>
      </c>
    </row>
    <row r="75" spans="1:8" ht="14.25" customHeight="1">
      <c r="A75" s="2">
        <v>2084007908</v>
      </c>
      <c r="B75" s="2" t="s">
        <v>2494</v>
      </c>
      <c r="C75" s="2" t="s">
        <v>2495</v>
      </c>
      <c r="D75" s="2" t="s">
        <v>2496</v>
      </c>
      <c r="E75" s="3" t="str">
        <f ca="1">IFERROR(__xludf.DUMMYFUNCTION("GOOGLETRANSLATE(B75,""ja"",""vi"")"),"Sofa, giường sofa")</f>
        <v>Sofa, giường sofa</v>
      </c>
      <c r="F75" s="3" t="str">
        <f ca="1">IFERROR(__xludf.DUMMYFUNCTION("GOOGLETRANSLATE(C75,""ja"",""vi"")"),"Đấu giá&gt; nhà, nội thất&gt; nội thất, nội thất&gt; sofa, giường sofa")</f>
        <v>Đấu giá&gt; nhà, nội thất&gt; nội thất, nội thất&gt; sofa, giường sofa</v>
      </c>
      <c r="G75" s="229" t="str">
        <f t="shared" ca="1" si="2"/>
        <v>"2084007908" : "Sofa, giường sofa",</v>
      </c>
      <c r="H75" s="229" t="str">
        <f t="shared" si="3"/>
        <v>&lt;li class="col-md-3"&gt;&lt;a class="text-cut" href="javascript:;"(click)="categoryEvent(2084007908)"&gt;{{"2084007908" | translate}}&lt;/a&gt;&lt;/li&gt;</v>
      </c>
    </row>
    <row r="76" spans="1:8" ht="14.25" customHeight="1">
      <c r="A76" s="2">
        <v>2084007909</v>
      </c>
      <c r="B76" s="2" t="s">
        <v>766</v>
      </c>
      <c r="C76" s="2" t="s">
        <v>2500</v>
      </c>
      <c r="D76" s="2" t="s">
        <v>2501</v>
      </c>
      <c r="E76" s="3" t="str">
        <f ca="1">IFERROR(__xludf.DUMMYFUNCTION("GOOGLETRANSLATE(B76,""ja"",""vi"")"),"các ghế")</f>
        <v>các ghế</v>
      </c>
      <c r="F76" s="3" t="str">
        <f ca="1">IFERROR(__xludf.DUMMYFUNCTION("GOOGLETRANSLATE(C76,""ja"",""vi"")"),"Đấu giá&gt; nhà, nội thất&gt; nội thất, nội thất&gt; Ghế")</f>
        <v>Đấu giá&gt; nhà, nội thất&gt; nội thất, nội thất&gt; Ghế</v>
      </c>
      <c r="G76" s="229" t="str">
        <f t="shared" ca="1" si="2"/>
        <v>"2084007909" : "các ghế",</v>
      </c>
      <c r="H76" s="229" t="str">
        <f t="shared" si="3"/>
        <v>&lt;li class="col-md-3"&gt;&lt;a class="text-cut" href="javascript:;"(click)="categoryEvent(2084007909)"&gt;{{"2084007909" | translate}}&lt;/a&gt;&lt;/li&gt;</v>
      </c>
    </row>
    <row r="77" spans="1:8" ht="14.25" customHeight="1">
      <c r="A77" s="2">
        <v>2084006342</v>
      </c>
      <c r="B77" s="2" t="s">
        <v>2502</v>
      </c>
      <c r="C77" s="2" t="s">
        <v>2504</v>
      </c>
      <c r="D77" s="2" t="s">
        <v>2505</v>
      </c>
      <c r="E77" s="3" t="str">
        <f ca="1">IFERROR(__xludf.DUMMYFUNCTION("GOOGLETRANSLATE(B77,""ja"",""vi"")"),"Giường, nệm")</f>
        <v>Giường, nệm</v>
      </c>
      <c r="F77" s="3" t="str">
        <f ca="1">IFERROR(__xludf.DUMMYFUNCTION("GOOGLETRANSLATE(C77,""ja"",""vi"")"),"Đấu giá&gt; nhà, nội thất&gt; nội thất, nội thất&gt; giường, nệm")</f>
        <v>Đấu giá&gt; nhà, nội thất&gt; nội thất, nội thất&gt; giường, nệm</v>
      </c>
      <c r="G77" s="229" t="str">
        <f t="shared" ca="1" si="2"/>
        <v>"2084006342" : "Giường, nệm",</v>
      </c>
      <c r="H77" s="229" t="str">
        <f t="shared" si="3"/>
        <v>&lt;li class="col-md-3"&gt;&lt;a class="text-cut" href="javascript:;"(click)="categoryEvent(2084006342)"&gt;{{"2084006342" | translate}}&lt;/a&gt;&lt;/li&gt;</v>
      </c>
    </row>
    <row r="78" spans="1:8" ht="14.25" customHeight="1">
      <c r="A78" s="2">
        <v>2084005510</v>
      </c>
      <c r="B78" s="2" t="s">
        <v>1878</v>
      </c>
      <c r="C78" s="2" t="s">
        <v>2509</v>
      </c>
      <c r="D78" s="2" t="s">
        <v>2511</v>
      </c>
      <c r="E78" s="3" t="str">
        <f ca="1">IFERROR(__xludf.DUMMYFUNCTION("GOOGLETRANSLATE(B78,""ja"",""vi"")"),"bàn")</f>
        <v>bàn</v>
      </c>
      <c r="F78" s="3" t="str">
        <f ca="1">IFERROR(__xludf.DUMMYFUNCTION("GOOGLETRANSLATE(C78,""ja"",""vi"")"),"Đấu giá&gt; nhà, nội thất&gt; nội thất, nội thất&gt; bảng")</f>
        <v>Đấu giá&gt; nhà, nội thất&gt; nội thất, nội thất&gt; bảng</v>
      </c>
      <c r="G78" s="229" t="str">
        <f t="shared" ca="1" si="2"/>
        <v>"2084005510" : "bàn",</v>
      </c>
      <c r="H78" s="229" t="str">
        <f t="shared" si="3"/>
        <v>&lt;li class="col-md-3"&gt;&lt;a class="text-cut" href="javascript:;"(click)="categoryEvent(2084005510)"&gt;{{"2084005510" | translate}}&lt;/a&gt;&lt;/li&gt;</v>
      </c>
    </row>
    <row r="79" spans="1:8" ht="14.25" customHeight="1">
      <c r="A79" s="2">
        <v>2084005509</v>
      </c>
      <c r="B79" s="2" t="s">
        <v>1912</v>
      </c>
      <c r="C79" s="2" t="s">
        <v>2516</v>
      </c>
      <c r="D79" s="2" t="s">
        <v>2517</v>
      </c>
      <c r="E79" s="3" t="str">
        <f ca="1">IFERROR(__xludf.DUMMYFUNCTION("GOOGLETRANSLATE(B79,""ja"",""vi"")"),"bàn")</f>
        <v>bàn</v>
      </c>
      <c r="F79" s="3" t="str">
        <f ca="1">IFERROR(__xludf.DUMMYFUNCTION("GOOGLETRANSLATE(C79,""ja"",""vi"")"),"Đấu giá&gt; nhà, nội thất&gt; nội thất, nội thất&gt; bàn")</f>
        <v>Đấu giá&gt; nhà, nội thất&gt; nội thất, nội thất&gt; bàn</v>
      </c>
      <c r="G79" s="229" t="str">
        <f t="shared" ca="1" si="2"/>
        <v>"2084005509" : "bàn",</v>
      </c>
      <c r="H79" s="229" t="str">
        <f t="shared" si="3"/>
        <v>&lt;li class="col-md-3"&gt;&lt;a class="text-cut" href="javascript:;"(click)="categoryEvent(2084005509)"&gt;{{"2084005509" | translate}}&lt;/a&gt;&lt;/li&gt;</v>
      </c>
    </row>
    <row r="80" spans="1:8" ht="14.25" customHeight="1">
      <c r="A80" s="2">
        <v>2084006343</v>
      </c>
      <c r="B80" s="2" t="s">
        <v>2385</v>
      </c>
      <c r="C80" s="2" t="s">
        <v>2520</v>
      </c>
      <c r="D80" s="2" t="s">
        <v>2522</v>
      </c>
      <c r="E80" s="3" t="str">
        <f ca="1">IFERROR(__xludf.DUMMYFUNCTION("GOOGLETRANSLATE(B80,""ja"",""vi"")"),"Bộ đồ giường")</f>
        <v>Bộ đồ giường</v>
      </c>
      <c r="F80" s="3" t="str">
        <f ca="1">IFERROR(__xludf.DUMMYFUNCTION("GOOGLETRANSLATE(C80,""ja"",""vi"")"),"Đấu giá&gt; nhà, nội thất&gt; nội thất, nội thất&gt; Bộ đồ giường")</f>
        <v>Đấu giá&gt; nhà, nội thất&gt; nội thất, nội thất&gt; Bộ đồ giường</v>
      </c>
      <c r="G80" s="229" t="str">
        <f t="shared" ca="1" si="2"/>
        <v>"2084006343" : "Bộ đồ giường",</v>
      </c>
      <c r="H80" s="229" t="str">
        <f t="shared" si="3"/>
        <v>&lt;li class="col-md-3"&gt;&lt;a class="text-cut" href="javascript:;"(click)="categoryEvent(2084006343)"&gt;{{"2084006343" | translate}}&lt;/a&gt;&lt;/li&gt;</v>
      </c>
    </row>
    <row r="81" spans="1:8" ht="14.25" customHeight="1">
      <c r="A81" s="2">
        <v>2084005507</v>
      </c>
      <c r="B81" s="2" t="s">
        <v>2526</v>
      </c>
      <c r="C81" s="2" t="s">
        <v>2527</v>
      </c>
      <c r="D81" s="2" t="s">
        <v>2528</v>
      </c>
      <c r="E81" s="3" t="str">
        <f ca="1">IFERROR(__xludf.DUMMYFUNCTION("GOOGLETRANSLATE(B81,""ja"",""vi"")"),"Kệ, tủ")</f>
        <v>Kệ, tủ</v>
      </c>
      <c r="F81" s="3" t="str">
        <f ca="1">IFERROR(__xludf.DUMMYFUNCTION("GOOGLETRANSLATE(C81,""ja"",""vi"")"),"Đấu giá&gt; nhà, nội thất&gt; nội thất, nội thất&gt; kệ, tủ")</f>
        <v>Đấu giá&gt; nhà, nội thất&gt; nội thất, nội thất&gt; kệ, tủ</v>
      </c>
      <c r="G81" s="229" t="str">
        <f t="shared" ca="1" si="2"/>
        <v>"2084005507" : "Kệ, tủ",</v>
      </c>
      <c r="H81" s="229" t="str">
        <f t="shared" si="3"/>
        <v>&lt;li class="col-md-3"&gt;&lt;a class="text-cut" href="javascript:;"(click)="categoryEvent(2084005507)"&gt;{{"2084005507" | translate}}&lt;/a&gt;&lt;/li&gt;</v>
      </c>
    </row>
    <row r="82" spans="1:8" ht="14.25" customHeight="1">
      <c r="A82" s="2">
        <v>2084005508</v>
      </c>
      <c r="B82" s="2" t="s">
        <v>2534</v>
      </c>
      <c r="C82" s="2" t="s">
        <v>2535</v>
      </c>
      <c r="D82" s="2" t="s">
        <v>2536</v>
      </c>
      <c r="E82" s="3" t="str">
        <f ca="1">IFERROR(__xludf.DUMMYFUNCTION("GOOGLETRANSLATE(B82,""ja"",""vi"")"),"Ngực của ngăn kéo, ngực")</f>
        <v>Ngực của ngăn kéo, ngực</v>
      </c>
      <c r="F82" s="3" t="str">
        <f ca="1">IFERROR(__xludf.DUMMYFUNCTION("GOOGLETRANSLATE(C82,""ja"",""vi"")"),"Đấu giá&gt; nhà, nội thất&gt; nội thất, nội thất&gt; ngực, ngực")</f>
        <v>Đấu giá&gt; nhà, nội thất&gt; nội thất, nội thất&gt; ngực, ngực</v>
      </c>
      <c r="G82" s="229" t="str">
        <f t="shared" ca="1" si="2"/>
        <v>"2084005508" : "Ngực của ngăn kéo, ngực",</v>
      </c>
      <c r="H82" s="229" t="str">
        <f t="shared" si="3"/>
        <v>&lt;li class="col-md-3"&gt;&lt;a class="text-cut" href="javascript:;"(click)="categoryEvent(2084005508)"&gt;{{"2084005508" | translate}}&lt;/a&gt;&lt;/li&gt;</v>
      </c>
    </row>
    <row r="83" spans="1:8" ht="14.25" customHeight="1">
      <c r="A83" s="2">
        <v>2084057212</v>
      </c>
      <c r="B83" s="2" t="s">
        <v>2541</v>
      </c>
      <c r="C83" s="2" t="s">
        <v>2542</v>
      </c>
      <c r="D83" s="2" t="s">
        <v>2544</v>
      </c>
      <c r="E83" s="3" t="str">
        <f ca="1">IFERROR(__xludf.DUMMYFUNCTION("GOOGLETRANSLATE(B83,""ja"",""vi"")"),"Tủ quần áo, tủ quần áo")</f>
        <v>Tủ quần áo, tủ quần áo</v>
      </c>
      <c r="F83" s="3" t="str">
        <f ca="1">IFERROR(__xludf.DUMMYFUNCTION("GOOGLETRANSLATE(C83,""ja"",""vi"")"),"Đấu giá&gt; nhà, nội thất&gt; nội thất, nội thất&gt; tủ quần áo, tủ quần áo")</f>
        <v>Đấu giá&gt; nhà, nội thất&gt; nội thất, nội thất&gt; tủ quần áo, tủ quần áo</v>
      </c>
      <c r="G83" s="229" t="str">
        <f t="shared" ca="1" si="2"/>
        <v>"2084057212" : "Tủ quần áo, tủ quần áo",</v>
      </c>
      <c r="H83" s="229" t="str">
        <f t="shared" si="3"/>
        <v>&lt;li class="col-md-3"&gt;&lt;a class="text-cut" href="javascript:;"(click)="categoryEvent(2084057212)"&gt;{{"2084057212" | translate}}&lt;/a&gt;&lt;/li&gt;</v>
      </c>
    </row>
    <row r="84" spans="1:8" ht="14.25" customHeight="1">
      <c r="A84" s="2">
        <v>2084061609</v>
      </c>
      <c r="B84" s="2" t="s">
        <v>1684</v>
      </c>
      <c r="C84" s="2" t="s">
        <v>2549</v>
      </c>
      <c r="D84" s="2" t="s">
        <v>2551</v>
      </c>
      <c r="E84" s="3" t="str">
        <f ca="1">IFERROR(__xludf.DUMMYFUNCTION("GOOGLETRANSLATE(B84,""ja"",""vi"")"),"hanger giá")</f>
        <v>hanger giá</v>
      </c>
      <c r="F84" s="3" t="str">
        <f ca="1">IFERROR(__xludf.DUMMYFUNCTION("GOOGLETRANSLATE(C84,""ja"",""vi"")"),"Đấu giá&gt; nhà, nội thất&gt; nội thất, nội thất&gt; hanger giá")</f>
        <v>Đấu giá&gt; nhà, nội thất&gt; nội thất, nội thất&gt; hanger giá</v>
      </c>
      <c r="G84" s="229" t="str">
        <f t="shared" ca="1" si="2"/>
        <v>"2084061609" : "hanger giá",</v>
      </c>
      <c r="H84" s="229" t="str">
        <f t="shared" si="3"/>
        <v>&lt;li class="col-md-3"&gt;&lt;a class="text-cut" href="javascript:;"(click)="categoryEvent(2084061609)"&gt;{{"2084061609" | translate}}&lt;/a&gt;&lt;/li&gt;</v>
      </c>
    </row>
    <row r="85" spans="1:8" ht="14.25" customHeight="1">
      <c r="A85" s="2">
        <v>2084061512</v>
      </c>
      <c r="B85" s="2" t="s">
        <v>2554</v>
      </c>
      <c r="C85" s="2" t="s">
        <v>2556</v>
      </c>
      <c r="D85" s="2" t="s">
        <v>2558</v>
      </c>
      <c r="E85" s="3" t="str">
        <f ca="1">IFERROR(__xludf.DUMMYFUNCTION("GOOGLETRANSLATE(B85,""ja"",""vi"")"),"Trang phục trường hợp")</f>
        <v>Trang phục trường hợp</v>
      </c>
      <c r="F85" s="3" t="str">
        <f ca="1">IFERROR(__xludf.DUMMYFUNCTION("GOOGLETRANSLATE(C85,""ja"",""vi"")"),"Đấu giá&gt; nhà, nội thất&gt; nội thất, nội thất&gt; tủ quần áo")</f>
        <v>Đấu giá&gt; nhà, nội thất&gt; nội thất, nội thất&gt; tủ quần áo</v>
      </c>
      <c r="G85" s="229" t="str">
        <f t="shared" ca="1" si="2"/>
        <v>"2084061512" : "Trang phục trường hợp",</v>
      </c>
      <c r="H85" s="229" t="str">
        <f t="shared" si="3"/>
        <v>&lt;li class="col-md-3"&gt;&lt;a class="text-cut" href="javascript:;"(click)="categoryEvent(2084061512)"&gt;{{"2084061512" | translate}}&lt;/a&gt;&lt;/li&gt;</v>
      </c>
    </row>
    <row r="86" spans="1:8" ht="14.25" customHeight="1">
      <c r="A86" s="2">
        <v>2084232106</v>
      </c>
      <c r="B86" s="2" t="s">
        <v>2563</v>
      </c>
      <c r="C86" s="2" t="s">
        <v>2564</v>
      </c>
      <c r="D86" s="2" t="s">
        <v>2565</v>
      </c>
      <c r="E86" s="3" t="str">
        <f ca="1">IFERROR(__xludf.DUMMYFUNCTION("GOOGLETRANSLATE(B86,""ja"",""vi"")"),"tủ đựng chén")</f>
        <v>tủ đựng chén</v>
      </c>
      <c r="F86" s="3" t="str">
        <f ca="1">IFERROR(__xludf.DUMMYFUNCTION("GOOGLETRANSLATE(C86,""ja"",""vi"")"),"Đấu giá&gt; nhà, nội thất&gt; nội thất, nội thất&gt; tủ")</f>
        <v>Đấu giá&gt; nhà, nội thất&gt; nội thất, nội thất&gt; tủ</v>
      </c>
      <c r="G86" s="229" t="str">
        <f t="shared" ca="1" si="2"/>
        <v>"2084232106" : "tủ đựng chén",</v>
      </c>
      <c r="H86" s="229" t="str">
        <f t="shared" si="3"/>
        <v>&lt;li class="col-md-3"&gt;&lt;a class="text-cut" href="javascript:;"(click)="categoryEvent(2084232106)"&gt;{{"2084232106" | translate}}&lt;/a&gt;&lt;/li&gt;</v>
      </c>
    </row>
    <row r="87" spans="1:8" ht="14.25" customHeight="1">
      <c r="A87" s="2">
        <v>2084005506</v>
      </c>
      <c r="B87" s="2" t="s">
        <v>2571</v>
      </c>
      <c r="C87" s="2" t="s">
        <v>2572</v>
      </c>
      <c r="D87" s="2" t="s">
        <v>2573</v>
      </c>
      <c r="E87" s="3" t="str">
        <f ca="1">IFERROR(__xludf.DUMMYFUNCTION("GOOGLETRANSLATE(B87,""ja"",""vi"")"),"Bàn trang điểm, tủ quần áo")</f>
        <v>Bàn trang điểm, tủ quần áo</v>
      </c>
      <c r="F87" s="3" t="str">
        <f ca="1">IFERROR(__xludf.DUMMYFUNCTION("GOOGLETRANSLATE(C87,""ja"",""vi"")"),"Đấu giá&gt; nhà, nội thất&gt; nội thất, nội thất&gt; thay đồ bàn, tủ quần áo")</f>
        <v>Đấu giá&gt; nhà, nội thất&gt; nội thất, nội thất&gt; thay đồ bàn, tủ quần áo</v>
      </c>
      <c r="G87" s="229" t="str">
        <f t="shared" ca="1" si="2"/>
        <v>"2084005506" : "Bàn trang điểm, tủ quần áo",</v>
      </c>
      <c r="H87" s="229" t="str">
        <f t="shared" si="3"/>
        <v>&lt;li class="col-md-3"&gt;&lt;a class="text-cut" href="javascript:;"(click)="categoryEvent(2084005506)"&gt;{{"2084005506" | translate}}&lt;/a&gt;&lt;/li&gt;</v>
      </c>
    </row>
    <row r="88" spans="1:8" ht="14.25" customHeight="1">
      <c r="A88" s="2">
        <v>22928</v>
      </c>
      <c r="B88" s="2" t="s">
        <v>1558</v>
      </c>
      <c r="C88" s="2" t="s">
        <v>2576</v>
      </c>
      <c r="D88" s="2" t="s">
        <v>2577</v>
      </c>
      <c r="E88" s="3" t="str">
        <f ca="1">IFERROR(__xludf.DUMMYFUNCTION("GOOGLETRANSLATE(B88,""ja"",""vi"")"),"nội thất văn phòng")</f>
        <v>nội thất văn phòng</v>
      </c>
      <c r="F88" s="3" t="str">
        <f ca="1">IFERROR(__xludf.DUMMYFUNCTION("GOOGLETRANSLATE(C88,""ja"",""vi"")"),"Đấu giá&gt; nhà, nội thất&gt; nội thất, nội thất&gt; nội thất văn phòng")</f>
        <v>Đấu giá&gt; nhà, nội thất&gt; nội thất, nội thất&gt; nội thất văn phòng</v>
      </c>
      <c r="G88" s="229" t="str">
        <f t="shared" ca="1" si="2"/>
        <v>"22928" : "nội thất văn phòng",</v>
      </c>
      <c r="H88" s="229" t="str">
        <f t="shared" si="3"/>
        <v>&lt;li class="col-md-3"&gt;&lt;a class="text-cut" href="javascript:;"(click)="categoryEvent(22928)"&gt;{{"22928" | translate}}&lt;/a&gt;&lt;/li&gt;</v>
      </c>
    </row>
    <row r="89" spans="1:8" ht="14.25" customHeight="1">
      <c r="A89" s="2">
        <v>2084055700</v>
      </c>
      <c r="B89" s="2" t="s">
        <v>2477</v>
      </c>
      <c r="C89" s="2" t="s">
        <v>2580</v>
      </c>
      <c r="D89" s="2" t="s">
        <v>2581</v>
      </c>
      <c r="E89" s="3" t="str">
        <f ca="1">IFERROR(__xludf.DUMMYFUNCTION("GOOGLETRANSLATE(B89,""ja"",""vi"")"),"sản phẩm phòng chống rơi đồ nội thất")</f>
        <v>sản phẩm phòng chống rơi đồ nội thất</v>
      </c>
      <c r="F89" s="3" t="str">
        <f ca="1">IFERROR(__xludf.DUMMYFUNCTION("GOOGLETRANSLATE(C89,""ja"",""vi"")"),"Đấu giá&gt; nhà, nội thất&gt; nội thất, nội thất&gt; Sản phẩm phòng chống đồ nội thất mùa thu")</f>
        <v>Đấu giá&gt; nhà, nội thất&gt; nội thất, nội thất&gt; Sản phẩm phòng chống đồ nội thất mùa thu</v>
      </c>
      <c r="G89" s="229" t="str">
        <f t="shared" ca="1" si="2"/>
        <v>"2084055700" : "sản phẩm phòng chống rơi đồ nội thất",</v>
      </c>
      <c r="H89" s="229" t="str">
        <f t="shared" si="3"/>
        <v>&lt;li class="col-md-3"&gt;&lt;a class="text-cut" href="javascript:;"(click)="categoryEvent(2084055700)"&gt;{{"2084055700" | translate}}&lt;/a&gt;&lt;/li&gt;</v>
      </c>
    </row>
    <row r="90" spans="1:8" ht="14.25" customHeight="1">
      <c r="A90" s="2">
        <v>2084024330</v>
      </c>
      <c r="B90" s="2" t="s">
        <v>2583</v>
      </c>
      <c r="C90" s="2" t="s">
        <v>2585</v>
      </c>
      <c r="D90" s="2" t="s">
        <v>2588</v>
      </c>
      <c r="E90" s="3" t="str">
        <f ca="1">IFERROR(__xludf.DUMMYFUNCTION("GOOGLETRANSLATE(B90,""ja"",""vi"")"),"Nội thất Phụ kiện")</f>
        <v>Nội thất Phụ kiện</v>
      </c>
      <c r="F90" s="3" t="str">
        <f ca="1">IFERROR(__xludf.DUMMYFUNCTION("GOOGLETRANSLATE(C90,""ja"",""vi"")"),"Đấu giá&gt; nhà, nội thất&gt; nội thất, nội thất&gt; phụ kiện nội thất")</f>
        <v>Đấu giá&gt; nhà, nội thất&gt; nội thất, nội thất&gt; phụ kiện nội thất</v>
      </c>
      <c r="G90" s="229" t="str">
        <f t="shared" ca="1" si="2"/>
        <v>"2084024330" : "Nội thất Phụ kiện",</v>
      </c>
      <c r="H90" s="229" t="str">
        <f t="shared" si="3"/>
        <v>&lt;li class="col-md-3"&gt;&lt;a class="text-cut" href="javascript:;"(click)="categoryEvent(2084024330)"&gt;{{"2084024330" | translate}}&lt;/a&gt;&lt;/li&gt;</v>
      </c>
    </row>
    <row r="91" spans="1:8" ht="14.25" customHeight="1">
      <c r="A91" s="2">
        <v>42158</v>
      </c>
      <c r="B91" s="2" t="s">
        <v>2592</v>
      </c>
      <c r="C91" s="2" t="s">
        <v>2593</v>
      </c>
      <c r="D91" s="2" t="s">
        <v>2594</v>
      </c>
      <c r="E91" s="3" t="str">
        <f ca="1">IFERROR(__xludf.DUMMYFUNCTION("GOOGLETRANSLATE(B91,""ja"",""vi"")"),"Rèm cửa, rèm")</f>
        <v>Rèm cửa, rèm</v>
      </c>
      <c r="F91" s="3" t="str">
        <f ca="1">IFERROR(__xludf.DUMMYFUNCTION("GOOGLETRANSLATE(C91,""ja"",""vi"")"),"Đấu giá&gt; nhà, nội thất&gt; nội thất, nội thất&gt; rèm, mù")</f>
        <v>Đấu giá&gt; nhà, nội thất&gt; nội thất, nội thất&gt; rèm, mù</v>
      </c>
      <c r="G91" s="229" t="str">
        <f t="shared" ca="1" si="2"/>
        <v>"42158" : "Rèm cửa, rèm",</v>
      </c>
      <c r="H91" s="229" t="str">
        <f t="shared" si="3"/>
        <v>&lt;li class="col-md-3"&gt;&lt;a class="text-cut" href="javascript:;"(click)="categoryEvent(42158)"&gt;{{"42158" | translate}}&lt;/a&gt;&lt;/li&gt;</v>
      </c>
    </row>
    <row r="92" spans="1:8" ht="14.25" customHeight="1">
      <c r="A92" s="2">
        <v>24236</v>
      </c>
      <c r="B92" s="2" t="s">
        <v>2601</v>
      </c>
      <c r="C92" s="2" t="s">
        <v>2602</v>
      </c>
      <c r="D92" s="2" t="s">
        <v>2603</v>
      </c>
      <c r="E92" s="3" t="str">
        <f ca="1">IFERROR(__xludf.DUMMYFUNCTION("GOOGLETRANSLATE(B92,""ja"",""vi"")"),"Thảm, thảm, thảm")</f>
        <v>Thảm, thảm, thảm</v>
      </c>
      <c r="F92" s="3" t="str">
        <f ca="1">IFERROR(__xludf.DUMMYFUNCTION("GOOGLETRANSLATE(C92,""ja"",""vi"")"),"Đấu giá&gt; nhà, nội thất&gt; nội thất, nội thất&gt; thảm, chăn, chiếu")</f>
        <v>Đấu giá&gt; nhà, nội thất&gt; nội thất, nội thất&gt; thảm, chăn, chiếu</v>
      </c>
      <c r="G92" s="229" t="str">
        <f t="shared" ca="1" si="2"/>
        <v>"24236" : "Thảm, thảm, thảm",</v>
      </c>
      <c r="H92" s="229" t="str">
        <f t="shared" si="3"/>
        <v>&lt;li class="col-md-3"&gt;&lt;a class="text-cut" href="javascript:;"(click)="categoryEvent(24236)"&gt;{{"24236" | translate}}&lt;/a&gt;&lt;/li&gt;</v>
      </c>
    </row>
    <row r="93" spans="1:8" ht="14.25" customHeight="1">
      <c r="A93" s="2">
        <v>24237</v>
      </c>
      <c r="B93" s="2" t="s">
        <v>2610</v>
      </c>
      <c r="C93" s="2" t="s">
        <v>2611</v>
      </c>
      <c r="D93" s="2" t="s">
        <v>2612</v>
      </c>
      <c r="E93" s="3" t="str">
        <f ca="1">IFERROR(__xludf.DUMMYFUNCTION("GOOGLETRANSLATE(B93,""ja"",""vi"")"),"Tapestry, treo tường")</f>
        <v>Tapestry, treo tường</v>
      </c>
      <c r="F93" s="3" t="str">
        <f ca="1">IFERROR(__xludf.DUMMYFUNCTION("GOOGLETRANSLATE(C93,""ja"",""vi"")"),"Đấu giá&gt; nhà, nội thất&gt; nội thất, nội thất&gt; tấm thảm, treo tường")</f>
        <v>Đấu giá&gt; nhà, nội thất&gt; nội thất, nội thất&gt; tấm thảm, treo tường</v>
      </c>
      <c r="G93" s="229" t="str">
        <f t="shared" ca="1" si="2"/>
        <v>"24237" : "Tapestry, treo tường",</v>
      </c>
      <c r="H93" s="229" t="str">
        <f t="shared" si="3"/>
        <v>&lt;li class="col-md-3"&gt;&lt;a class="text-cut" href="javascript:;"(click)="categoryEvent(24237)"&gt;{{"24237" | translate}}&lt;/a&gt;&lt;/li&gt;</v>
      </c>
    </row>
    <row r="94" spans="1:8" ht="14.25" customHeight="1">
      <c r="A94" s="2">
        <v>24694</v>
      </c>
      <c r="B94" s="2" t="s">
        <v>1732</v>
      </c>
      <c r="C94" s="2" t="s">
        <v>2619</v>
      </c>
      <c r="D94" s="2" t="s">
        <v>2620</v>
      </c>
      <c r="E94" s="3" t="str">
        <f ca="1">IFERROR(__xludf.DUMMYFUNCTION("GOOGLETRANSLATE(B94,""ja"",""vi"")"),"gương")</f>
        <v>gương</v>
      </c>
      <c r="F94" s="3" t="str">
        <f ca="1">IFERROR(__xludf.DUMMYFUNCTION("GOOGLETRANSLATE(C94,""ja"",""vi"")"),"Đấu giá&gt; nhà, nội thất&gt; nội thất, nội thất&gt; gương")</f>
        <v>Đấu giá&gt; nhà, nội thất&gt; nội thất, nội thất&gt; gương</v>
      </c>
      <c r="G94" s="229" t="str">
        <f t="shared" ca="1" si="2"/>
        <v>"24694" : "gương",</v>
      </c>
      <c r="H94" s="229" t="str">
        <f t="shared" si="3"/>
        <v>&lt;li class="col-md-3"&gt;&lt;a class="text-cut" href="javascript:;"(click)="categoryEvent(24694)"&gt;{{"24694" | translate}}&lt;/a&gt;&lt;/li&gt;</v>
      </c>
    </row>
    <row r="95" spans="1:8" ht="14.25" customHeight="1">
      <c r="A95" s="2">
        <v>24690</v>
      </c>
      <c r="B95" s="2" t="s">
        <v>2627</v>
      </c>
      <c r="C95" s="2" t="s">
        <v>2628</v>
      </c>
      <c r="D95" s="2" t="s">
        <v>2629</v>
      </c>
      <c r="E95" s="3" t="str">
        <f ca="1">IFERROR(__xludf.DUMMYFUNCTION("GOOGLETRANSLATE(B95,""ja"",""vi"")"),"chiếu sáng")</f>
        <v>chiếu sáng</v>
      </c>
      <c r="F95" s="3" t="str">
        <f ca="1">IFERROR(__xludf.DUMMYFUNCTION("GOOGLETRANSLATE(C95,""ja"",""vi"")"),"Đấu giá&gt; nhà, nội thất&gt; nội thất, nội thất&gt; ánh sáng")</f>
        <v>Đấu giá&gt; nhà, nội thất&gt; nội thất, nội thất&gt; ánh sáng</v>
      </c>
      <c r="G95" s="229" t="str">
        <f t="shared" ca="1" si="2"/>
        <v>"24690" : "chiếu sáng",</v>
      </c>
      <c r="H95" s="229" t="str">
        <f t="shared" si="3"/>
        <v>&lt;li class="col-md-3"&gt;&lt;a class="text-cut" href="javascript:;"(click)="categoryEvent(24690)"&gt;{{"24690" | translate}}&lt;/a&gt;&lt;/li&gt;</v>
      </c>
    </row>
    <row r="96" spans="1:8" ht="14.25" customHeight="1">
      <c r="A96" s="2">
        <v>2084059849</v>
      </c>
      <c r="B96" s="2" t="s">
        <v>2095</v>
      </c>
      <c r="C96" s="2" t="s">
        <v>2635</v>
      </c>
      <c r="D96" s="2" t="s">
        <v>2637</v>
      </c>
      <c r="E96" s="3" t="str">
        <f ca="1">IFERROR(__xludf.DUMMYFUNCTION("GOOGLETRANSLATE(B96,""ja"",""vi"")"),"bàn thờ Phật giáo, Phật giáo phụ kiện bàn thờ")</f>
        <v>bàn thờ Phật giáo, Phật giáo phụ kiện bàn thờ</v>
      </c>
      <c r="F96" s="3" t="str">
        <f ca="1">IFERROR(__xludf.DUMMYFUNCTION("GOOGLETRANSLATE(C96,""ja"",""vi"")"),"Đấu giá&gt; nhà, nội thất&gt; nội thất, nội thất&gt; gia đình Phật giáo bàn thờ, phụ kiện bàn thờ Phật giáo")</f>
        <v>Đấu giá&gt; nhà, nội thất&gt; nội thất, nội thất&gt; gia đình Phật giáo bàn thờ, phụ kiện bàn thờ Phật giáo</v>
      </c>
      <c r="G96" s="229" t="str">
        <f t="shared" ca="1" si="2"/>
        <v>"2084059849" : "bàn thờ Phật giáo, Phật giáo phụ kiện bàn thờ",</v>
      </c>
      <c r="H96" s="229" t="str">
        <f t="shared" si="3"/>
        <v>&lt;li class="col-md-3"&gt;&lt;a class="text-cut" href="javascript:;"(click)="categoryEvent(2084059849)"&gt;{{"2084059849" | translate}}&lt;/a&gt;&lt;/li&gt;</v>
      </c>
    </row>
    <row r="97" spans="1:8" ht="14.25" customHeight="1">
      <c r="A97" s="2">
        <v>2084049574</v>
      </c>
      <c r="B97" s="2" t="s">
        <v>2639</v>
      </c>
      <c r="C97" s="2" t="s">
        <v>2643</v>
      </c>
      <c r="D97" s="2" t="s">
        <v>2645</v>
      </c>
      <c r="E97" s="3" t="str">
        <f ca="1">IFERROR(__xludf.DUMMYFUNCTION("GOOGLETRANSLATE(B97,""ja"",""vi"")"),"màn hình gấp, phân vùng")</f>
        <v>màn hình gấp, phân vùng</v>
      </c>
      <c r="F97" s="3" t="str">
        <f ca="1">IFERROR(__xludf.DUMMYFUNCTION("GOOGLETRANSLATE(C97,""ja"",""vi"")"),"Đấu giá&gt; nhà, nội thất&gt; nội thất, nội thất&gt; gấp màn hình, phân vùng")</f>
        <v>Đấu giá&gt; nhà, nội thất&gt; nội thất, nội thất&gt; gấp màn hình, phân vùng</v>
      </c>
      <c r="G97" s="229" t="str">
        <f t="shared" ca="1" si="2"/>
        <v>"2084049574" : "màn hình gấp, phân vùng",</v>
      </c>
      <c r="H97" s="229" t="str">
        <f t="shared" si="3"/>
        <v>&lt;li class="col-md-3"&gt;&lt;a class="text-cut" href="javascript:;"(click)="categoryEvent(2084049574)"&gt;{{"2084049574" | translate}}&lt;/a&gt;&lt;/li&gt;</v>
      </c>
    </row>
    <row r="98" spans="1:8" ht="14.25" customHeight="1">
      <c r="A98" s="2">
        <v>2084236067</v>
      </c>
      <c r="B98" s="2" t="s">
        <v>2647</v>
      </c>
      <c r="C98" s="2" t="s">
        <v>2648</v>
      </c>
      <c r="D98" s="2" t="s">
        <v>2650</v>
      </c>
      <c r="E98" s="3" t="str">
        <f ca="1">IFERROR(__xludf.DUMMYFUNCTION("GOOGLETRANSLATE(B98,""ja"",""vi"")"),"đồ nội thất cổ")</f>
        <v>đồ nội thất cổ</v>
      </c>
      <c r="F98" s="3" t="str">
        <f ca="1">IFERROR(__xludf.DUMMYFUNCTION("GOOGLETRANSLATE(C98,""ja"",""vi"")"),"Đấu giá&gt; nhà, nội thất&gt; nội thất, nội thất&gt; Đồ nội thất cổ")</f>
        <v>Đấu giá&gt; nhà, nội thất&gt; nội thất, nội thất&gt; Đồ nội thất cổ</v>
      </c>
      <c r="G98" s="229" t="str">
        <f t="shared" ca="1" si="2"/>
        <v>"2084236067" : "đồ nội thất cổ",</v>
      </c>
      <c r="H98" s="229" t="str">
        <f t="shared" si="3"/>
        <v>&lt;li class="col-md-3"&gt;&lt;a class="text-cut" href="javascript:;"(click)="categoryEvent(2084236067)"&gt;{{"2084236067" | translate}}&lt;/a&gt;&lt;/li&gt;</v>
      </c>
    </row>
    <row r="99" spans="1:8" ht="14.25" customHeight="1">
      <c r="A99" s="2">
        <v>2084307800</v>
      </c>
      <c r="B99" s="2" t="s">
        <v>2119</v>
      </c>
      <c r="C99" s="2" t="s">
        <v>2656</v>
      </c>
      <c r="D99" s="2" t="s">
        <v>2657</v>
      </c>
      <c r="E99" s="3" t="str">
        <f ca="1">IFERROR(__xludf.DUMMYFUNCTION("GOOGLETRANSLATE(B99,""ja"",""vi"")"),"Đồ gỗ, nội thất cho thuê")</f>
        <v>Đồ gỗ, nội thất cho thuê</v>
      </c>
      <c r="F99" s="3" t="str">
        <f ca="1">IFERROR(__xludf.DUMMYFUNCTION("GOOGLETRANSLATE(C99,""ja"",""vi"")"),"Đấu giá&gt; nhà, nội thất&gt; nội thất, nội thất&gt; nội thất, cho thuê nội thất")</f>
        <v>Đấu giá&gt; nhà, nội thất&gt; nội thất, nội thất&gt; nội thất, cho thuê nội thất</v>
      </c>
      <c r="G99" s="229" t="str">
        <f t="shared" ca="1" si="2"/>
        <v>"2084307800" : "Đồ gỗ, nội thất cho thuê",</v>
      </c>
      <c r="H99" s="229" t="str">
        <f t="shared" si="3"/>
        <v>&lt;li class="col-md-3"&gt;&lt;a class="text-cut" href="javascript:;"(click)="categoryEvent(2084307800)"&gt;{{"2084307800" | translate}}&lt;/a&gt;&lt;/li&gt;</v>
      </c>
    </row>
    <row r="100" spans="1:8" ht="14.25" customHeight="1">
      <c r="A100" s="2">
        <v>2084002115</v>
      </c>
      <c r="B100" s="2" t="s">
        <v>16</v>
      </c>
      <c r="C100" s="2" t="s">
        <v>2664</v>
      </c>
      <c r="D100" s="2" t="s">
        <v>2665</v>
      </c>
      <c r="E100" s="3" t="str">
        <f ca="1">IFERROR(__xludf.DUMMYFUNCTION("GOOGLETRANSLATE(B100,""ja"",""vi"")"),"nếu không thì")</f>
        <v>nếu không thì</v>
      </c>
      <c r="F100" s="3" t="str">
        <f ca="1">IFERROR(__xludf.DUMMYFUNCTION("GOOGLETRANSLATE(C100,""ja"",""vi"")"),"Đấu giá&gt; nhà, nội thất&gt; nội thất, nội thất&gt; Khác")</f>
        <v>Đấu giá&gt; nhà, nội thất&gt; nội thất, nội thất&gt; Khác</v>
      </c>
      <c r="G100" s="229" t="str">
        <f t="shared" ca="1" si="2"/>
        <v>"2084002115" : "nếu không thì",</v>
      </c>
      <c r="H100" s="229" t="str">
        <f t="shared" si="3"/>
        <v>&lt;li class="col-md-3"&gt;&lt;a class="text-cut" href="javascript:;"(click)="categoryEvent(2084002115)"&gt;{{"2084002115" | translate}}&lt;/a&gt;&lt;/li&gt;</v>
      </c>
    </row>
    <row r="101" spans="1:8" ht="14.25" customHeight="1">
      <c r="E101" s="3"/>
      <c r="F101" s="3"/>
      <c r="G101" s="229"/>
      <c r="H101" s="229"/>
    </row>
    <row r="102" spans="1:8" ht="14.25" customHeight="1">
      <c r="A102" s="241">
        <v>2084240626</v>
      </c>
      <c r="B102" s="232"/>
      <c r="C102" s="232"/>
      <c r="D102" s="233"/>
      <c r="E102" s="3"/>
      <c r="F102" s="3"/>
      <c r="G102" s="229"/>
      <c r="H102" s="229"/>
    </row>
    <row r="103" spans="1:8" ht="14.25" customHeight="1">
      <c r="A103" s="2">
        <v>2084240627</v>
      </c>
      <c r="B103" s="2" t="s">
        <v>2678</v>
      </c>
      <c r="C103" s="2" t="s">
        <v>2679</v>
      </c>
      <c r="D103" s="2" t="s">
        <v>2680</v>
      </c>
      <c r="E103" s="3" t="str">
        <f ca="1">IFERROR(__xludf.DUMMYFUNCTION("GOOGLETRANSLATE(B103,""ja"",""vi"")"),"Máy móc gia dụng nhà bếp")</f>
        <v>Máy móc gia dụng nhà bếp</v>
      </c>
      <c r="F103" s="3" t="str">
        <f ca="1">IFERROR(__xludf.DUMMYFUNCTION("GOOGLETRANSLATE(C103,""ja"",""vi"")"),"Đấu giá&gt; nhà, nội thất&gt; công việc thủ công&gt; Thiết bị nhà bếp")</f>
        <v>Đấu giá&gt; nhà, nội thất&gt; công việc thủ công&gt; Thiết bị nhà bếp</v>
      </c>
      <c r="G103" s="229" t="str">
        <f t="shared" ca="1" si="2"/>
        <v>"2084240627" : "Máy móc gia dụng nhà bếp",</v>
      </c>
      <c r="H103" s="229" t="str">
        <f t="shared" si="3"/>
        <v>&lt;li class="col-md-3"&gt;&lt;a class="text-cut" href="javascript:;"(click)="categoryEvent(2084240627)"&gt;{{"2084240627" | translate}}&lt;/a&gt;&lt;/li&gt;</v>
      </c>
    </row>
    <row r="104" spans="1:8" ht="14.25" customHeight="1">
      <c r="A104" s="2">
        <v>2084304870</v>
      </c>
      <c r="B104" s="2" t="s">
        <v>2686</v>
      </c>
      <c r="C104" s="2" t="s">
        <v>2688</v>
      </c>
      <c r="D104" s="2" t="s">
        <v>2689</v>
      </c>
      <c r="E104" s="3" t="str">
        <f ca="1">IFERROR(__xludf.DUMMYFUNCTION("GOOGLETRANSLATE(B104,""ja"",""vi"")"),"Rèm cửa, vải")</f>
        <v>Rèm cửa, vải</v>
      </c>
      <c r="F104" s="3" t="str">
        <f ca="1">IFERROR(__xludf.DUMMYFUNCTION("GOOGLETRANSLATE(C104,""ja"",""vi"")"),"Đấu giá&gt; nhà, nội thất&gt; công việc thủ công&gt; rèm, vải")</f>
        <v>Đấu giá&gt; nhà, nội thất&gt; công việc thủ công&gt; rèm, vải</v>
      </c>
      <c r="G104" s="229" t="str">
        <f t="shared" ca="1" si="2"/>
        <v>"2084304870" : "Rèm cửa, vải",</v>
      </c>
      <c r="H104" s="229" t="str">
        <f t="shared" si="3"/>
        <v>&lt;li class="col-md-3"&gt;&lt;a class="text-cut" href="javascript:;"(click)="categoryEvent(2084304870)"&gt;{{"2084304870" | translate}}&lt;/a&gt;&lt;/li&gt;</v>
      </c>
    </row>
    <row r="105" spans="1:8" ht="14.25" customHeight="1">
      <c r="A105" s="2">
        <v>2084304889</v>
      </c>
      <c r="B105" s="2" t="s">
        <v>2691</v>
      </c>
      <c r="C105" s="2" t="s">
        <v>2694</v>
      </c>
      <c r="D105" s="2" t="s">
        <v>2697</v>
      </c>
      <c r="E105" s="3" t="str">
        <f ca="1">IFERROR(__xludf.DUMMYFUNCTION("GOOGLETRANSLATE(B105,""ja"",""vi"")"),"Trường hợp, túi lưu trữ")</f>
        <v>Trường hợp, túi lưu trữ</v>
      </c>
      <c r="F105" s="3" t="str">
        <f ca="1">IFERROR(__xludf.DUMMYFUNCTION("GOOGLETRANSLATE(C105,""ja"",""vi"")"),"Đấu giá&gt; nhà, nội thất&gt; công việc thủ công&gt; trường hợp, túi lưu trữ")</f>
        <v>Đấu giá&gt; nhà, nội thất&gt; công việc thủ công&gt; trường hợp, túi lưu trữ</v>
      </c>
      <c r="G105" s="229" t="str">
        <f t="shared" ca="1" si="2"/>
        <v>"2084304889" : "Trường hợp, túi lưu trữ",</v>
      </c>
      <c r="H105" s="229" t="str">
        <f t="shared" si="3"/>
        <v>&lt;li class="col-md-3"&gt;&lt;a class="text-cut" href="javascript:;"(click)="categoryEvent(2084304889)"&gt;{{"2084304889" | translate}}&lt;/a&gt;&lt;/li&gt;</v>
      </c>
    </row>
    <row r="106" spans="1:8" ht="14.25" customHeight="1">
      <c r="A106" s="2">
        <v>2084240628</v>
      </c>
      <c r="B106" s="2" t="s">
        <v>2699</v>
      </c>
      <c r="C106" s="2" t="s">
        <v>2702</v>
      </c>
      <c r="D106" s="2" t="s">
        <v>2704</v>
      </c>
      <c r="E106" s="3" t="str">
        <f ca="1">IFERROR(__xludf.DUMMYFUNCTION("GOOGLETRANSLATE(B106,""ja"",""vi"")"),"Nội thất, ghế")</f>
        <v>Nội thất, ghế</v>
      </c>
      <c r="F106" s="3" t="str">
        <f ca="1">IFERROR(__xludf.DUMMYFUNCTION("GOOGLETRANSLATE(C106,""ja"",""vi"")"),"Đấu giá&gt; nhà, nội thất&gt; công việc thủ công&gt; đồ nội thất, ghế")</f>
        <v>Đấu giá&gt; nhà, nội thất&gt; công việc thủ công&gt; đồ nội thất, ghế</v>
      </c>
      <c r="G106" s="229" t="str">
        <f t="shared" ca="1" si="2"/>
        <v>"2084240628" : "Nội thất, ghế",</v>
      </c>
      <c r="H106" s="229" t="str">
        <f t="shared" si="3"/>
        <v>&lt;li class="col-md-3"&gt;&lt;a class="text-cut" href="javascript:;"(click)="categoryEvent(2084240628)"&gt;{{"2084240628" | translate}}&lt;/a&gt;&lt;/li&gt;</v>
      </c>
    </row>
    <row r="107" spans="1:8" ht="14.25" customHeight="1">
      <c r="A107" s="2">
        <v>2084304879</v>
      </c>
      <c r="B107" s="2" t="s">
        <v>2385</v>
      </c>
      <c r="C107" s="2" t="s">
        <v>2711</v>
      </c>
      <c r="D107" s="2" t="s">
        <v>2713</v>
      </c>
      <c r="E107" s="3" t="str">
        <f ca="1">IFERROR(__xludf.DUMMYFUNCTION("GOOGLETRANSLATE(B107,""ja"",""vi"")"),"Bộ đồ giường")</f>
        <v>Bộ đồ giường</v>
      </c>
      <c r="F107" s="3" t="str">
        <f ca="1">IFERROR(__xludf.DUMMYFUNCTION("GOOGLETRANSLATE(C107,""ja"",""vi"")"),"Đấu giá&gt; nhà, nội thất&gt; Công trình làm bằng tay&gt; Bộ đồ giường")</f>
        <v>Đấu giá&gt; nhà, nội thất&gt; Công trình làm bằng tay&gt; Bộ đồ giường</v>
      </c>
      <c r="G107" s="229" t="str">
        <f t="shared" ca="1" si="2"/>
        <v>"2084304879" : "Bộ đồ giường",</v>
      </c>
      <c r="H107" s="229" t="str">
        <f t="shared" si="3"/>
        <v>&lt;li class="col-md-3"&gt;&lt;a class="text-cut" href="javascript:;"(click)="categoryEvent(2084304879)"&gt;{{"2084304879" | translate}}&lt;/a&gt;&lt;/li&gt;</v>
      </c>
    </row>
    <row r="108" spans="1:8" ht="14.25" customHeight="1">
      <c r="A108" s="2">
        <v>2084240629</v>
      </c>
      <c r="B108" s="2" t="s">
        <v>2719</v>
      </c>
      <c r="C108" s="2" t="s">
        <v>2720</v>
      </c>
      <c r="D108" s="2" t="s">
        <v>2722</v>
      </c>
      <c r="E108" s="3" t="str">
        <f ca="1">IFERROR(__xludf.DUMMYFUNCTION("GOOGLETRANSLATE(B108,""ja"",""vi"")"),"Nội vụ, Hàng")</f>
        <v>Nội vụ, Hàng</v>
      </c>
      <c r="F108" s="3" t="str">
        <f ca="1">IFERROR(__xludf.DUMMYFUNCTION("GOOGLETRANSLATE(C108,""ja"",""vi"")"),"Đấu giá&gt; nhà, nội thất&gt; công việc thủ công&gt; nội thất, hàng hóa linh tinh")</f>
        <v>Đấu giá&gt; nhà, nội thất&gt; công việc thủ công&gt; nội thất, hàng hóa linh tinh</v>
      </c>
      <c r="G108" s="229" t="str">
        <f t="shared" ca="1" si="2"/>
        <v>"2084240629" : "Nội vụ, Hàng",</v>
      </c>
      <c r="H108" s="229" t="str">
        <f t="shared" si="3"/>
        <v>&lt;li class="col-md-3"&gt;&lt;a class="text-cut" href="javascript:;"(click)="categoryEvent(2084240629)"&gt;{{"2084240629" | translate}}&lt;/a&gt;&lt;/li&gt;</v>
      </c>
    </row>
    <row r="109" spans="1:8" ht="14.25" customHeight="1">
      <c r="A109" s="2">
        <v>2084304897</v>
      </c>
      <c r="B109" s="2" t="s">
        <v>1780</v>
      </c>
      <c r="C109" s="2" t="s">
        <v>2731</v>
      </c>
      <c r="D109" s="2" t="s">
        <v>2732</v>
      </c>
      <c r="E109" s="3" t="str">
        <f ca="1">IFERROR(__xludf.DUMMYFUNCTION("GOOGLETRANSLATE(B109,""ja"",""vi"")"),"Vật tư thú cưng")</f>
        <v>Vật tư thú cưng</v>
      </c>
      <c r="F109" s="3" t="str">
        <f ca="1">IFERROR(__xludf.DUMMYFUNCTION("GOOGLETRANSLATE(C109,""ja"",""vi"")"),"Đấu giá&gt; nhà, nội thất&gt; công việc thủ công&gt; Vật tư thú nuôi")</f>
        <v>Đấu giá&gt; nhà, nội thất&gt; công việc thủ công&gt; Vật tư thú nuôi</v>
      </c>
      <c r="G109" s="229" t="str">
        <f t="shared" ca="1" si="2"/>
        <v>"2084304897" : "Vật tư thú cưng",</v>
      </c>
      <c r="H109" s="229" t="str">
        <f t="shared" si="3"/>
        <v>&lt;li class="col-md-3"&gt;&lt;a class="text-cut" href="javascript:;"(click)="categoryEvent(2084304897)"&gt;{{"2084304897" | translate}}&lt;/a&gt;&lt;/li&gt;</v>
      </c>
    </row>
    <row r="110" spans="1:8" ht="14.25" customHeight="1">
      <c r="A110" s="2">
        <v>2084304904</v>
      </c>
      <c r="B110" s="2" t="s">
        <v>2739</v>
      </c>
      <c r="C110" s="2" t="s">
        <v>2741</v>
      </c>
      <c r="D110" s="2" t="s">
        <v>2743</v>
      </c>
      <c r="E110" s="3" t="str">
        <f ca="1">IFERROR(__xludf.DUMMYFUNCTION("GOOGLETRANSLATE(B110,""ja"",""vi"")"),"nguồn cung cấp tổ chức sự kiện hàng năm")</f>
        <v>nguồn cung cấp tổ chức sự kiện hàng năm</v>
      </c>
      <c r="F110" s="3" t="str">
        <f ca="1">IFERROR(__xludf.DUMMYFUNCTION("GOOGLETRANSLATE(C110,""ja"",""vi"")"),"Đấu giá&gt; nhà, nội thất&gt; công việc thủ công&gt; nguồn cung cấp sự kiện thường niên")</f>
        <v>Đấu giá&gt; nhà, nội thất&gt; công việc thủ công&gt; nguồn cung cấp sự kiện thường niên</v>
      </c>
      <c r="G110" s="229" t="str">
        <f t="shared" ca="1" si="2"/>
        <v>"2084304904" : "nguồn cung cấp tổ chức sự kiện hàng năm",</v>
      </c>
      <c r="H110" s="229" t="str">
        <f t="shared" si="3"/>
        <v>&lt;li class="col-md-3"&gt;&lt;a class="text-cut" href="javascript:;"(click)="categoryEvent(2084304904)"&gt;{{"2084304904" | translate}}&lt;/a&gt;&lt;/li&gt;</v>
      </c>
    </row>
    <row r="111" spans="1:8" ht="14.25" customHeight="1">
      <c r="A111" s="2">
        <v>2084304905</v>
      </c>
      <c r="B111" s="2" t="s">
        <v>2751</v>
      </c>
      <c r="C111" s="2" t="s">
        <v>2752</v>
      </c>
      <c r="D111" s="2" t="s">
        <v>2753</v>
      </c>
      <c r="E111" s="3" t="str">
        <f ca="1">IFERROR(__xludf.DUMMYFUNCTION("GOOGLETRANSLATE(B111,""ja"",""vi"")"),"nguồn cung cấp đám cưới")</f>
        <v>nguồn cung cấp đám cưới</v>
      </c>
      <c r="F111" s="3" t="str">
        <f ca="1">IFERROR(__xludf.DUMMYFUNCTION("GOOGLETRANSLATE(C111,""ja"",""vi"")"),"Đấu giá&gt; nhà, nội thất&gt; công việc thủ công&gt; Wedding Supplies")</f>
        <v>Đấu giá&gt; nhà, nội thất&gt; công việc thủ công&gt; Wedding Supplies</v>
      </c>
      <c r="G111" s="229" t="str">
        <f t="shared" ca="1" si="2"/>
        <v>"2084304905" : "nguồn cung cấp đám cưới",</v>
      </c>
      <c r="H111" s="229" t="str">
        <f t="shared" si="3"/>
        <v>&lt;li class="col-md-3"&gt;&lt;a class="text-cut" href="javascript:;"(click)="categoryEvent(2084304905)"&gt;{{"2084304905" | translate}}&lt;/a&gt;&lt;/li&gt;</v>
      </c>
    </row>
    <row r="112" spans="1:8" ht="14.25" customHeight="1">
      <c r="A112" s="2">
        <v>20924</v>
      </c>
      <c r="B112" s="2" t="s">
        <v>2760</v>
      </c>
      <c r="C112" s="2" t="s">
        <v>2761</v>
      </c>
      <c r="D112" s="2" t="s">
        <v>2763</v>
      </c>
      <c r="E112" s="3" t="str">
        <f ca="1">IFERROR(__xludf.DUMMYFUNCTION("GOOGLETRANSLATE(B112,""ja"",""vi"")"),"Làm bằng tay chất liệu")</f>
        <v>Làm bằng tay chất liệu</v>
      </c>
      <c r="F112" s="3" t="str">
        <f ca="1">IFERROR(__xludf.DUMMYFUNCTION("GOOGLETRANSLATE(C112,""ja"",""vi"")"),"Đấu giá&gt; nhà, nội thất&gt; công việc thủ công&gt; nguyên liệu handmade")</f>
        <v>Đấu giá&gt; nhà, nội thất&gt; công việc thủ công&gt; nguyên liệu handmade</v>
      </c>
      <c r="G112" s="229" t="str">
        <f t="shared" ca="1" si="2"/>
        <v>"20924" : "Làm bằng tay chất liệu",</v>
      </c>
      <c r="H112" s="229" t="str">
        <f t="shared" si="3"/>
        <v>&lt;li class="col-md-3"&gt;&lt;a class="text-cut" href="javascript:;"(click)="categoryEvent(20924)"&gt;{{"20924" | translate}}&lt;/a&gt;&lt;/li&gt;</v>
      </c>
    </row>
    <row r="113" spans="1:8" ht="14.25" customHeight="1">
      <c r="A113" s="2">
        <v>2084240630</v>
      </c>
      <c r="B113" s="2" t="s">
        <v>16</v>
      </c>
      <c r="C113" s="2" t="s">
        <v>2770</v>
      </c>
      <c r="D113" s="2" t="s">
        <v>2772</v>
      </c>
      <c r="E113" s="3" t="str">
        <f ca="1">IFERROR(__xludf.DUMMYFUNCTION("GOOGLETRANSLATE(B113,""ja"",""vi"")"),"nếu không thì")</f>
        <v>nếu không thì</v>
      </c>
      <c r="F113" s="3" t="str">
        <f ca="1">IFERROR(__xludf.DUMMYFUNCTION("GOOGLETRANSLATE(C113,""ja"",""vi"")"),"Đấu giá&gt; nhà, nội thất&gt; công việc thủ công&gt; Khác")</f>
        <v>Đấu giá&gt; nhà, nội thất&gt; công việc thủ công&gt; Khác</v>
      </c>
      <c r="G113" s="229" t="str">
        <f t="shared" ca="1" si="2"/>
        <v>"2084240630" : "nếu không thì",</v>
      </c>
      <c r="H113" s="229" t="str">
        <f t="shared" si="3"/>
        <v>&lt;li class="col-md-3"&gt;&lt;a class="text-cut" href="javascript:;"(click)="categoryEvent(2084240630)"&gt;{{"2084240630" | translate}}&lt;/a&gt;&lt;/li&gt;</v>
      </c>
    </row>
    <row r="114" spans="1:8" ht="14.25" customHeight="1">
      <c r="E114" s="3"/>
      <c r="F114" s="3"/>
      <c r="G114" s="229"/>
      <c r="H114" s="229"/>
    </row>
    <row r="115" spans="1:8" ht="14.25" customHeight="1">
      <c r="A115" s="242">
        <v>24642</v>
      </c>
      <c r="B115" s="232"/>
      <c r="C115" s="232"/>
      <c r="D115" s="233"/>
      <c r="E115" s="3"/>
      <c r="F115" s="3"/>
      <c r="G115" s="229"/>
      <c r="H115" s="229"/>
    </row>
    <row r="116" spans="1:8" ht="14.25" customHeight="1">
      <c r="A116" s="2">
        <v>24666</v>
      </c>
      <c r="B116" s="2" t="s">
        <v>2781</v>
      </c>
      <c r="C116" s="2" t="s">
        <v>2783</v>
      </c>
      <c r="D116" s="2" t="s">
        <v>2786</v>
      </c>
      <c r="E116" s="3" t="str">
        <f ca="1">IFERROR(__xludf.DUMMYFUNCTION("GOOGLETRANSLATE(B116,""ja"",""vi"")"),"công cụ quyền lực")</f>
        <v>công cụ quyền lực</v>
      </c>
      <c r="F116" s="3" t="str">
        <f ca="1">IFERROR(__xludf.DUMMYFUNCTION("GOOGLETRANSLATE(C116,""ja"",""vi"")"),"Đấu giá&gt; nhà, nội thất&gt; công cụ, DIY nguồn cung cấp&gt; công cụ quyền lực")</f>
        <v>Đấu giá&gt; nhà, nội thất&gt; công cụ, DIY nguồn cung cấp&gt; công cụ quyền lực</v>
      </c>
      <c r="G116" s="229" t="str">
        <f t="shared" ca="1" si="2"/>
        <v>"24666" : "công cụ quyền lực",</v>
      </c>
      <c r="H116" s="229" t="str">
        <f t="shared" si="3"/>
        <v>&lt;li class="col-md-3"&gt;&lt;a class="text-cut" href="javascript:;"(click)="categoryEvent(24666)"&gt;{{"24666" | translate}}&lt;/a&gt;&lt;/li&gt;</v>
      </c>
    </row>
    <row r="117" spans="1:8" ht="14.25" customHeight="1">
      <c r="A117" s="2">
        <v>2084042020</v>
      </c>
      <c r="B117" s="2" t="s">
        <v>2790</v>
      </c>
      <c r="C117" s="2" t="s">
        <v>2793</v>
      </c>
      <c r="D117" s="2" t="s">
        <v>2796</v>
      </c>
      <c r="E117" s="3" t="str">
        <f ca="1">IFERROR(__xludf.DUMMYFUNCTION("GOOGLETRANSLATE(B117,""ja"",""vi"")"),"Air Tools")</f>
        <v>Air Tools</v>
      </c>
      <c r="F117" s="3" t="str">
        <f ca="1">IFERROR(__xludf.DUMMYFUNCTION("GOOGLETRANSLATE(C117,""ja"",""vi"")"),"Đấu giá&gt; nhà, nội thất&gt; công cụ, DIY nguồn cung cấp&gt; Công cụ không khí")</f>
        <v>Đấu giá&gt; nhà, nội thất&gt; công cụ, DIY nguồn cung cấp&gt; Công cụ không khí</v>
      </c>
      <c r="G117" s="229" t="str">
        <f t="shared" ca="1" si="2"/>
        <v>"2084042020" : "Air Tools",</v>
      </c>
      <c r="H117" s="229" t="str">
        <f t="shared" si="3"/>
        <v>&lt;li class="col-md-3"&gt;&lt;a class="text-cut" href="javascript:;"(click)="categoryEvent(2084042020)"&gt;{{"2084042020" | translate}}&lt;/a&gt;&lt;/li&gt;</v>
      </c>
    </row>
    <row r="118" spans="1:8" ht="14.25" customHeight="1">
      <c r="A118" s="2">
        <v>24654</v>
      </c>
      <c r="B118" s="2" t="s">
        <v>2798</v>
      </c>
      <c r="C118" s="2" t="s">
        <v>2800</v>
      </c>
      <c r="D118" s="2" t="s">
        <v>2801</v>
      </c>
      <c r="E118" s="3" t="str">
        <f ca="1">IFERROR(__xludf.DUMMYFUNCTION("GOOGLETRANSLATE(B118,""ja"",""vi"")"),"dụng cụ cầm tay, dụng cụ nghề mộc")</f>
        <v>dụng cụ cầm tay, dụng cụ nghề mộc</v>
      </c>
      <c r="F118" s="3" t="str">
        <f ca="1">IFERROR(__xludf.DUMMYFUNCTION("GOOGLETRANSLATE(C118,""ja"",""vi"")"),"Đấu giá&gt; nhà, nội thất&gt; công cụ, DIY nguồn cung cấp&gt; dụng cụ cầm tay, dụng cụ nghề mộc")</f>
        <v>Đấu giá&gt; nhà, nội thất&gt; công cụ, DIY nguồn cung cấp&gt; dụng cụ cầm tay, dụng cụ nghề mộc</v>
      </c>
      <c r="G118" s="229" t="str">
        <f t="shared" ca="1" si="2"/>
        <v>"24654" : "dụng cụ cầm tay, dụng cụ nghề mộc",</v>
      </c>
      <c r="H118" s="229" t="str">
        <f t="shared" si="3"/>
        <v>&lt;li class="col-md-3"&gt;&lt;a class="text-cut" href="javascript:;"(click)="categoryEvent(24654)"&gt;{{"24654" | translate}}&lt;/a&gt;&lt;/li&gt;</v>
      </c>
    </row>
    <row r="119" spans="1:8" ht="14.25" customHeight="1">
      <c r="A119" s="2">
        <v>2084207159</v>
      </c>
      <c r="B119" s="2" t="s">
        <v>2806</v>
      </c>
      <c r="C119" s="2" t="s">
        <v>2807</v>
      </c>
      <c r="D119" s="2" t="s">
        <v>2810</v>
      </c>
      <c r="E119" s="3" t="str">
        <f ca="1">IFERROR(__xludf.DUMMYFUNCTION("GOOGLETRANSLATE(B119,""ja"",""vi"")"),"công cụ ứng dụng cụ thể")</f>
        <v>công cụ ứng dụng cụ thể</v>
      </c>
      <c r="F119" s="3" t="str">
        <f ca="1">IFERROR(__xludf.DUMMYFUNCTION("GOOGLETRANSLATE(C119,""ja"",""vi"")"),"Đấu giá&gt; nhà, nội thất&gt; công cụ, DIY nguồn cung cấp&gt; công cụ ứng dụng cụ thể")</f>
        <v>Đấu giá&gt; nhà, nội thất&gt; công cụ, DIY nguồn cung cấp&gt; công cụ ứng dụng cụ thể</v>
      </c>
      <c r="G119" s="229" t="str">
        <f t="shared" ca="1" si="2"/>
        <v>"2084207159" : "công cụ ứng dụng cụ thể",</v>
      </c>
      <c r="H119" s="229" t="str">
        <f t="shared" si="3"/>
        <v>&lt;li class="col-md-3"&gt;&lt;a class="text-cut" href="javascript:;"(click)="categoryEvent(2084207159)"&gt;{{"2084207159" | translate}}&lt;/a&gt;&lt;/li&gt;</v>
      </c>
    </row>
    <row r="120" spans="1:8" ht="14.25" customHeight="1">
      <c r="A120" s="2">
        <v>2084207930</v>
      </c>
      <c r="B120" s="2" t="s">
        <v>2815</v>
      </c>
      <c r="C120" s="2" t="s">
        <v>2817</v>
      </c>
      <c r="D120" s="2" t="s">
        <v>2820</v>
      </c>
      <c r="E120" s="3" t="str">
        <f ca="1">IFERROR(__xludf.DUMMYFUNCTION("GOOGLETRANSLATE(B120,""ja"",""vi"")"),"Vật liệu, vật liệu")</f>
        <v>Vật liệu, vật liệu</v>
      </c>
      <c r="F120" s="3" t="str">
        <f ca="1">IFERROR(__xludf.DUMMYFUNCTION("GOOGLETRANSLATE(C120,""ja"",""vi"")"),"Đấu giá&gt; nhà, nội thất&gt; công cụ, DIY nguồn cung cấp&gt; vật liệu, vật liệu")</f>
        <v>Đấu giá&gt; nhà, nội thất&gt; công cụ, DIY nguồn cung cấp&gt; vật liệu, vật liệu</v>
      </c>
      <c r="G120" s="229" t="str">
        <f t="shared" ca="1" si="2"/>
        <v>"2084207930" : "Vật liệu, vật liệu",</v>
      </c>
      <c r="H120" s="229" t="str">
        <f t="shared" si="3"/>
        <v>&lt;li class="col-md-3"&gt;&lt;a class="text-cut" href="javascript:;"(click)="categoryEvent(2084207930)"&gt;{{"2084207930" | translate}}&lt;/a&gt;&lt;/li&gt;</v>
      </c>
    </row>
    <row r="121" spans="1:8" ht="14.25" customHeight="1">
      <c r="A121" s="2">
        <v>2084042017</v>
      </c>
      <c r="B121" s="2" t="s">
        <v>2826</v>
      </c>
      <c r="C121" s="2" t="s">
        <v>2827</v>
      </c>
      <c r="D121" s="2" t="s">
        <v>2829</v>
      </c>
      <c r="E121" s="3" t="str">
        <f ca="1">IFERROR(__xludf.DUMMYFUNCTION("GOOGLETRANSLATE(B121,""ja"",""vi"")"),"vật liệu xây dựng, thiết bị nhà ở")</f>
        <v>vật liệu xây dựng, thiết bị nhà ở</v>
      </c>
      <c r="F121" s="3" t="str">
        <f ca="1">IFERROR(__xludf.DUMMYFUNCTION("GOOGLETRANSLATE(C121,""ja"",""vi"")"),"Đấu giá&gt; nhà, nội thất&gt; công cụ, DIY nguồn cung cấp&gt; vật liệu xây dựng, thiết bị nhà ở")</f>
        <v>Đấu giá&gt; nhà, nội thất&gt; công cụ, DIY nguồn cung cấp&gt; vật liệu xây dựng, thiết bị nhà ở</v>
      </c>
      <c r="G121" s="229" t="str">
        <f t="shared" ca="1" si="2"/>
        <v>"2084042017" : "vật liệu xây dựng, thiết bị nhà ở",</v>
      </c>
      <c r="H121" s="229" t="str">
        <f t="shared" si="3"/>
        <v>&lt;li class="col-md-3"&gt;&lt;a class="text-cut" href="javascript:;"(click)="categoryEvent(2084042017)"&gt;{{"2084042017" | translate}}&lt;/a&gt;&lt;/li&gt;</v>
      </c>
    </row>
    <row r="122" spans="1:8" ht="14.25" customHeight="1">
      <c r="A122" s="2">
        <v>2084042019</v>
      </c>
      <c r="B122" s="2" t="s">
        <v>2834</v>
      </c>
      <c r="C122" s="2" t="s">
        <v>2835</v>
      </c>
      <c r="D122" s="2" t="s">
        <v>2836</v>
      </c>
      <c r="E122" s="3" t="str">
        <f ca="1">IFERROR(__xludf.DUMMYFUNCTION("GOOGLETRANSLATE(B122,""ja"",""vi"")"),"sơn")</f>
        <v>sơn</v>
      </c>
      <c r="F122" s="3" t="str">
        <f ca="1">IFERROR(__xludf.DUMMYFUNCTION("GOOGLETRANSLATE(C122,""ja"",""vi"")"),"Đấu giá&gt; nhà, nội thất&gt; công cụ, DIY nguồn cung cấp&gt; sơn")</f>
        <v>Đấu giá&gt; nhà, nội thất&gt; công cụ, DIY nguồn cung cấp&gt; sơn</v>
      </c>
      <c r="G122" s="229" t="str">
        <f t="shared" ca="1" si="2"/>
        <v>"2084042019" : "sơn",</v>
      </c>
      <c r="H122" s="229" t="str">
        <f t="shared" si="3"/>
        <v>&lt;li class="col-md-3"&gt;&lt;a class="text-cut" href="javascript:;"(click)="categoryEvent(2084042019)"&gt;{{"2084042019" | translate}}&lt;/a&gt;&lt;/li&gt;</v>
      </c>
    </row>
    <row r="123" spans="1:8" ht="14.25" customHeight="1">
      <c r="A123" s="2">
        <v>2084042018</v>
      </c>
      <c r="B123" s="2" t="s">
        <v>2840</v>
      </c>
      <c r="C123" s="2" t="s">
        <v>2841</v>
      </c>
      <c r="D123" s="2" t="s">
        <v>2842</v>
      </c>
      <c r="E123" s="3" t="str">
        <f ca="1">IFERROR(__xludf.DUMMYFUNCTION("GOOGLETRANSLATE(B123,""ja"",""vi"")"),"Chất kết dính, sửa chữa, hàn")</f>
        <v>Chất kết dính, sửa chữa, hàn</v>
      </c>
      <c r="F123" s="3" t="str">
        <f ca="1">IFERROR(__xludf.DUMMYFUNCTION("GOOGLETRANSLATE(C123,""ja"",""vi"")"),"Đấu giá&gt; nhà, nội thất&gt; công cụ, DIY nguồn cung cấp&gt; liên kết, sửa chữa, hàn")</f>
        <v>Đấu giá&gt; nhà, nội thất&gt; công cụ, DIY nguồn cung cấp&gt; liên kết, sửa chữa, hàn</v>
      </c>
      <c r="G123" s="229" t="str">
        <f t="shared" ca="1" si="2"/>
        <v>"2084042018" : "Chất kết dính, sửa chữa, hàn",</v>
      </c>
      <c r="H123" s="229" t="str">
        <f t="shared" si="3"/>
        <v>&lt;li class="col-md-3"&gt;&lt;a class="text-cut" href="javascript:;"(click)="categoryEvent(2084042018)"&gt;{{"2084042018" | translate}}&lt;/a&gt;&lt;/li&gt;</v>
      </c>
    </row>
    <row r="124" spans="1:8" ht="14.25" customHeight="1">
      <c r="A124" s="2">
        <v>2084042064</v>
      </c>
      <c r="B124" s="2" t="s">
        <v>2627</v>
      </c>
      <c r="C124" s="2" t="s">
        <v>2849</v>
      </c>
      <c r="D124" s="2" t="s">
        <v>2855</v>
      </c>
      <c r="E124" s="3" t="str">
        <f ca="1">IFERROR(__xludf.DUMMYFUNCTION("GOOGLETRANSLATE(B124,""ja"",""vi"")"),"chiếu sáng")</f>
        <v>chiếu sáng</v>
      </c>
      <c r="F124" s="3" t="str">
        <f ca="1">IFERROR(__xludf.DUMMYFUNCTION("GOOGLETRANSLATE(C124,""ja"",""vi"")"),"Đấu giá&gt; nhà, nội thất&gt; công cụ, DIY nguồn cung cấp&gt; Ánh sáng")</f>
        <v>Đấu giá&gt; nhà, nội thất&gt; công cụ, DIY nguồn cung cấp&gt; Ánh sáng</v>
      </c>
      <c r="G124" s="229" t="str">
        <f t="shared" ca="1" si="2"/>
        <v>"2084042064" : "chiếu sáng",</v>
      </c>
      <c r="H124" s="229" t="str">
        <f t="shared" si="3"/>
        <v>&lt;li class="col-md-3"&gt;&lt;a class="text-cut" href="javascript:;"(click)="categoryEvent(2084042064)"&gt;{{"2084042064" | translate}}&lt;/a&gt;&lt;/li&gt;</v>
      </c>
    </row>
    <row r="125" spans="1:8" ht="14.25" customHeight="1">
      <c r="A125" s="2">
        <v>2084042069</v>
      </c>
      <c r="B125" s="2" t="s">
        <v>2860</v>
      </c>
      <c r="C125" s="2" t="s">
        <v>2863</v>
      </c>
      <c r="D125" s="2" t="s">
        <v>2866</v>
      </c>
      <c r="E125" s="3" t="str">
        <f ca="1">IFERROR(__xludf.DUMMYFUNCTION("GOOGLETRANSLATE(B125,""ja"",""vi"")"),"đo cụ")</f>
        <v>đo cụ</v>
      </c>
      <c r="F125" s="3" t="str">
        <f ca="1">IFERROR(__xludf.DUMMYFUNCTION("GOOGLETRANSLATE(C125,""ja"",""vi"")"),"Đấu giá&gt; nhà, nội thất&gt; công cụ, DIY nguồn cung cấp&gt; công cụ đo lường")</f>
        <v>Đấu giá&gt; nhà, nội thất&gt; công cụ, DIY nguồn cung cấp&gt; công cụ đo lường</v>
      </c>
      <c r="G125" s="229" t="str">
        <f t="shared" ca="1" si="2"/>
        <v>"2084042069" : "đo cụ",</v>
      </c>
      <c r="H125" s="229" t="str">
        <f t="shared" si="3"/>
        <v>&lt;li class="col-md-3"&gt;&lt;a class="text-cut" href="javascript:;"(click)="categoryEvent(2084042069)"&gt;{{"2084042069" | translate}}&lt;/a&gt;&lt;/li&gt;</v>
      </c>
    </row>
    <row r="126" spans="1:8" ht="14.25" customHeight="1">
      <c r="A126" s="2">
        <v>2084042066</v>
      </c>
      <c r="B126" s="2" t="s">
        <v>2871</v>
      </c>
      <c r="C126" s="2" t="s">
        <v>2873</v>
      </c>
      <c r="D126" s="2" t="s">
        <v>2874</v>
      </c>
      <c r="E126" s="3" t="str">
        <f ca="1">IFERROR(__xludf.DUMMYFUNCTION("GOOGLETRANSLATE(B126,""ja"",""vi"")"),"Hộp công cụ")</f>
        <v>Hộp công cụ</v>
      </c>
      <c r="F126" s="3" t="str">
        <f ca="1">IFERROR(__xludf.DUMMYFUNCTION("GOOGLETRANSLATE(C126,""ja"",""vi"")"),"Đấu giá&gt; nhà, nội thất&gt; công cụ, DIY nguồn cung cấp&gt; hộp công cụ")</f>
        <v>Đấu giá&gt; nhà, nội thất&gt; công cụ, DIY nguồn cung cấp&gt; hộp công cụ</v>
      </c>
      <c r="G126" s="229" t="str">
        <f t="shared" ca="1" si="2"/>
        <v>"2084042066" : "Hộp công cụ",</v>
      </c>
      <c r="H126" s="229" t="str">
        <f t="shared" si="3"/>
        <v>&lt;li class="col-md-3"&gt;&lt;a class="text-cut" href="javascript:;"(click)="categoryEvent(2084042066)"&gt;{{"2084042066" | translate}}&lt;/a&gt;&lt;/li&gt;</v>
      </c>
    </row>
    <row r="127" spans="1:8" ht="14.25" customHeight="1">
      <c r="A127" s="2">
        <v>2084047504</v>
      </c>
      <c r="B127" s="2" t="s">
        <v>2877</v>
      </c>
      <c r="C127" s="2" t="s">
        <v>2878</v>
      </c>
      <c r="D127" s="2" t="s">
        <v>2879</v>
      </c>
      <c r="E127" s="3" t="str">
        <f ca="1">IFERROR(__xludf.DUMMYFUNCTION("GOOGLETRANSLATE(B127,""ja"",""vi"")"),"quần áo làm việc")</f>
        <v>quần áo làm việc</v>
      </c>
      <c r="F127" s="3" t="str">
        <f ca="1">IFERROR(__xludf.DUMMYFUNCTION("GOOGLETRANSLATE(C127,""ja"",""vi"")"),"Đấu giá&gt; nhà, nội thất&gt; công cụ, DIY nguồn cung cấp&gt; quần áo làm việc")</f>
        <v>Đấu giá&gt; nhà, nội thất&gt; công cụ, DIY nguồn cung cấp&gt; quần áo làm việc</v>
      </c>
      <c r="G127" s="229" t="str">
        <f t="shared" ca="1" si="2"/>
        <v>"2084047504" : "quần áo làm việc",</v>
      </c>
      <c r="H127" s="229" t="str">
        <f t="shared" si="3"/>
        <v>&lt;li class="col-md-3"&gt;&lt;a class="text-cut" href="javascript:;"(click)="categoryEvent(2084047504)"&gt;{{"2084047504" | translate}}&lt;/a&gt;&lt;/li&gt;</v>
      </c>
    </row>
    <row r="128" spans="1:8" ht="14.25" customHeight="1">
      <c r="A128" s="2">
        <v>2084048894</v>
      </c>
      <c r="B128" s="2" t="s">
        <v>2886</v>
      </c>
      <c r="C128" s="2" t="s">
        <v>2887</v>
      </c>
      <c r="D128" s="2" t="s">
        <v>2888</v>
      </c>
      <c r="E128" s="3" t="str">
        <f ca="1">IFERROR(__xludf.DUMMYFUNCTION("GOOGLETRANSLATE(B128,""ja"",""vi"")"),"giày dép chuyên dụng")</f>
        <v>giày dép chuyên dụng</v>
      </c>
      <c r="F128" s="3" t="str">
        <f ca="1">IFERROR(__xludf.DUMMYFUNCTION("GOOGLETRANSLATE(C128,""ja"",""vi"")"),"Đấu giá&gt; nhà, nội thất&gt; công cụ, DIY nguồn cung cấp&gt; giày công việc")</f>
        <v>Đấu giá&gt; nhà, nội thất&gt; công cụ, DIY nguồn cung cấp&gt; giày công việc</v>
      </c>
      <c r="G128" s="229" t="str">
        <f t="shared" ca="1" si="2"/>
        <v>"2084048894" : "giày dép chuyên dụng",</v>
      </c>
      <c r="H128" s="229" t="str">
        <f t="shared" si="3"/>
        <v>&lt;li class="col-md-3"&gt;&lt;a class="text-cut" href="javascript:;"(click)="categoryEvent(2084048894)"&gt;{{"2084048894" | translate}}&lt;/a&gt;&lt;/li&gt;</v>
      </c>
    </row>
    <row r="129" spans="1:8" ht="14.25" customHeight="1">
      <c r="A129" s="2">
        <v>2084050473</v>
      </c>
      <c r="B129" s="2" t="s">
        <v>2895</v>
      </c>
      <c r="C129" s="2" t="s">
        <v>2896</v>
      </c>
      <c r="D129" s="2" t="s">
        <v>2897</v>
      </c>
      <c r="E129" s="3" t="str">
        <f ca="1">IFERROR(__xludf.DUMMYFUNCTION("GOOGLETRANSLATE(B129,""ja"",""vi"")"),"bàn làm việc")</f>
        <v>bàn làm việc</v>
      </c>
      <c r="F129" s="3" t="str">
        <f ca="1">IFERROR(__xludf.DUMMYFUNCTION("GOOGLETRANSLATE(C129,""ja"",""vi"")"),"Đấu giá&gt; nhà, nội thất&gt; công cụ, DIY nguồn cung cấp&gt; bàn làm việc")</f>
        <v>Đấu giá&gt; nhà, nội thất&gt; công cụ, DIY nguồn cung cấp&gt; bàn làm việc</v>
      </c>
      <c r="G129" s="229" t="str">
        <f t="shared" ca="1" si="2"/>
        <v>"2084050473" : "bàn làm việc",</v>
      </c>
      <c r="H129" s="229" t="str">
        <f t="shared" si="3"/>
        <v>&lt;li class="col-md-3"&gt;&lt;a class="text-cut" href="javascript:;"(click)="categoryEvent(2084050473)"&gt;{{"2084050473" | translate}}&lt;/a&gt;&lt;/li&gt;</v>
      </c>
    </row>
    <row r="130" spans="1:8" ht="14.25" customHeight="1">
      <c r="A130" s="2">
        <v>2084263007</v>
      </c>
      <c r="B130" s="2" t="s">
        <v>1798</v>
      </c>
      <c r="C130" s="2" t="s">
        <v>2905</v>
      </c>
      <c r="D130" s="2" t="s">
        <v>2907</v>
      </c>
      <c r="E130" s="3" t="str">
        <f ca="1">IFERROR(__xludf.DUMMYFUNCTION("GOOGLETRANSLATE(B130,""ja"",""vi"")"),"Stepladder, thang, giàn giáo")</f>
        <v>Stepladder, thang, giàn giáo</v>
      </c>
      <c r="F130" s="3" t="str">
        <f ca="1">IFERROR(__xludf.DUMMYFUNCTION("GOOGLETRANSLATE(C130,""ja"",""vi"")"),"Đấu giá&gt; nhà, nội thất&gt; công cụ, DIY nguồn cung cấp&gt; stepladder, thang, giàn giáo")</f>
        <v>Đấu giá&gt; nhà, nội thất&gt; công cụ, DIY nguồn cung cấp&gt; stepladder, thang, giàn giáo</v>
      </c>
      <c r="G130" s="229" t="str">
        <f t="shared" ca="1" si="2"/>
        <v>"2084263007" : "Stepladder, thang, giàn giáo",</v>
      </c>
      <c r="H130" s="229" t="str">
        <f t="shared" si="3"/>
        <v>&lt;li class="col-md-3"&gt;&lt;a class="text-cut" href="javascript:;"(click)="categoryEvent(2084263007)"&gt;{{"2084263007" | translate}}&lt;/a&gt;&lt;/li&gt;</v>
      </c>
    </row>
    <row r="131" spans="1:8" ht="14.25" customHeight="1">
      <c r="A131" s="2">
        <v>2084263002</v>
      </c>
      <c r="B131" s="2" t="s">
        <v>2912</v>
      </c>
      <c r="C131" s="2" t="s">
        <v>2913</v>
      </c>
      <c r="D131" s="2" t="s">
        <v>2915</v>
      </c>
      <c r="E131" s="3" t="str">
        <f ca="1">IFERROR(__xludf.DUMMYFUNCTION("GOOGLETRANSLATE(B131,""ja"",""vi"")"),"máy lạnh, khô")</f>
        <v>máy lạnh, khô</v>
      </c>
      <c r="F131" s="3" t="str">
        <f ca="1">IFERROR(__xludf.DUMMYFUNCTION("GOOGLETRANSLATE(C131,""ja"",""vi"")"),"Đấu giá&gt; nhà, nội thất&gt; công cụ, DIY nguồn cung cấp&gt; máy lạnh, khô")</f>
        <v>Đấu giá&gt; nhà, nội thất&gt; công cụ, DIY nguồn cung cấp&gt; máy lạnh, khô</v>
      </c>
      <c r="G131" s="229" t="str">
        <f t="shared" ref="G131:G194" ca="1" si="4">CONCATENATE(CHAR(34)&amp;"",A131,""&amp;CHAR(34)," : ", CHAR(34)&amp;"",E131,""&amp;CHAR(34),",")</f>
        <v>"2084263002" : "máy lạnh, khô",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href="javascript:;"(click)="categoryEvent(2084263002)"&gt;{{"2084263002" | translate}}&lt;/a&gt;&lt;/li&gt;</v>
      </c>
    </row>
    <row r="132" spans="1:8" ht="14.25" customHeight="1">
      <c r="A132" s="2">
        <v>2084204599</v>
      </c>
      <c r="B132" s="2" t="s">
        <v>2920</v>
      </c>
      <c r="C132" s="2" t="s">
        <v>2921</v>
      </c>
      <c r="D132" s="2" t="s">
        <v>2922</v>
      </c>
      <c r="E132" s="3" t="str">
        <f ca="1">IFERROR(__xludf.DUMMYFUNCTION("GOOGLETRANSLATE(B132,""ja"",""vi"")"),"Máy phát điện, máy biến áp, bộ sạc")</f>
        <v>Máy phát điện, máy biến áp, bộ sạc</v>
      </c>
      <c r="F132" s="3" t="str">
        <f ca="1">IFERROR(__xludf.DUMMYFUNCTION("GOOGLETRANSLATE(C132,""ja"",""vi"")"),"Đấu giá&gt; nhà, nội thất&gt; công cụ, DIY nguồn cung cấp&gt; máy phát điện, máy biến áp, bộ sạc")</f>
        <v>Đấu giá&gt; nhà, nội thất&gt; công cụ, DIY nguồn cung cấp&gt; máy phát điện, máy biến áp, bộ sạc</v>
      </c>
      <c r="G132" s="229" t="str">
        <f t="shared" ca="1" si="4"/>
        <v>"2084204599" : "Máy phát điện, máy biến áp, bộ sạc",</v>
      </c>
      <c r="H132" s="229" t="str">
        <f t="shared" si="5"/>
        <v>&lt;li class="col-md-3"&gt;&lt;a class="text-cut" href="javascript:;"(click)="categoryEvent(2084204599)"&gt;{{"2084204599" | translate}}&lt;/a&gt;&lt;/li&gt;</v>
      </c>
    </row>
    <row r="133" spans="1:8" ht="14.25" customHeight="1">
      <c r="A133" s="2">
        <v>2084042065</v>
      </c>
      <c r="B133" s="2" t="s">
        <v>2929</v>
      </c>
      <c r="C133" s="2" t="s">
        <v>2930</v>
      </c>
      <c r="D133" s="2" t="s">
        <v>2932</v>
      </c>
      <c r="E133" s="3" t="str">
        <f ca="1">IFERROR(__xludf.DUMMYFUNCTION("GOOGLETRANSLATE(B133,""ja"",""vi"")"),"phòng lưu trữ")</f>
        <v>phòng lưu trữ</v>
      </c>
      <c r="F133" s="3" t="str">
        <f ca="1">IFERROR(__xludf.DUMMYFUNCTION("GOOGLETRANSLATE(C133,""ja"",""vi"")"),"Đấu giá&gt; nhà, nội thất&gt; công cụ, DIY nguồn cung cấp&gt; Barn")</f>
        <v>Đấu giá&gt; nhà, nội thất&gt; công cụ, DIY nguồn cung cấp&gt; Barn</v>
      </c>
      <c r="G133" s="229" t="str">
        <f t="shared" ca="1" si="4"/>
        <v>"2084042065" : "phòng lưu trữ",</v>
      </c>
      <c r="H133" s="229" t="str">
        <f t="shared" si="5"/>
        <v>&lt;li class="col-md-3"&gt;&lt;a class="text-cut" href="javascript:;"(click)="categoryEvent(2084042065)"&gt;{{"2084042065" | translate}}&lt;/a&gt;&lt;/li&gt;</v>
      </c>
    </row>
    <row r="134" spans="1:8" ht="14.25" customHeight="1">
      <c r="A134" s="2">
        <v>2084044958</v>
      </c>
      <c r="B134" s="2" t="s">
        <v>2938</v>
      </c>
      <c r="C134" s="2" t="s">
        <v>2941</v>
      </c>
      <c r="D134" s="2" t="s">
        <v>2945</v>
      </c>
      <c r="E134" s="3" t="str">
        <f ca="1">IFERROR(__xludf.DUMMYFUNCTION("GOOGLETRANSLATE(B134,""ja"",""vi"")"),"Máy biến áp, bộ chuyển đổi")</f>
        <v>Máy biến áp, bộ chuyển đổi</v>
      </c>
      <c r="F134" s="3" t="str">
        <f ca="1">IFERROR(__xludf.DUMMYFUNCTION("GOOGLETRANSLATE(C134,""ja"",""vi"")"),"Đấu giá&gt; nhà, nội thất&gt; công cụ, DIY nguồn cung cấp&gt; biến áp, bộ chuyển đổi")</f>
        <v>Đấu giá&gt; nhà, nội thất&gt; công cụ, DIY nguồn cung cấp&gt; biến áp, bộ chuyển đổi</v>
      </c>
      <c r="G134" s="229" t="str">
        <f t="shared" ca="1" si="4"/>
        <v>"2084044958" : "Máy biến áp, bộ chuyển đổi",</v>
      </c>
      <c r="H134" s="229" t="str">
        <f t="shared" si="5"/>
        <v>&lt;li class="col-md-3"&gt;&lt;a class="text-cut" href="javascript:;"(click)="categoryEvent(2084044958)"&gt;{{"2084044958" | translate}}&lt;/a&gt;&lt;/li&gt;</v>
      </c>
    </row>
    <row r="135" spans="1:8" ht="14.25" customHeight="1">
      <c r="A135" s="2">
        <v>2084307804</v>
      </c>
      <c r="B135" s="2" t="s">
        <v>2125</v>
      </c>
      <c r="C135" s="2" t="s">
        <v>2950</v>
      </c>
      <c r="D135" s="2" t="s">
        <v>2951</v>
      </c>
      <c r="E135" s="3" t="str">
        <f ca="1">IFERROR(__xludf.DUMMYFUNCTION("GOOGLETRANSLATE(B135,""ja"",""vi"")"),"Công cụ, DIY thiết bị cho thuê")</f>
        <v>Công cụ, DIY thiết bị cho thuê</v>
      </c>
      <c r="F135" s="3" t="str">
        <f ca="1">IFERROR(__xludf.DUMMYFUNCTION("GOOGLETRANSLATE(C135,""ja"",""vi"")"),"Đấu giá&gt; nhà, nội thất&gt; công cụ, DIY nguồn cung cấp&gt; Công cụ, DIY thiết bị cho thuê")</f>
        <v>Đấu giá&gt; nhà, nội thất&gt; công cụ, DIY nguồn cung cấp&gt; Công cụ, DIY thiết bị cho thuê</v>
      </c>
      <c r="G135" s="229" t="str">
        <f t="shared" ca="1" si="4"/>
        <v>"2084307804" : "Công cụ, DIY thiết bị cho thuê",</v>
      </c>
      <c r="H135" s="229" t="str">
        <f t="shared" si="5"/>
        <v>&lt;li class="col-md-3"&gt;&lt;a class="text-cut" href="javascript:;"(click)="categoryEvent(2084307804)"&gt;{{"2084307804" | translate}}&lt;/a&gt;&lt;/li&gt;</v>
      </c>
    </row>
    <row r="136" spans="1:8" ht="14.25" customHeight="1">
      <c r="A136" s="2">
        <v>24674</v>
      </c>
      <c r="B136" s="2" t="s">
        <v>16</v>
      </c>
      <c r="C136" s="2" t="s">
        <v>2960</v>
      </c>
      <c r="D136" s="2" t="s">
        <v>2961</v>
      </c>
      <c r="E136" s="3" t="str">
        <f ca="1">IFERROR(__xludf.DUMMYFUNCTION("GOOGLETRANSLATE(B136,""ja"",""vi"")"),"nếu không thì")</f>
        <v>nếu không thì</v>
      </c>
      <c r="F136" s="3" t="str">
        <f ca="1">IFERROR(__xludf.DUMMYFUNCTION("GOOGLETRANSLATE(C136,""ja"",""vi"")"),"Đấu giá&gt; nhà, nội thất&gt; công cụ, DIY nguồn cung cấp&gt; Khác")</f>
        <v>Đấu giá&gt; nhà, nội thất&gt; công cụ, DIY nguồn cung cấp&gt; Khác</v>
      </c>
      <c r="G136" s="229" t="str">
        <f t="shared" ca="1" si="4"/>
        <v>"24674" : "nếu không thì",</v>
      </c>
      <c r="H136" s="229" t="str">
        <f t="shared" si="5"/>
        <v>&lt;li class="col-md-3"&gt;&lt;a class="text-cut" href="javascript:;"(click)="categoryEvent(24674)"&gt;{{"24674" | translate}}&lt;/a&gt;&lt;/li&gt;</v>
      </c>
    </row>
    <row r="137" spans="1:8" ht="14.25" customHeight="1">
      <c r="E137" s="3"/>
      <c r="F137" s="3"/>
      <c r="G137" s="229"/>
      <c r="H137" s="229"/>
    </row>
    <row r="138" spans="1:8" ht="14.25" customHeight="1">
      <c r="A138" s="238">
        <v>2084042017</v>
      </c>
      <c r="B138" s="232"/>
      <c r="C138" s="232"/>
      <c r="D138" s="233"/>
      <c r="E138" s="3"/>
      <c r="F138" s="3"/>
      <c r="G138" s="229"/>
      <c r="H138" s="229"/>
    </row>
    <row r="139" spans="1:8" ht="14.25" customHeight="1">
      <c r="A139" s="2">
        <v>2084062806</v>
      </c>
      <c r="B139" s="2" t="s">
        <v>2977</v>
      </c>
      <c r="C139" s="2" t="s">
        <v>2980</v>
      </c>
      <c r="D139" s="2" t="s">
        <v>2982</v>
      </c>
      <c r="E139" s="3" t="str">
        <f ca="1">IFERROR(__xludf.DUMMYFUNCTION("GOOGLETRANSLATE(B139,""ja"",""vi"")"),"Vật liệu xây dựng")</f>
        <v>Vật liệu xây dựng</v>
      </c>
      <c r="F139" s="3" t="str">
        <f ca="1">IFERROR(__xludf.DUMMYFUNCTION("GOOGLETRANSLATE(C139,""ja"",""vi"")"),"Đấu giá&gt; nhà, nội thất&gt; công cụ, DIY nguồn cung cấp&gt; vật liệu xây dựng, nhà ở thiết bị&gt; cho vật liệu xây dựng")</f>
        <v>Đấu giá&gt; nhà, nội thất&gt; công cụ, DIY nguồn cung cấp&gt; vật liệu xây dựng, nhà ở thiết bị&gt; cho vật liệu xây dựng</v>
      </c>
      <c r="G139" s="229" t="str">
        <f t="shared" ca="1" si="4"/>
        <v>"2084062806" : "Vật liệu xây dựng",</v>
      </c>
      <c r="H139" s="229" t="str">
        <f t="shared" si="5"/>
        <v>&lt;li class="col-md-3"&gt;&lt;a class="text-cut" href="javascript:;"(click)="categoryEvent(2084062806)"&gt;{{"2084062806" | translate}}&lt;/a&gt;&lt;/li&gt;</v>
      </c>
    </row>
    <row r="140" spans="1:8" ht="14.25" customHeight="1">
      <c r="A140" s="2">
        <v>2084062807</v>
      </c>
      <c r="B140" s="2" t="s">
        <v>2988</v>
      </c>
      <c r="C140" s="2" t="s">
        <v>2989</v>
      </c>
      <c r="D140" s="2" t="s">
        <v>2992</v>
      </c>
      <c r="E140" s="3" t="str">
        <f ca="1">IFERROR(__xludf.DUMMYFUNCTION("GOOGLETRANSLATE(B140,""ja"",""vi"")"),"Vật liệu, vật tư phân phối điện")</f>
        <v>Vật liệu, vật tư phân phối điện</v>
      </c>
      <c r="F140" s="3" t="str">
        <f ca="1">IFERROR(__xludf.DUMMYFUNCTION("GOOGLETRANSLATE(C140,""ja"",""vi"")"),"Đấu giá&gt; nhà, nội thất&gt; công cụ, DIY hàng&gt; Vật liệu xây dựng, thiết bị nhà ở&gt;, vật tư phân phối điện nguyên")</f>
        <v>Đấu giá&gt; nhà, nội thất&gt; công cụ, DIY hàng&gt; Vật liệu xây dựng, thiết bị nhà ở&gt;, vật tư phân phối điện nguyên</v>
      </c>
      <c r="G140" s="229" t="str">
        <f t="shared" ca="1" si="4"/>
        <v>"2084062807" : "Vật liệu, vật tư phân phối điện",</v>
      </c>
      <c r="H140" s="229" t="str">
        <f t="shared" si="5"/>
        <v>&lt;li class="col-md-3"&gt;&lt;a class="text-cut" href="javascript:;"(click)="categoryEvent(2084062807)"&gt;{{"2084062807" | translate}}&lt;/a&gt;&lt;/li&gt;</v>
      </c>
    </row>
    <row r="141" spans="1:8" ht="14.25" customHeight="1">
      <c r="A141" s="2">
        <v>2084062808</v>
      </c>
      <c r="B141" s="2" t="s">
        <v>2999</v>
      </c>
      <c r="C141" s="2" t="s">
        <v>3001</v>
      </c>
      <c r="D141" s="2" t="s">
        <v>3003</v>
      </c>
      <c r="E141" s="3" t="str">
        <f ca="1">IFERROR(__xludf.DUMMYFUNCTION("GOOGLETRANSLATE(B141,""ja"",""vi"")"),"ngoài")</f>
        <v>ngoài</v>
      </c>
      <c r="F141" s="3" t="str">
        <f ca="1">IFERROR(__xludf.DUMMYFUNCTION("GOOGLETRANSLATE(C141,""ja"",""vi"")"),"Đấu giá&gt; nhà, nội thất&gt; công cụ, DIY nguồn cung cấp&gt; vật liệu xây dựng, thiết bị nhà ở&gt; ngoài")</f>
        <v>Đấu giá&gt; nhà, nội thất&gt; công cụ, DIY nguồn cung cấp&gt; vật liệu xây dựng, thiết bị nhà ở&gt; ngoài</v>
      </c>
      <c r="G141" s="229" t="str">
        <f t="shared" ca="1" si="4"/>
        <v>"2084062808" : "ngoài",</v>
      </c>
      <c r="H141" s="229" t="str">
        <f t="shared" si="5"/>
        <v>&lt;li class="col-md-3"&gt;&lt;a class="text-cut" href="javascript:;"(click)="categoryEvent(2084062808)"&gt;{{"2084062808" | translate}}&lt;/a&gt;&lt;/li&gt;</v>
      </c>
    </row>
    <row r="142" spans="1:8" ht="14.25" customHeight="1">
      <c r="A142" s="2">
        <v>2084062814</v>
      </c>
      <c r="B142" s="2" t="s">
        <v>3008</v>
      </c>
      <c r="C142" s="2" t="s">
        <v>3010</v>
      </c>
      <c r="D142" s="2" t="s">
        <v>3012</v>
      </c>
      <c r="E142" s="3" t="str">
        <f ca="1">IFERROR(__xludf.DUMMYFUNCTION("GOOGLETRANSLATE(B142,""ja"",""vi"")"),"nội địa")</f>
        <v>nội địa</v>
      </c>
      <c r="F142" s="3" t="str">
        <f ca="1">IFERROR(__xludf.DUMMYFUNCTION("GOOGLETRANSLATE(C142,""ja"",""vi"")"),"Đấu giá&gt; nhà, nội thất&gt; công cụ, DIY nguồn cung cấp&gt; vật liệu xây dựng, thiết bị nhà ở&gt; nội thất")</f>
        <v>Đấu giá&gt; nhà, nội thất&gt; công cụ, DIY nguồn cung cấp&gt; vật liệu xây dựng, thiết bị nhà ở&gt; nội thất</v>
      </c>
      <c r="G142" s="229" t="str">
        <f t="shared" ca="1" si="4"/>
        <v>"2084062814" : "nội địa",</v>
      </c>
      <c r="H142" s="229" t="str">
        <f t="shared" si="5"/>
        <v>&lt;li class="col-md-3"&gt;&lt;a class="text-cut" href="javascript:;"(click)="categoryEvent(2084062814)"&gt;{{"2084062814" | translate}}&lt;/a&gt;&lt;/li&gt;</v>
      </c>
    </row>
    <row r="143" spans="1:8" ht="14.25" customHeight="1">
      <c r="A143" s="2">
        <v>2084304914</v>
      </c>
      <c r="B143" s="2" t="s">
        <v>3019</v>
      </c>
      <c r="C143" s="2" t="s">
        <v>3020</v>
      </c>
      <c r="D143" s="2" t="s">
        <v>3021</v>
      </c>
      <c r="E143" s="3" t="str">
        <f ca="1">IFERROR(__xludf.DUMMYFUNCTION("GOOGLETRANSLATE(B143,""ja"",""vi"")"),"hàng rào")</f>
        <v>hàng rào</v>
      </c>
      <c r="F143" s="3" t="str">
        <f ca="1">IFERROR(__xludf.DUMMYFUNCTION("GOOGLETRANSLATE(C143,""ja"",""vi"")"),"Đấu giá&gt; nhà, nội thất&gt; công cụ, DIY nguồn cung cấp&gt; vật liệu xây dựng, thiết bị nhà ở&gt; hàng rào")</f>
        <v>Đấu giá&gt; nhà, nội thất&gt; công cụ, DIY nguồn cung cấp&gt; vật liệu xây dựng, thiết bị nhà ở&gt; hàng rào</v>
      </c>
      <c r="G143" s="229" t="str">
        <f t="shared" ca="1" si="4"/>
        <v>"2084304914" : "hàng rào",</v>
      </c>
      <c r="H143" s="229" t="str">
        <f t="shared" si="5"/>
        <v>&lt;li class="col-md-3"&gt;&lt;a class="text-cut" href="javascript:;"(click)="categoryEvent(2084304914)"&gt;{{"2084304914" | translate}}&lt;/a&gt;&lt;/li&gt;</v>
      </c>
    </row>
    <row r="144" spans="1:8" ht="14.25" customHeight="1">
      <c r="A144" s="2">
        <v>2084304910</v>
      </c>
      <c r="B144" s="2" t="s">
        <v>3028</v>
      </c>
      <c r="C144" s="2" t="s">
        <v>3031</v>
      </c>
      <c r="D144" s="2" t="s">
        <v>3032</v>
      </c>
      <c r="E144" s="3" t="str">
        <f ca="1">IFERROR(__xludf.DUMMYFUNCTION("GOOGLETRANSLATE(B144,""ja"",""vi"")"),"Bưu điện, hộp thư")</f>
        <v>Bưu điện, hộp thư</v>
      </c>
      <c r="F144" s="3" t="str">
        <f ca="1">IFERROR(__xludf.DUMMYFUNCTION("GOOGLETRANSLATE(C144,""ja"",""vi"")"),"Đấu giá&gt; nhà, nội thất&gt; công cụ, DIY nguồn cung cấp&gt; vật liệu xây dựng, thiết bị nhà ở&gt; bưu điện, hộp thư")</f>
        <v>Đấu giá&gt; nhà, nội thất&gt; công cụ, DIY nguồn cung cấp&gt; vật liệu xây dựng, thiết bị nhà ở&gt; bưu điện, hộp thư</v>
      </c>
      <c r="G144" s="229" t="str">
        <f t="shared" ca="1" si="4"/>
        <v>"2084304910" : "Bưu điện, hộp thư",</v>
      </c>
      <c r="H144" s="229" t="str">
        <f t="shared" si="5"/>
        <v>&lt;li class="col-md-3"&gt;&lt;a class="text-cut" href="javascript:;"(click)="categoryEvent(2084304910)"&gt;{{"2084304910" | translate}}&lt;/a&gt;&lt;/li&gt;</v>
      </c>
    </row>
    <row r="145" spans="1:8" ht="14.25" customHeight="1">
      <c r="A145" s="2">
        <v>2084062812</v>
      </c>
      <c r="B145" s="2" t="s">
        <v>3039</v>
      </c>
      <c r="C145" s="2" t="s">
        <v>3042</v>
      </c>
      <c r="D145" s="2" t="s">
        <v>3044</v>
      </c>
      <c r="E145" s="3" t="str">
        <f ca="1">IFERROR(__xludf.DUMMYFUNCTION("GOOGLETRANSLATE(B145,""ja"",""vi"")"),"vườn")</f>
        <v>vườn</v>
      </c>
      <c r="F145" s="3" t="str">
        <f ca="1">IFERROR(__xludf.DUMMYFUNCTION("GOOGLETRANSLATE(C145,""ja"",""vi"")"),"Đấu giá&gt; nhà, nội thất&gt; công cụ, DIY nguồn cung cấp&gt; vật liệu xây dựng, thiết bị nhà ở&gt; Vườn")</f>
        <v>Đấu giá&gt; nhà, nội thất&gt; công cụ, DIY nguồn cung cấp&gt; vật liệu xây dựng, thiết bị nhà ở&gt; Vườn</v>
      </c>
      <c r="G145" s="229" t="str">
        <f t="shared" ca="1" si="4"/>
        <v>"2084062812" : "vườn",</v>
      </c>
      <c r="H145" s="229" t="str">
        <f t="shared" si="5"/>
        <v>&lt;li class="col-md-3"&gt;&lt;a class="text-cut" href="javascript:;"(click)="categoryEvent(2084062812)"&gt;{{"2084062812" | translate}}&lt;/a&gt;&lt;/li&gt;</v>
      </c>
    </row>
    <row r="146" spans="1:8" ht="14.25" customHeight="1">
      <c r="A146" s="2">
        <v>2084242273</v>
      </c>
      <c r="B146" s="2" t="s">
        <v>3050</v>
      </c>
      <c r="C146" s="2" t="s">
        <v>3052</v>
      </c>
      <c r="D146" s="2" t="s">
        <v>3054</v>
      </c>
      <c r="E146" s="3" t="str">
        <f ca="1">IFERROR(__xludf.DUMMYFUNCTION("GOOGLETRANSLATE(B146,""ja"",""vi"")"),"Gates")</f>
        <v>Gates</v>
      </c>
      <c r="F146" s="3" t="str">
        <f ca="1">IFERROR(__xludf.DUMMYFUNCTION("GOOGLETRANSLATE(C146,""ja"",""vi"")"),"Đấu giá&gt; nhà, nội thất&gt; công cụ, DIY nguồn cung cấp&gt; vật liệu xây dựng, thiết bị nhà ở&gt; cửa")</f>
        <v>Đấu giá&gt; nhà, nội thất&gt; công cụ, DIY nguồn cung cấp&gt; vật liệu xây dựng, thiết bị nhà ở&gt; cửa</v>
      </c>
      <c r="G146" s="229" t="str">
        <f t="shared" ca="1" si="4"/>
        <v>"2084242273" : "Gates",</v>
      </c>
      <c r="H146" s="229" t="str">
        <f t="shared" si="5"/>
        <v>&lt;li class="col-md-3"&gt;&lt;a class="text-cut" href="javascript:;"(click)="categoryEvent(2084242273)"&gt;{{"2084242273" | translate}}&lt;/a&gt;&lt;/li&gt;</v>
      </c>
    </row>
    <row r="147" spans="1:8" ht="14.25" customHeight="1">
      <c r="A147" s="2">
        <v>2084304917</v>
      </c>
      <c r="B147" s="2" t="s">
        <v>3057</v>
      </c>
      <c r="C147" s="2" t="s">
        <v>3059</v>
      </c>
      <c r="D147" s="2" t="s">
        <v>3061</v>
      </c>
      <c r="E147" s="3" t="str">
        <f ca="1">IFERROR(__xludf.DUMMYFUNCTION("GOOGLETRANSLATE(B147,""ja"",""vi"")"),"đèn hiên nhà, đèn hiên nhà")</f>
        <v>đèn hiên nhà, đèn hiên nhà</v>
      </c>
      <c r="F147" s="3" t="str">
        <f ca="1">IFERROR(__xludf.DUMMYFUNCTION("GOOGLETRANSLATE(C147,""ja"",""vi"")"),"Đấu giá&gt; nhà, nội thất&gt; công cụ, vật tư DIY&gt; vật liệu xây dựng, thiết bị nhà ở&gt; đèn hiên nhà, đèn hiên nhà")</f>
        <v>Đấu giá&gt; nhà, nội thất&gt; công cụ, vật tư DIY&gt; vật liệu xây dựng, thiết bị nhà ở&gt; đèn hiên nhà, đèn hiên nhà</v>
      </c>
      <c r="G147" s="229" t="str">
        <f t="shared" ca="1" si="4"/>
        <v>"2084304917" : "đèn hiên nhà, đèn hiên nhà",</v>
      </c>
      <c r="H147" s="229" t="str">
        <f t="shared" si="5"/>
        <v>&lt;li class="col-md-3"&gt;&lt;a class="text-cut" href="javascript:;"(click)="categoryEvent(2084304917)"&gt;{{"2084304917" | translate}}&lt;/a&gt;&lt;/li&gt;</v>
      </c>
    </row>
    <row r="148" spans="1:8" ht="14.25" customHeight="1">
      <c r="A148" s="2">
        <v>2084304918</v>
      </c>
      <c r="B148" s="2" t="s">
        <v>3068</v>
      </c>
      <c r="C148" s="2" t="s">
        <v>3069</v>
      </c>
      <c r="D148" s="2" t="s">
        <v>3070</v>
      </c>
      <c r="E148" s="3" t="str">
        <f ca="1">IFERROR(__xludf.DUMMYFUNCTION("GOOGLETRANSLATE(B148,""ja"",""vi"")"),"Đèn tên nơi, đèn Gatepost")</f>
        <v>Đèn tên nơi, đèn Gatepost</v>
      </c>
      <c r="F148" s="3" t="str">
        <f ca="1">IFERROR(__xludf.DUMMYFUNCTION("GOOGLETRANSLATE(C148,""ja"",""vi"")"),"Đấu giá&gt; nhà, nội thất&gt; công cụ, DIY nguồn cung cấp&gt; vật liệu xây dựng, thiết bị nhà ở&gt; đèn tên nơi, đèn Gatepost")</f>
        <v>Đấu giá&gt; nhà, nội thất&gt; công cụ, DIY nguồn cung cấp&gt; vật liệu xây dựng, thiết bị nhà ở&gt; đèn tên nơi, đèn Gatepost</v>
      </c>
      <c r="G148" s="229" t="str">
        <f t="shared" ca="1" si="4"/>
        <v>"2084304918" : "Đèn tên nơi, đèn Gatepost",</v>
      </c>
      <c r="H148" s="229" t="str">
        <f t="shared" si="5"/>
        <v>&lt;li class="col-md-3"&gt;&lt;a class="text-cut" href="javascript:;"(click)="categoryEvent(2084304918)"&gt;{{"2084304918" | translate}}&lt;/a&gt;&lt;/li&gt;</v>
      </c>
    </row>
    <row r="149" spans="1:8" ht="14.25" customHeight="1">
      <c r="A149" s="2">
        <v>2084303438</v>
      </c>
      <c r="B149" s="2" t="s">
        <v>3074</v>
      </c>
      <c r="C149" s="2" t="s">
        <v>3076</v>
      </c>
      <c r="D149" s="2" t="s">
        <v>3078</v>
      </c>
      <c r="E149" s="3" t="str">
        <f ca="1">IFERROR(__xludf.DUMMYFUNCTION("GOOGLETRANSLATE(B149,""ja"",""vi"")"),"Vật liệu lợp, ngói")</f>
        <v>Vật liệu lợp, ngói</v>
      </c>
      <c r="F149" s="3" t="str">
        <f ca="1">IFERROR(__xludf.DUMMYFUNCTION("GOOGLETRANSLATE(C149,""ja"",""vi"")"),"Đấu giá&gt; nhà, nội thất&gt; công cụ, DIY nguồn cung cấp&gt; vật liệu xây dựng, thiết bị nhà ở&gt; Vật liệu lợp, ngói")</f>
        <v>Đấu giá&gt; nhà, nội thất&gt; công cụ, DIY nguồn cung cấp&gt; vật liệu xây dựng, thiết bị nhà ở&gt; Vật liệu lợp, ngói</v>
      </c>
      <c r="G149" s="229" t="str">
        <f t="shared" ca="1" si="4"/>
        <v>"2084303438" : "Vật liệu lợp, ngói",</v>
      </c>
      <c r="H149" s="229" t="str">
        <f t="shared" si="5"/>
        <v>&lt;li class="col-md-3"&gt;&lt;a class="text-cut" href="javascript:;"(click)="categoryEvent(2084303438)"&gt;{{"2084303438" | translate}}&lt;/a&gt;&lt;/li&gt;</v>
      </c>
    </row>
    <row r="150" spans="1:8" ht="14.25" customHeight="1">
      <c r="A150" s="2">
        <v>2084062811</v>
      </c>
      <c r="B150" s="2" t="s">
        <v>3080</v>
      </c>
      <c r="C150" s="2" t="s">
        <v>3082</v>
      </c>
      <c r="D150" s="2" t="s">
        <v>3084</v>
      </c>
      <c r="E150" s="3" t="str">
        <f ca="1">IFERROR(__xludf.DUMMYFUNCTION("GOOGLETRANSLATE(B150,""ja"",""vi"")"),"Garage, bãi đậu xe")</f>
        <v>Garage, bãi đậu xe</v>
      </c>
      <c r="F150" s="3" t="str">
        <f ca="1">IFERROR(__xludf.DUMMYFUNCTION("GOOGLETRANSLATE(C150,""ja"",""vi"")"),"Đấu giá&gt; nhà, nội thất&gt; công cụ, DIY nguồn cung cấp&gt; vật liệu xây dựng, thiết bị nhà ở&gt; nhà để xe, bãi đậu xe")</f>
        <v>Đấu giá&gt; nhà, nội thất&gt; công cụ, DIY nguồn cung cấp&gt; vật liệu xây dựng, thiết bị nhà ở&gt; nhà để xe, bãi đậu xe</v>
      </c>
      <c r="G150" s="229" t="str">
        <f t="shared" ca="1" si="4"/>
        <v>"2084062811" : "Garage, bãi đậu xe",</v>
      </c>
      <c r="H150" s="229" t="str">
        <f t="shared" si="5"/>
        <v>&lt;li class="col-md-3"&gt;&lt;a class="text-cut" href="javascript:;"(click)="categoryEvent(2084062811)"&gt;{{"2084062811" | translate}}&lt;/a&gt;&lt;/li&gt;</v>
      </c>
    </row>
    <row r="151" spans="1:8" ht="14.25" customHeight="1">
      <c r="A151" s="2">
        <v>2084303425</v>
      </c>
      <c r="B151" s="2" t="s">
        <v>3087</v>
      </c>
      <c r="C151" s="2" t="s">
        <v>3088</v>
      </c>
      <c r="D151" s="2" t="s">
        <v>3090</v>
      </c>
      <c r="E151" s="3" t="str">
        <f ca="1">IFERROR(__xludf.DUMMYFUNCTION("GOOGLETRANSLATE(B151,""ja"",""vi"")"),"Cửa sổ, khăn quàng, màn trập")</f>
        <v>Cửa sổ, khăn quàng, màn trập</v>
      </c>
      <c r="F151" s="3" t="str">
        <f ca="1">IFERROR(__xludf.DUMMYFUNCTION("GOOGLETRANSLATE(C151,""ja"",""vi"")"),"Đấu giá&gt; nhà, nội thất&gt; công cụ, DIY nguồn cung cấp&gt; vật liệu xây dựng, thiết bị nhà ở&gt; cửa sổ, khăn quàng, màn trập")</f>
        <v>Đấu giá&gt; nhà, nội thất&gt; công cụ, DIY nguồn cung cấp&gt; vật liệu xây dựng, thiết bị nhà ở&gt; cửa sổ, khăn quàng, màn trập</v>
      </c>
      <c r="G151" s="229" t="str">
        <f t="shared" ca="1" si="4"/>
        <v>"2084303425" : "Cửa sổ, khăn quàng, màn trập",</v>
      </c>
      <c r="H151" s="229" t="str">
        <f t="shared" si="5"/>
        <v>&lt;li class="col-md-3"&gt;&lt;a class="text-cut" href="javascript:;"(click)="categoryEvent(2084303425)"&gt;{{"2084303425" | translate}}&lt;/a&gt;&lt;/li&gt;</v>
      </c>
    </row>
    <row r="152" spans="1:8" ht="14.25" customHeight="1">
      <c r="A152" s="2">
        <v>2084303421</v>
      </c>
      <c r="B152" s="2" t="s">
        <v>3094</v>
      </c>
      <c r="C152" s="2" t="s">
        <v>3095</v>
      </c>
      <c r="D152" s="2" t="s">
        <v>3097</v>
      </c>
      <c r="E152" s="3" t="str">
        <f ca="1">IFERROR(__xludf.DUMMYFUNCTION("GOOGLETRANSLATE(B152,""ja"",""vi"")"),"Vật liệu cách nhiệt, vật liệu cách âm, hấp thụ")</f>
        <v>Vật liệu cách nhiệt, vật liệu cách âm, hấp thụ</v>
      </c>
      <c r="F152" s="3" t="str">
        <f ca="1">IFERROR(__xludf.DUMMYFUNCTION("GOOGLETRANSLATE(C152,""ja"",""vi"")"),"Đấu giá&gt; nhà, nội thất&gt; công cụ, DIY nguồn cung cấp&gt; vật liệu xây dựng, thiết bị nhà ở&gt; cách nhiệt, vật liệu cách âm, hấp thụ")</f>
        <v>Đấu giá&gt; nhà, nội thất&gt; công cụ, DIY nguồn cung cấp&gt; vật liệu xây dựng, thiết bị nhà ở&gt; cách nhiệt, vật liệu cách âm, hấp thụ</v>
      </c>
      <c r="G152" s="229" t="str">
        <f t="shared" ca="1" si="4"/>
        <v>"2084303421" : "Vật liệu cách nhiệt, vật liệu cách âm, hấp thụ",</v>
      </c>
      <c r="H152" s="229" t="str">
        <f t="shared" si="5"/>
        <v>&lt;li class="col-md-3"&gt;&lt;a class="text-cut" href="javascript:;"(click)="categoryEvent(2084303421)"&gt;{{"2084303421" | translate}}&lt;/a&gt;&lt;/li&gt;</v>
      </c>
    </row>
    <row r="153" spans="1:8" ht="14.25" customHeight="1">
      <c r="A153" s="2">
        <v>2084062824</v>
      </c>
      <c r="B153" s="2" t="s">
        <v>3102</v>
      </c>
      <c r="C153" s="2" t="s">
        <v>3103</v>
      </c>
      <c r="D153" s="2" t="s">
        <v>3105</v>
      </c>
      <c r="E153" s="3" t="str">
        <f ca="1">IFERROR(__xludf.DUMMYFUNCTION("GOOGLETRANSLATE(B153,""ja"",""vi"")"),"nhà đơn giản, nhà log")</f>
        <v>nhà đơn giản, nhà log</v>
      </c>
      <c r="F153" s="3" t="str">
        <f ca="1">IFERROR(__xludf.DUMMYFUNCTION("GOOGLETRANSLATE(C153,""ja"",""vi"")"),"Đấu giá&gt; Nhà ở, nội thất&gt; Tools, DIY Đồ&gt; vật liệu xây dựng, thiết bị nhà ở&gt; nhà đơn giản, nhà log")</f>
        <v>Đấu giá&gt; Nhà ở, nội thất&gt; Tools, DIY Đồ&gt; vật liệu xây dựng, thiết bị nhà ở&gt; nhà đơn giản, nhà log</v>
      </c>
      <c r="G153" s="229" t="str">
        <f t="shared" ca="1" si="4"/>
        <v>"2084062824" : "nhà đơn giản, nhà log",</v>
      </c>
      <c r="H153" s="229" t="str">
        <f t="shared" si="5"/>
        <v>&lt;li class="col-md-3"&gt;&lt;a class="text-cut" href="javascript:;"(click)="categoryEvent(2084062824)"&gt;{{"2084062824" | translate}}&lt;/a&gt;&lt;/li&gt;</v>
      </c>
    </row>
    <row r="154" spans="1:8" ht="14.25" customHeight="1">
      <c r="A154" s="2">
        <v>24666</v>
      </c>
      <c r="B154" s="2" t="s">
        <v>2781</v>
      </c>
      <c r="C154" s="2" t="s">
        <v>3110</v>
      </c>
      <c r="D154" s="2" t="s">
        <v>3112</v>
      </c>
      <c r="E154" s="3" t="str">
        <f ca="1">IFERROR(__xludf.DUMMYFUNCTION("GOOGLETRANSLATE(B154,""ja"",""vi"")"),"công cụ quyền lực")</f>
        <v>công cụ quyền lực</v>
      </c>
      <c r="F154" s="3" t="str">
        <f ca="1">IFERROR(__xludf.DUMMYFUNCTION("GOOGLETRANSLATE(C154,""ja"",""vi"")"),"Đấu giá&gt; nhà, nội thất&gt; công cụ, DIY nguồn cung cấp&gt; vật liệu xây dựng, thiết bị nhà ở&gt; công cụ quyền lực")</f>
        <v>Đấu giá&gt; nhà, nội thất&gt; công cụ, DIY nguồn cung cấp&gt; vật liệu xây dựng, thiết bị nhà ở&gt; công cụ quyền lực</v>
      </c>
      <c r="G154" s="229" t="str">
        <f t="shared" ca="1" si="4"/>
        <v>"24666" : "công cụ quyền lực",</v>
      </c>
      <c r="H154" s="229" t="str">
        <f t="shared" si="5"/>
        <v>&lt;li class="col-md-3"&gt;&lt;a class="text-cut" href="javascript:;"(click)="categoryEvent(24666)"&gt;{{"24666" | translate}}&lt;/a&gt;&lt;/li&gt;</v>
      </c>
    </row>
    <row r="155" spans="1:8" ht="14.25" customHeight="1">
      <c r="A155" s="2">
        <v>2084062825</v>
      </c>
      <c r="B155" s="2" t="s">
        <v>16</v>
      </c>
      <c r="C155" s="2" t="s">
        <v>3117</v>
      </c>
      <c r="D155" s="2" t="s">
        <v>3118</v>
      </c>
      <c r="E155" s="3" t="str">
        <f ca="1">IFERROR(__xludf.DUMMYFUNCTION("GOOGLETRANSLATE(B155,""ja"",""vi"")"),"nếu không thì")</f>
        <v>nếu không thì</v>
      </c>
      <c r="F155" s="3" t="str">
        <f ca="1">IFERROR(__xludf.DUMMYFUNCTION("GOOGLETRANSLATE(C155,""ja"",""vi"")"),"Đấu giá&gt; nhà, nội thất&gt; công cụ, DIY nguồn cung cấp&gt; vật liệu xây dựng, thiết bị nhà ở&gt; Khác")</f>
        <v>Đấu giá&gt; nhà, nội thất&gt; công cụ, DIY nguồn cung cấp&gt; vật liệu xây dựng, thiết bị nhà ở&gt; Khác</v>
      </c>
      <c r="G155" s="229" t="str">
        <f t="shared" ca="1" si="4"/>
        <v>"2084062825" : "nếu không thì",</v>
      </c>
      <c r="H155" s="229" t="str">
        <f t="shared" si="5"/>
        <v>&lt;li class="col-md-3"&gt;&lt;a class="text-cut" href="javascript:;"(click)="categoryEvent(2084062825)"&gt;{{"2084062825" | translate}}&lt;/a&gt;&lt;/li&gt;</v>
      </c>
    </row>
    <row r="156" spans="1:8" ht="14.25" customHeight="1">
      <c r="E156" s="3"/>
      <c r="F156" s="3"/>
      <c r="G156" s="229"/>
      <c r="H156" s="229"/>
    </row>
    <row r="157" spans="1:8" ht="14.25" customHeight="1">
      <c r="A157" s="256">
        <v>24466</v>
      </c>
      <c r="B157" s="232"/>
      <c r="C157" s="232"/>
      <c r="D157" s="233"/>
      <c r="E157" s="3"/>
      <c r="F157" s="3"/>
      <c r="G157" s="229"/>
      <c r="H157" s="229"/>
    </row>
    <row r="158" spans="1:8" ht="14.25" customHeight="1">
      <c r="A158" s="2">
        <v>2084008355</v>
      </c>
      <c r="B158" s="2" t="s">
        <v>3134</v>
      </c>
      <c r="C158" s="2" t="s">
        <v>3135</v>
      </c>
      <c r="D158" s="2" t="s">
        <v>3136</v>
      </c>
      <c r="E158" s="3" t="str">
        <f ca="1">IFERROR(__xludf.DUMMYFUNCTION("GOOGLETRANSLATE(B158,""ja"",""vi"")"),"ủi")</f>
        <v>ủi</v>
      </c>
      <c r="F158" s="3" t="str">
        <f ca="1">IFERROR(__xludf.DUMMYFUNCTION("GOOGLETRANSLATE(C158,""ja"",""vi"")"),"Đấu giá&gt; thiết bị điện tử tiêu dùng, AV, máy ảnh&gt; Thiết bị gia dụng&gt; Sắt")</f>
        <v>Đấu giá&gt; thiết bị điện tử tiêu dùng, AV, máy ảnh&gt; Thiết bị gia dụng&gt; Sắt</v>
      </c>
      <c r="G158" s="229" t="str">
        <f t="shared" ca="1" si="4"/>
        <v>"2084008355" : "ủi",</v>
      </c>
      <c r="H158" s="229" t="str">
        <f t="shared" si="5"/>
        <v>&lt;li class="col-md-3"&gt;&lt;a class="text-cut" href="javascript:;"(click)="categoryEvent(2084008355)"&gt;{{"2084008355" | translate}}&lt;/a&gt;&lt;/li&gt;</v>
      </c>
    </row>
    <row r="159" spans="1:8" ht="14.25" customHeight="1">
      <c r="A159" s="2">
        <v>23764</v>
      </c>
      <c r="B159" s="2" t="s">
        <v>3140</v>
      </c>
      <c r="C159" s="2" t="s">
        <v>3141</v>
      </c>
      <c r="D159" s="2" t="s">
        <v>3142</v>
      </c>
      <c r="E159" s="3" t="str">
        <f ca="1">IFERROR(__xludf.DUMMYFUNCTION("GOOGLETRANSLATE(B159,""ja"",""vi"")"),"thiết bị nghe")</f>
        <v>thiết bị nghe</v>
      </c>
      <c r="F159" s="3" t="str">
        <f ca="1">IFERROR(__xludf.DUMMYFUNCTION("GOOGLETRANSLATE(C159,""ja"",""vi"")"),"Đấu giá&gt; thiết bị điện tử tiêu dùng, AV, máy ảnh&gt; Máy móc gia dụng&gt; Thiết bị âm thanh")</f>
        <v>Đấu giá&gt; thiết bị điện tử tiêu dùng, AV, máy ảnh&gt; Máy móc gia dụng&gt; Thiết bị âm thanh</v>
      </c>
      <c r="G159" s="229" t="str">
        <f t="shared" ca="1" si="4"/>
        <v>"23764" : "thiết bị nghe",</v>
      </c>
      <c r="H159" s="229" t="str">
        <f t="shared" si="5"/>
        <v>&lt;li class="col-md-3"&gt;&lt;a class="text-cut" href="javascript:;"(click)="categoryEvent(23764)"&gt;{{"23764" | translate}}&lt;/a&gt;&lt;/li&gt;</v>
      </c>
    </row>
    <row r="160" spans="1:8" ht="14.25" customHeight="1">
      <c r="A160" s="2">
        <v>2084008364</v>
      </c>
      <c r="B160" s="2" t="s">
        <v>3147</v>
      </c>
      <c r="C160" s="2" t="s">
        <v>3148</v>
      </c>
      <c r="D160" s="2" t="s">
        <v>3150</v>
      </c>
      <c r="E160" s="3" t="str">
        <f ca="1">IFERROR(__xludf.DUMMYFUNCTION("GOOGLETRANSLATE(B160,""ja"",""vi"")"),"Nhà bếp, bàn ăn")</f>
        <v>Nhà bếp, bàn ăn</v>
      </c>
      <c r="F160" s="3" t="str">
        <f ca="1">IFERROR(__xludf.DUMMYFUNCTION("GOOGLETRANSLATE(C160,""ja"",""vi"")"),"Đấu giá&gt; thiết bị điện tử tiêu dùng, AV, máy ảnh&gt; Máy móc gia dụng&gt; bếp, bàn ăn")</f>
        <v>Đấu giá&gt; thiết bị điện tử tiêu dùng, AV, máy ảnh&gt; Máy móc gia dụng&gt; bếp, bàn ăn</v>
      </c>
      <c r="G160" s="229" t="str">
        <f t="shared" ca="1" si="4"/>
        <v>"2084008364" : "Nhà bếp, bàn ăn",</v>
      </c>
      <c r="H160" s="229" t="str">
        <f t="shared" si="5"/>
        <v>&lt;li class="col-md-3"&gt;&lt;a class="text-cut" href="javascript:;"(click)="categoryEvent(2084008364)"&gt;{{"2084008364" | translate}}&lt;/a&gt;&lt;/li&gt;</v>
      </c>
    </row>
    <row r="161" spans="1:8" ht="14.25" customHeight="1">
      <c r="A161" s="2">
        <v>23884</v>
      </c>
      <c r="B161" s="2" t="s">
        <v>3151</v>
      </c>
      <c r="C161" s="2" t="s">
        <v>3152</v>
      </c>
      <c r="D161" s="2" t="s">
        <v>3153</v>
      </c>
      <c r="E161" s="3" t="str">
        <f ca="1">IFERROR(__xludf.DUMMYFUNCTION("GOOGLETRANSLATE(B161,""ja"",""vi"")"),"TV")</f>
        <v>TV</v>
      </c>
      <c r="F161" s="3" t="str">
        <f ca="1">IFERROR(__xludf.DUMMYFUNCTION("GOOGLETRANSLATE(C161,""ja"",""vi"")"),"Đấu giá&gt; thiết bị điện tử tiêu dùng, AV, máy ảnh&gt; Máy móc gia dụng&gt; TV")</f>
        <v>Đấu giá&gt; thiết bị điện tử tiêu dùng, AV, máy ảnh&gt; Máy móc gia dụng&gt; TV</v>
      </c>
      <c r="G161" s="229" t="str">
        <f t="shared" ca="1" si="4"/>
        <v>"23884" : "TV",</v>
      </c>
      <c r="H161" s="229" t="str">
        <f t="shared" si="5"/>
        <v>&lt;li class="col-md-3"&gt;&lt;a class="text-cut" href="javascript:;"(click)="categoryEvent(23884)"&gt;{{"23884" | translate}}&lt;/a&gt;&lt;/li&gt;</v>
      </c>
    </row>
    <row r="162" spans="1:8" ht="14.25" customHeight="1">
      <c r="A162" s="2">
        <v>23900</v>
      </c>
      <c r="B162" s="2" t="s">
        <v>3157</v>
      </c>
      <c r="C162" s="2" t="s">
        <v>3158</v>
      </c>
      <c r="D162" s="2" t="s">
        <v>3159</v>
      </c>
      <c r="E162" s="3" t="str">
        <f ca="1">IFERROR(__xludf.DUMMYFUNCTION("GOOGLETRANSLATE(B162,""ja"",""vi"")"),"boong video")</f>
        <v>boong video</v>
      </c>
      <c r="F162" s="3" t="str">
        <f ca="1">IFERROR(__xludf.DUMMYFUNCTION("GOOGLETRANSLATE(C162,""ja"",""vi"")"),"Đấu giá&gt; thiết bị điện tử tiêu dùng, AV, camera&gt; đồ dùng gia đình&gt; boong video")</f>
        <v>Đấu giá&gt; thiết bị điện tử tiêu dùng, AV, camera&gt; đồ dùng gia đình&gt; boong video</v>
      </c>
      <c r="G162" s="229" t="str">
        <f t="shared" ca="1" si="4"/>
        <v>"23900" : "boong video",</v>
      </c>
      <c r="H162" s="229" t="str">
        <f t="shared" si="5"/>
        <v>&lt;li class="col-md-3"&gt;&lt;a class="text-cut" href="javascript:;"(click)="categoryEvent(23900)"&gt;{{"23900" | translate}}&lt;/a&gt;&lt;/li&gt;</v>
      </c>
    </row>
    <row r="163" spans="1:8" ht="14.25" customHeight="1">
      <c r="A163" s="2">
        <v>2084044960</v>
      </c>
      <c r="B163" s="2" t="s">
        <v>2970</v>
      </c>
      <c r="C163" s="2" t="s">
        <v>3161</v>
      </c>
      <c r="D163" s="2" t="s">
        <v>3162</v>
      </c>
      <c r="E163" s="3" t="str">
        <f ca="1">IFERROR(__xludf.DUMMYFUNCTION("GOOGLETRANSLATE(B163,""ja"",""vi"")"),"máy sấy tóc")</f>
        <v>máy sấy tóc</v>
      </c>
      <c r="F163" s="3" t="str">
        <f ca="1">IFERROR(__xludf.DUMMYFUNCTION("GOOGLETRANSLATE(C163,""ja"",""vi"")"),"Đấu giá&gt; thiết bị điện tử tiêu dùng, AV, camera&gt; đồ dùng gia đình&gt; Máy sấy tóc")</f>
        <v>Đấu giá&gt; thiết bị điện tử tiêu dùng, AV, camera&gt; đồ dùng gia đình&gt; Máy sấy tóc</v>
      </c>
      <c r="G163" s="229" t="str">
        <f t="shared" ca="1" si="4"/>
        <v>"2084044960" : "máy sấy tóc",</v>
      </c>
      <c r="H163" s="229" t="str">
        <f t="shared" si="5"/>
        <v>&lt;li class="col-md-3"&gt;&lt;a class="text-cut" href="javascript:;"(click)="categoryEvent(2084044960)"&gt;{{"2084044960" | translate}}&lt;/a&gt;&lt;/li&gt;</v>
      </c>
    </row>
    <row r="164" spans="1:8" ht="14.25" customHeight="1">
      <c r="A164" s="2">
        <v>2084008354</v>
      </c>
      <c r="B164" s="2" t="s">
        <v>3166</v>
      </c>
      <c r="C164" s="2" t="s">
        <v>3168</v>
      </c>
      <c r="D164" s="2" t="s">
        <v>3169</v>
      </c>
      <c r="E164" s="3" t="str">
        <f ca="1">IFERROR(__xludf.DUMMYFUNCTION("GOOGLETRANSLATE(B164,""ja"",""vi"")"),"máy may")</f>
        <v>máy may</v>
      </c>
      <c r="F164" s="3" t="str">
        <f ca="1">IFERROR(__xludf.DUMMYFUNCTION("GOOGLETRANSLATE(C164,""ja"",""vi"")"),"Đấu giá&gt; thiết bị điện tử tiêu dùng, AV, camera&gt; đồ dùng gia đình&gt; máy may")</f>
        <v>Đấu giá&gt; thiết bị điện tử tiêu dùng, AV, camera&gt; đồ dùng gia đình&gt; máy may</v>
      </c>
      <c r="G164" s="229" t="str">
        <f t="shared" ca="1" si="4"/>
        <v>"2084008354" : "máy may",</v>
      </c>
      <c r="H164" s="229" t="str">
        <f t="shared" si="5"/>
        <v>&lt;li class="col-md-3"&gt;&lt;a class="text-cut" href="javascript:;"(click)="categoryEvent(2084008354)"&gt;{{"2084008354" | translate}}&lt;/a&gt;&lt;/li&gt;</v>
      </c>
    </row>
    <row r="165" spans="1:8" ht="14.25" customHeight="1">
      <c r="A165" s="2">
        <v>23880</v>
      </c>
      <c r="B165" s="2" t="s">
        <v>3171</v>
      </c>
      <c r="C165" s="2" t="s">
        <v>3173</v>
      </c>
      <c r="D165" s="2" t="s">
        <v>3174</v>
      </c>
      <c r="E165" s="3" t="str">
        <f ca="1">IFERROR(__xludf.DUMMYFUNCTION("GOOGLETRANSLATE(B165,""ja"",""vi"")"),"thiết bị video")</f>
        <v>thiết bị video</v>
      </c>
      <c r="F165" s="3" t="str">
        <f ca="1">IFERROR(__xludf.DUMMYFUNCTION("GOOGLETRANSLATE(C165,""ja"",""vi"")"),"Đấu giá&gt; thiết bị điện tử tiêu dùng, AV, máy ảnh&gt; Máy móc gia dụng&gt; thiết bị video")</f>
        <v>Đấu giá&gt; thiết bị điện tử tiêu dùng, AV, máy ảnh&gt; Máy móc gia dụng&gt; thiết bị video</v>
      </c>
      <c r="G165" s="229" t="str">
        <f t="shared" ca="1" si="4"/>
        <v>"23880" : "thiết bị video",</v>
      </c>
      <c r="H165" s="229" t="str">
        <f t="shared" si="5"/>
        <v>&lt;li class="col-md-3"&gt;&lt;a class="text-cut" href="javascript:;"(click)="categoryEvent(23880)"&gt;{{"23880" | translate}}&lt;/a&gt;&lt;/li&gt;</v>
      </c>
    </row>
    <row r="166" spans="1:8" ht="14.25" customHeight="1">
      <c r="A166" s="2">
        <v>24442</v>
      </c>
      <c r="B166" s="2" t="s">
        <v>3179</v>
      </c>
      <c r="C166" s="2" t="s">
        <v>3180</v>
      </c>
      <c r="D166" s="2" t="s">
        <v>3181</v>
      </c>
      <c r="E166" s="3" t="str">
        <f ca="1">IFERROR(__xludf.DUMMYFUNCTION("GOOGLETRANSLATE(B166,""ja"",""vi"")"),"máy sấy")</f>
        <v>máy sấy</v>
      </c>
      <c r="F166" s="3" t="str">
        <f ca="1">IFERROR(__xludf.DUMMYFUNCTION("GOOGLETRANSLATE(C166,""ja"",""vi"")"),"Đấu giá&gt; thiết bị điện tử tiêu dùng, AV, camera&gt; đồ dùng gia đình&gt; Máy sấy")</f>
        <v>Đấu giá&gt; thiết bị điện tử tiêu dùng, AV, camera&gt; đồ dùng gia đình&gt; Máy sấy</v>
      </c>
      <c r="G166" s="229" t="str">
        <f t="shared" ca="1" si="4"/>
        <v>"24442" : "máy sấy",</v>
      </c>
      <c r="H166" s="229" t="str">
        <f t="shared" si="5"/>
        <v>&lt;li class="col-md-3"&gt;&lt;a class="text-cut" href="javascript:;"(click)="categoryEvent(24442)"&gt;{{"24442" | translate}}&lt;/a&gt;&lt;/li&gt;</v>
      </c>
    </row>
    <row r="167" spans="1:8" ht="14.25" customHeight="1">
      <c r="A167" s="2">
        <v>24690</v>
      </c>
      <c r="B167" s="2" t="s">
        <v>3187</v>
      </c>
      <c r="C167" s="2" t="s">
        <v>3188</v>
      </c>
      <c r="D167" s="2" t="s">
        <v>3190</v>
      </c>
      <c r="E167" s="3" t="str">
        <f ca="1">IFERROR(__xludf.DUMMYFUNCTION("GOOGLETRANSLATE(B167,""ja"",""vi"")"),"thiết bị chiếu sáng")</f>
        <v>thiết bị chiếu sáng</v>
      </c>
      <c r="F167" s="3" t="str">
        <f ca="1">IFERROR(__xludf.DUMMYFUNCTION("GOOGLETRANSLATE(C167,""ja"",""vi"")"),"Đấu giá&gt; thiết bị điện tử tiêu dùng, AV, camera&gt; đồ dùng gia đình&gt; Thiết bị chiếu sáng")</f>
        <v>Đấu giá&gt; thiết bị điện tử tiêu dùng, AV, camera&gt; đồ dùng gia đình&gt; Thiết bị chiếu sáng</v>
      </c>
      <c r="G167" s="229" t="str">
        <f t="shared" ca="1" si="4"/>
        <v>"24690" : "thiết bị chiếu sáng",</v>
      </c>
      <c r="H167" s="229" t="str">
        <f t="shared" si="5"/>
        <v>&lt;li class="col-md-3"&gt;&lt;a class="text-cut" href="javascript:;"(click)="categoryEvent(24690)"&gt;{{"24690" | translate}}&lt;/a&gt;&lt;/li&gt;</v>
      </c>
    </row>
    <row r="168" spans="1:8" ht="14.25" customHeight="1">
      <c r="A168" s="2">
        <v>24454</v>
      </c>
      <c r="B168" s="2" t="s">
        <v>3192</v>
      </c>
      <c r="C168" s="2" t="s">
        <v>3194</v>
      </c>
      <c r="D168" s="2" t="s">
        <v>3195</v>
      </c>
      <c r="E168" s="3" t="str">
        <f ca="1">IFERROR(__xludf.DUMMYFUNCTION("GOOGLETRANSLATE(B168,""ja"",""vi"")"),"máy giặt")</f>
        <v>máy giặt</v>
      </c>
      <c r="F168" s="3" t="str">
        <f ca="1">IFERROR(__xludf.DUMMYFUNCTION("GOOGLETRANSLATE(C168,""ja"",""vi"")"),"Đấu giá&gt; thiết bị điện tử tiêu dùng, AV, camera&gt; đồ dùng gia đình&gt; máy giặt")</f>
        <v>Đấu giá&gt; thiết bị điện tử tiêu dùng, AV, camera&gt; đồ dùng gia đình&gt; máy giặt</v>
      </c>
      <c r="G168" s="229" t="str">
        <f t="shared" ca="1" si="4"/>
        <v>"24454" : "máy giặt",</v>
      </c>
      <c r="H168" s="229" t="str">
        <f t="shared" si="5"/>
        <v>&lt;li class="col-md-3"&gt;&lt;a class="text-cut" href="javascript:;"(click)="categoryEvent(24454)"&gt;{{"24454" | translate}}&lt;/a&gt;&lt;/li&gt;</v>
      </c>
    </row>
    <row r="169" spans="1:8" ht="14.25" customHeight="1">
      <c r="A169" s="2">
        <v>24450</v>
      </c>
      <c r="B169" s="2" t="s">
        <v>3199</v>
      </c>
      <c r="C169" s="2" t="s">
        <v>3200</v>
      </c>
      <c r="D169" s="2" t="s">
        <v>3201</v>
      </c>
      <c r="E169" s="3" t="str">
        <f ca="1">IFERROR(__xludf.DUMMYFUNCTION("GOOGLETRANSLATE(B169,""ja"",""vi"")"),"máy hút bụi")</f>
        <v>máy hút bụi</v>
      </c>
      <c r="F169" s="3" t="str">
        <f ca="1">IFERROR(__xludf.DUMMYFUNCTION("GOOGLETRANSLATE(C169,""ja"",""vi"")"),"Đấu giá&gt; thiết bị điện tử tiêu dùng, AV, camera&gt; đồ dùng gia đình&gt; máy hút bụi")</f>
        <v>Đấu giá&gt; thiết bị điện tử tiêu dùng, AV, camera&gt; đồ dùng gia đình&gt; máy hút bụi</v>
      </c>
      <c r="G169" s="229" t="str">
        <f t="shared" ca="1" si="4"/>
        <v>"24450" : "máy hút bụi",</v>
      </c>
      <c r="H169" s="229" t="str">
        <f t="shared" si="5"/>
        <v>&lt;li class="col-md-3"&gt;&lt;a class="text-cut" href="javascript:;"(click)="categoryEvent(24450)"&gt;{{"24450" | translate}}&lt;/a&gt;&lt;/li&gt;</v>
      </c>
    </row>
    <row r="170" spans="1:8" ht="14.25" customHeight="1">
      <c r="A170" s="2">
        <v>2084042672</v>
      </c>
      <c r="B170" s="2" t="s">
        <v>3202</v>
      </c>
      <c r="C170" s="2" t="s">
        <v>3203</v>
      </c>
      <c r="D170" s="2" t="s">
        <v>3204</v>
      </c>
      <c r="E170" s="3" t="str">
        <f ca="1">IFERROR(__xludf.DUMMYFUNCTION("GOOGLETRANSLATE(B170,""ja"",""vi"")"),"Điện thoại, fax")</f>
        <v>Điện thoại, fax</v>
      </c>
      <c r="F170" s="3" t="str">
        <f ca="1">IFERROR(__xludf.DUMMYFUNCTION("GOOGLETRANSLATE(C170,""ja"",""vi"")"),"Đấu giá&gt; thiết bị điện tử tiêu dùng, AV, camera&gt; đồ dùng gia đình&gt; điện thoại, fax")</f>
        <v>Đấu giá&gt; thiết bị điện tử tiêu dùng, AV, camera&gt; đồ dùng gia đình&gt; điện thoại, fax</v>
      </c>
      <c r="G170" s="229" t="str">
        <f t="shared" ca="1" si="4"/>
        <v>"2084042672" : "Điện thoại, fax",</v>
      </c>
      <c r="H170" s="229" t="str">
        <f t="shared" si="5"/>
        <v>&lt;li class="col-md-3"&gt;&lt;a class="text-cut" href="javascript:;"(click)="categoryEvent(2084042672)"&gt;{{"2084042672" | translate}}&lt;/a&gt;&lt;/li&gt;</v>
      </c>
    </row>
    <row r="171" spans="1:8" ht="14.25" customHeight="1">
      <c r="A171" s="2">
        <v>2084008356</v>
      </c>
      <c r="B171" s="2" t="s">
        <v>3207</v>
      </c>
      <c r="C171" s="2" t="s">
        <v>3208</v>
      </c>
      <c r="D171" s="2" t="s">
        <v>3209</v>
      </c>
      <c r="E171" s="3" t="str">
        <f ca="1">IFERROR(__xludf.DUMMYFUNCTION("GOOGLETRANSLATE(B171,""ja"",""vi"")"),"Làm nóng và làm mát, điều hòa không khí")</f>
        <v>Làm nóng và làm mát, điều hòa không khí</v>
      </c>
      <c r="F171" s="3" t="str">
        <f ca="1">IFERROR(__xludf.DUMMYFUNCTION("GOOGLETRANSLATE(C171,""ja"",""vi"")"),"Đấu giá&gt; thiết bị điện tử tiêu dùng, AV, camera&gt; đồ dùng gia đình&gt; làm nóng và làm mát, điều hòa không khí")</f>
        <v>Đấu giá&gt; thiết bị điện tử tiêu dùng, AV, camera&gt; đồ dùng gia đình&gt; làm nóng và làm mát, điều hòa không khí</v>
      </c>
      <c r="G171" s="229" t="str">
        <f t="shared" ca="1" si="4"/>
        <v>"2084008356" : "Làm nóng và làm mát, điều hòa không khí",</v>
      </c>
      <c r="H171" s="229" t="str">
        <f t="shared" si="5"/>
        <v>&lt;li class="col-md-3"&gt;&lt;a class="text-cut" href="javascript:;"(click)="categoryEvent(2084008356)"&gt;{{"2084008356" | translate}}&lt;/a&gt;&lt;/li&gt;</v>
      </c>
    </row>
    <row r="172" spans="1:8" ht="14.25" customHeight="1">
      <c r="A172" s="2">
        <v>2084061709</v>
      </c>
      <c r="B172" s="2" t="s">
        <v>16</v>
      </c>
      <c r="C172" s="2" t="s">
        <v>3215</v>
      </c>
      <c r="D172" s="2" t="s">
        <v>3217</v>
      </c>
      <c r="E172" s="3" t="str">
        <f ca="1">IFERROR(__xludf.DUMMYFUNCTION("GOOGLETRANSLATE(B172,""ja"",""vi"")"),"nếu không thì")</f>
        <v>nếu không thì</v>
      </c>
      <c r="F172" s="3" t="str">
        <f ca="1">IFERROR(__xludf.DUMMYFUNCTION("GOOGLETRANSLATE(C172,""ja"",""vi"")"),"Đấu giá&gt; thiết bị điện tử tiêu dùng, AV, máy ảnh&gt; Máy móc gia dụng&gt; Khác")</f>
        <v>Đấu giá&gt; thiết bị điện tử tiêu dùng, AV, máy ảnh&gt; Máy móc gia dụng&gt; Khác</v>
      </c>
      <c r="G172" s="229" t="str">
        <f t="shared" ca="1" si="4"/>
        <v>"2084061709" : "nếu không thì",</v>
      </c>
      <c r="H172" s="229" t="str">
        <f t="shared" si="5"/>
        <v>&lt;li class="col-md-3"&gt;&lt;a class="text-cut" href="javascript:;"(click)="categoryEvent(2084061709)"&gt;{{"2084061709" | translate}}&lt;/a&gt;&lt;/li&gt;</v>
      </c>
    </row>
    <row r="173" spans="1:8" ht="14.25" customHeight="1">
      <c r="E173" s="3"/>
      <c r="F173" s="3"/>
      <c r="G173" s="229"/>
      <c r="H173" s="229"/>
    </row>
    <row r="174" spans="1:8" ht="14.25" customHeight="1">
      <c r="A174" s="252">
        <v>2084047969</v>
      </c>
      <c r="B174" s="232"/>
      <c r="C174" s="232"/>
      <c r="D174" s="233"/>
      <c r="E174" s="3"/>
      <c r="F174" s="3"/>
      <c r="G174" s="229"/>
      <c r="H174" s="229"/>
    </row>
    <row r="175" spans="1:8" ht="14.25" customHeight="1">
      <c r="A175" s="2">
        <v>2084055702</v>
      </c>
      <c r="B175" s="2" t="s">
        <v>3230</v>
      </c>
      <c r="C175" s="2" t="s">
        <v>3231</v>
      </c>
      <c r="D175" s="2" t="s">
        <v>3232</v>
      </c>
      <c r="E175" s="3" t="str">
        <f ca="1">IFERROR(__xludf.DUMMYFUNCTION("GOOGLETRANSLATE(B175,""ja"",""vi"")"),"an ninh")</f>
        <v>an ninh</v>
      </c>
      <c r="F175" s="3" t="str">
        <f ca="1">IFERROR(__xludf.DUMMYFUNCTION("GOOGLETRANSLATE(C175,""ja"",""vi"")"),"Đấu giá&gt; nhà, nội thất&gt; phòng chống thiên tai, an ninh&gt; an ninh")</f>
        <v>Đấu giá&gt; nhà, nội thất&gt; phòng chống thiên tai, an ninh&gt; an ninh</v>
      </c>
      <c r="G175" s="229" t="str">
        <f t="shared" ca="1" si="4"/>
        <v>"2084055702" : "an ninh",</v>
      </c>
      <c r="H175" s="229" t="str">
        <f t="shared" si="5"/>
        <v>&lt;li class="col-md-3"&gt;&lt;a class="text-cut" href="javascript:;"(click)="categoryEvent(2084055702)"&gt;{{"2084055702" | translate}}&lt;/a&gt;&lt;/li&gt;</v>
      </c>
    </row>
    <row r="176" spans="1:8" ht="14.25" customHeight="1">
      <c r="A176" s="2">
        <v>2084055695</v>
      </c>
      <c r="B176" s="2" t="s">
        <v>3237</v>
      </c>
      <c r="C176" s="2" t="s">
        <v>3238</v>
      </c>
      <c r="D176" s="2" t="s">
        <v>3239</v>
      </c>
      <c r="E176" s="3" t="str">
        <f ca="1">IFERROR(__xludf.DUMMYFUNCTION("GOOGLETRANSLATE(B176,""ja"",""vi"")"),"phòng chống thiên tai")</f>
        <v>phòng chống thiên tai</v>
      </c>
      <c r="F176" s="3" t="str">
        <f ca="1">IFERROR(__xludf.DUMMYFUNCTION("GOOGLETRANSLATE(C176,""ja"",""vi"")"),"Đấu giá&gt; nhà, nội thất&gt; phòng chống thiên tai, an ninh&gt; phòng chống thiên tai")</f>
        <v>Đấu giá&gt; nhà, nội thất&gt; phòng chống thiên tai, an ninh&gt; phòng chống thiên tai</v>
      </c>
      <c r="G176" s="229" t="str">
        <f t="shared" ca="1" si="4"/>
        <v>"2084055695" : "phòng chống thiên tai",</v>
      </c>
      <c r="H176" s="229" t="str">
        <f t="shared" si="5"/>
        <v>&lt;li class="col-md-3"&gt;&lt;a class="text-cut" href="javascript:;"(click)="categoryEvent(2084055695)"&gt;{{"2084055695" | translate}}&lt;/a&gt;&lt;/li&gt;</v>
      </c>
    </row>
    <row r="177" spans="1:8" ht="14.25" customHeight="1">
      <c r="E177" s="3"/>
      <c r="F177" s="3"/>
      <c r="G177" s="229"/>
      <c r="H177" s="229"/>
    </row>
    <row r="178" spans="1:8" ht="14.25" customHeight="1">
      <c r="A178" s="261">
        <v>20284</v>
      </c>
      <c r="B178" s="232"/>
      <c r="C178" s="232"/>
      <c r="D178" s="233"/>
      <c r="E178" s="3"/>
      <c r="F178" s="3"/>
      <c r="G178" s="229"/>
      <c r="H178" s="229"/>
    </row>
    <row r="179" spans="1:8" ht="14.25" customHeight="1">
      <c r="A179" s="2">
        <v>20297</v>
      </c>
      <c r="B179" s="2" t="s">
        <v>3249</v>
      </c>
      <c r="C179" s="2" t="s">
        <v>3253</v>
      </c>
      <c r="D179" s="2" t="s">
        <v>3256</v>
      </c>
      <c r="E179" s="3" t="str">
        <f ca="1">IFERROR(__xludf.DUMMYFUNCTION("GOOGLETRANSLATE(B179,""ja"",""vi"")"),"Năm mới")</f>
        <v>Năm mới</v>
      </c>
      <c r="F179" s="3" t="str">
        <f ca="1">IFERROR(__xludf.DUMMYFUNCTION("GOOGLETRANSLATE(C179,""ja"",""vi"")"),"Đấu giá&gt; nhà, nội thất&gt; mùa, sự kiện hàng năm&gt; New Year")</f>
        <v>Đấu giá&gt; nhà, nội thất&gt; mùa, sự kiện hàng năm&gt; New Year</v>
      </c>
      <c r="G179" s="229" t="str">
        <f t="shared" ca="1" si="4"/>
        <v>"20297" : "Năm mới",</v>
      </c>
      <c r="H179" s="229" t="str">
        <f t="shared" si="5"/>
        <v>&lt;li class="col-md-3"&gt;&lt;a class="text-cut" href="javascript:;"(click)="categoryEvent(20297)"&gt;{{"20297" | translate}}&lt;/a&gt;&lt;/li&gt;</v>
      </c>
    </row>
    <row r="180" spans="1:8" ht="14.25" customHeight="1">
      <c r="A180" s="2">
        <v>2084061251</v>
      </c>
      <c r="B180" s="2" t="s">
        <v>3259</v>
      </c>
      <c r="C180" s="2" t="s">
        <v>3261</v>
      </c>
      <c r="D180" s="2" t="s">
        <v>3264</v>
      </c>
      <c r="E180" s="3" t="str">
        <f ca="1">IFERROR(__xludf.DUMMYFUNCTION("GOOGLETRANSLATE(B180,""ja"",""vi"")"),"Coming-of-tuổi lễ")</f>
        <v>Coming-of-tuổi lễ</v>
      </c>
      <c r="F180" s="3" t="str">
        <f ca="1">IFERROR(__xludf.DUMMYFUNCTION("GOOGLETRANSLATE(C180,""ja"",""vi"")"),"Đấu giá&gt; nhà, nội thất&gt; mùa, sự kiện hàng năm&gt; coming-of-tuổi lễ")</f>
        <v>Đấu giá&gt; nhà, nội thất&gt; mùa, sự kiện hàng năm&gt; coming-of-tuổi lễ</v>
      </c>
      <c r="G180" s="229" t="str">
        <f t="shared" ca="1" si="4"/>
        <v>"2084061251" : "Coming-of-tuổi lễ",</v>
      </c>
      <c r="H180" s="229" t="str">
        <f t="shared" si="5"/>
        <v>&lt;li class="col-md-3"&gt;&lt;a class="text-cut" href="javascript:;"(click)="categoryEvent(2084061251)"&gt;{{"2084061251" | translate}}&lt;/a&gt;&lt;/li&gt;</v>
      </c>
    </row>
    <row r="181" spans="1:8" ht="14.25" customHeight="1">
      <c r="A181" s="2">
        <v>2084007488</v>
      </c>
      <c r="B181" s="2" t="s">
        <v>3266</v>
      </c>
      <c r="C181" s="2" t="s">
        <v>3268</v>
      </c>
      <c r="D181" s="2" t="s">
        <v>3269</v>
      </c>
      <c r="E181" s="3" t="str">
        <f ca="1">IFERROR(__xludf.DUMMYFUNCTION("GOOGLETRANSLATE(B181,""ja"",""vi"")"),"Ngày Valentine")</f>
        <v>Ngày Valentine</v>
      </c>
      <c r="F181" s="3" t="str">
        <f ca="1">IFERROR(__xludf.DUMMYFUNCTION("GOOGLETRANSLATE(C181,""ja"",""vi"")"),"Đấu giá&gt; nhà, nội thất&gt; mùa, sự kiện hàng năm&gt; Ngày Valentine")</f>
        <v>Đấu giá&gt; nhà, nội thất&gt; mùa, sự kiện hàng năm&gt; Ngày Valentine</v>
      </c>
      <c r="G181" s="229" t="str">
        <f t="shared" ca="1" si="4"/>
        <v>"2084007488" : "Ngày Valentine",</v>
      </c>
      <c r="H181" s="229" t="str">
        <f t="shared" si="5"/>
        <v>&lt;li class="col-md-3"&gt;&lt;a class="text-cut" href="javascript:;"(click)="categoryEvent(2084007488)"&gt;{{"2084007488" | translate}}&lt;/a&gt;&lt;/li&gt;</v>
      </c>
    </row>
    <row r="182" spans="1:8" ht="14.25" customHeight="1">
      <c r="A182" s="2">
        <v>2084007498</v>
      </c>
      <c r="B182" s="2" t="s">
        <v>3274</v>
      </c>
      <c r="C182" s="2" t="s">
        <v>3276</v>
      </c>
      <c r="D182" s="2" t="s">
        <v>3277</v>
      </c>
      <c r="E182" s="3" t="str">
        <f ca="1">IFERROR(__xludf.DUMMYFUNCTION("GOOGLETRANSLATE(B182,""ja"",""vi"")"),"Liên hoan búp bê")</f>
        <v>Liên hoan búp bê</v>
      </c>
      <c r="F182" s="3" t="str">
        <f ca="1">IFERROR(__xludf.DUMMYFUNCTION("GOOGLETRANSLATE(C182,""ja"",""vi"")"),"Đấu giá&gt; nhà, nội thất&gt; mùa, sự kiện hàng năm&gt; Lễ hội búp bê Nhật Bản")</f>
        <v>Đấu giá&gt; nhà, nội thất&gt; mùa, sự kiện hàng năm&gt; Lễ hội búp bê Nhật Bản</v>
      </c>
      <c r="G182" s="229" t="str">
        <f t="shared" ca="1" si="4"/>
        <v>"2084007498" : "Liên hoan búp bê",</v>
      </c>
      <c r="H182" s="229" t="str">
        <f t="shared" si="5"/>
        <v>&lt;li class="col-md-3"&gt;&lt;a class="text-cut" href="javascript:;"(click)="categoryEvent(2084007498)"&gt;{{"2084007498" | translate}}&lt;/a&gt;&lt;/li&gt;</v>
      </c>
    </row>
    <row r="183" spans="1:8" ht="14.25" customHeight="1">
      <c r="A183" s="2">
        <v>2084007503</v>
      </c>
      <c r="B183" s="2" t="s">
        <v>3279</v>
      </c>
      <c r="C183" s="2" t="s">
        <v>3281</v>
      </c>
      <c r="D183" s="2" t="s">
        <v>3282</v>
      </c>
      <c r="E183" s="3" t="str">
        <f ca="1">IFERROR(__xludf.DUMMYFUNCTION("GOOGLETRANSLATE(B183,""ja"",""vi"")"),"white Day")</f>
        <v>white Day</v>
      </c>
      <c r="F183" s="3" t="str">
        <f ca="1">IFERROR(__xludf.DUMMYFUNCTION("GOOGLETRANSLATE(C183,""ja"",""vi"")"),"Đấu giá&gt; nhà, nội thất&gt; mùa, sự kiện hàng năm&gt; White Day")</f>
        <v>Đấu giá&gt; nhà, nội thất&gt; mùa, sự kiện hàng năm&gt; White Day</v>
      </c>
      <c r="G183" s="229" t="str">
        <f t="shared" ca="1" si="4"/>
        <v>"2084007503" : "white Day",</v>
      </c>
      <c r="H183" s="229" t="str">
        <f t="shared" si="5"/>
        <v>&lt;li class="col-md-3"&gt;&lt;a class="text-cut" href="javascript:;"(click)="categoryEvent(2084007503)"&gt;{{"2084007503" | translate}}&lt;/a&gt;&lt;/li&gt;</v>
      </c>
    </row>
    <row r="184" spans="1:8" ht="14.25" customHeight="1">
      <c r="A184" s="2">
        <v>2084007512</v>
      </c>
      <c r="B184" s="2" t="s">
        <v>3287</v>
      </c>
      <c r="C184" s="2" t="s">
        <v>3289</v>
      </c>
      <c r="D184" s="2" t="s">
        <v>3291</v>
      </c>
      <c r="E184" s="3" t="str">
        <f ca="1">IFERROR(__xludf.DUMMYFUNCTION("GOOGLETRANSLATE(B184,""ja"",""vi"")"),"Ngày thiếu nhi")</f>
        <v>Ngày thiếu nhi</v>
      </c>
      <c r="F184" s="3" t="str">
        <f ca="1">IFERROR(__xludf.DUMMYFUNCTION("GOOGLETRANSLATE(C184,""ja"",""vi"")"),"Đấu giá&gt; nhà, nội thất&gt; mùa, sự kiện hàng năm&gt; Ngày thiếu nhi")</f>
        <v>Đấu giá&gt; nhà, nội thất&gt; mùa, sự kiện hàng năm&gt; Ngày thiếu nhi</v>
      </c>
      <c r="G184" s="229" t="str">
        <f t="shared" ca="1" si="4"/>
        <v>"2084007512" : "Ngày thiếu nhi",</v>
      </c>
      <c r="H184" s="229" t="str">
        <f t="shared" si="5"/>
        <v>&lt;li class="col-md-3"&gt;&lt;a class="text-cut" href="javascript:;"(click)="categoryEvent(2084007512)"&gt;{{"2084007512" | translate}}&lt;/a&gt;&lt;/li&gt;</v>
      </c>
    </row>
    <row r="185" spans="1:8" ht="14.25" customHeight="1">
      <c r="A185" s="2">
        <v>2084041694</v>
      </c>
      <c r="B185" s="2" t="s">
        <v>3295</v>
      </c>
      <c r="C185" s="2" t="s">
        <v>3296</v>
      </c>
      <c r="D185" s="2" t="s">
        <v>3298</v>
      </c>
      <c r="E185" s="3" t="str">
        <f ca="1">IFERROR(__xludf.DUMMYFUNCTION("GOOGLETRANSLATE(B185,""ja"",""vi"")"),"Ngày của Mẹ")</f>
        <v>Ngày của Mẹ</v>
      </c>
      <c r="F185" s="3" t="str">
        <f ca="1">IFERROR(__xludf.DUMMYFUNCTION("GOOGLETRANSLATE(C185,""ja"",""vi"")"),"Đấu giá&gt; nhà, nội thất&gt; mùa, sự kiện hàng năm&gt; Ngày của Mẹ")</f>
        <v>Đấu giá&gt; nhà, nội thất&gt; mùa, sự kiện hàng năm&gt; Ngày của Mẹ</v>
      </c>
      <c r="G185" s="229" t="str">
        <f t="shared" ca="1" si="4"/>
        <v>"2084041694" : "Ngày của Mẹ",</v>
      </c>
      <c r="H185" s="229" t="str">
        <f t="shared" si="5"/>
        <v>&lt;li class="col-md-3"&gt;&lt;a class="text-cut" href="javascript:;"(click)="categoryEvent(2084041694)"&gt;{{"2084041694" | translate}}&lt;/a&gt;&lt;/li&gt;</v>
      </c>
    </row>
    <row r="186" spans="1:8" ht="14.25" customHeight="1">
      <c r="A186" s="2">
        <v>2084041695</v>
      </c>
      <c r="B186" s="2" t="s">
        <v>3303</v>
      </c>
      <c r="C186" s="2" t="s">
        <v>3304</v>
      </c>
      <c r="D186" s="2" t="s">
        <v>3305</v>
      </c>
      <c r="E186" s="3" t="str">
        <f ca="1">IFERROR(__xludf.DUMMYFUNCTION("GOOGLETRANSLATE(B186,""ja"",""vi"")"),"Ngày của Cha")</f>
        <v>Ngày của Cha</v>
      </c>
      <c r="F186" s="3" t="str">
        <f ca="1">IFERROR(__xludf.DUMMYFUNCTION("GOOGLETRANSLATE(C186,""ja"",""vi"")"),"Đấu giá&gt; nhà, nội thất&gt; mùa, sự kiện hàng năm&gt; Ngày của Cha")</f>
        <v>Đấu giá&gt; nhà, nội thất&gt; mùa, sự kiện hàng năm&gt; Ngày của Cha</v>
      </c>
      <c r="G186" s="229" t="str">
        <f t="shared" ca="1" si="4"/>
        <v>"2084041695" : "Ngày của Cha",</v>
      </c>
      <c r="H186" s="229" t="str">
        <f t="shared" si="5"/>
        <v>&lt;li class="col-md-3"&gt;&lt;a class="text-cut" href="javascript:;"(click)="categoryEvent(2084041695)"&gt;{{"2084041695" | translate}}&lt;/a&gt;&lt;/li&gt;</v>
      </c>
    </row>
    <row r="187" spans="1:8" ht="14.25" customHeight="1">
      <c r="A187" s="2">
        <v>2084042255</v>
      </c>
      <c r="B187" s="2" t="s">
        <v>3308</v>
      </c>
      <c r="C187" s="2" t="s">
        <v>3309</v>
      </c>
      <c r="D187" s="2" t="s">
        <v>3310</v>
      </c>
      <c r="E187" s="3" t="str">
        <f ca="1">IFERROR(__xludf.DUMMYFUNCTION("GOOGLETRANSLATE(B187,""ja"",""vi"")"),"mùa mưa")</f>
        <v>mùa mưa</v>
      </c>
      <c r="F187" s="3" t="str">
        <f ca="1">IFERROR(__xludf.DUMMYFUNCTION("GOOGLETRANSLATE(C187,""ja"",""vi"")"),"Đấu giá&gt; nhà, nội thất&gt; mùa, sự kiện hàng năm&gt; mùa mưa")</f>
        <v>Đấu giá&gt; nhà, nội thất&gt; mùa, sự kiện hàng năm&gt; mùa mưa</v>
      </c>
      <c r="G187" s="229" t="str">
        <f t="shared" ca="1" si="4"/>
        <v>"2084042255" : "mùa mưa",</v>
      </c>
      <c r="H187" s="229" t="str">
        <f t="shared" si="5"/>
        <v>&lt;li class="col-md-3"&gt;&lt;a class="text-cut" href="javascript:;"(click)="categoryEvent(2084042255)"&gt;{{"2084042255" | translate}}&lt;/a&gt;&lt;/li&gt;</v>
      </c>
    </row>
    <row r="188" spans="1:8" ht="14.25" customHeight="1">
      <c r="A188" s="2">
        <v>2084042379</v>
      </c>
      <c r="B188" s="2" t="s">
        <v>3311</v>
      </c>
      <c r="C188" s="2" t="s">
        <v>3312</v>
      </c>
      <c r="D188" s="2" t="s">
        <v>3313</v>
      </c>
      <c r="E188" s="3" t="str">
        <f ca="1">IFERROR(__xludf.DUMMYFUNCTION("GOOGLETRANSLATE(B188,""ja"",""vi"")"),"Mùa hè quà tặng, quà tặng")</f>
        <v>Mùa hè quà tặng, quà tặng</v>
      </c>
      <c r="F188" s="3" t="str">
        <f ca="1">IFERROR(__xludf.DUMMYFUNCTION("GOOGLETRANSLATE(C188,""ja"",""vi"")"),"Đấu giá&gt; nhà, nội thất&gt; mùa, sự kiện hàng năm&gt; quà tặng mùa hè, quà tặng")</f>
        <v>Đấu giá&gt; nhà, nội thất&gt; mùa, sự kiện hàng năm&gt; quà tặng mùa hè, quà tặng</v>
      </c>
      <c r="G188" s="229" t="str">
        <f t="shared" ca="1" si="4"/>
        <v>"2084042379" : "Mùa hè quà tặng, quà tặng",</v>
      </c>
      <c r="H188" s="229" t="str">
        <f t="shared" si="5"/>
        <v>&lt;li class="col-md-3"&gt;&lt;a class="text-cut" href="javascript:;"(click)="categoryEvent(2084042379)"&gt;{{"2084042379" | translate}}&lt;/a&gt;&lt;/li&gt;</v>
      </c>
    </row>
    <row r="189" spans="1:8" ht="14.25" customHeight="1">
      <c r="A189" s="2">
        <v>2084044886</v>
      </c>
      <c r="B189" s="2" t="s">
        <v>3314</v>
      </c>
      <c r="C189" s="2" t="s">
        <v>3315</v>
      </c>
      <c r="D189" s="2" t="s">
        <v>3317</v>
      </c>
      <c r="E189" s="3" t="str">
        <f ca="1">IFERROR(__xludf.DUMMYFUNCTION("GOOGLETRANSLATE(B189,""ja"",""vi"")"),"Mùa hè, kỳ nghỉ hè")</f>
        <v>Mùa hè, kỳ nghỉ hè</v>
      </c>
      <c r="F189" s="3" t="str">
        <f ca="1">IFERROR(__xludf.DUMMYFUNCTION("GOOGLETRANSLATE(C189,""ja"",""vi"")"),"Đấu giá&gt; nhà, nội thất&gt; mùa, sự kiện hàng năm&gt; mùa hè, kỳ nghỉ hè")</f>
        <v>Đấu giá&gt; nhà, nội thất&gt; mùa, sự kiện hàng năm&gt; mùa hè, kỳ nghỉ hè</v>
      </c>
      <c r="G189" s="229" t="str">
        <f t="shared" ca="1" si="4"/>
        <v>"2084044886" : "Mùa hè, kỳ nghỉ hè",</v>
      </c>
      <c r="H189" s="229" t="str">
        <f t="shared" si="5"/>
        <v>&lt;li class="col-md-3"&gt;&lt;a class="text-cut" href="javascript:;"(click)="categoryEvent(2084044886)"&gt;{{"2084044886" | translate}}&lt;/a&gt;&lt;/li&gt;</v>
      </c>
    </row>
    <row r="190" spans="1:8" ht="14.25" customHeight="1">
      <c r="A190" s="2">
        <v>20296</v>
      </c>
      <c r="B190" s="2" t="s">
        <v>3320</v>
      </c>
      <c r="C190" s="2" t="s">
        <v>3322</v>
      </c>
      <c r="D190" s="2" t="s">
        <v>3324</v>
      </c>
      <c r="E190" s="3" t="str">
        <f ca="1">IFERROR(__xludf.DUMMYFUNCTION("GOOGLETRANSLATE(B190,""ja"",""vi"")"),"Halloween")</f>
        <v>Halloween</v>
      </c>
      <c r="F190" s="3" t="str">
        <f ca="1">IFERROR(__xludf.DUMMYFUNCTION("GOOGLETRANSLATE(C190,""ja"",""vi"")"),"Đấu giá&gt; nhà, nội thất&gt; mùa, sự kiện hàng năm&gt; Halloween")</f>
        <v>Đấu giá&gt; nhà, nội thất&gt; mùa, sự kiện hàng năm&gt; Halloween</v>
      </c>
      <c r="G190" s="229" t="str">
        <f t="shared" ca="1" si="4"/>
        <v>"20296" : "Halloween",</v>
      </c>
      <c r="H190" s="229" t="str">
        <f t="shared" si="5"/>
        <v>&lt;li class="col-md-3"&gt;&lt;a class="text-cut" href="javascript:;"(click)="categoryEvent(20296)"&gt;{{"20296" | translate}}&lt;/a&gt;&lt;/li&gt;</v>
      </c>
    </row>
    <row r="191" spans="1:8" ht="14.25" customHeight="1">
      <c r="A191" s="2">
        <v>2084045655</v>
      </c>
      <c r="B191" s="2" t="s">
        <v>3327</v>
      </c>
      <c r="C191" s="2" t="s">
        <v>3328</v>
      </c>
      <c r="D191" s="2" t="s">
        <v>3330</v>
      </c>
      <c r="E191" s="3" t="str">
        <f ca="1">IFERROR(__xludf.DUMMYFUNCTION("GOOGLETRANSLATE(B191,""ja"",""vi"")"),"Tôn trọng cho Ngày Người cao tuổi")</f>
        <v>Tôn trọng cho Ngày Người cao tuổi</v>
      </c>
      <c r="F191" s="3" t="str">
        <f ca="1">IFERROR(__xludf.DUMMYFUNCTION("GOOGLETRANSLATE(C191,""ja"",""vi"")"),"Đấu giá&gt; nhà, nội thất&gt; mùa, sự kiện hàng năm&gt; Tôn trọng cho Ngày Người cao tuổi")</f>
        <v>Đấu giá&gt; nhà, nội thất&gt; mùa, sự kiện hàng năm&gt; Tôn trọng cho Ngày Người cao tuổi</v>
      </c>
      <c r="G191" s="229" t="str">
        <f t="shared" ca="1" si="4"/>
        <v>"2084045655" : "Tôn trọng cho Ngày Người cao tuổi",</v>
      </c>
      <c r="H191" s="229" t="str">
        <f t="shared" si="5"/>
        <v>&lt;li class="col-md-3"&gt;&lt;a class="text-cut" href="javascript:;"(click)="categoryEvent(2084045655)"&gt;{{"2084045655" | translate}}&lt;/a&gt;&lt;/li&gt;</v>
      </c>
    </row>
    <row r="192" spans="1:8" ht="14.25" customHeight="1">
      <c r="A192" s="2">
        <v>2084047026</v>
      </c>
      <c r="B192" s="2" t="s">
        <v>3335</v>
      </c>
      <c r="C192" s="2" t="s">
        <v>3337</v>
      </c>
      <c r="D192" s="2" t="s">
        <v>3338</v>
      </c>
      <c r="E192" s="3" t="str">
        <f ca="1">IFERROR(__xludf.DUMMYFUNCTION("GOOGLETRANSLATE(B192,""ja"",""vi"")"),"Bảy trăm năm mươi ba")</f>
        <v>Bảy trăm năm mươi ba</v>
      </c>
      <c r="F192" s="3" t="str">
        <f ca="1">IFERROR(__xludf.DUMMYFUNCTION("GOOGLETRANSLATE(C192,""ja"",""vi"")"),"Đấu giá&gt; nhà, nội thất&gt; mùa, sự kiện hàng năm&gt; 753")</f>
        <v>Đấu giá&gt; nhà, nội thất&gt; mùa, sự kiện hàng năm&gt; 753</v>
      </c>
      <c r="G192" s="229" t="str">
        <f t="shared" ca="1" si="4"/>
        <v>"2084047026" : "Bảy trăm năm mươi ba",</v>
      </c>
      <c r="H192" s="229" t="str">
        <f t="shared" si="5"/>
        <v>&lt;li class="col-md-3"&gt;&lt;a class="text-cut" href="javascript:;"(click)="categoryEvent(2084047026)"&gt;{{"2084047026" | translate}}&lt;/a&gt;&lt;/li&gt;</v>
      </c>
    </row>
    <row r="193" spans="1:8" ht="14.25" customHeight="1">
      <c r="A193" s="2">
        <v>2084047030</v>
      </c>
      <c r="B193" s="2" t="s">
        <v>3343</v>
      </c>
      <c r="C193" s="2" t="s">
        <v>3345</v>
      </c>
      <c r="D193" s="2" t="s">
        <v>3347</v>
      </c>
      <c r="E193" s="3" t="str">
        <f ca="1">IFERROR(__xludf.DUMMYFUNCTION("GOOGLETRANSLATE(B193,""ja"",""vi"")"),"Quà tặng")</f>
        <v>Quà tặng</v>
      </c>
      <c r="F193" s="3" t="str">
        <f ca="1">IFERROR(__xludf.DUMMYFUNCTION("GOOGLETRANSLATE(C193,""ja"",""vi"")"),"Đấu giá&gt; nhà, nội thất&gt; mùa, sự kiện hàng năm&gt; quà tặng")</f>
        <v>Đấu giá&gt; nhà, nội thất&gt; mùa, sự kiện hàng năm&gt; quà tặng</v>
      </c>
      <c r="G193" s="229" t="str">
        <f t="shared" ca="1" si="4"/>
        <v>"2084047030" : "Quà tặng",</v>
      </c>
      <c r="H193" s="229" t="str">
        <f t="shared" si="5"/>
        <v>&lt;li class="col-md-3"&gt;&lt;a class="text-cut" href="javascript:;"(click)="categoryEvent(2084047030)"&gt;{{"2084047030" | translate}}&lt;/a&gt;&lt;/li&gt;</v>
      </c>
    </row>
    <row r="194" spans="1:8" ht="14.25" customHeight="1">
      <c r="A194" s="2">
        <v>20288</v>
      </c>
      <c r="B194" s="2" t="s">
        <v>3352</v>
      </c>
      <c r="C194" s="2" t="s">
        <v>3353</v>
      </c>
      <c r="D194" s="2" t="s">
        <v>3355</v>
      </c>
      <c r="E194" s="3" t="str">
        <f ca="1">IFERROR(__xludf.DUMMYFUNCTION("GOOGLETRANSLATE(B194,""ja"",""vi"")"),"Giáng Sinh")</f>
        <v>Giáng Sinh</v>
      </c>
      <c r="F194" s="3" t="str">
        <f ca="1">IFERROR(__xludf.DUMMYFUNCTION("GOOGLETRANSLATE(C194,""ja"",""vi"")"),"Đấu giá&gt; nhà, nội thất&gt; mùa, sự kiện hàng năm&gt; Giáng sinh")</f>
        <v>Đấu giá&gt; nhà, nội thất&gt; mùa, sự kiện hàng năm&gt; Giáng sinh</v>
      </c>
      <c r="G194" s="229" t="str">
        <f t="shared" ca="1" si="4"/>
        <v>"20288" : "Giáng Sinh",</v>
      </c>
      <c r="H194" s="229" t="str">
        <f t="shared" si="5"/>
        <v>&lt;li class="col-md-3"&gt;&lt;a class="text-cut" href="javascript:;"(click)="categoryEvent(20288)"&gt;{{"20288" | translate}}&lt;/a&gt;&lt;/li&gt;</v>
      </c>
    </row>
    <row r="195" spans="1:8" ht="14.25" customHeight="1">
      <c r="A195" s="2">
        <v>2084215584</v>
      </c>
      <c r="B195" s="2" t="s">
        <v>3360</v>
      </c>
      <c r="C195" s="2" t="s">
        <v>3361</v>
      </c>
      <c r="D195" s="2" t="s">
        <v>3363</v>
      </c>
      <c r="E195" s="3" t="str">
        <f ca="1">IFERROR(__xludf.DUMMYFUNCTION("GOOGLETRANSLATE(B195,""ja"",""vi"")"),"Winter chung")</f>
        <v>Winter chung</v>
      </c>
      <c r="F195" s="3" t="str">
        <f ca="1">IFERROR(__xludf.DUMMYFUNCTION("GOOGLETRANSLATE(C195,""ja"",""vi"")"),"Đấu giá&gt; nhà, nội thất&gt; mùa, sự kiện hàng năm&gt; mùa đông chung")</f>
        <v>Đấu giá&gt; nhà, nội thất&gt; mùa, sự kiện hàng năm&gt; mùa đông chung</v>
      </c>
      <c r="G195" s="229" t="str">
        <f t="shared" ref="G195:G235" ca="1" si="6">CONCATENATE(CHAR(34)&amp;"",A195,""&amp;CHAR(34)," : ", CHAR(34)&amp;"",E195,""&amp;CHAR(34),",")</f>
        <v>"2084215584" : "Winter chung",</v>
      </c>
      <c r="H195" s="229" t="str">
        <f t="shared" ref="H195:H235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href="javascript:;"(click)="categoryEvent(2084215584)"&gt;{{"2084215584" | translate}}&lt;/a&gt;&lt;/li&gt;</v>
      </c>
    </row>
    <row r="196" spans="1:8" ht="14.25" customHeight="1">
      <c r="A196" s="2">
        <v>20304</v>
      </c>
      <c r="B196" s="2" t="s">
        <v>16</v>
      </c>
      <c r="C196" s="2" t="s">
        <v>3369</v>
      </c>
      <c r="D196" s="2" t="s">
        <v>3370</v>
      </c>
      <c r="E196" s="3" t="str">
        <f ca="1">IFERROR(__xludf.DUMMYFUNCTION("GOOGLETRANSLATE(B196,""ja"",""vi"")"),"nếu không thì")</f>
        <v>nếu không thì</v>
      </c>
      <c r="F196" s="3" t="str">
        <f ca="1">IFERROR(__xludf.DUMMYFUNCTION("GOOGLETRANSLATE(C196,""ja"",""vi"")"),"Đấu giá&gt; nhà, nội thất&gt; mùa, sự kiện hàng năm&gt; Khác")</f>
        <v>Đấu giá&gt; nhà, nội thất&gt; mùa, sự kiện hàng năm&gt; Khác</v>
      </c>
      <c r="G196" s="229" t="str">
        <f t="shared" ca="1" si="6"/>
        <v>"20304" : "nếu không thì",</v>
      </c>
      <c r="H196" s="229" t="str">
        <f t="shared" si="7"/>
        <v>&lt;li class="col-md-3"&gt;&lt;a class="text-cut" href="javascript:;"(click)="categoryEvent(20304)"&gt;{{"20304" | translate}}&lt;/a&gt;&lt;/li&gt;</v>
      </c>
    </row>
    <row r="197" spans="1:8" ht="14.25" customHeight="1">
      <c r="E197" s="3"/>
      <c r="F197" s="3"/>
      <c r="G197" s="229"/>
      <c r="H197" s="229"/>
    </row>
    <row r="198" spans="1:8" ht="14.25" customHeight="1">
      <c r="A198" s="253">
        <v>2084061209</v>
      </c>
      <c r="B198" s="232"/>
      <c r="C198" s="232"/>
      <c r="D198" s="233"/>
      <c r="E198" s="3"/>
      <c r="F198" s="3"/>
      <c r="G198" s="229"/>
      <c r="H198" s="229"/>
    </row>
    <row r="199" spans="1:8" ht="14.25" customHeight="1">
      <c r="A199" s="2">
        <v>2084061210</v>
      </c>
      <c r="B199" s="2" t="s">
        <v>3378</v>
      </c>
      <c r="C199" s="2" t="s">
        <v>3379</v>
      </c>
      <c r="D199" s="2" t="s">
        <v>3380</v>
      </c>
      <c r="E199" s="3" t="str">
        <f ca="1">IFERROR(__xludf.DUMMYFUNCTION("GOOGLETRANSLATE(B199,""ja"",""vi"")"),"kết hôn")</f>
        <v>kết hôn</v>
      </c>
      <c r="F199" s="3" t="str">
        <f ca="1">IFERROR(__xludf.DUMMYFUNCTION("GOOGLETRANSLATE(C199,""ja"",""vi"")"),"Đấu giá&gt; nhà, nội thất&gt; dịp lễ&gt; đám cưới")</f>
        <v>Đấu giá&gt; nhà, nội thất&gt; dịp lễ&gt; đám cưới</v>
      </c>
      <c r="G199" s="229" t="str">
        <f t="shared" ca="1" si="6"/>
        <v>"2084061210" : "kết hôn",</v>
      </c>
      <c r="H199" s="229" t="str">
        <f t="shared" si="7"/>
        <v>&lt;li class="col-md-3"&gt;&lt;a class="text-cut" href="javascript:;"(click)="categoryEvent(2084061210)"&gt;{{"2084061210" | translate}}&lt;/a&gt;&lt;/li&gt;</v>
      </c>
    </row>
    <row r="200" spans="1:8" ht="14.25" customHeight="1">
      <c r="A200" s="2">
        <v>2084061243</v>
      </c>
      <c r="B200" s="2" t="s">
        <v>3381</v>
      </c>
      <c r="C200" s="2" t="s">
        <v>3382</v>
      </c>
      <c r="D200" s="2" t="s">
        <v>3383</v>
      </c>
      <c r="E200" s="3" t="str">
        <f ca="1">IFERROR(__xludf.DUMMYFUNCTION("GOOGLETRANSLATE(B200,""ja"",""vi"")"),"sinh")</f>
        <v>sinh</v>
      </c>
      <c r="F200" s="3" t="str">
        <f ca="1">IFERROR(__xludf.DUMMYFUNCTION("GOOGLETRANSLATE(C200,""ja"",""vi"")"),"Đấu giá&gt; nhà, nội thất&gt; dịp lễ&gt; sinh")</f>
        <v>Đấu giá&gt; nhà, nội thất&gt; dịp lễ&gt; sinh</v>
      </c>
      <c r="G200" s="229" t="str">
        <f t="shared" ca="1" si="6"/>
        <v>"2084061243" : "sinh",</v>
      </c>
      <c r="H200" s="229" t="str">
        <f t="shared" si="7"/>
        <v>&lt;li class="col-md-3"&gt;&lt;a class="text-cut" href="javascript:;"(click)="categoryEvent(2084061243)"&gt;{{"2084061243" | translate}}&lt;/a&gt;&lt;/li&gt;</v>
      </c>
    </row>
    <row r="201" spans="1:8" ht="14.25" customHeight="1">
      <c r="A201" s="2">
        <v>20297</v>
      </c>
      <c r="B201" s="2" t="s">
        <v>3249</v>
      </c>
      <c r="C201" s="2" t="s">
        <v>3385</v>
      </c>
      <c r="D201" s="2" t="s">
        <v>3387</v>
      </c>
      <c r="E201" s="3" t="str">
        <f ca="1">IFERROR(__xludf.DUMMYFUNCTION("GOOGLETRANSLATE(B201,""ja"",""vi"")"),"Năm mới")</f>
        <v>Năm mới</v>
      </c>
      <c r="F201" s="3" t="str">
        <f ca="1">IFERROR(__xludf.DUMMYFUNCTION("GOOGLETRANSLATE(C201,""ja"",""vi"")"),"Đấu giá&gt; nhà, nội thất&gt; dịp lễ&gt; New Year")</f>
        <v>Đấu giá&gt; nhà, nội thất&gt; dịp lễ&gt; New Year</v>
      </c>
      <c r="G201" s="229" t="str">
        <f t="shared" ca="1" si="6"/>
        <v>"20297" : "Năm mới",</v>
      </c>
      <c r="H201" s="229" t="str">
        <f t="shared" si="7"/>
        <v>&lt;li class="col-md-3"&gt;&lt;a class="text-cut" href="javascript:;"(click)="categoryEvent(20297)"&gt;{{"20297" | translate}}&lt;/a&gt;&lt;/li&gt;</v>
      </c>
    </row>
    <row r="202" spans="1:8" ht="14.25" customHeight="1">
      <c r="A202" s="2">
        <v>20288</v>
      </c>
      <c r="B202" s="2" t="s">
        <v>3352</v>
      </c>
      <c r="C202" s="2" t="s">
        <v>3389</v>
      </c>
      <c r="D202" s="2" t="s">
        <v>3391</v>
      </c>
      <c r="E202" s="3" t="str">
        <f ca="1">IFERROR(__xludf.DUMMYFUNCTION("GOOGLETRANSLATE(B202,""ja"",""vi"")"),"Giáng Sinh")</f>
        <v>Giáng Sinh</v>
      </c>
      <c r="F202" s="3" t="str">
        <f ca="1">IFERROR(__xludf.DUMMYFUNCTION("GOOGLETRANSLATE(C202,""ja"",""vi"")"),"Đấu giá&gt; nhà, nội thất&gt; dịp lễ&gt; Giáng sinh")</f>
        <v>Đấu giá&gt; nhà, nội thất&gt; dịp lễ&gt; Giáng sinh</v>
      </c>
      <c r="G202" s="229" t="str">
        <f t="shared" ca="1" si="6"/>
        <v>"20288" : "Giáng Sinh",</v>
      </c>
      <c r="H202" s="229" t="str">
        <f t="shared" si="7"/>
        <v>&lt;li class="col-md-3"&gt;&lt;a class="text-cut" href="javascript:;"(click)="categoryEvent(20288)"&gt;{{"20288" | translate}}&lt;/a&gt;&lt;/li&gt;</v>
      </c>
    </row>
    <row r="203" spans="1:8" ht="14.25" customHeight="1">
      <c r="A203" s="2">
        <v>2084061251</v>
      </c>
      <c r="B203" s="2" t="s">
        <v>3259</v>
      </c>
      <c r="C203" s="2" t="s">
        <v>3394</v>
      </c>
      <c r="D203" s="2" t="s">
        <v>3395</v>
      </c>
      <c r="E203" s="3" t="str">
        <f ca="1">IFERROR(__xludf.DUMMYFUNCTION("GOOGLETRANSLATE(B203,""ja"",""vi"")"),"Coming-of-tuổi lễ")</f>
        <v>Coming-of-tuổi lễ</v>
      </c>
      <c r="F203" s="3" t="str">
        <f ca="1">IFERROR(__xludf.DUMMYFUNCTION("GOOGLETRANSLATE(C203,""ja"",""vi"")"),"Đấu giá&gt; nhà, nội thất&gt; dịp lễ&gt; coming-of-tuổi lễ")</f>
        <v>Đấu giá&gt; nhà, nội thất&gt; dịp lễ&gt; coming-of-tuổi lễ</v>
      </c>
      <c r="G203" s="229" t="str">
        <f t="shared" ca="1" si="6"/>
        <v>"2084061251" : "Coming-of-tuổi lễ",</v>
      </c>
      <c r="H203" s="229" t="str">
        <f t="shared" si="7"/>
        <v>&lt;li class="col-md-3"&gt;&lt;a class="text-cut" href="javascript:;"(click)="categoryEvent(2084061251)"&gt;{{"2084061251" | translate}}&lt;/a&gt;&lt;/li&gt;</v>
      </c>
    </row>
    <row r="204" spans="1:8" ht="14.25" customHeight="1">
      <c r="A204" s="2">
        <v>2084047026</v>
      </c>
      <c r="B204" s="2" t="s">
        <v>3335</v>
      </c>
      <c r="C204" s="2" t="s">
        <v>3399</v>
      </c>
      <c r="D204" s="2" t="s">
        <v>3400</v>
      </c>
      <c r="E204" s="3" t="str">
        <f ca="1">IFERROR(__xludf.DUMMYFUNCTION("GOOGLETRANSLATE(B204,""ja"",""vi"")"),"Bảy trăm năm mươi ba")</f>
        <v>Bảy trăm năm mươi ba</v>
      </c>
      <c r="F204" s="3" t="str">
        <f ca="1">IFERROR(__xludf.DUMMYFUNCTION("GOOGLETRANSLATE(C204,""ja"",""vi"")"),"Đấu giá&gt; nhà, nội thất&gt; dịp lễ&gt; 753")</f>
        <v>Đấu giá&gt; nhà, nội thất&gt; dịp lễ&gt; 753</v>
      </c>
      <c r="G204" s="229" t="str">
        <f t="shared" ca="1" si="6"/>
        <v>"2084047026" : "Bảy trăm năm mươi ba",</v>
      </c>
      <c r="H204" s="229" t="str">
        <f t="shared" si="7"/>
        <v>&lt;li class="col-md-3"&gt;&lt;a class="text-cut" href="javascript:;"(click)="categoryEvent(2084047026)"&gt;{{"2084047026" | translate}}&lt;/a&gt;&lt;/li&gt;</v>
      </c>
    </row>
    <row r="205" spans="1:8" ht="14.25" customHeight="1">
      <c r="A205" s="2">
        <v>20284</v>
      </c>
      <c r="B205" s="2" t="s">
        <v>2084</v>
      </c>
      <c r="C205" s="2" t="s">
        <v>3404</v>
      </c>
      <c r="D205" s="2" t="s">
        <v>3405</v>
      </c>
      <c r="E205" s="3" t="str">
        <f ca="1">IFERROR(__xludf.DUMMYFUNCTION("GOOGLETRANSLATE(B205,""ja"",""vi"")"),"Theo mùa, tổ chức sự kiện thường niên")</f>
        <v>Theo mùa, tổ chức sự kiện thường niên</v>
      </c>
      <c r="F205" s="3" t="str">
        <f ca="1">IFERROR(__xludf.DUMMYFUNCTION("GOOGLETRANSLATE(C205,""ja"",""vi"")"),"Đấu giá&gt; nhà, nội thất&gt; dịp lễ&gt; mùa, sự kiện hàng năm")</f>
        <v>Đấu giá&gt; nhà, nội thất&gt; dịp lễ&gt; mùa, sự kiện hàng năm</v>
      </c>
      <c r="G205" s="229" t="str">
        <f t="shared" ca="1" si="6"/>
        <v>"20284" : "Theo mùa, tổ chức sự kiện thường niên",</v>
      </c>
      <c r="H205" s="229" t="str">
        <f t="shared" si="7"/>
        <v>&lt;li class="col-md-3"&gt;&lt;a class="text-cut" href="javascript:;"(click)="categoryEvent(20284)"&gt;{{"20284" | translate}}&lt;/a&gt;&lt;/li&gt;</v>
      </c>
    </row>
    <row r="206" spans="1:8" ht="14.25" customHeight="1">
      <c r="A206" s="2">
        <v>2084061233</v>
      </c>
      <c r="B206" s="2" t="s">
        <v>3409</v>
      </c>
      <c r="C206" s="2" t="s">
        <v>3410</v>
      </c>
      <c r="D206" s="2" t="s">
        <v>3411</v>
      </c>
      <c r="E206" s="3" t="str">
        <f ca="1">IFERROR(__xludf.DUMMYFUNCTION("GOOGLETRANSLATE(B206,""ja"",""vi"")"),"dịch vụ tang lễ")</f>
        <v>dịch vụ tang lễ</v>
      </c>
      <c r="F206" s="3" t="str">
        <f ca="1">IFERROR(__xludf.DUMMYFUNCTION("GOOGLETRANSLATE(C206,""ja"",""vi"")"),"Đấu giá&gt; nhà, nội thất&gt; dịp lễ&gt; tang lễ")</f>
        <v>Đấu giá&gt; nhà, nội thất&gt; dịp lễ&gt; tang lễ</v>
      </c>
      <c r="G206" s="229" t="str">
        <f t="shared" ca="1" si="6"/>
        <v>"2084061233" : "dịch vụ tang lễ",</v>
      </c>
      <c r="H206" s="229" t="str">
        <f t="shared" si="7"/>
        <v>&lt;li class="col-md-3"&gt;&lt;a class="text-cut" href="javascript:;"(click)="categoryEvent(2084061233)"&gt;{{"2084061233" | translate}}&lt;/a&gt;&lt;/li&gt;</v>
      </c>
    </row>
    <row r="207" spans="1:8" ht="14.25" customHeight="1">
      <c r="A207" s="2">
        <v>2084061211</v>
      </c>
      <c r="B207" s="2" t="s">
        <v>16</v>
      </c>
      <c r="C207" s="2" t="s">
        <v>3414</v>
      </c>
      <c r="D207" s="2" t="s">
        <v>3415</v>
      </c>
      <c r="E207" s="3" t="str">
        <f ca="1">IFERROR(__xludf.DUMMYFUNCTION("GOOGLETRANSLATE(B207,""ja"",""vi"")"),"nếu không thì")</f>
        <v>nếu không thì</v>
      </c>
      <c r="F207" s="3" t="str">
        <f ca="1">IFERROR(__xludf.DUMMYFUNCTION("GOOGLETRANSLATE(C207,""ja"",""vi"")"),"Đấu giá&gt; nhà, nội thất&gt; dịp lễ&gt; Khác")</f>
        <v>Đấu giá&gt; nhà, nội thất&gt; dịp lễ&gt; Khác</v>
      </c>
      <c r="G207" s="229" t="str">
        <f t="shared" ca="1" si="6"/>
        <v>"2084061211" : "nếu không thì",</v>
      </c>
      <c r="H207" s="229" t="str">
        <f t="shared" si="7"/>
        <v>&lt;li class="col-md-3"&gt;&lt;a class="text-cut" href="javascript:;"(click)="categoryEvent(2084061211)"&gt;{{"2084061211" | translate}}&lt;/a&gt;&lt;/li&gt;</v>
      </c>
    </row>
    <row r="208" spans="1:8" ht="14.25" customHeight="1">
      <c r="E208" s="3"/>
      <c r="F208" s="3"/>
      <c r="G208" s="229"/>
      <c r="H208" s="229"/>
    </row>
    <row r="209" spans="1:8" ht="14.25" customHeight="1">
      <c r="A209" s="264">
        <v>2084059849</v>
      </c>
      <c r="B209" s="232"/>
      <c r="C209" s="232"/>
      <c r="D209" s="233"/>
      <c r="E209" s="3"/>
      <c r="F209" s="3"/>
      <c r="G209" s="229"/>
      <c r="H209" s="229"/>
    </row>
    <row r="210" spans="1:8" ht="14.25" customHeight="1">
      <c r="A210" s="2">
        <v>2084063440</v>
      </c>
      <c r="B210" s="2" t="s">
        <v>3418</v>
      </c>
      <c r="C210" s="2" t="s">
        <v>3419</v>
      </c>
      <c r="D210" s="2" t="s">
        <v>3420</v>
      </c>
      <c r="E210" s="3" t="str">
        <f ca="1">IFERROR(__xludf.DUMMYFUNCTION("GOOGLETRANSLATE(B210,""ja"",""vi"")"),"bàn thờ Phật giáo")</f>
        <v>bàn thờ Phật giáo</v>
      </c>
      <c r="F210" s="3" t="str">
        <f ca="1">IFERROR(__xludf.DUMMYFUNCTION("GOOGLETRANSLATE(C210,""ja"",""vi"")"),"Đấu giá&gt; nhà, nội thất&gt; gia đình Phật giáo bàn thờ, bàn thờ Phật phụ kiện&gt; bàn thờ Phật giáo")</f>
        <v>Đấu giá&gt; nhà, nội thất&gt; gia đình Phật giáo bàn thờ, bàn thờ Phật phụ kiện&gt; bàn thờ Phật giáo</v>
      </c>
      <c r="G210" s="229" t="str">
        <f t="shared" ca="1" si="6"/>
        <v>"2084063440" : "bàn thờ Phật giáo",</v>
      </c>
      <c r="H210" s="229" t="str">
        <f t="shared" si="7"/>
        <v>&lt;li class="col-md-3"&gt;&lt;a class="text-cut" href="javascript:;"(click)="categoryEvent(2084063440)"&gt;{{"2084063440" | translate}}&lt;/a&gt;&lt;/li&gt;</v>
      </c>
    </row>
    <row r="211" spans="1:8" ht="14.25" customHeight="1">
      <c r="A211" s="2">
        <v>2084063441</v>
      </c>
      <c r="B211" s="2" t="s">
        <v>3424</v>
      </c>
      <c r="C211" s="2" t="s">
        <v>3425</v>
      </c>
      <c r="D211" s="2" t="s">
        <v>3426</v>
      </c>
      <c r="E211" s="3" t="str">
        <f ca="1">IFERROR(__xludf.DUMMYFUNCTION("GOOGLETRANSLATE(B211,""ja"",""vi"")"),"Phật giáo chung")</f>
        <v>Phật giáo chung</v>
      </c>
      <c r="F211" s="3" t="str">
        <f ca="1">IFERROR(__xludf.DUMMYFUNCTION("GOOGLETRANSLATE(C211,""ja"",""vi"")"),"Đấu giá&gt; nhà, nội thất&gt; gia đình Phật giáo bàn thờ, phụ kiện bàn thờ Phật giáo&gt; phụ kiện Phật giáo bàn thờ chung")</f>
        <v>Đấu giá&gt; nhà, nội thất&gt; gia đình Phật giáo bàn thờ, phụ kiện bàn thờ Phật giáo&gt; phụ kiện Phật giáo bàn thờ chung</v>
      </c>
      <c r="G211" s="229" t="str">
        <f t="shared" ca="1" si="6"/>
        <v>"2084063441" : "Phật giáo chung",</v>
      </c>
      <c r="H211" s="229" t="str">
        <f t="shared" si="7"/>
        <v>&lt;li class="col-md-3"&gt;&lt;a class="text-cut" href="javascript:;"(click)="categoryEvent(2084063441)"&gt;{{"2084063441" | translate}}&lt;/a&gt;&lt;/li&gt;</v>
      </c>
    </row>
    <row r="212" spans="1:8" ht="14.25" customHeight="1">
      <c r="A212" s="2">
        <v>2084061234</v>
      </c>
      <c r="B212" s="2" t="s">
        <v>3428</v>
      </c>
      <c r="C212" s="2" t="s">
        <v>3430</v>
      </c>
      <c r="D212" s="2" t="s">
        <v>3431</v>
      </c>
      <c r="E212" s="3" t="str">
        <f ca="1">IFERROR(__xludf.DUMMYFUNCTION("GOOGLETRANSLATE(B212,""ja"",""vi"")"),"tràng hạt")</f>
        <v>tràng hạt</v>
      </c>
      <c r="F212" s="3" t="str">
        <f ca="1">IFERROR(__xludf.DUMMYFUNCTION("GOOGLETRANSLATE(C212,""ja"",""vi"")"),"Đấu giá&gt; nhà, nội thất&gt; gia đình Phật giáo bàn thờ, bàn thờ Phật phụ kiện&gt; Mân Côi")</f>
        <v>Đấu giá&gt; nhà, nội thất&gt; gia đình Phật giáo bàn thờ, bàn thờ Phật phụ kiện&gt; Mân Côi</v>
      </c>
      <c r="G212" s="229" t="str">
        <f t="shared" ca="1" si="6"/>
        <v>"2084061234" : "tràng hạt",</v>
      </c>
      <c r="H212" s="229" t="str">
        <f t="shared" si="7"/>
        <v>&lt;li class="col-md-3"&gt;&lt;a class="text-cut" href="javascript:;"(click)="categoryEvent(2084061234)"&gt;{{"2084061234" | translate}}&lt;/a&gt;&lt;/li&gt;</v>
      </c>
    </row>
    <row r="213" spans="1:8" ht="14.25" customHeight="1">
      <c r="A213" s="2">
        <v>2084006123</v>
      </c>
      <c r="B213" s="2" t="s">
        <v>3433</v>
      </c>
      <c r="C213" s="2" t="s">
        <v>3434</v>
      </c>
      <c r="D213" s="2" t="s">
        <v>3436</v>
      </c>
      <c r="E213" s="3" t="str">
        <f ca="1">IFERROR(__xludf.DUMMYFUNCTION("GOOGLETRANSLATE(B213,""ja"",""vi"")"),"hình ảnh Phật giáo")</f>
        <v>hình ảnh Phật giáo</v>
      </c>
      <c r="F213" s="3" t="str">
        <f ca="1">IFERROR(__xludf.DUMMYFUNCTION("GOOGLETRANSLATE(C213,""ja"",""vi"")"),"Đấu giá&gt; nhà, nội thất&gt; gia đình Phật giáo bàn thờ, bàn thờ Phật phụ kiện&gt; Hình ảnh Phật giáo")</f>
        <v>Đấu giá&gt; nhà, nội thất&gt; gia đình Phật giáo bàn thờ, bàn thờ Phật phụ kiện&gt; Hình ảnh Phật giáo</v>
      </c>
      <c r="G213" s="229" t="str">
        <f t="shared" ca="1" si="6"/>
        <v>"2084006123" : "hình ảnh Phật giáo",</v>
      </c>
      <c r="H213" s="229" t="str">
        <f t="shared" si="7"/>
        <v>&lt;li class="col-md-3"&gt;&lt;a class="text-cut" href="javascript:;"(click)="categoryEvent(2084006123)"&gt;{{"2084006123" | translate}}&lt;/a&gt;&lt;/li&gt;</v>
      </c>
    </row>
    <row r="214" spans="1:8" ht="14.25" customHeight="1">
      <c r="A214" s="2">
        <v>2084063444</v>
      </c>
      <c r="B214" s="2" t="s">
        <v>3439</v>
      </c>
      <c r="C214" s="2" t="s">
        <v>3440</v>
      </c>
      <c r="D214" s="2" t="s">
        <v>3441</v>
      </c>
      <c r="E214" s="3" t="str">
        <f ca="1">IFERROR(__xludf.DUMMYFUNCTION("GOOGLETRANSLATE(B214,""ja"",""vi"")"),"tablet tang lễ Phật giáo")</f>
        <v>tablet tang lễ Phật giáo</v>
      </c>
      <c r="F214" s="3" t="str">
        <f ca="1">IFERROR(__xludf.DUMMYFUNCTION("GOOGLETRANSLATE(C214,""ja"",""vi"")"),"Đấu giá&gt; nhà, nội thất&gt; gia đình Phật giáo bàn thờ, bàn thờ Phật phụ kiện&gt; tablet lưu niệm")</f>
        <v>Đấu giá&gt; nhà, nội thất&gt; gia đình Phật giáo bàn thờ, bàn thờ Phật phụ kiện&gt; tablet lưu niệm</v>
      </c>
      <c r="G214" s="229" t="str">
        <f t="shared" ca="1" si="6"/>
        <v>"2084063444" : "tablet tang lễ Phật giáo",</v>
      </c>
      <c r="H214" s="229" t="str">
        <f t="shared" si="7"/>
        <v>&lt;li class="col-md-3"&gt;&lt;a class="text-cut" href="javascript:;"(click)="categoryEvent(2084063444)"&gt;{{"2084063444" | translate}}&lt;/a&gt;&lt;/li&gt;</v>
      </c>
    </row>
    <row r="215" spans="1:8" ht="14.25" customHeight="1">
      <c r="A215" s="2">
        <v>2084063445</v>
      </c>
      <c r="B215" s="2" t="s">
        <v>3444</v>
      </c>
      <c r="C215" s="2" t="s">
        <v>3445</v>
      </c>
      <c r="D215" s="2" t="s">
        <v>3446</v>
      </c>
      <c r="E215" s="3" t="str">
        <f ca="1">IFERROR(__xludf.DUMMYFUNCTION("GOOGLETRANSLATE(B215,""ja"",""vi"")"),"thanh hương")</f>
        <v>thanh hương</v>
      </c>
      <c r="F215" s="3" t="str">
        <f ca="1">IFERROR(__xludf.DUMMYFUNCTION("GOOGLETRANSLATE(C215,""ja"",""vi"")"),"Đấu giá&gt; nhà, nội thất&gt; gia đình Phật giáo bàn thờ, bàn thờ Phật phụ kiện&gt; hương")</f>
        <v>Đấu giá&gt; nhà, nội thất&gt; gia đình Phật giáo bàn thờ, bàn thờ Phật phụ kiện&gt; hương</v>
      </c>
      <c r="G215" s="229" t="str">
        <f t="shared" ca="1" si="6"/>
        <v>"2084063445" : "thanh hương",</v>
      </c>
      <c r="H215" s="229" t="str">
        <f t="shared" si="7"/>
        <v>&lt;li class="col-md-3"&gt;&lt;a class="text-cut" href="javascript:;"(click)="categoryEvent(2084063445)"&gt;{{"2084063445" | translate}}&lt;/a&gt;&lt;/li&gt;</v>
      </c>
    </row>
    <row r="216" spans="1:8" ht="14.25" customHeight="1">
      <c r="A216" s="2">
        <v>2084063447</v>
      </c>
      <c r="B216" s="2" t="s">
        <v>3447</v>
      </c>
      <c r="C216" s="2" t="s">
        <v>3448</v>
      </c>
      <c r="D216" s="2" t="s">
        <v>3449</v>
      </c>
      <c r="E216" s="3" t="str">
        <f ca="1">IFERROR(__xludf.DUMMYFUNCTION("GOOGLETRANSLATE(B216,""ja"",""vi"")"),"Kyozukue")</f>
        <v>Kyozukue</v>
      </c>
      <c r="F216" s="3" t="str">
        <f ca="1">IFERROR(__xludf.DUMMYFUNCTION("GOOGLETRANSLATE(C216,""ja"",""vi"")"),"Đấu giá&gt; nhà, nội thất&gt; gia đình Phật giáo bàn thờ, bàn thờ Phật phụ kiện&gt; Kyozukue")</f>
        <v>Đấu giá&gt; nhà, nội thất&gt; gia đình Phật giáo bàn thờ, bàn thờ Phật phụ kiện&gt; Kyozukue</v>
      </c>
      <c r="G216" s="229" t="str">
        <f t="shared" ca="1" si="6"/>
        <v>"2084063447" : "Kyozukue",</v>
      </c>
      <c r="H216" s="229" t="str">
        <f t="shared" si="7"/>
        <v>&lt;li class="col-md-3"&gt;&lt;a class="text-cut" href="javascript:;"(click)="categoryEvent(2084063447)"&gt;{{"2084063447" | translate}}&lt;/a&gt;&lt;/li&gt;</v>
      </c>
    </row>
    <row r="217" spans="1:8" ht="14.25" customHeight="1">
      <c r="A217" s="2">
        <v>2084063448</v>
      </c>
      <c r="B217" s="2" t="s">
        <v>3450</v>
      </c>
      <c r="C217" s="2" t="s">
        <v>3451</v>
      </c>
      <c r="D217" s="2" t="s">
        <v>3452</v>
      </c>
      <c r="E217" s="3" t="str">
        <f ca="1">IFERROR(__xludf.DUMMYFUNCTION("GOOGLETRANSLATE(B217,""ja"",""vi"")"),"Bàn thờ, Kamigu")</f>
        <v>Bàn thờ, Kamigu</v>
      </c>
      <c r="F217" s="3" t="str">
        <f ca="1">IFERROR(__xludf.DUMMYFUNCTION("GOOGLETRANSLATE(C217,""ja"",""vi"")"),"Đấu giá&gt; nhà, nội thất&gt; gia đình Phật giáo bàn thờ, Phật giáo phụ kiện bàn thờ&gt; bàn thờ, Kamigu")</f>
        <v>Đấu giá&gt; nhà, nội thất&gt; gia đình Phật giáo bàn thờ, Phật giáo phụ kiện bàn thờ&gt; bàn thờ, Kamigu</v>
      </c>
      <c r="G217" s="229" t="str">
        <f t="shared" ca="1" si="6"/>
        <v>"2084063448" : "Bàn thờ, Kamigu",</v>
      </c>
      <c r="H217" s="229" t="str">
        <f t="shared" si="7"/>
        <v>&lt;li class="col-md-3"&gt;&lt;a class="text-cut" href="javascript:;"(click)="categoryEvent(2084063448)"&gt;{{"2084063448" | translate}}&lt;/a&gt;&lt;/li&gt;</v>
      </c>
    </row>
    <row r="218" spans="1:8" ht="14.25" customHeight="1">
      <c r="A218" s="2">
        <v>2084063449</v>
      </c>
      <c r="B218" s="2" t="s">
        <v>16</v>
      </c>
      <c r="C218" s="2" t="s">
        <v>3453</v>
      </c>
      <c r="D218" s="2" t="s">
        <v>3454</v>
      </c>
      <c r="E218" s="3" t="str">
        <f ca="1">IFERROR(__xludf.DUMMYFUNCTION("GOOGLETRANSLATE(B218,""ja"",""vi"")"),"nếu không thì")</f>
        <v>nếu không thì</v>
      </c>
      <c r="F218" s="3" t="str">
        <f ca="1">IFERROR(__xludf.DUMMYFUNCTION("GOOGLETRANSLATE(C218,""ja"",""vi"")"),"Đấu giá&gt; nhà, nội thất&gt; gia đình Phật giáo bàn thờ, bàn thờ Phật phụ kiện&gt; khác")</f>
        <v>Đấu giá&gt; nhà, nội thất&gt; gia đình Phật giáo bàn thờ, bàn thờ Phật phụ kiện&gt; khác</v>
      </c>
      <c r="G218" s="229" t="str">
        <f t="shared" ca="1" si="6"/>
        <v>"2084063449" : "nếu không thì",</v>
      </c>
      <c r="H218" s="229" t="str">
        <f t="shared" si="7"/>
        <v>&lt;li class="col-md-3"&gt;&lt;a class="text-cut" href="javascript:;"(click)="categoryEvent(2084063449)"&gt;{{"2084063449" | translate}}&lt;/a&gt;&lt;/li&gt;</v>
      </c>
    </row>
    <row r="219" spans="1:8" ht="14.25" customHeight="1">
      <c r="E219" s="3"/>
      <c r="F219" s="3"/>
      <c r="G219" s="229"/>
      <c r="H219" s="229"/>
    </row>
    <row r="220" spans="1:8" ht="14.25" customHeight="1">
      <c r="A220" s="254">
        <v>24534</v>
      </c>
      <c r="B220" s="232"/>
      <c r="C220" s="232"/>
      <c r="D220" s="233"/>
      <c r="E220" s="3"/>
      <c r="F220" s="3"/>
      <c r="G220" s="229"/>
      <c r="H220" s="229"/>
    </row>
    <row r="221" spans="1:8" ht="14.25" customHeight="1">
      <c r="A221" s="2">
        <v>2084008190</v>
      </c>
      <c r="B221" s="2" t="s">
        <v>1941</v>
      </c>
      <c r="C221" s="2" t="s">
        <v>1942</v>
      </c>
      <c r="D221" s="2" t="s">
        <v>1945</v>
      </c>
      <c r="E221" s="3" t="str">
        <f ca="1">IFERROR(__xludf.DUMMYFUNCTION("GOOGLETRANSLATE(B221,""ja"",""vi"")"),"chó")</f>
        <v>chó</v>
      </c>
      <c r="F221" s="3" t="str">
        <f ca="1">IFERROR(__xludf.DUMMYFUNCTION("GOOGLETRANSLATE(C221,""ja"",""vi"")"),"Đấu giá&gt; nhà, nội thất&gt; Đồ Pet&gt; Chó")</f>
        <v>Đấu giá&gt; nhà, nội thất&gt; Đồ Pet&gt; Chó</v>
      </c>
      <c r="G221" s="229" t="str">
        <f t="shared" ca="1" si="6"/>
        <v>"2084008190" : "chó",</v>
      </c>
      <c r="H221" s="229" t="str">
        <f t="shared" si="7"/>
        <v>&lt;li class="col-md-3"&gt;&lt;a class="text-cut" href="javascript:;"(click)="categoryEvent(2084008190)"&gt;{{"2084008190" | translate}}&lt;/a&gt;&lt;/li&gt;</v>
      </c>
    </row>
    <row r="222" spans="1:8" ht="14.25" customHeight="1">
      <c r="A222" s="2">
        <v>2084008191</v>
      </c>
      <c r="B222" s="2" t="s">
        <v>1950</v>
      </c>
      <c r="C222" s="2" t="s">
        <v>1951</v>
      </c>
      <c r="D222" s="2" t="s">
        <v>1952</v>
      </c>
      <c r="E222" s="3" t="str">
        <f ca="1">IFERROR(__xludf.DUMMYFUNCTION("GOOGLETRANSLATE(B222,""ja"",""vi"")"),"con mèo")</f>
        <v>con mèo</v>
      </c>
      <c r="F222" s="3" t="str">
        <f ca="1">IFERROR(__xludf.DUMMYFUNCTION("GOOGLETRANSLATE(C222,""ja"",""vi"")"),"Đấu giá&gt; nhà, nội thất&gt; Đồ Pet&gt; mèo")</f>
        <v>Đấu giá&gt; nhà, nội thất&gt; Đồ Pet&gt; mèo</v>
      </c>
      <c r="G222" s="229" t="str">
        <f t="shared" ca="1" si="6"/>
        <v>"2084008191" : "con mèo",</v>
      </c>
      <c r="H222" s="229" t="str">
        <f t="shared" si="7"/>
        <v>&lt;li class="col-md-3"&gt;&lt;a class="text-cut" href="javascript:;"(click)="categoryEvent(2084008191)"&gt;{{"2084008191" | translate}}&lt;/a&gt;&lt;/li&gt;</v>
      </c>
    </row>
    <row r="223" spans="1:8" ht="14.25" customHeight="1">
      <c r="A223" s="2">
        <v>2084008192</v>
      </c>
      <c r="B223" s="2" t="s">
        <v>1955</v>
      </c>
      <c r="C223" s="2" t="s">
        <v>1957</v>
      </c>
      <c r="D223" s="2" t="s">
        <v>1961</v>
      </c>
      <c r="E223" s="3" t="str">
        <f ca="1">IFERROR(__xludf.DUMMYFUNCTION("GOOGLETRANSLATE(B223,""ja"",""vi"")"),"động vật nhỏ")</f>
        <v>động vật nhỏ</v>
      </c>
      <c r="F223" s="3" t="str">
        <f ca="1">IFERROR(__xludf.DUMMYFUNCTION("GOOGLETRANSLATE(C223,""ja"",""vi"")"),"Đấu giá&gt; nhà, nội thất&gt; Đồ Pet&gt; Loài vật nhỏ")</f>
        <v>Đấu giá&gt; nhà, nội thất&gt; Đồ Pet&gt; Loài vật nhỏ</v>
      </c>
      <c r="G223" s="229" t="str">
        <f t="shared" ca="1" si="6"/>
        <v>"2084008192" : "động vật nhỏ",</v>
      </c>
      <c r="H223" s="229" t="str">
        <f t="shared" si="7"/>
        <v>&lt;li class="col-md-3"&gt;&lt;a class="text-cut" href="javascript:;"(click)="categoryEvent(2084008192)"&gt;{{"2084008192" | translate}}&lt;/a&gt;&lt;/li&gt;</v>
      </c>
    </row>
    <row r="224" spans="1:8" ht="14.25" customHeight="1">
      <c r="A224" s="2">
        <v>2084008193</v>
      </c>
      <c r="B224" s="2" t="s">
        <v>1968</v>
      </c>
      <c r="C224" s="2" t="s">
        <v>1971</v>
      </c>
      <c r="D224" s="2" t="s">
        <v>1973</v>
      </c>
      <c r="E224" s="3" t="str">
        <f ca="1">IFERROR(__xludf.DUMMYFUNCTION("GOOGLETRANSLATE(B224,""ja"",""vi"")"),"chim")</f>
        <v>chim</v>
      </c>
      <c r="F224" s="3" t="str">
        <f ca="1">IFERROR(__xludf.DUMMYFUNCTION("GOOGLETRANSLATE(C224,""ja"",""vi"")"),"Đấu giá&gt; nhà, nội thất&gt; Đồ Pet&gt; chim")</f>
        <v>Đấu giá&gt; nhà, nội thất&gt; Đồ Pet&gt; chim</v>
      </c>
      <c r="G224" s="229" t="str">
        <f t="shared" ca="1" si="6"/>
        <v>"2084008193" : "chim",</v>
      </c>
      <c r="H224" s="229" t="str">
        <f t="shared" si="7"/>
        <v>&lt;li class="col-md-3"&gt;&lt;a class="text-cut" href="javascript:;"(click)="categoryEvent(2084008193)"&gt;{{"2084008193" | translate}}&lt;/a&gt;&lt;/li&gt;</v>
      </c>
    </row>
    <row r="225" spans="1:8" ht="14.25" customHeight="1">
      <c r="A225" s="2">
        <v>24246</v>
      </c>
      <c r="B225" s="2" t="s">
        <v>1980</v>
      </c>
      <c r="C225" s="2" t="s">
        <v>1983</v>
      </c>
      <c r="D225" s="2" t="s">
        <v>1985</v>
      </c>
      <c r="E225" s="3" t="str">
        <f ca="1">IFERROR(__xludf.DUMMYFUNCTION("GOOGLETRANSLATE(B225,""ja"",""vi"")"),", Nhà máy nước cá")</f>
        <v>, Nhà máy nước cá</v>
      </c>
      <c r="F225" s="3" t="str">
        <f ca="1">IFERROR(__xludf.DUMMYFUNCTION("GOOGLETRANSLATE(C225,""ja"",""vi"")"),"Đấu giá&gt; nhà, nội thất&gt; Đồ Pet&gt; cá, nhà máy nước")</f>
        <v>Đấu giá&gt; nhà, nội thất&gt; Đồ Pet&gt; cá, nhà máy nước</v>
      </c>
      <c r="G225" s="229" t="str">
        <f t="shared" ca="1" si="6"/>
        <v>"24246" : ", Nhà máy nước cá",</v>
      </c>
      <c r="H225" s="229" t="str">
        <f t="shared" si="7"/>
        <v>&lt;li class="col-md-3"&gt;&lt;a class="text-cut" href="javascript:;"(click)="categoryEvent(24246)"&gt;{{"24246" | translate}}&lt;/a&gt;&lt;/li&gt;</v>
      </c>
    </row>
    <row r="226" spans="1:8" ht="14.25" customHeight="1">
      <c r="A226" s="2">
        <v>2084047553</v>
      </c>
      <c r="B226" s="2" t="s">
        <v>1989</v>
      </c>
      <c r="C226" s="2" t="s">
        <v>1990</v>
      </c>
      <c r="D226" s="2" t="s">
        <v>1993</v>
      </c>
      <c r="E226" s="3" t="str">
        <f ca="1">IFERROR(__xludf.DUMMYFUNCTION("GOOGLETRANSLATE(B226,""ja"",""vi"")"),"Bò sát, lưỡng cư nguồn cung cấp")</f>
        <v>Bò sát, lưỡng cư nguồn cung cấp</v>
      </c>
      <c r="F226" s="3" t="str">
        <f ca="1">IFERROR(__xludf.DUMMYFUNCTION("GOOGLETRANSLATE(C226,""ja"",""vi"")"),"Đấu giá&gt; nhà, nội thất&gt; Đồ Pet&gt; bò sát, lưỡng cư nguồn cung cấp")</f>
        <v>Đấu giá&gt; nhà, nội thất&gt; Đồ Pet&gt; bò sát, lưỡng cư nguồn cung cấp</v>
      </c>
      <c r="G226" s="229" t="str">
        <f t="shared" ca="1" si="6"/>
        <v>"2084047553" : "Bò sát, lưỡng cư nguồn cung cấp",</v>
      </c>
      <c r="H226" s="229" t="str">
        <f t="shared" si="7"/>
        <v>&lt;li class="col-md-3"&gt;&lt;a class="text-cut" href="javascript:;"(click)="categoryEvent(2084047553)"&gt;{{"2084047553" | translate}}&lt;/a&gt;&lt;/li&gt;</v>
      </c>
    </row>
    <row r="227" spans="1:8" ht="14.25" customHeight="1">
      <c r="A227" s="2">
        <v>2084061345</v>
      </c>
      <c r="B227" s="2" t="s">
        <v>1764</v>
      </c>
      <c r="C227" s="2" t="s">
        <v>1998</v>
      </c>
      <c r="D227" s="2" t="s">
        <v>1999</v>
      </c>
      <c r="E227" s="3" t="str">
        <f ca="1">IFERROR(__xludf.DUMMYFUNCTION("GOOGLETRANSLATE(B227,""ja"",""vi"")"),"Côn trùng")</f>
        <v>Côn trùng</v>
      </c>
      <c r="F227" s="3" t="str">
        <f ca="1">IFERROR(__xludf.DUMMYFUNCTION("GOOGLETRANSLATE(C227,""ja"",""vi"")"),"Đấu giá&gt; nhà, nội thất&gt; Đồ Pet&gt; côn trùng")</f>
        <v>Đấu giá&gt; nhà, nội thất&gt; Đồ Pet&gt; côn trùng</v>
      </c>
      <c r="G227" s="229" t="str">
        <f t="shared" ca="1" si="6"/>
        <v>"2084061345" : "Côn trùng",</v>
      </c>
      <c r="H227" s="229" t="str">
        <f t="shared" si="7"/>
        <v>&lt;li class="col-md-3"&gt;&lt;a class="text-cut" href="javascript:;"(click)="categoryEvent(2084061345)"&gt;{{"2084061345" | translate}}&lt;/a&gt;&lt;/li&gt;</v>
      </c>
    </row>
    <row r="228" spans="1:8" ht="14.25" customHeight="1">
      <c r="A228" s="2">
        <v>24538</v>
      </c>
      <c r="B228" s="2" t="s">
        <v>2003</v>
      </c>
      <c r="C228" s="2" t="s">
        <v>2005</v>
      </c>
      <c r="D228" s="2" t="s">
        <v>2008</v>
      </c>
      <c r="E228" s="3" t="str">
        <f ca="1">IFERROR(__xludf.DUMMYFUNCTION("GOOGLETRANSLATE(B228,""ja"",""vi"")"),"Cage, lồng")</f>
        <v>Cage, lồng</v>
      </c>
      <c r="F228" s="3" t="str">
        <f ca="1">IFERROR(__xludf.DUMMYFUNCTION("GOOGLETRANSLATE(C228,""ja"",""vi"")"),"Đấu giá&gt; nhà, nội thất&gt; Đồ Pet&gt; lồng, lồng")</f>
        <v>Đấu giá&gt; nhà, nội thất&gt; Đồ Pet&gt; lồng, lồng</v>
      </c>
      <c r="G228" s="229" t="str">
        <f t="shared" ca="1" si="6"/>
        <v>"24538" : "Cage, lồng",</v>
      </c>
      <c r="H228" s="229" t="str">
        <f t="shared" si="7"/>
        <v>&lt;li class="col-md-3"&gt;&lt;a class="text-cut" href="javascript:;"(click)="categoryEvent(24538)"&gt;{{"24538" | translate}}&lt;/a&gt;&lt;/li&gt;</v>
      </c>
    </row>
    <row r="229" spans="1:8" ht="14.25" customHeight="1">
      <c r="A229" s="2">
        <v>24542</v>
      </c>
      <c r="B229" s="2" t="s">
        <v>2012</v>
      </c>
      <c r="C229" s="2" t="s">
        <v>2013</v>
      </c>
      <c r="D229" s="2" t="s">
        <v>2014</v>
      </c>
      <c r="E229" s="3" t="str">
        <f ca="1">IFERROR(__xludf.DUMMYFUNCTION("GOOGLETRANSLATE(B229,""ja"",""vi"")"),"thức ăn vật nuôi")</f>
        <v>thức ăn vật nuôi</v>
      </c>
      <c r="F229" s="3" t="str">
        <f ca="1">IFERROR(__xludf.DUMMYFUNCTION("GOOGLETRANSLATE(C229,""ja"",""vi"")"),"Đấu giá&gt; nhà, nội thất&gt; Đồ Pet&gt; Pet Food")</f>
        <v>Đấu giá&gt; nhà, nội thất&gt; Đồ Pet&gt; Pet Food</v>
      </c>
      <c r="G229" s="229" t="str">
        <f t="shared" ca="1" si="6"/>
        <v>"24542" : "thức ăn vật nuôi",</v>
      </c>
      <c r="H229" s="229" t="str">
        <f t="shared" si="7"/>
        <v>&lt;li class="col-md-3"&gt;&lt;a class="text-cut" href="javascript:;"(click)="categoryEvent(24542)"&gt;{{"24542" | translate}}&lt;/a&gt;&lt;/li&gt;</v>
      </c>
    </row>
    <row r="230" spans="1:8" ht="14.25" customHeight="1">
      <c r="A230" s="2">
        <v>2084008884</v>
      </c>
      <c r="B230" s="2" t="s">
        <v>162</v>
      </c>
      <c r="C230" s="2" t="s">
        <v>2018</v>
      </c>
      <c r="D230" s="2" t="s">
        <v>2019</v>
      </c>
      <c r="E230" s="3" t="str">
        <f ca="1">IFERROR(__xludf.DUMMYFUNCTION("GOOGLETRANSLATE(B230,""ja"",""vi"")"),"Sách, tạp chí")</f>
        <v>Sách, tạp chí</v>
      </c>
      <c r="F230" s="3" t="str">
        <f ca="1">IFERROR(__xludf.DUMMYFUNCTION("GOOGLETRANSLATE(C230,""ja"",""vi"")"),"Đấu giá&gt; nhà, Đồ nội thất&gt; Pet&gt; Sách, tạp chí")</f>
        <v>Đấu giá&gt; nhà, Đồ nội thất&gt; Pet&gt; Sách, tạp chí</v>
      </c>
      <c r="G230" s="229" t="str">
        <f t="shared" ca="1" si="6"/>
        <v>"2084008884" : "Sách, tạp chí",</v>
      </c>
      <c r="H230" s="229" t="str">
        <f t="shared" si="7"/>
        <v>&lt;li class="col-md-3"&gt;&lt;a class="text-cut" href="javascript:;"(click)="categoryEvent(2084008884)"&gt;{{"2084008884" | translate}}&lt;/a&gt;&lt;/li&gt;</v>
      </c>
    </row>
    <row r="231" spans="1:8" ht="14.25" customHeight="1">
      <c r="A231" s="2">
        <v>24546</v>
      </c>
      <c r="B231" s="2" t="s">
        <v>16</v>
      </c>
      <c r="C231" s="2" t="s">
        <v>2023</v>
      </c>
      <c r="D231" s="2" t="s">
        <v>2026</v>
      </c>
      <c r="E231" s="3" t="str">
        <f ca="1">IFERROR(__xludf.DUMMYFUNCTION("GOOGLETRANSLATE(B231,""ja"",""vi"")"),"nếu không thì")</f>
        <v>nếu không thì</v>
      </c>
      <c r="F231" s="3" t="str">
        <f ca="1">IFERROR(__xludf.DUMMYFUNCTION("GOOGLETRANSLATE(C231,""ja"",""vi"")"),"Đấu giá&gt; nhà, nội thất&gt; Đồ Pet&gt; Khác")</f>
        <v>Đấu giá&gt; nhà, nội thất&gt; Đồ Pet&gt; Khác</v>
      </c>
      <c r="G231" s="229" t="str">
        <f t="shared" ca="1" si="6"/>
        <v>"24546" : "nếu không thì",</v>
      </c>
      <c r="H231" s="229" t="str">
        <f t="shared" si="7"/>
        <v>&lt;li class="col-md-3"&gt;&lt;a class="text-cut" href="javascript:;"(click)="categoryEvent(24546)"&gt;{{"24546" | translate}}&lt;/a&gt;&lt;/li&gt;</v>
      </c>
    </row>
    <row r="232" spans="1:8" ht="14.25" customHeight="1">
      <c r="E232" s="3"/>
      <c r="F232" s="3"/>
      <c r="G232" s="229"/>
      <c r="H232" s="229"/>
    </row>
    <row r="233" spans="1:8" ht="14.25" customHeight="1">
      <c r="A233" s="249">
        <v>2084048832</v>
      </c>
      <c r="B233" s="232"/>
      <c r="C233" s="232"/>
      <c r="D233" s="233"/>
      <c r="E233" s="3"/>
      <c r="F233" s="3"/>
      <c r="G233" s="229"/>
      <c r="H233" s="229"/>
    </row>
    <row r="234" spans="1:8" ht="14.25" customHeight="1">
      <c r="A234" s="2">
        <v>2084062796</v>
      </c>
      <c r="B234" s="2" t="s">
        <v>3491</v>
      </c>
      <c r="C234" s="2" t="s">
        <v>3492</v>
      </c>
      <c r="D234" s="2" t="s">
        <v>3493</v>
      </c>
      <c r="E234" s="3" t="str">
        <f ca="1">IFERROR(__xludf.DUMMYFUNCTION("GOOGLETRANSLATE(B234,""ja"",""vi"")"),"Pest Control")</f>
        <v>Pest Control</v>
      </c>
      <c r="F234" s="3" t="str">
        <f ca="1">IFERROR(__xludf.DUMMYFUNCTION("GOOGLETRANSLATE(C234,""ja"",""vi"")"),"Đấu giá&gt; nhà, nội thất&gt; kiểm soát dịch hại, thuốc chống côn trùng&gt; dịch hại kiểm soát")</f>
        <v>Đấu giá&gt; nhà, nội thất&gt; kiểm soát dịch hại, thuốc chống côn trùng&gt; dịch hại kiểm soát</v>
      </c>
      <c r="G234" s="229" t="str">
        <f t="shared" ca="1" si="6"/>
        <v>"2084062796" : "Pest Control",</v>
      </c>
      <c r="H234" s="229" t="str">
        <f t="shared" si="7"/>
        <v>&lt;li class="col-md-3"&gt;&lt;a class="text-cut" href="javascript:;"(click)="categoryEvent(2084062796)"&gt;{{"2084062796" | translate}}&lt;/a&gt;&lt;/li&gt;</v>
      </c>
    </row>
    <row r="235" spans="1:8" ht="14.25" customHeight="1">
      <c r="A235" s="2">
        <v>2084062800</v>
      </c>
      <c r="B235" s="2" t="s">
        <v>3497</v>
      </c>
      <c r="C235" s="2" t="s">
        <v>3498</v>
      </c>
      <c r="D235" s="2" t="s">
        <v>3499</v>
      </c>
      <c r="E235" s="3" t="str">
        <f ca="1">IFERROR(__xludf.DUMMYFUNCTION("GOOGLETRANSLATE(B235,""ja"",""vi"")"),"thuốc chống côn trùng")</f>
        <v>thuốc chống côn trùng</v>
      </c>
      <c r="F235" s="3" t="str">
        <f ca="1">IFERROR(__xludf.DUMMYFUNCTION("GOOGLETRANSLATE(C235,""ja"",""vi"")"),"Đấu giá&gt; nhà, nội thất&gt; kiểm soát dịch hại, thuốc chống côn trùng&gt; thuốc chống côn trùng")</f>
        <v>Đấu giá&gt; nhà, nội thất&gt; kiểm soát dịch hại, thuốc chống côn trùng&gt; thuốc chống côn trùng</v>
      </c>
      <c r="G235" s="229" t="str">
        <f t="shared" ca="1" si="6"/>
        <v>"2084062800" : "thuốc chống côn trùng",</v>
      </c>
      <c r="H235" s="229" t="str">
        <f t="shared" si="7"/>
        <v>&lt;li class="col-md-3"&gt;&lt;a class="text-cut" href="javascript:;"(click)="categoryEvent(2084062800)"&gt;{{"2084062800" | translate}}&lt;/a&gt;&lt;/li&gt;</v>
      </c>
    </row>
    <row r="236" spans="1:8" ht="14.25" customHeight="1">
      <c r="E236" s="3"/>
    </row>
    <row r="237" spans="1:8" ht="14.25" customHeight="1">
      <c r="E237" s="3"/>
    </row>
    <row r="238" spans="1:8" ht="14.25" customHeight="1"/>
    <row r="239" spans="1:8" ht="14.25" customHeight="1"/>
    <row r="240" spans="1:8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20:D20"/>
    <mergeCell ref="A73:D73"/>
    <mergeCell ref="A209:D209"/>
    <mergeCell ref="A233:D233"/>
    <mergeCell ref="A138:D138"/>
    <mergeCell ref="A157:D157"/>
    <mergeCell ref="A174:D174"/>
    <mergeCell ref="A178:D178"/>
    <mergeCell ref="A198:D198"/>
    <mergeCell ref="A40:D40"/>
    <mergeCell ref="A61:D61"/>
    <mergeCell ref="A115:D115"/>
    <mergeCell ref="A102:D102"/>
    <mergeCell ref="A220:D220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8.69921875" bestFit="1" customWidth="1"/>
    <col min="2" max="2" width="8.59765625" customWidth="1"/>
    <col min="3" max="3" width="16.69921875" customWidth="1"/>
    <col min="4" max="4" width="11" customWidth="1"/>
    <col min="5" max="5" width="7.59765625" customWidth="1"/>
    <col min="6" max="6" width="35.796875" customWidth="1"/>
    <col min="7" max="7" width="2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2084005796</v>
      </c>
      <c r="B2" s="2" t="s">
        <v>2082</v>
      </c>
      <c r="C2" s="2" t="s">
        <v>2083</v>
      </c>
      <c r="D2" s="2" t="s">
        <v>2085</v>
      </c>
      <c r="E2" s="3" t="str">
        <f ca="1">IFERROR(__xludf.DUMMYFUNCTION("GOOGLETRANSLATE(B2,""ja"",""vi"")"),"hải sản")</f>
        <v>hải sản</v>
      </c>
      <c r="F2" s="3" t="str">
        <f ca="1">IFERROR(__xludf.DUMMYFUNCTION("GOOGLETRANSLATE(C2,""ja"",""vi"")"),"Đấu giá&gt; thực phẩm, đồ uống&gt; hải sản")</f>
        <v>Đấu giá&gt; thực phẩm, đồ uống&gt; hải sản</v>
      </c>
      <c r="G2" s="229" t="str">
        <f ca="1">CONCATENATE(CHAR(34)&amp;"",A2,""&amp;CHAR(34)," : ", CHAR(34)&amp;"",E2,""&amp;CHAR(34),",")</f>
        <v>"2084005796" : "hải sản",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href="javascript:;"(click)="categoryEvent(2084005796)"&gt;{{"2084005796" | translate}}&lt;/a&gt;&lt;/li&gt;</v>
      </c>
    </row>
    <row r="3" spans="1:8" ht="14.25" customHeight="1">
      <c r="A3" s="4">
        <v>2084005795</v>
      </c>
      <c r="B3" s="4" t="s">
        <v>2097</v>
      </c>
      <c r="C3" s="4" t="s">
        <v>2100</v>
      </c>
      <c r="D3" s="4" t="s">
        <v>2102</v>
      </c>
      <c r="E3" s="3" t="str">
        <f ca="1">IFERROR(__xludf.DUMMYFUNCTION("GOOGLETRANSLATE(B3,""ja"",""vi"")"),"thịt")</f>
        <v>thịt</v>
      </c>
      <c r="F3" s="3" t="str">
        <f ca="1">IFERROR(__xludf.DUMMYFUNCTION("GOOGLETRANSLATE(C3,""ja"",""vi"")"),"Đấu giá&gt; thực phẩm, đồ uống&gt; thịt")</f>
        <v>Đấu giá&gt; thực phẩm, đồ uống&gt; thịt</v>
      </c>
      <c r="G3" s="229" t="str">
        <f t="shared" ref="G3:G66" ca="1" si="0">CONCATENATE(CHAR(34)&amp;"",A3,""&amp;CHAR(34)," : ", CHAR(34)&amp;"",E3,""&amp;CHAR(34),",")</f>
        <v>"2084005795" : "thịt",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href="javascript:;"(click)="categoryEvent(2084005795)"&gt;{{"2084005795" | translate}}&lt;/a&gt;&lt;/li&gt;</v>
      </c>
    </row>
    <row r="4" spans="1:8" ht="14.25" customHeight="1">
      <c r="A4" s="5">
        <v>2084006748</v>
      </c>
      <c r="B4" s="5" t="s">
        <v>2108</v>
      </c>
      <c r="C4" s="5" t="s">
        <v>2109</v>
      </c>
      <c r="D4" s="5" t="s">
        <v>2110</v>
      </c>
      <c r="E4" s="3" t="str">
        <f ca="1">IFERROR(__xludf.DUMMYFUNCTION("GOOGLETRANSLATE(B4,""ja"",""vi"")"),"Gạo, ngũ cốc, serial")</f>
        <v>Gạo, ngũ cốc, serial</v>
      </c>
      <c r="F4" s="3" t="str">
        <f ca="1">IFERROR(__xludf.DUMMYFUNCTION("GOOGLETRANSLATE(C4,""ja"",""vi"")"),"Đấu giá&gt; thực phẩm, đồ uống&gt; gạo, ngũ cốc, serial")</f>
        <v>Đấu giá&gt; thực phẩm, đồ uống&gt; gạo, ngũ cốc, serial</v>
      </c>
      <c r="G4" s="229" t="str">
        <f t="shared" ca="1" si="0"/>
        <v>"2084006748" : "Gạo, ngũ cốc, serial",</v>
      </c>
      <c r="H4" s="229" t="str">
        <f t="shared" si="1"/>
        <v>&lt;li class="col-md-3"&gt;&lt;a class="text-cut" href="javascript:;"(click)="categoryEvent(2084006748)"&gt;{{"2084006748" | translate}}&lt;/a&gt;&lt;/li&gt;</v>
      </c>
    </row>
    <row r="5" spans="1:8" ht="14.25" customHeight="1">
      <c r="A5" s="8">
        <v>2084006751</v>
      </c>
      <c r="B5" s="8" t="s">
        <v>2118</v>
      </c>
      <c r="C5" s="8" t="s">
        <v>2121</v>
      </c>
      <c r="D5" s="8" t="s">
        <v>2123</v>
      </c>
      <c r="E5" s="3" t="str">
        <f ca="1">IFERROR(__xludf.DUMMYFUNCTION("GOOGLETRANSLATE(B5,""ja"",""vi"")"),"Các loại rau, trái cây")</f>
        <v>Các loại rau, trái cây</v>
      </c>
      <c r="F5" s="3" t="str">
        <f ca="1">IFERROR(__xludf.DUMMYFUNCTION("GOOGLETRANSLATE(C5,""ja"",""vi"")"),"Đấu giá&gt; thực phẩm, đồ uống&gt; rau, trái cây")</f>
        <v>Đấu giá&gt; thực phẩm, đồ uống&gt; rau, trái cây</v>
      </c>
      <c r="G5" s="229" t="str">
        <f t="shared" ca="1" si="0"/>
        <v>"2084006751" : "Các loại rau, trái cây",</v>
      </c>
      <c r="H5" s="229" t="str">
        <f t="shared" si="1"/>
        <v>&lt;li class="col-md-3"&gt;&lt;a class="text-cut" href="javascript:;"(click)="categoryEvent(2084006751)"&gt;{{"2084006751" | translate}}&lt;/a&gt;&lt;/li&gt;</v>
      </c>
    </row>
    <row r="6" spans="1:8" ht="14.25" customHeight="1">
      <c r="A6" s="6">
        <v>42164</v>
      </c>
      <c r="B6" s="6" t="s">
        <v>2127</v>
      </c>
      <c r="C6" s="6" t="s">
        <v>2129</v>
      </c>
      <c r="D6" s="6" t="s">
        <v>2130</v>
      </c>
      <c r="E6" s="3" t="str">
        <f ca="1">IFERROR(__xludf.DUMMYFUNCTION("GOOGLETRANSLATE(B6,""ja"",""vi"")"),"đồ uống")</f>
        <v>đồ uống</v>
      </c>
      <c r="F6" s="3" t="str">
        <f ca="1">IFERROR(__xludf.DUMMYFUNCTION("GOOGLETRANSLATE(C6,""ja"",""vi"")"),"Đấu giá&gt; thực phẩm, đồ uống&gt; uống")</f>
        <v>Đấu giá&gt; thực phẩm, đồ uống&gt; uống</v>
      </c>
      <c r="G6" s="229" t="str">
        <f t="shared" ca="1" si="0"/>
        <v>"42164" : "đồ uống",</v>
      </c>
      <c r="H6" s="229" t="str">
        <f t="shared" si="1"/>
        <v>&lt;li class="col-md-3"&gt;&lt;a class="text-cut" href="javascript:;"(click)="categoryEvent(42164)"&gt;{{"42164" | translate}}&lt;/a&gt;&lt;/li&gt;</v>
      </c>
    </row>
    <row r="7" spans="1:8" ht="14.25" customHeight="1">
      <c r="A7" s="9">
        <v>24054</v>
      </c>
      <c r="B7" s="9" t="s">
        <v>2134</v>
      </c>
      <c r="C7" s="9" t="s">
        <v>2136</v>
      </c>
      <c r="D7" s="9" t="s">
        <v>2138</v>
      </c>
      <c r="E7" s="3" t="str">
        <f ca="1">IFERROR(__xludf.DUMMYFUNCTION("GOOGLETRANSLATE(B7,""ja"",""vi"")"),"thực phẩm sức khỏe")</f>
        <v>thực phẩm sức khỏe</v>
      </c>
      <c r="F7" s="3" t="str">
        <f ca="1">IFERROR(__xludf.DUMMYFUNCTION("GOOGLETRANSLATE(C7,""ja"",""vi"")"),"Đấu giá&gt; thực phẩm, đồ uống&gt; thực phẩm sức khỏe")</f>
        <v>Đấu giá&gt; thực phẩm, đồ uống&gt; thực phẩm sức khỏe</v>
      </c>
      <c r="G7" s="229" t="str">
        <f t="shared" ca="1" si="0"/>
        <v>"24054" : "thực phẩm sức khỏe",</v>
      </c>
      <c r="H7" s="229" t="str">
        <f t="shared" si="1"/>
        <v>&lt;li class="col-md-3"&gt;&lt;a class="text-cut" href="javascript:;"(click)="categoryEvent(24054)"&gt;{{"24054" | translate}}&lt;/a&gt;&lt;/li&gt;</v>
      </c>
    </row>
    <row r="8" spans="1:8" ht="14.25" customHeight="1">
      <c r="A8" s="7">
        <v>2084006888</v>
      </c>
      <c r="B8" s="7" t="s">
        <v>2141</v>
      </c>
      <c r="C8" s="7" t="s">
        <v>2142</v>
      </c>
      <c r="D8" s="7" t="s">
        <v>2143</v>
      </c>
      <c r="E8" s="3" t="str">
        <f ca="1">IFERROR(__xludf.DUMMYFUNCTION("GOOGLETRANSLATE(B8,""ja"",""vi"")"),"thực phẩm chế độ ăn uống")</f>
        <v>thực phẩm chế độ ăn uống</v>
      </c>
      <c r="F8" s="3" t="str">
        <f ca="1">IFERROR(__xludf.DUMMYFUNCTION("GOOGLETRANSLATE(C8,""ja"",""vi"")"),"Đấu giá&gt; thực phẩm, đồ uống&gt; thực phẩm chế độ ăn uống")</f>
        <v>Đấu giá&gt; thực phẩm, đồ uống&gt; thực phẩm chế độ ăn uống</v>
      </c>
      <c r="G8" s="229" t="str">
        <f t="shared" ca="1" si="0"/>
        <v>"2084006888" : "thực phẩm chế độ ăn uống",</v>
      </c>
      <c r="H8" s="229" t="str">
        <f t="shared" si="1"/>
        <v>&lt;li class="col-md-3"&gt;&lt;a class="text-cut" href="javascript:;"(click)="categoryEvent(2084006888)"&gt;{{"2084006888" | translate}}&lt;/a&gt;&lt;/li&gt;</v>
      </c>
    </row>
    <row r="9" spans="1:8" ht="14.25" customHeight="1">
      <c r="A9" s="41">
        <v>2084042479</v>
      </c>
      <c r="B9" s="41" t="s">
        <v>2149</v>
      </c>
      <c r="C9" s="41" t="s">
        <v>2150</v>
      </c>
      <c r="D9" s="41" t="s">
        <v>2152</v>
      </c>
      <c r="E9" s="3" t="str">
        <f ca="1">IFERROR(__xludf.DUMMYFUNCTION("GOOGLETRANSLATE(B9,""ja"",""vi"")"),"thực phẩm chế biến")</f>
        <v>thực phẩm chế biến</v>
      </c>
      <c r="F9" s="3" t="str">
        <f ca="1">IFERROR(__xludf.DUMMYFUNCTION("GOOGLETRANSLATE(C9,""ja"",""vi"")"),"Đấu giá&gt; thực phẩm, đồ uống&gt; thực phẩm chế biến")</f>
        <v>Đấu giá&gt; thực phẩm, đồ uống&gt; thực phẩm chế biến</v>
      </c>
      <c r="G9" s="229" t="str">
        <f t="shared" ca="1" si="0"/>
        <v>"2084042479" : "thực phẩm chế biến",</v>
      </c>
      <c r="H9" s="229" t="str">
        <f t="shared" si="1"/>
        <v>&lt;li class="col-md-3"&gt;&lt;a class="text-cut" href="javascript:;"(click)="categoryEvent(2084042479)"&gt;{{"2084042479" | translate}}&lt;/a&gt;&lt;/li&gt;</v>
      </c>
    </row>
    <row r="10" spans="1:8" ht="14.25" customHeight="1">
      <c r="A10" s="16">
        <v>23982</v>
      </c>
      <c r="B10" s="16" t="s">
        <v>2157</v>
      </c>
      <c r="C10" s="16" t="s">
        <v>2158</v>
      </c>
      <c r="D10" s="16" t="s">
        <v>2160</v>
      </c>
      <c r="E10" s="3" t="str">
        <f ca="1">IFERROR(__xludf.DUMMYFUNCTION("GOOGLETRANSLATE(B10,""ja"",""vi"")"),"Bánh kẹo, món tráng miệng")</f>
        <v>Bánh kẹo, món tráng miệng</v>
      </c>
      <c r="F10" s="3" t="str">
        <f ca="1">IFERROR(__xludf.DUMMYFUNCTION("GOOGLETRANSLATE(C10,""ja"",""vi"")"),"Đấu giá&gt; thực phẩm, đồ uống&gt; bánh ngọt, món tráng miệng")</f>
        <v>Đấu giá&gt; thực phẩm, đồ uống&gt; bánh ngọt, món tráng miệng</v>
      </c>
      <c r="G10" s="229" t="str">
        <f t="shared" ca="1" si="0"/>
        <v>"23982" : "Bánh kẹo, món tráng miệng",</v>
      </c>
      <c r="H10" s="229" t="str">
        <f t="shared" si="1"/>
        <v>&lt;li class="col-md-3"&gt;&lt;a class="text-cut" href="javascript:;"(click)="categoryEvent(23982)"&gt;{{"23982" | translate}}&lt;/a&gt;&lt;/li&gt;</v>
      </c>
    </row>
    <row r="11" spans="1:8" ht="14.25" customHeight="1">
      <c r="A11" s="43">
        <v>2084006750</v>
      </c>
      <c r="B11" s="43" t="s">
        <v>2165</v>
      </c>
      <c r="C11" s="43" t="s">
        <v>2166</v>
      </c>
      <c r="D11" s="43" t="s">
        <v>2168</v>
      </c>
      <c r="E11" s="3" t="str">
        <f ca="1">IFERROR(__xludf.DUMMYFUNCTION("GOOGLETRANSLATE(B11,""ja"",""vi"")"),"Pasta, mì")</f>
        <v>Pasta, mì</v>
      </c>
      <c r="F11" s="3" t="str">
        <f ca="1">IFERROR(__xludf.DUMMYFUNCTION("GOOGLETRANSLATE(C11,""ja"",""vi"")"),"Đấu giá&gt; thực phẩm, đồ uống&gt; mì ống, mì")</f>
        <v>Đấu giá&gt; thực phẩm, đồ uống&gt; mì ống, mì</v>
      </c>
      <c r="G11" s="229" t="str">
        <f t="shared" ca="1" si="0"/>
        <v>"2084006750" : "Pasta, mì",</v>
      </c>
      <c r="H11" s="229" t="str">
        <f t="shared" si="1"/>
        <v>&lt;li class="col-md-3"&gt;&lt;a class="text-cut" href="javascript:;"(click)="categoryEvent(2084006750)"&gt;{{"2084006750" | translate}}&lt;/a&gt;&lt;/li&gt;</v>
      </c>
    </row>
    <row r="12" spans="1:8" ht="14.25" customHeight="1">
      <c r="A12" s="45">
        <v>2084049724</v>
      </c>
      <c r="B12" s="45" t="s">
        <v>2176</v>
      </c>
      <c r="C12" s="45" t="s">
        <v>2179</v>
      </c>
      <c r="D12" s="45" t="s">
        <v>2181</v>
      </c>
      <c r="E12" s="3" t="str">
        <f ca="1">IFERROR(__xludf.DUMMYFUNCTION("GOOGLETRANSLATE(B12,""ja"",""vi"")"),"bánh mì")</f>
        <v>bánh mì</v>
      </c>
      <c r="F12" s="3" t="str">
        <f ca="1">IFERROR(__xludf.DUMMYFUNCTION("GOOGLETRANSLATE(C12,""ja"",""vi"")"),"Đấu giá&gt; thực phẩm, đồ uống&gt; bánh mì")</f>
        <v>Đấu giá&gt; thực phẩm, đồ uống&gt; bánh mì</v>
      </c>
      <c r="G12" s="229" t="str">
        <f t="shared" ca="1" si="0"/>
        <v>"2084049724" : "bánh mì",</v>
      </c>
      <c r="H12" s="229" t="str">
        <f t="shared" si="1"/>
        <v>&lt;li class="col-md-3"&gt;&lt;a class="text-cut" href="javascript:;"(click)="categoryEvent(2084049724)"&gt;{{"2084049724" | translate}}&lt;/a&gt;&lt;/li&gt;</v>
      </c>
    </row>
    <row r="13" spans="1:8" ht="14.25" customHeight="1">
      <c r="A13" s="48">
        <v>24034</v>
      </c>
      <c r="B13" s="48" t="s">
        <v>2187</v>
      </c>
      <c r="C13" s="48" t="s">
        <v>2188</v>
      </c>
      <c r="D13" s="48" t="s">
        <v>2189</v>
      </c>
      <c r="E13" s="3" t="str">
        <f ca="1">IFERROR(__xludf.DUMMYFUNCTION("GOOGLETRANSLATE(B13,""ja"",""vi"")"),"Trứng, sản phẩm sữa")</f>
        <v>Trứng, sản phẩm sữa</v>
      </c>
      <c r="F13" s="3" t="str">
        <f ca="1">IFERROR(__xludf.DUMMYFUNCTION("GOOGLETRANSLATE(C13,""ja"",""vi"")"),"Đấu giá&gt; thực phẩm, đồ uống&gt; trứng, sản phẩm sữa")</f>
        <v>Đấu giá&gt; thực phẩm, đồ uống&gt; trứng, sản phẩm sữa</v>
      </c>
      <c r="G13" s="229" t="str">
        <f t="shared" ca="1" si="0"/>
        <v>"24034" : "Trứng, sản phẩm sữa",</v>
      </c>
      <c r="H13" s="229" t="str">
        <f t="shared" si="1"/>
        <v>&lt;li class="col-md-3"&gt;&lt;a class="text-cut" href="javascript:;"(click)="categoryEvent(24034)"&gt;{{"24034" | translate}}&lt;/a&gt;&lt;/li&gt;</v>
      </c>
    </row>
    <row r="14" spans="1:8" ht="14.25" customHeight="1">
      <c r="A14" s="50">
        <v>24042</v>
      </c>
      <c r="B14" s="50" t="s">
        <v>2196</v>
      </c>
      <c r="C14" s="50" t="s">
        <v>2197</v>
      </c>
      <c r="D14" s="50" t="s">
        <v>2199</v>
      </c>
      <c r="E14" s="3" t="str">
        <f ca="1">IFERROR(__xludf.DUMMYFUNCTION("GOOGLETRANSLATE(B14,""ja"",""vi"")"),"Nêm, gia vị")</f>
        <v>Nêm, gia vị</v>
      </c>
      <c r="F14" s="3" t="str">
        <f ca="1">IFERROR(__xludf.DUMMYFUNCTION("GOOGLETRANSLATE(C14,""ja"",""vi"")"),"Đấu giá&gt; thực phẩm, đồ uống&gt; nêm, gia vị")</f>
        <v>Đấu giá&gt; thực phẩm, đồ uống&gt; nêm, gia vị</v>
      </c>
      <c r="G14" s="229" t="str">
        <f t="shared" ca="1" si="0"/>
        <v>"24042" : "Nêm, gia vị",</v>
      </c>
      <c r="H14" s="229" t="str">
        <f t="shared" si="1"/>
        <v>&lt;li class="col-md-3"&gt;&lt;a class="text-cut" href="javascript:;"(click)="categoryEvent(24042)"&gt;{{"24042" | translate}}&lt;/a&gt;&lt;/li&gt;</v>
      </c>
    </row>
    <row r="15" spans="1:8" ht="14.25" customHeight="1">
      <c r="A15" s="53">
        <v>24050</v>
      </c>
      <c r="B15" s="53" t="s">
        <v>2205</v>
      </c>
      <c r="C15" s="53" t="s">
        <v>2209</v>
      </c>
      <c r="D15" s="53" t="s">
        <v>2212</v>
      </c>
      <c r="E15" s="3" t="str">
        <f ca="1">IFERROR(__xludf.DUMMYFUNCTION("GOOGLETRANSLATE(B15,""ja"",""vi"")"),"một loại")</f>
        <v>một loại</v>
      </c>
      <c r="F15" s="3" t="str">
        <f ca="1">IFERROR(__xludf.DUMMYFUNCTION("GOOGLETRANSLATE(C15,""ja"",""vi"")"),"Đấu giá&gt; thực phẩm, đồ uống&gt; loại")</f>
        <v>Đấu giá&gt; thực phẩm, đồ uống&gt; loại</v>
      </c>
      <c r="G15" s="229" t="str">
        <f t="shared" ca="1" si="0"/>
        <v>"24050" : "một loại",</v>
      </c>
      <c r="H15" s="229" t="str">
        <f t="shared" si="1"/>
        <v>&lt;li class="col-md-3"&gt;&lt;a class="text-cut" href="javascript:;"(click)="categoryEvent(24050)"&gt;{{"24050" | translate}}&lt;/a&gt;&lt;/li&gt;</v>
      </c>
    </row>
    <row r="16" spans="1:8" ht="14.25" customHeight="1">
      <c r="A16" s="56">
        <v>2084008374</v>
      </c>
      <c r="B16" s="56" t="s">
        <v>1173</v>
      </c>
      <c r="C16" s="56" t="s">
        <v>2218</v>
      </c>
      <c r="D16" s="56" t="s">
        <v>2220</v>
      </c>
      <c r="E16" s="3" t="str">
        <f ca="1">IFERROR(__xludf.DUMMYFUNCTION("GOOGLETRANSLATE(B16,""ja"",""vi"")"),"Sữa, thức ăn trẻ em")</f>
        <v>Sữa, thức ăn trẻ em</v>
      </c>
      <c r="F16" s="3" t="str">
        <f ca="1">IFERROR(__xludf.DUMMYFUNCTION("GOOGLETRANSLATE(C16,""ja"",""vi"")"),"Đấu giá&gt; thực phẩm, đồ uống&gt; sữa, thức ăn trẻ em")</f>
        <v>Đấu giá&gt; thực phẩm, đồ uống&gt; sữa, thức ăn trẻ em</v>
      </c>
      <c r="G16" s="229" t="str">
        <f t="shared" ca="1" si="0"/>
        <v>"2084008374" : "Sữa, thức ăn trẻ em",</v>
      </c>
      <c r="H16" s="229" t="str">
        <f t="shared" si="1"/>
        <v>&lt;li class="col-md-3"&gt;&lt;a class="text-cut" href="javascript:;"(click)="categoryEvent(2084008374)"&gt;{{"2084008374" | translate}}&lt;/a&gt;&lt;/li&gt;</v>
      </c>
    </row>
    <row r="17" spans="1:8" ht="14.25" customHeight="1">
      <c r="A17" s="59">
        <v>2084055697</v>
      </c>
      <c r="B17" s="59" t="s">
        <v>2226</v>
      </c>
      <c r="C17" s="59" t="s">
        <v>2228</v>
      </c>
      <c r="D17" s="59" t="s">
        <v>2229</v>
      </c>
      <c r="E17" s="3" t="str">
        <f ca="1">IFERROR(__xludf.DUMMYFUNCTION("GOOGLETRANSLATE(B17,""ja"",""vi"")"),"lương thực khẩn cấp")</f>
        <v>lương thực khẩn cấp</v>
      </c>
      <c r="F17" s="3" t="str">
        <f ca="1">IFERROR(__xludf.DUMMYFUNCTION("GOOGLETRANSLATE(C17,""ja"",""vi"")"),"Đấu giá&gt; thực phẩm, đồ uống&gt; lương thực khẩn cấp")</f>
        <v>Đấu giá&gt; thực phẩm, đồ uống&gt; lương thực khẩn cấp</v>
      </c>
      <c r="G17" s="229" t="str">
        <f t="shared" ca="1" si="0"/>
        <v>"2084055697" : "lương thực khẩn cấp",</v>
      </c>
      <c r="H17" s="229" t="str">
        <f t="shared" si="1"/>
        <v>&lt;li class="col-md-3"&gt;&lt;a class="text-cut" href="javascript:;"(click)="categoryEvent(2084055697)"&gt;{{"2084055697" | translate}}&lt;/a&gt;&lt;/li&gt;</v>
      </c>
    </row>
    <row r="18" spans="1:8" ht="14.25" customHeight="1">
      <c r="A18" s="63">
        <v>21704</v>
      </c>
      <c r="B18" s="63" t="s">
        <v>2235</v>
      </c>
      <c r="C18" s="63" t="s">
        <v>2236</v>
      </c>
      <c r="D18" s="63" t="s">
        <v>2237</v>
      </c>
      <c r="E18" s="3" t="str">
        <f ca="1">IFERROR(__xludf.DUMMYFUNCTION("GOOGLETRANSLATE(B18,""ja"",""vi"")"),"sách dạy nấu ăn")</f>
        <v>sách dạy nấu ăn</v>
      </c>
      <c r="F18" s="3" t="str">
        <f ca="1">IFERROR(__xludf.DUMMYFUNCTION("GOOGLETRANSLATE(C18,""ja"",""vi"")"),"Đấu giá&gt; thực phẩm, đồ uống&gt; sách dạy nấu ăn")</f>
        <v>Đấu giá&gt; thực phẩm, đồ uống&gt; sách dạy nấu ăn</v>
      </c>
      <c r="G18" s="229" t="str">
        <f t="shared" ca="1" si="0"/>
        <v>"21704" : "sách dạy nấu ăn",</v>
      </c>
      <c r="H18" s="229" t="str">
        <f t="shared" si="1"/>
        <v>&lt;li class="col-md-3"&gt;&lt;a class="text-cut" href="javascript:;"(click)="categoryEvent(21704)"&gt;{{"21704" | translate}}&lt;/a&gt;&lt;/li&gt;</v>
      </c>
    </row>
    <row r="19" spans="1:8" ht="14.25" customHeight="1">
      <c r="A19" s="86">
        <v>24194</v>
      </c>
      <c r="B19" s="86" t="s">
        <v>16</v>
      </c>
      <c r="C19" s="86" t="s">
        <v>2258</v>
      </c>
      <c r="D19" s="86" t="s">
        <v>2260</v>
      </c>
      <c r="E19" s="3" t="str">
        <f ca="1">IFERROR(__xludf.DUMMYFUNCTION("GOOGLETRANSLATE(B19,""ja"",""vi"")"),"nếu không thì")</f>
        <v>nếu không thì</v>
      </c>
      <c r="F19" s="3" t="str">
        <f ca="1">IFERROR(__xludf.DUMMYFUNCTION("GOOGLETRANSLATE(C19,""ja"",""vi"")"),"Đấu giá&gt; thực phẩm, đồ uống&gt; Khác")</f>
        <v>Đấu giá&gt; thực phẩm, đồ uống&gt; Khác</v>
      </c>
      <c r="G19" s="229" t="str">
        <f t="shared" ca="1" si="0"/>
        <v>"24194" : "nếu không thì",</v>
      </c>
      <c r="H19" s="229" t="str">
        <f t="shared" si="1"/>
        <v>&lt;li class="col-md-3"&gt;&lt;a class="text-cut" href="javascript:;"(click)="categoryEvent(24194)"&gt;{{"24194" | translate}}&lt;/a&gt;&lt;/li&gt;</v>
      </c>
    </row>
    <row r="20" spans="1:8" ht="14.25" customHeight="1">
      <c r="E20" s="3"/>
      <c r="F20" s="3"/>
      <c r="G20" s="229"/>
      <c r="H20" s="229"/>
    </row>
    <row r="21" spans="1:8" ht="14.25" customHeight="1">
      <c r="A21" s="231">
        <v>2084005796</v>
      </c>
      <c r="B21" s="232"/>
      <c r="C21" s="232"/>
      <c r="D21" s="233"/>
      <c r="E21" s="3"/>
      <c r="F21" s="3"/>
      <c r="G21" s="229"/>
      <c r="H21" s="229"/>
    </row>
    <row r="22" spans="1:8" ht="14.25" customHeight="1">
      <c r="A22" s="2">
        <v>2084045155</v>
      </c>
      <c r="B22" s="2" t="s">
        <v>2271</v>
      </c>
      <c r="C22" s="2" t="s">
        <v>2272</v>
      </c>
      <c r="D22" s="2" t="s">
        <v>2273</v>
      </c>
      <c r="E22" s="3" t="str">
        <f ca="1">IFERROR(__xludf.DUMMYFUNCTION("GOOGLETRANSLATE(B22,""ja"",""vi"")"),"cua")</f>
        <v>cua</v>
      </c>
      <c r="F22" s="3" t="str">
        <f ca="1">IFERROR(__xludf.DUMMYFUNCTION("GOOGLETRANSLATE(C22,""ja"",""vi"")"),"Đấu giá&gt; thực phẩm, đồ uống&gt; hải sản&gt; Cua")</f>
        <v>Đấu giá&gt; thực phẩm, đồ uống&gt; hải sản&gt; Cua</v>
      </c>
      <c r="G22" s="229" t="str">
        <f t="shared" ca="1" si="0"/>
        <v>"2084045155" : "cua",</v>
      </c>
      <c r="H22" s="229" t="str">
        <f t="shared" si="1"/>
        <v>&lt;li class="col-md-3"&gt;&lt;a class="text-cut" href="javascript:;"(click)="categoryEvent(2084045155)"&gt;{{"2084045155" | translate}}&lt;/a&gt;&lt;/li&gt;</v>
      </c>
    </row>
    <row r="23" spans="1:8" ht="14.25" customHeight="1">
      <c r="A23" s="2">
        <v>2084045154</v>
      </c>
      <c r="B23" s="2" t="s">
        <v>2276</v>
      </c>
      <c r="C23" s="2" t="s">
        <v>2277</v>
      </c>
      <c r="D23" s="2" t="s">
        <v>2279</v>
      </c>
      <c r="E23" s="3" t="str">
        <f ca="1">IFERROR(__xludf.DUMMYFUNCTION("GOOGLETRANSLATE(B23,""ja"",""vi"")"),"tôm")</f>
        <v>tôm</v>
      </c>
      <c r="F23" s="3" t="str">
        <f ca="1">IFERROR(__xludf.DUMMYFUNCTION("GOOGLETRANSLATE(C23,""ja"",""vi"")"),"Đấu giá&gt; thực phẩm, đồ uống&gt; hải sản&gt; Tôm")</f>
        <v>Đấu giá&gt; thực phẩm, đồ uống&gt; hải sản&gt; Tôm</v>
      </c>
      <c r="G23" s="229" t="str">
        <f t="shared" ca="1" si="0"/>
        <v>"2084045154" : "tôm",</v>
      </c>
      <c r="H23" s="229" t="str">
        <f t="shared" si="1"/>
        <v>&lt;li class="col-md-3"&gt;&lt;a class="text-cut" href="javascript:;"(click)="categoryEvent(2084045154)"&gt;{{"2084045154" | translate}}&lt;/a&gt;&lt;/li&gt;</v>
      </c>
    </row>
    <row r="24" spans="1:8" ht="14.25" customHeight="1">
      <c r="A24" s="2">
        <v>2084045157</v>
      </c>
      <c r="B24" s="2" t="s">
        <v>2285</v>
      </c>
      <c r="C24" s="2" t="s">
        <v>2286</v>
      </c>
      <c r="D24" s="2" t="s">
        <v>2287</v>
      </c>
      <c r="E24" s="3" t="str">
        <f ca="1">IFERROR(__xludf.DUMMYFUNCTION("GOOGLETRANSLATE(B24,""ja"",""vi"")"),"Động vật có vỏ")</f>
        <v>Động vật có vỏ</v>
      </c>
      <c r="F24" s="3" t="str">
        <f ca="1">IFERROR(__xludf.DUMMYFUNCTION("GOOGLETRANSLATE(C24,""ja"",""vi"")"),"Đấu giá&gt; thực phẩm, đồ uống&gt; hải sản&gt; động vật có vỏ")</f>
        <v>Đấu giá&gt; thực phẩm, đồ uống&gt; hải sản&gt; động vật có vỏ</v>
      </c>
      <c r="G24" s="229" t="str">
        <f t="shared" ca="1" si="0"/>
        <v>"2084045157" : "Động vật có vỏ",</v>
      </c>
      <c r="H24" s="229" t="str">
        <f t="shared" si="1"/>
        <v>&lt;li class="col-md-3"&gt;&lt;a class="text-cut" href="javascript:;"(click)="categoryEvent(2084045157)"&gt;{{"2084045157" | translate}}&lt;/a&gt;&lt;/li&gt;</v>
      </c>
    </row>
    <row r="25" spans="1:8" ht="14.25" customHeight="1">
      <c r="A25" s="2">
        <v>2084045159</v>
      </c>
      <c r="B25" s="2" t="s">
        <v>2293</v>
      </c>
      <c r="C25" s="2" t="s">
        <v>2294</v>
      </c>
      <c r="D25" s="2" t="s">
        <v>2296</v>
      </c>
      <c r="E25" s="3" t="str">
        <f ca="1">IFERROR(__xludf.DUMMYFUNCTION("GOOGLETRANSLATE(B25,""ja"",""vi"")"),"biển nhím")</f>
        <v>biển nhím</v>
      </c>
      <c r="F25" s="3" t="str">
        <f ca="1">IFERROR(__xludf.DUMMYFUNCTION("GOOGLETRANSLATE(C25,""ja"",""vi"")"),"Đấu giá&gt; thực phẩm, đồ uống&gt; hải sản&gt; nhím biển")</f>
        <v>Đấu giá&gt; thực phẩm, đồ uống&gt; hải sản&gt; nhím biển</v>
      </c>
      <c r="G25" s="229" t="str">
        <f t="shared" ca="1" si="0"/>
        <v>"2084045159" : "biển nhím",</v>
      </c>
      <c r="H25" s="229" t="str">
        <f t="shared" si="1"/>
        <v>&lt;li class="col-md-3"&gt;&lt;a class="text-cut" href="javascript:;"(click)="categoryEvent(2084045159)"&gt;{{"2084045159" | translate}}&lt;/a&gt;&lt;/li&gt;</v>
      </c>
    </row>
    <row r="26" spans="1:8" ht="14.25" customHeight="1">
      <c r="A26" s="2">
        <v>2084045156</v>
      </c>
      <c r="B26" s="2" t="s">
        <v>2302</v>
      </c>
      <c r="C26" s="2" t="s">
        <v>2303</v>
      </c>
      <c r="D26" s="2" t="s">
        <v>2306</v>
      </c>
      <c r="E26" s="3" t="str">
        <f ca="1">IFERROR(__xludf.DUMMYFUNCTION("GOOGLETRANSLATE(B26,""ja"",""vi"")"),"cá")</f>
        <v>cá</v>
      </c>
      <c r="F26" s="3" t="str">
        <f ca="1">IFERROR(__xludf.DUMMYFUNCTION("GOOGLETRANSLATE(C26,""ja"",""vi"")"),"Đấu giá&gt; thực phẩm, đồ uống&gt; hải sản&gt; Cá")</f>
        <v>Đấu giá&gt; thực phẩm, đồ uống&gt; hải sản&gt; Cá</v>
      </c>
      <c r="G26" s="229" t="str">
        <f t="shared" ca="1" si="0"/>
        <v>"2084045156" : "cá",</v>
      </c>
      <c r="H26" s="229" t="str">
        <f t="shared" si="1"/>
        <v>&lt;li class="col-md-3"&gt;&lt;a class="text-cut" href="javascript:;"(click)="categoryEvent(2084045156)"&gt;{{"2084045156" | translate}}&lt;/a&gt;&lt;/li&gt;</v>
      </c>
    </row>
    <row r="27" spans="1:8" ht="14.25" customHeight="1">
      <c r="A27" s="2">
        <v>2084050442</v>
      </c>
      <c r="B27" s="2" t="s">
        <v>2311</v>
      </c>
      <c r="C27" s="2" t="s">
        <v>2312</v>
      </c>
      <c r="D27" s="2" t="s">
        <v>2313</v>
      </c>
      <c r="E27" s="3" t="str">
        <f ca="1">IFERROR(__xludf.DUMMYFUNCTION("GOOGLETRANSLATE(B27,""ja"",""vi"")"),"Bạch tuộc, mực")</f>
        <v>Bạch tuộc, mực</v>
      </c>
      <c r="F27" s="3" t="str">
        <f ca="1">IFERROR(__xludf.DUMMYFUNCTION("GOOGLETRANSLATE(C27,""ja"",""vi"")"),"Đấu giá&gt; thực phẩm, đồ uống&gt; hải sản&gt; bạch tuộc, mực")</f>
        <v>Đấu giá&gt; thực phẩm, đồ uống&gt; hải sản&gt; bạch tuộc, mực</v>
      </c>
      <c r="G27" s="229" t="str">
        <f t="shared" ca="1" si="0"/>
        <v>"2084050442" : "Bạch tuộc, mực",</v>
      </c>
      <c r="H27" s="229" t="str">
        <f t="shared" si="1"/>
        <v>&lt;li class="col-md-3"&gt;&lt;a class="text-cut" href="javascript:;"(click)="categoryEvent(2084050442)"&gt;{{"2084050442" | translate}}&lt;/a&gt;&lt;/li&gt;</v>
      </c>
    </row>
    <row r="28" spans="1:8" ht="14.25" customHeight="1">
      <c r="A28" s="2">
        <v>2084045160</v>
      </c>
      <c r="B28" s="2" t="s">
        <v>2316</v>
      </c>
      <c r="C28" s="2" t="s">
        <v>2318</v>
      </c>
      <c r="D28" s="2" t="s">
        <v>2321</v>
      </c>
      <c r="E28" s="3" t="str">
        <f ca="1">IFERROR(__xludf.DUMMYFUNCTION("GOOGLETRANSLATE(B28,""ja"",""vi"")"),"cỏ biển")</f>
        <v>cỏ biển</v>
      </c>
      <c r="F28" s="3" t="str">
        <f ca="1">IFERROR(__xludf.DUMMYFUNCTION("GOOGLETRANSLATE(C28,""ja"",""vi"")"),"Đấu giá&gt; thực phẩm, đồ uống&gt; hải sản&gt; rong biển")</f>
        <v>Đấu giá&gt; thực phẩm, đồ uống&gt; hải sản&gt; rong biển</v>
      </c>
      <c r="G28" s="229" t="str">
        <f t="shared" ca="1" si="0"/>
        <v>"2084045160" : "cỏ biển",</v>
      </c>
      <c r="H28" s="229" t="str">
        <f t="shared" si="1"/>
        <v>&lt;li class="col-md-3"&gt;&lt;a class="text-cut" href="javascript:;"(click)="categoryEvent(2084045160)"&gt;{{"2084045160" | translate}}&lt;/a&gt;&lt;/li&gt;</v>
      </c>
    </row>
    <row r="29" spans="1:8" ht="14.25" customHeight="1">
      <c r="A29" s="2">
        <v>2084050433</v>
      </c>
      <c r="B29" s="2" t="s">
        <v>2326</v>
      </c>
      <c r="C29" s="2" t="s">
        <v>2328</v>
      </c>
      <c r="D29" s="2" t="s">
        <v>2330</v>
      </c>
      <c r="E29" s="3" t="str">
        <f ca="1">IFERROR(__xludf.DUMMYFUNCTION("GOOGLETRANSLATE(B29,""ja"",""vi"")"),"hàng gia công")</f>
        <v>hàng gia công</v>
      </c>
      <c r="F29" s="3" t="str">
        <f ca="1">IFERROR(__xludf.DUMMYFUNCTION("GOOGLETRANSLATE(C29,""ja"",""vi"")"),"Đấu giá&gt; thực phẩm, đồ uống&gt; hải sản&gt; hàng gia công")</f>
        <v>Đấu giá&gt; thực phẩm, đồ uống&gt; hải sản&gt; hàng gia công</v>
      </c>
      <c r="G29" s="229" t="str">
        <f t="shared" ca="1" si="0"/>
        <v>"2084050433" : "hàng gia công",</v>
      </c>
      <c r="H29" s="229" t="str">
        <f t="shared" si="1"/>
        <v>&lt;li class="col-md-3"&gt;&lt;a class="text-cut" href="javascript:;"(click)="categoryEvent(2084050433)"&gt;{{"2084050433" | translate}}&lt;/a&gt;&lt;/li&gt;</v>
      </c>
    </row>
    <row r="30" spans="1:8" ht="14.25" customHeight="1">
      <c r="A30" s="2">
        <v>2084217576</v>
      </c>
      <c r="B30" s="2" t="s">
        <v>2336</v>
      </c>
      <c r="C30" s="2" t="s">
        <v>2338</v>
      </c>
      <c r="D30" s="2" t="s">
        <v>2340</v>
      </c>
      <c r="E30" s="3" t="str">
        <f ca="1">IFERROR(__xludf.DUMMYFUNCTION("GOOGLETRANSLATE(B30,""ja"",""vi"")"),"cá khô, hun khói")</f>
        <v>cá khô, hun khói</v>
      </c>
      <c r="F30" s="3" t="str">
        <f ca="1">IFERROR(__xludf.DUMMYFUNCTION("GOOGLETRANSLATE(C30,""ja"",""vi"")"),"Đấu giá&gt; thực phẩm, đồ uống&gt; hải sản&gt; cá khô, hun khói")</f>
        <v>Đấu giá&gt; thực phẩm, đồ uống&gt; hải sản&gt; cá khô, hun khói</v>
      </c>
      <c r="G30" s="229" t="str">
        <f t="shared" ca="1" si="0"/>
        <v>"2084217576" : "cá khô, hun khói",</v>
      </c>
      <c r="H30" s="229" t="str">
        <f t="shared" si="1"/>
        <v>&lt;li class="col-md-3"&gt;&lt;a class="text-cut" href="javascript:;"(click)="categoryEvent(2084217576)"&gt;{{"2084217576" | translate}}&lt;/a&gt;&lt;/li&gt;</v>
      </c>
    </row>
    <row r="31" spans="1:8" ht="14.25" customHeight="1">
      <c r="A31" s="2">
        <v>2084050447</v>
      </c>
      <c r="B31" s="2" t="s">
        <v>2346</v>
      </c>
      <c r="C31" s="2" t="s">
        <v>2347</v>
      </c>
      <c r="D31" s="2" t="s">
        <v>2348</v>
      </c>
      <c r="E31" s="3" t="str">
        <f ca="1">IFERROR(__xludf.DUMMYFUNCTION("GOOGLETRANSLATE(B31,""ja"",""vi"")"),"Set, Assortment")</f>
        <v>Set, Assortment</v>
      </c>
      <c r="F31" s="3" t="str">
        <f ca="1">IFERROR(__xludf.DUMMYFUNCTION("GOOGLETRANSLATE(C31,""ja"",""vi"")"),"Đấu giá&gt; thực phẩm, đồ uống&gt; hải sản&gt; thiết lập, loại")</f>
        <v>Đấu giá&gt; thực phẩm, đồ uống&gt; hải sản&gt; thiết lập, loại</v>
      </c>
      <c r="G31" s="229" t="str">
        <f t="shared" ca="1" si="0"/>
        <v>"2084050447" : "Set, Assortment",</v>
      </c>
      <c r="H31" s="229" t="str">
        <f t="shared" si="1"/>
        <v>&lt;li class="col-md-3"&gt;&lt;a class="text-cut" href="javascript:;"(click)="categoryEvent(2084050447)"&gt;{{"2084050447" | translate}}&lt;/a&gt;&lt;/li&gt;</v>
      </c>
    </row>
    <row r="32" spans="1:8" ht="14.25" customHeight="1">
      <c r="A32" s="2">
        <v>2084045158</v>
      </c>
      <c r="B32" s="2" t="s">
        <v>16</v>
      </c>
      <c r="C32" s="2" t="s">
        <v>2353</v>
      </c>
      <c r="D32" s="2" t="s">
        <v>2355</v>
      </c>
      <c r="E32" s="3" t="str">
        <f ca="1">IFERROR(__xludf.DUMMYFUNCTION("GOOGLETRANSLATE(B32,""ja"",""vi"")"),"nếu không thì")</f>
        <v>nếu không thì</v>
      </c>
      <c r="F32" s="3" t="str">
        <f ca="1">IFERROR(__xludf.DUMMYFUNCTION("GOOGLETRANSLATE(C32,""ja"",""vi"")"),"Đấu giá&gt; thực phẩm, đồ uống&gt; hải sản&gt; Khác")</f>
        <v>Đấu giá&gt; thực phẩm, đồ uống&gt; hải sản&gt; Khác</v>
      </c>
      <c r="G32" s="229" t="str">
        <f t="shared" ca="1" si="0"/>
        <v>"2084045158" : "nếu không thì",</v>
      </c>
      <c r="H32" s="229" t="str">
        <f t="shared" si="1"/>
        <v>&lt;li class="col-md-3"&gt;&lt;a class="text-cut" href="javascript:;"(click)="categoryEvent(2084045158)"&gt;{{"2084045158" | translate}}&lt;/a&gt;&lt;/li&gt;</v>
      </c>
    </row>
    <row r="33" spans="1:8" ht="14.25" customHeight="1">
      <c r="E33" s="3"/>
      <c r="F33" s="3"/>
      <c r="G33" s="229"/>
      <c r="H33" s="229"/>
    </row>
    <row r="34" spans="1:8" ht="14.25" customHeight="1">
      <c r="A34" s="239">
        <v>2084005795</v>
      </c>
      <c r="B34" s="232"/>
      <c r="C34" s="232"/>
      <c r="D34" s="233"/>
      <c r="E34" s="3"/>
      <c r="F34" s="3"/>
      <c r="G34" s="229"/>
      <c r="H34" s="229"/>
    </row>
    <row r="35" spans="1:8" ht="14.25" customHeight="1">
      <c r="A35" s="2">
        <v>2084050370</v>
      </c>
      <c r="B35" s="2" t="s">
        <v>2346</v>
      </c>
      <c r="C35" s="2" t="s">
        <v>2371</v>
      </c>
      <c r="D35" s="2" t="s">
        <v>2374</v>
      </c>
      <c r="E35" s="3" t="str">
        <f ca="1">IFERROR(__xludf.DUMMYFUNCTION("GOOGLETRANSLATE(B35,""ja"",""vi"")"),"Set, Assortment")</f>
        <v>Set, Assortment</v>
      </c>
      <c r="F35" s="3" t="str">
        <f ca="1">IFERROR(__xludf.DUMMYFUNCTION("GOOGLETRANSLATE(C35,""ja"",""vi"")"),"Đấu giá&gt; thực phẩm, đồ uống&gt; thịt&gt; thiết lập, loại")</f>
        <v>Đấu giá&gt; thực phẩm, đồ uống&gt; thịt&gt; thiết lập, loại</v>
      </c>
      <c r="G35" s="229" t="str">
        <f t="shared" ca="1" si="0"/>
        <v>"2084050370" : "Set, Assortment",</v>
      </c>
      <c r="H35" s="229" t="str">
        <f t="shared" si="1"/>
        <v>&lt;li class="col-md-3"&gt;&lt;a class="text-cut" href="javascript:;"(click)="categoryEvent(2084050370)"&gt;{{"2084050370" | translate}}&lt;/a&gt;&lt;/li&gt;</v>
      </c>
    </row>
    <row r="36" spans="1:8" ht="14.25" customHeight="1">
      <c r="A36" s="2">
        <v>2084045150</v>
      </c>
      <c r="B36" s="2" t="s">
        <v>2382</v>
      </c>
      <c r="C36" s="2" t="s">
        <v>2383</v>
      </c>
      <c r="D36" s="2" t="s">
        <v>2384</v>
      </c>
      <c r="E36" s="3" t="str">
        <f ca="1">IFERROR(__xludf.DUMMYFUNCTION("GOOGLETRANSLATE(B36,""ja"",""vi"")"),"thịt bò")</f>
        <v>thịt bò</v>
      </c>
      <c r="F36" s="3" t="str">
        <f ca="1">IFERROR(__xludf.DUMMYFUNCTION("GOOGLETRANSLATE(C36,""ja"",""vi"")"),"Đấu giá&gt; thực phẩm, đồ uống&gt; thịt&gt; thịt bò")</f>
        <v>Đấu giá&gt; thực phẩm, đồ uống&gt; thịt&gt; thịt bò</v>
      </c>
      <c r="G36" s="229" t="str">
        <f t="shared" ca="1" si="0"/>
        <v>"2084045150" : "thịt bò",</v>
      </c>
      <c r="H36" s="229" t="str">
        <f t="shared" si="1"/>
        <v>&lt;li class="col-md-3"&gt;&lt;a class="text-cut" href="javascript:;"(click)="categoryEvent(2084045150)"&gt;{{"2084045150" | translate}}&lt;/a&gt;&lt;/li&gt;</v>
      </c>
    </row>
    <row r="37" spans="1:8" ht="14.25" customHeight="1">
      <c r="A37" s="2">
        <v>2084045151</v>
      </c>
      <c r="B37" s="2" t="s">
        <v>2388</v>
      </c>
      <c r="C37" s="2" t="s">
        <v>2389</v>
      </c>
      <c r="D37" s="2" t="s">
        <v>2390</v>
      </c>
      <c r="E37" s="3" t="str">
        <f ca="1">IFERROR(__xludf.DUMMYFUNCTION("GOOGLETRANSLATE(B37,""ja"",""vi"")"),"gà")</f>
        <v>gà</v>
      </c>
      <c r="F37" s="3" t="str">
        <f ca="1">IFERROR(__xludf.DUMMYFUNCTION("GOOGLETRANSLATE(C37,""ja"",""vi"")"),"Đấu giá&gt; thực phẩm, đồ uống&gt; thịt&gt; gà")</f>
        <v>Đấu giá&gt; thực phẩm, đồ uống&gt; thịt&gt; gà</v>
      </c>
      <c r="G37" s="229" t="str">
        <f t="shared" ca="1" si="0"/>
        <v>"2084045151" : "gà",</v>
      </c>
      <c r="H37" s="229" t="str">
        <f t="shared" si="1"/>
        <v>&lt;li class="col-md-3"&gt;&lt;a class="text-cut" href="javascript:;"(click)="categoryEvent(2084045151)"&gt;{{"2084045151" | translate}}&lt;/a&gt;&lt;/li&gt;</v>
      </c>
    </row>
    <row r="38" spans="1:8" ht="14.25" customHeight="1">
      <c r="A38" s="2">
        <v>2084050371</v>
      </c>
      <c r="B38" s="2" t="s">
        <v>2396</v>
      </c>
      <c r="C38" s="2" t="s">
        <v>2397</v>
      </c>
      <c r="D38" s="2" t="s">
        <v>2400</v>
      </c>
      <c r="E38" s="3" t="str">
        <f ca="1">IFERROR(__xludf.DUMMYFUNCTION("GOOGLETRANSLATE(B38,""ja"",""vi"")"),"thịt nai")</f>
        <v>thịt nai</v>
      </c>
      <c r="F38" s="3" t="str">
        <f ca="1">IFERROR(__xludf.DUMMYFUNCTION("GOOGLETRANSLATE(C38,""ja"",""vi"")"),"Đấu giá&gt; thực phẩm, đồ uống&gt; thịt&gt; hươu thịt")</f>
        <v>Đấu giá&gt; thực phẩm, đồ uống&gt; thịt&gt; hươu thịt</v>
      </c>
      <c r="G38" s="229" t="str">
        <f t="shared" ca="1" si="0"/>
        <v>"2084050371" : "thịt nai",</v>
      </c>
      <c r="H38" s="229" t="str">
        <f t="shared" si="1"/>
        <v>&lt;li class="col-md-3"&gt;&lt;a class="text-cut" href="javascript:;"(click)="categoryEvent(2084050371)"&gt;{{"2084050371" | translate}}&lt;/a&gt;&lt;/li&gt;</v>
      </c>
    </row>
    <row r="39" spans="1:8" ht="14.25" customHeight="1">
      <c r="A39" s="2">
        <v>2084045152</v>
      </c>
      <c r="B39" s="2" t="s">
        <v>2406</v>
      </c>
      <c r="C39" s="2" t="s">
        <v>2407</v>
      </c>
      <c r="D39" s="2" t="s">
        <v>2408</v>
      </c>
      <c r="E39" s="3" t="str">
        <f ca="1">IFERROR(__xludf.DUMMYFUNCTION("GOOGLETRANSLATE(B39,""ja"",""vi"")"),"thịt heo")</f>
        <v>thịt heo</v>
      </c>
      <c r="F39" s="3" t="str">
        <f ca="1">IFERROR(__xludf.DUMMYFUNCTION("GOOGLETRANSLATE(C39,""ja"",""vi"")"),"Đấu giá&gt; thực phẩm, đồ uống&gt; thịt&gt; thịt lợn")</f>
        <v>Đấu giá&gt; thực phẩm, đồ uống&gt; thịt&gt; thịt lợn</v>
      </c>
      <c r="G39" s="229" t="str">
        <f t="shared" ca="1" si="0"/>
        <v>"2084045152" : "thịt heo",</v>
      </c>
      <c r="H39" s="229" t="str">
        <f t="shared" si="1"/>
        <v>&lt;li class="col-md-3"&gt;&lt;a class="text-cut" href="javascript:;"(click)="categoryEvent(2084045152)"&gt;{{"2084045152" | translate}}&lt;/a&gt;&lt;/li&gt;</v>
      </c>
    </row>
    <row r="40" spans="1:8" ht="14.25" customHeight="1">
      <c r="A40" s="2">
        <v>2084050372</v>
      </c>
      <c r="B40" s="2" t="s">
        <v>2412</v>
      </c>
      <c r="C40" s="2" t="s">
        <v>2413</v>
      </c>
      <c r="D40" s="2" t="s">
        <v>2414</v>
      </c>
      <c r="E40" s="3" t="str">
        <f ca="1">IFERROR(__xludf.DUMMYFUNCTION("GOOGLETRANSLATE(B40,""ja"",""vi"")"),"thịt ngựa")</f>
        <v>thịt ngựa</v>
      </c>
      <c r="F40" s="3" t="str">
        <f ca="1">IFERROR(__xludf.DUMMYFUNCTION("GOOGLETRANSLATE(C40,""ja"",""vi"")"),"Đấu giá&gt; thực phẩm, đồ uống&gt; thịt&gt; thịt ngựa")</f>
        <v>Đấu giá&gt; thực phẩm, đồ uống&gt; thịt&gt; thịt ngựa</v>
      </c>
      <c r="G40" s="229" t="str">
        <f t="shared" ca="1" si="0"/>
        <v>"2084050372" : "thịt ngựa",</v>
      </c>
      <c r="H40" s="229" t="str">
        <f t="shared" si="1"/>
        <v>&lt;li class="col-md-3"&gt;&lt;a class="text-cut" href="javascript:;"(click)="categoryEvent(2084050372)"&gt;{{"2084050372" | translate}}&lt;/a&gt;&lt;/li&gt;</v>
      </c>
    </row>
    <row r="41" spans="1:8" ht="14.25" customHeight="1">
      <c r="A41" s="2">
        <v>2084050373</v>
      </c>
      <c r="B41" s="2" t="s">
        <v>2418</v>
      </c>
      <c r="C41" s="2" t="s">
        <v>2419</v>
      </c>
      <c r="D41" s="2" t="s">
        <v>2420</v>
      </c>
      <c r="E41" s="3" t="str">
        <f ca="1">IFERROR(__xludf.DUMMYFUNCTION("GOOGLETRANSLATE(B41,""ja"",""vi"")"),"thịt trừu")</f>
        <v>thịt trừu</v>
      </c>
      <c r="F41" s="3" t="str">
        <f ca="1">IFERROR(__xludf.DUMMYFUNCTION("GOOGLETRANSLATE(C41,""ja"",""vi"")"),"Đấu giá&gt; thực phẩm, đồ uống&gt; thịt&gt; thịt cừu")</f>
        <v>Đấu giá&gt; thực phẩm, đồ uống&gt; thịt&gt; thịt cừu</v>
      </c>
      <c r="G41" s="229" t="str">
        <f t="shared" ca="1" si="0"/>
        <v>"2084050373" : "thịt trừu",</v>
      </c>
      <c r="H41" s="229" t="str">
        <f t="shared" si="1"/>
        <v>&lt;li class="col-md-3"&gt;&lt;a class="text-cut" href="javascript:;"(click)="categoryEvent(2084050373)"&gt;{{"2084050373" | translate}}&lt;/a&gt;&lt;/li&gt;</v>
      </c>
    </row>
    <row r="42" spans="1:8" ht="14.25" customHeight="1">
      <c r="A42" s="2">
        <v>2084217301</v>
      </c>
      <c r="B42" s="2" t="s">
        <v>2326</v>
      </c>
      <c r="C42" s="2" t="s">
        <v>2424</v>
      </c>
      <c r="D42" s="2" t="s">
        <v>2425</v>
      </c>
      <c r="E42" s="3" t="str">
        <f ca="1">IFERROR(__xludf.DUMMYFUNCTION("GOOGLETRANSLATE(B42,""ja"",""vi"")"),"hàng gia công")</f>
        <v>hàng gia công</v>
      </c>
      <c r="F42" s="3" t="str">
        <f ca="1">IFERROR(__xludf.DUMMYFUNCTION("GOOGLETRANSLATE(C42,""ja"",""vi"")"),"Đấu giá&gt; thực phẩm, đồ uống&gt; thịt&gt; hàng gia công")</f>
        <v>Đấu giá&gt; thực phẩm, đồ uống&gt; thịt&gt; hàng gia công</v>
      </c>
      <c r="G42" s="229" t="str">
        <f t="shared" ca="1" si="0"/>
        <v>"2084217301" : "hàng gia công",</v>
      </c>
      <c r="H42" s="229" t="str">
        <f t="shared" si="1"/>
        <v>&lt;li class="col-md-3"&gt;&lt;a class="text-cut" href="javascript:;"(click)="categoryEvent(2084217301)"&gt;{{"2084217301" | translate}}&lt;/a&gt;&lt;/li&gt;</v>
      </c>
    </row>
    <row r="43" spans="1:8" ht="14.25" customHeight="1">
      <c r="A43" s="2">
        <v>2084045148</v>
      </c>
      <c r="B43" s="2" t="s">
        <v>2428</v>
      </c>
      <c r="C43" s="2" t="s">
        <v>2429</v>
      </c>
      <c r="D43" s="2" t="s">
        <v>2430</v>
      </c>
      <c r="E43" s="3" t="str">
        <f ca="1">IFERROR(__xludf.DUMMYFUNCTION("GOOGLETRANSLATE(B43,""ja"",""vi"")"),"Ham, xúc xích")</f>
        <v>Ham, xúc xích</v>
      </c>
      <c r="F43" s="3" t="str">
        <f ca="1">IFERROR(__xludf.DUMMYFUNCTION("GOOGLETRANSLATE(C43,""ja"",""vi"")"),"Đấu giá&gt; thực phẩm, đồ uống&gt; thịt&gt; giăm bông, xúc xích")</f>
        <v>Đấu giá&gt; thực phẩm, đồ uống&gt; thịt&gt; giăm bông, xúc xích</v>
      </c>
      <c r="G43" s="229" t="str">
        <f t="shared" ca="1" si="0"/>
        <v>"2084045148" : "Ham, xúc xích",</v>
      </c>
      <c r="H43" s="229" t="str">
        <f t="shared" si="1"/>
        <v>&lt;li class="col-md-3"&gt;&lt;a class="text-cut" href="javascript:;"(click)="categoryEvent(2084045148)"&gt;{{"2084045148" | translate}}&lt;/a&gt;&lt;/li&gt;</v>
      </c>
    </row>
    <row r="44" spans="1:8" ht="14.25" customHeight="1">
      <c r="A44" s="2">
        <v>2084217298</v>
      </c>
      <c r="B44" s="2" t="s">
        <v>2433</v>
      </c>
      <c r="C44" s="2" t="s">
        <v>2435</v>
      </c>
      <c r="D44" s="2" t="s">
        <v>2436</v>
      </c>
      <c r="E44" s="3" t="str">
        <f ca="1">IFERROR(__xludf.DUMMYFUNCTION("GOOGLETRANSLATE(B44,""ja"",""vi"")"),"thịt ba rọi")</f>
        <v>thịt ba rọi</v>
      </c>
      <c r="F44" s="3" t="str">
        <f ca="1">IFERROR(__xludf.DUMMYFUNCTION("GOOGLETRANSLATE(C44,""ja"",""vi"")"),"Đấu giá&gt; thực phẩm, đồ uống&gt; thịt&gt; thịt xông khói")</f>
        <v>Đấu giá&gt; thực phẩm, đồ uống&gt; thịt&gt; thịt xông khói</v>
      </c>
      <c r="G44" s="229" t="str">
        <f t="shared" ca="1" si="0"/>
        <v>"2084217298" : "thịt ba rọi",</v>
      </c>
      <c r="H44" s="229" t="str">
        <f t="shared" si="1"/>
        <v>&lt;li class="col-md-3"&gt;&lt;a class="text-cut" href="javascript:;"(click)="categoryEvent(2084217298)"&gt;{{"2084217298" | translate}}&lt;/a&gt;&lt;/li&gt;</v>
      </c>
    </row>
    <row r="45" spans="1:8" ht="14.25" customHeight="1">
      <c r="A45" s="2">
        <v>2084045149</v>
      </c>
      <c r="B45" s="2" t="s">
        <v>16</v>
      </c>
      <c r="C45" s="2" t="s">
        <v>2440</v>
      </c>
      <c r="D45" s="2" t="s">
        <v>2441</v>
      </c>
      <c r="E45" s="3" t="str">
        <f ca="1">IFERROR(__xludf.DUMMYFUNCTION("GOOGLETRANSLATE(B45,""ja"",""vi"")"),"nếu không thì")</f>
        <v>nếu không thì</v>
      </c>
      <c r="F45" s="3" t="str">
        <f ca="1">IFERROR(__xludf.DUMMYFUNCTION("GOOGLETRANSLATE(C45,""ja"",""vi"")"),"Đấu giá&gt; thực phẩm, đồ uống&gt; thịt&gt; Khác")</f>
        <v>Đấu giá&gt; thực phẩm, đồ uống&gt; thịt&gt; Khác</v>
      </c>
      <c r="G45" s="229" t="str">
        <f t="shared" ca="1" si="0"/>
        <v>"2084045149" : "nếu không thì",</v>
      </c>
      <c r="H45" s="229" t="str">
        <f t="shared" si="1"/>
        <v>&lt;li class="col-md-3"&gt;&lt;a class="text-cut" href="javascript:;"(click)="categoryEvent(2084045149)"&gt;{{"2084045149" | translate}}&lt;/a&gt;&lt;/li&gt;</v>
      </c>
    </row>
    <row r="46" spans="1:8" ht="14.25" customHeight="1">
      <c r="E46" s="3"/>
      <c r="F46" s="3"/>
      <c r="G46" s="229"/>
      <c r="H46" s="229"/>
    </row>
    <row r="47" spans="1:8" ht="14.25" customHeight="1">
      <c r="A47" s="240">
        <v>2084006748</v>
      </c>
      <c r="B47" s="232"/>
      <c r="C47" s="232"/>
      <c r="D47" s="233"/>
      <c r="E47" s="3"/>
      <c r="F47" s="3"/>
      <c r="G47" s="229"/>
      <c r="H47" s="229"/>
    </row>
    <row r="48" spans="1:8" ht="14.25" customHeight="1">
      <c r="A48" s="2">
        <v>2084059762</v>
      </c>
      <c r="B48" s="2" t="s">
        <v>2453</v>
      </c>
      <c r="C48" s="2" t="s">
        <v>2456</v>
      </c>
      <c r="D48" s="2" t="s">
        <v>2458</v>
      </c>
      <c r="E48" s="3" t="str">
        <f ca="1">IFERROR(__xludf.DUMMYFUNCTION("GOOGLETRANSLATE(B48,""ja"",""vi"")"),"cơm")</f>
        <v>cơm</v>
      </c>
      <c r="F48" s="3" t="str">
        <f ca="1">IFERROR(__xludf.DUMMYFUNCTION("GOOGLETRANSLATE(C48,""ja"",""vi"")"),"Đấu giá&gt; thực phẩm, đồ uống&gt; gạo, ngũ cốc, sê-ri&gt; Mỹ")</f>
        <v>Đấu giá&gt; thực phẩm, đồ uống&gt; gạo, ngũ cốc, sê-ri&gt; Mỹ</v>
      </c>
      <c r="G48" s="229" t="str">
        <f t="shared" ca="1" si="0"/>
        <v>"2084059762" : "cơm",</v>
      </c>
      <c r="H48" s="229" t="str">
        <f t="shared" si="1"/>
        <v>&lt;li class="col-md-3"&gt;&lt;a class="text-cut" href="javascript:;"(click)="categoryEvent(2084059762)"&gt;{{"2084059762" | translate}}&lt;/a&gt;&lt;/li&gt;</v>
      </c>
    </row>
    <row r="49" spans="1:8" ht="14.25" customHeight="1">
      <c r="A49" s="2">
        <v>2084059763</v>
      </c>
      <c r="B49" s="2" t="s">
        <v>2460</v>
      </c>
      <c r="C49" s="2" t="s">
        <v>2462</v>
      </c>
      <c r="D49" s="2" t="s">
        <v>2465</v>
      </c>
      <c r="E49" s="3" t="str">
        <f ca="1">IFERROR(__xludf.DUMMYFUNCTION("GOOGLETRANSLATE(B49,""ja"",""vi"")"),"Ngũ cốc, serial")</f>
        <v>Ngũ cốc, serial</v>
      </c>
      <c r="F49" s="3" t="str">
        <f ca="1">IFERROR(__xludf.DUMMYFUNCTION("GOOGLETRANSLATE(C49,""ja"",""vi"")"),"Đấu giá&gt; thực phẩm, đồ uống&gt; gạo, ngũ cốc, sê-ri&gt; ngũ cốc, sê-ri")</f>
        <v>Đấu giá&gt; thực phẩm, đồ uống&gt; gạo, ngũ cốc, sê-ri&gt; ngũ cốc, sê-ri</v>
      </c>
      <c r="G49" s="229" t="str">
        <f t="shared" ca="1" si="0"/>
        <v>"2084059763" : "Ngũ cốc, serial",</v>
      </c>
      <c r="H49" s="229" t="str">
        <f t="shared" si="1"/>
        <v>&lt;li class="col-md-3"&gt;&lt;a class="text-cut" href="javascript:;"(click)="categoryEvent(2084059763)"&gt;{{"2084059763" | translate}}&lt;/a&gt;&lt;/li&gt;</v>
      </c>
    </row>
    <row r="50" spans="1:8" ht="14.25" customHeight="1">
      <c r="E50" s="3"/>
      <c r="F50" s="3"/>
      <c r="G50" s="229"/>
      <c r="H50" s="229"/>
    </row>
    <row r="51" spans="1:8" ht="14.25" customHeight="1">
      <c r="A51" s="237">
        <v>2084006751</v>
      </c>
      <c r="B51" s="232"/>
      <c r="C51" s="232"/>
      <c r="D51" s="233"/>
      <c r="E51" s="3"/>
      <c r="F51" s="3"/>
      <c r="G51" s="229"/>
      <c r="H51" s="229"/>
    </row>
    <row r="52" spans="1:8" ht="14.25" customHeight="1">
      <c r="A52" s="2">
        <v>2084048838</v>
      </c>
      <c r="B52" s="2" t="s">
        <v>2479</v>
      </c>
      <c r="C52" s="2" t="s">
        <v>2481</v>
      </c>
      <c r="D52" s="84" t="s">
        <v>2483</v>
      </c>
      <c r="E52" s="3" t="str">
        <f ca="1">IFERROR(__xludf.DUMMYFUNCTION("GOOGLETRANSLATE(B52,""ja"",""vi"")"),"rau")</f>
        <v>rau</v>
      </c>
      <c r="F52" s="3" t="str">
        <f ca="1">IFERROR(__xludf.DUMMYFUNCTION("GOOGLETRANSLATE(C52,""ja"",""vi"")"),"Đấu giá&gt; thực phẩm, đồ uống&gt; rau, trái cây&gt; rau")</f>
        <v>Đấu giá&gt; thực phẩm, đồ uống&gt; rau, trái cây&gt; rau</v>
      </c>
      <c r="G52" s="229" t="str">
        <f t="shared" ca="1" si="0"/>
        <v>"2084048838" : "rau",</v>
      </c>
      <c r="H52" s="229" t="str">
        <f t="shared" si="1"/>
        <v>&lt;li class="col-md-3"&gt;&lt;a class="text-cut" href="javascript:;"(click)="categoryEvent(2084048838)"&gt;{{"2084048838" | translate}}&lt;/a&gt;&lt;/li&gt;</v>
      </c>
    </row>
    <row r="53" spans="1:8" ht="14.25" customHeight="1">
      <c r="A53" s="2">
        <v>2084048839</v>
      </c>
      <c r="B53" s="2" t="s">
        <v>2488</v>
      </c>
      <c r="C53" s="2" t="s">
        <v>2492</v>
      </c>
      <c r="D53" s="84" t="s">
        <v>2493</v>
      </c>
      <c r="E53" s="3" t="str">
        <f ca="1">IFERROR(__xludf.DUMMYFUNCTION("GOOGLETRANSLATE(B53,""ja"",""vi"")"),"quả")</f>
        <v>quả</v>
      </c>
      <c r="F53" s="3" t="str">
        <f ca="1">IFERROR(__xludf.DUMMYFUNCTION("GOOGLETRANSLATE(C53,""ja"",""vi"")"),"Đấu giá&gt; thực phẩm, đồ uống&gt; rau, trái cây&gt; hoa quả")</f>
        <v>Đấu giá&gt; thực phẩm, đồ uống&gt; rau, trái cây&gt; hoa quả</v>
      </c>
      <c r="G53" s="229" t="str">
        <f t="shared" ca="1" si="0"/>
        <v>"2084048839" : "quả",</v>
      </c>
      <c r="H53" s="229" t="str">
        <f t="shared" si="1"/>
        <v>&lt;li class="col-md-3"&gt;&lt;a class="text-cut" href="javascript:;"(click)="categoryEvent(2084048839)"&gt;{{"2084048839" | translate}}&lt;/a&gt;&lt;/li&gt;</v>
      </c>
    </row>
    <row r="54" spans="1:8" ht="14.25" customHeight="1">
      <c r="E54" s="3"/>
      <c r="F54" s="3"/>
      <c r="G54" s="229"/>
      <c r="H54" s="229"/>
    </row>
    <row r="55" spans="1:8" ht="14.25" customHeight="1">
      <c r="A55" s="241">
        <v>42164</v>
      </c>
      <c r="B55" s="232"/>
      <c r="C55" s="232"/>
      <c r="D55" s="233"/>
      <c r="E55" s="3"/>
      <c r="F55" s="3"/>
      <c r="G55" s="229"/>
      <c r="H55" s="229"/>
    </row>
    <row r="56" spans="1:8" ht="14.25" customHeight="1">
      <c r="A56" s="2">
        <v>2084006720</v>
      </c>
      <c r="B56" s="2" t="s">
        <v>2508</v>
      </c>
      <c r="C56" s="2" t="s">
        <v>2510</v>
      </c>
      <c r="D56" s="2" t="s">
        <v>2512</v>
      </c>
      <c r="E56" s="3" t="str">
        <f ca="1">IFERROR(__xludf.DUMMYFUNCTION("GOOGLETRANSLATE(B56,""ja"",""vi"")"),"rượu")</f>
        <v>rượu</v>
      </c>
      <c r="F56" s="3" t="str">
        <f ca="1">IFERROR(__xludf.DUMMYFUNCTION("GOOGLETRANSLATE(C56,""ja"",""vi"")"),"Đấu giá&gt; thực phẩm, đồ uống&gt; uống&gt; rượu")</f>
        <v>Đấu giá&gt; thực phẩm, đồ uống&gt; uống&gt; rượu</v>
      </c>
      <c r="G56" s="229" t="str">
        <f t="shared" ca="1" si="0"/>
        <v>"2084006720" : "rượu",</v>
      </c>
      <c r="H56" s="229" t="str">
        <f t="shared" si="1"/>
        <v>&lt;li class="col-md-3"&gt;&lt;a class="text-cut" href="javascript:;"(click)="categoryEvent(2084006720)"&gt;{{"2084006720" | translate}}&lt;/a&gt;&lt;/li&gt;</v>
      </c>
    </row>
    <row r="57" spans="1:8" ht="14.25" customHeight="1">
      <c r="A57" s="2">
        <v>24006</v>
      </c>
      <c r="B57" s="2" t="s">
        <v>2518</v>
      </c>
      <c r="C57" s="2" t="s">
        <v>2519</v>
      </c>
      <c r="D57" s="2" t="s">
        <v>2521</v>
      </c>
      <c r="E57" s="3" t="str">
        <f ca="1">IFERROR(__xludf.DUMMYFUNCTION("GOOGLETRANSLATE(B57,""ja"",""vi"")"),"cà phê")</f>
        <v>cà phê</v>
      </c>
      <c r="F57" s="3" t="str">
        <f ca="1">IFERROR(__xludf.DUMMYFUNCTION("GOOGLETRANSLATE(C57,""ja"",""vi"")"),"Đấu giá&gt; thực phẩm, đồ uống&gt; uống&gt; cà phê")</f>
        <v>Đấu giá&gt; thực phẩm, đồ uống&gt; uống&gt; cà phê</v>
      </c>
      <c r="G57" s="229" t="str">
        <f t="shared" ca="1" si="0"/>
        <v>"24006" : "cà phê",</v>
      </c>
      <c r="H57" s="229" t="str">
        <f t="shared" si="1"/>
        <v>&lt;li class="col-md-3"&gt;&lt;a class="text-cut" href="javascript:;"(click)="categoryEvent(24006)"&gt;{{"24006" | translate}}&lt;/a&gt;&lt;/li&gt;</v>
      </c>
    </row>
    <row r="58" spans="1:8" ht="14.25" customHeight="1">
      <c r="A58" s="2">
        <v>2084006736</v>
      </c>
      <c r="B58" s="2" t="s">
        <v>2529</v>
      </c>
      <c r="C58" s="2" t="s">
        <v>2530</v>
      </c>
      <c r="D58" s="2" t="s">
        <v>2531</v>
      </c>
      <c r="E58" s="3" t="str">
        <f ca="1">IFERROR(__xludf.DUMMYFUNCTION("GOOGLETRANSLATE(B58,""ja"",""vi"")"),"Cocoa")</f>
        <v>Cocoa</v>
      </c>
      <c r="F58" s="3" t="str">
        <f ca="1">IFERROR(__xludf.DUMMYFUNCTION("GOOGLETRANSLATE(C58,""ja"",""vi"")"),"Đấu giá&gt; thực phẩm, đồ uống&gt; uống&gt; Cocoa")</f>
        <v>Đấu giá&gt; thực phẩm, đồ uống&gt; uống&gt; Cocoa</v>
      </c>
      <c r="G58" s="229" t="str">
        <f t="shared" ca="1" si="0"/>
        <v>"2084006736" : "Cocoa",</v>
      </c>
      <c r="H58" s="229" t="str">
        <f t="shared" si="1"/>
        <v>&lt;li class="col-md-3"&gt;&lt;a class="text-cut" href="javascript:;"(click)="categoryEvent(2084006736)"&gt;{{"2084006736" | translate}}&lt;/a&gt;&lt;/li&gt;</v>
      </c>
    </row>
    <row r="59" spans="1:8" ht="14.25" customHeight="1">
      <c r="A59" s="2">
        <v>2084006737</v>
      </c>
      <c r="B59" s="2" t="s">
        <v>2537</v>
      </c>
      <c r="C59" s="2" t="s">
        <v>2538</v>
      </c>
      <c r="D59" s="2" t="s">
        <v>2539</v>
      </c>
      <c r="E59" s="3" t="str">
        <f ca="1">IFERROR(__xludf.DUMMYFUNCTION("GOOGLETRANSLATE(B59,""ja"",""vi"")"),"nước giải khát")</f>
        <v>nước giải khát</v>
      </c>
      <c r="F59" s="3" t="str">
        <f ca="1">IFERROR(__xludf.DUMMYFUNCTION("GOOGLETRANSLATE(C59,""ja"",""vi"")"),"Đấu giá&gt; thực phẩm, đồ uống&gt; uống&gt; nước giải khát")</f>
        <v>Đấu giá&gt; thực phẩm, đồ uống&gt; uống&gt; nước giải khát</v>
      </c>
      <c r="G59" s="229" t="str">
        <f t="shared" ca="1" si="0"/>
        <v>"2084006737" : "nước giải khát",</v>
      </c>
      <c r="H59" s="229" t="str">
        <f t="shared" si="1"/>
        <v>&lt;li class="col-md-3"&gt;&lt;a class="text-cut" href="javascript:;"(click)="categoryEvent(2084006737)"&gt;{{"2084006737" | translate}}&lt;/a&gt;&lt;/li&gt;</v>
      </c>
    </row>
    <row r="60" spans="1:8" ht="14.25" customHeight="1">
      <c r="A60" s="2">
        <v>2084048480</v>
      </c>
      <c r="B60" s="2" t="s">
        <v>2546</v>
      </c>
      <c r="C60" s="2" t="s">
        <v>2547</v>
      </c>
      <c r="D60" s="2" t="s">
        <v>2548</v>
      </c>
      <c r="E60" s="3" t="str">
        <f ca="1">IFERROR(__xludf.DUMMYFUNCTION("GOOGLETRANSLATE(B60,""ja"",""vi"")"),"nước khoáng")</f>
        <v>nước khoáng</v>
      </c>
      <c r="F60" s="3" t="str">
        <f ca="1">IFERROR(__xludf.DUMMYFUNCTION("GOOGLETRANSLATE(C60,""ja"",""vi"")"),"Đấu giá&gt; thực phẩm, đồ uống&gt; uống&gt; nước khoáng")</f>
        <v>Đấu giá&gt; thực phẩm, đồ uống&gt; uống&gt; nước khoáng</v>
      </c>
      <c r="G60" s="229" t="str">
        <f t="shared" ca="1" si="0"/>
        <v>"2084048480" : "nước khoáng",</v>
      </c>
      <c r="H60" s="229" t="str">
        <f t="shared" si="1"/>
        <v>&lt;li class="col-md-3"&gt;&lt;a class="text-cut" href="javascript:;"(click)="categoryEvent(2084048480)"&gt;{{"2084048480" | translate}}&lt;/a&gt;&lt;/li&gt;</v>
      </c>
    </row>
    <row r="61" spans="1:8" ht="14.25" customHeight="1">
      <c r="A61" s="2">
        <v>24102</v>
      </c>
      <c r="B61" s="2" t="s">
        <v>2555</v>
      </c>
      <c r="C61" s="2" t="s">
        <v>2557</v>
      </c>
      <c r="D61" s="2" t="s">
        <v>2559</v>
      </c>
      <c r="E61" s="3" t="str">
        <f ca="1">IFERROR(__xludf.DUMMYFUNCTION("GOOGLETRANSLATE(B61,""ja"",""vi"")"),"trà")</f>
        <v>trà</v>
      </c>
      <c r="F61" s="3" t="str">
        <f ca="1">IFERROR(__xludf.DUMMYFUNCTION("GOOGLETRANSLATE(C61,""ja"",""vi"")"),"Đấu giá&gt; thực phẩm, đồ uống&gt; uống&gt; trà")</f>
        <v>Đấu giá&gt; thực phẩm, đồ uống&gt; uống&gt; trà</v>
      </c>
      <c r="G61" s="229" t="str">
        <f t="shared" ca="1" si="0"/>
        <v>"24102" : "trà",</v>
      </c>
      <c r="H61" s="229" t="str">
        <f t="shared" si="1"/>
        <v>&lt;li class="col-md-3"&gt;&lt;a class="text-cut" href="javascript:;"(click)="categoryEvent(24102)"&gt;{{"24102" | translate}}&lt;/a&gt;&lt;/li&gt;</v>
      </c>
    </row>
    <row r="62" spans="1:8" ht="14.25" customHeight="1">
      <c r="A62" s="2">
        <v>42166</v>
      </c>
      <c r="B62" s="2" t="s">
        <v>16</v>
      </c>
      <c r="C62" s="2" t="s">
        <v>2567</v>
      </c>
      <c r="D62" s="2" t="s">
        <v>2569</v>
      </c>
      <c r="E62" s="3" t="str">
        <f ca="1">IFERROR(__xludf.DUMMYFUNCTION("GOOGLETRANSLATE(B62,""ja"",""vi"")"),"nếu không thì")</f>
        <v>nếu không thì</v>
      </c>
      <c r="F62" s="3" t="str">
        <f ca="1">IFERROR(__xludf.DUMMYFUNCTION("GOOGLETRANSLATE(C62,""ja"",""vi"")"),"Đấu giá&gt; thực phẩm, đồ uống&gt; uống&gt; Khác")</f>
        <v>Đấu giá&gt; thực phẩm, đồ uống&gt; uống&gt; Khác</v>
      </c>
      <c r="G62" s="229" t="str">
        <f t="shared" ca="1" si="0"/>
        <v>"42166" : "nếu không thì",</v>
      </c>
      <c r="H62" s="229" t="str">
        <f t="shared" si="1"/>
        <v>&lt;li class="col-md-3"&gt;&lt;a class="text-cut" href="javascript:;"(click)="categoryEvent(42166)"&gt;{{"42166" | translate}}&lt;/a&gt;&lt;/li&gt;</v>
      </c>
    </row>
    <row r="63" spans="1:8" ht="14.25" customHeight="1">
      <c r="E63" s="3"/>
      <c r="F63" s="3"/>
      <c r="G63" s="229"/>
      <c r="H63" s="229"/>
    </row>
    <row r="64" spans="1:8" ht="14.25" customHeight="1">
      <c r="A64" s="242">
        <v>24054</v>
      </c>
      <c r="B64" s="232"/>
      <c r="C64" s="232"/>
      <c r="D64" s="233"/>
      <c r="E64" s="3"/>
      <c r="F64" s="3"/>
      <c r="G64" s="229"/>
      <c r="H64" s="229"/>
    </row>
    <row r="65" spans="1:8" ht="14.25" customHeight="1">
      <c r="A65" s="2">
        <v>2084226956</v>
      </c>
      <c r="B65" s="2" t="s">
        <v>2578</v>
      </c>
      <c r="C65" s="2" t="s">
        <v>2579</v>
      </c>
      <c r="D65" s="2" t="s">
        <v>2582</v>
      </c>
      <c r="E65" s="3" t="str">
        <f ca="1">IFERROR(__xludf.DUMMYFUNCTION("GOOGLETRANSLATE(B65,""ja"",""vi"")"),"Agaricus")</f>
        <v>Agaricus</v>
      </c>
      <c r="F65" s="3" t="str">
        <f ca="1">IFERROR(__xludf.DUMMYFUNCTION("GOOGLETRANSLATE(C65,""ja"",""vi"")"),"Đấu giá&gt; thực phẩm, đồ uống&gt; thực phẩm sức khỏe&gt; ​​Agaricus")</f>
        <v>Đấu giá&gt; thực phẩm, đồ uống&gt; thực phẩm sức khỏe&gt; ​​Agaricus</v>
      </c>
      <c r="G65" s="229" t="str">
        <f t="shared" ca="1" si="0"/>
        <v>"2084226956" : "Agaricus",</v>
      </c>
      <c r="H65" s="229" t="str">
        <f t="shared" si="1"/>
        <v>&lt;li class="col-md-3"&gt;&lt;a class="text-cut" href="javascript:;"(click)="categoryEvent(2084226956)"&gt;{{"2084226956" | translate}}&lt;/a&gt;&lt;/li&gt;</v>
      </c>
    </row>
    <row r="66" spans="1:8" ht="14.25" customHeight="1">
      <c r="A66" s="2">
        <v>2084289283</v>
      </c>
      <c r="B66" s="2" t="s">
        <v>2584</v>
      </c>
      <c r="C66" s="2" t="s">
        <v>2587</v>
      </c>
      <c r="D66" s="2" t="s">
        <v>2590</v>
      </c>
      <c r="E66" s="3" t="str">
        <f ca="1">IFERROR(__xludf.DUMMYFUNCTION("GOOGLETRANSLATE(B66,""ja"",""vi"")"),"astaxanthin")</f>
        <v>astaxanthin</v>
      </c>
      <c r="F66" s="3" t="str">
        <f ca="1">IFERROR(__xludf.DUMMYFUNCTION("GOOGLETRANSLATE(C66,""ja"",""vi"")"),"Đấu giá&gt; thực phẩm, đồ uống&gt; thực phẩm sức khỏe&gt; ​​astaxanthin")</f>
        <v>Đấu giá&gt; thực phẩm, đồ uống&gt; thực phẩm sức khỏe&gt; ​​astaxanthin</v>
      </c>
      <c r="G66" s="229" t="str">
        <f t="shared" ca="1" si="0"/>
        <v>"2084289283" : "astaxanthin",</v>
      </c>
      <c r="H66" s="229" t="str">
        <f t="shared" si="1"/>
        <v>&lt;li class="col-md-3"&gt;&lt;a class="text-cut" href="javascript:;"(click)="categoryEvent(2084289283)"&gt;{{"2084289283" | translate}}&lt;/a&gt;&lt;/li&gt;</v>
      </c>
    </row>
    <row r="67" spans="1:8" ht="14.25" customHeight="1">
      <c r="A67" s="2">
        <v>2084048887</v>
      </c>
      <c r="B67" s="2" t="s">
        <v>2595</v>
      </c>
      <c r="C67" s="2" t="s">
        <v>2597</v>
      </c>
      <c r="D67" s="2" t="s">
        <v>2599</v>
      </c>
      <c r="E67" s="3" t="str">
        <f ca="1">IFERROR(__xludf.DUMMYFUNCTION("GOOGLETRANSLATE(B67,""ja"",""vi"")"),"amino axit")</f>
        <v>amino axit</v>
      </c>
      <c r="F67" s="3" t="str">
        <f ca="1">IFERROR(__xludf.DUMMYFUNCTION("GOOGLETRANSLATE(C67,""ja"",""vi"")"),"Đấu giá&gt; thực phẩm, đồ uống&gt; thực phẩm sức khỏe&gt; ​​amino axit")</f>
        <v>Đấu giá&gt; thực phẩm, đồ uống&gt; thực phẩm sức khỏe&gt; ​​amino axit</v>
      </c>
      <c r="G67" s="229" t="str">
        <f t="shared" ref="G67:G130" ca="1" si="2">CONCATENATE(CHAR(34)&amp;"",A67,""&amp;CHAR(34)," : ", CHAR(34)&amp;"",E67,""&amp;CHAR(34),",")</f>
        <v>"2084048887" : "amino axit",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href="javascript:;"(click)="categoryEvent(2084048887)"&gt;{{"2084048887" | translate}}&lt;/a&gt;&lt;/li&gt;</v>
      </c>
    </row>
    <row r="68" spans="1:8" ht="14.25" customHeight="1">
      <c r="A68" s="2">
        <v>2084226959</v>
      </c>
      <c r="B68" s="2" t="s">
        <v>2604</v>
      </c>
      <c r="C68" s="2" t="s">
        <v>2606</v>
      </c>
      <c r="D68" s="2" t="s">
        <v>2608</v>
      </c>
      <c r="E68" s="3" t="str">
        <f ca="1">IFERROR(__xludf.DUMMYFUNCTION("GOOGLETRANSLATE(B68,""ja"",""vi"")"),"alpha-lipoic acid")</f>
        <v>alpha-lipoic acid</v>
      </c>
      <c r="F68" s="3" t="str">
        <f ca="1">IFERROR(__xludf.DUMMYFUNCTION("GOOGLETRANSLATE(C68,""ja"",""vi"")"),"Đấu giá&gt; thực phẩm, đồ uống&gt; thực phẩm sức khỏe&gt; ​​alpha lipoic acid")</f>
        <v>Đấu giá&gt; thực phẩm, đồ uống&gt; thực phẩm sức khỏe&gt; ​​alpha lipoic acid</v>
      </c>
      <c r="G68" s="229" t="str">
        <f t="shared" ca="1" si="2"/>
        <v>"2084226959" : "alpha-lipoic acid",</v>
      </c>
      <c r="H68" s="229" t="str">
        <f t="shared" si="3"/>
        <v>&lt;li class="col-md-3"&gt;&lt;a class="text-cut" href="javascript:;"(click)="categoryEvent(2084226959)"&gt;{{"2084226959" | translate}}&lt;/a&gt;&lt;/li&gt;</v>
      </c>
    </row>
    <row r="69" spans="1:8" ht="14.25" customHeight="1">
      <c r="A69" s="2">
        <v>2084226947</v>
      </c>
      <c r="B69" s="2" t="s">
        <v>2613</v>
      </c>
      <c r="C69" s="2" t="s">
        <v>2615</v>
      </c>
      <c r="D69" s="2" t="s">
        <v>2617</v>
      </c>
      <c r="E69" s="3" t="str">
        <f ca="1">IFERROR(__xludf.DUMMYFUNCTION("GOOGLETRANSLATE(B69,""ja"",""vi"")"),"nghệ")</f>
        <v>nghệ</v>
      </c>
      <c r="F69" s="3" t="str">
        <f ca="1">IFERROR(__xludf.DUMMYFUNCTION("GOOGLETRANSLATE(C69,""ja"",""vi"")"),"Đấu giá&gt; thực phẩm, đồ uống&gt; thực phẩm sức khỏe&gt; ​​nghệ")</f>
        <v>Đấu giá&gt; thực phẩm, đồ uống&gt; thực phẩm sức khỏe&gt; ​​nghệ</v>
      </c>
      <c r="G69" s="229" t="str">
        <f t="shared" ca="1" si="2"/>
        <v>"2084226947" : "nghệ",</v>
      </c>
      <c r="H69" s="229" t="str">
        <f t="shared" si="3"/>
        <v>&lt;li class="col-md-3"&gt;&lt;a class="text-cut" href="javascript:;"(click)="categoryEvent(2084226947)"&gt;{{"2084226947" | translate}}&lt;/a&gt;&lt;/li&gt;</v>
      </c>
    </row>
    <row r="70" spans="1:8" ht="14.25" customHeight="1">
      <c r="A70" s="2">
        <v>2084289285</v>
      </c>
      <c r="B70" s="2" t="s">
        <v>2621</v>
      </c>
      <c r="C70" s="2" t="s">
        <v>2623</v>
      </c>
      <c r="D70" s="2" t="s">
        <v>2625</v>
      </c>
      <c r="E70" s="3" t="str">
        <f ca="1">IFERROR(__xludf.DUMMYFUNCTION("GOOGLETRANSLATE(B70,""ja"",""vi"")"),"oligosaccharides")</f>
        <v>oligosaccharides</v>
      </c>
      <c r="F70" s="3" t="str">
        <f ca="1">IFERROR(__xludf.DUMMYFUNCTION("GOOGLETRANSLATE(C70,""ja"",""vi"")"),"Đấu giá&gt; thực phẩm, đồ uống&gt; thực phẩm sức khỏe&gt; ​​oligosaccharides")</f>
        <v>Đấu giá&gt; thực phẩm, đồ uống&gt; thực phẩm sức khỏe&gt; ​​oligosaccharides</v>
      </c>
      <c r="G70" s="229" t="str">
        <f t="shared" ca="1" si="2"/>
        <v>"2084289285" : "oligosaccharides",</v>
      </c>
      <c r="H70" s="229" t="str">
        <f t="shared" si="3"/>
        <v>&lt;li class="col-md-3"&gt;&lt;a class="text-cut" href="javascript:;"(click)="categoryEvent(2084289285)"&gt;{{"2084289285" | translate}}&lt;/a&gt;&lt;/li&gt;</v>
      </c>
    </row>
    <row r="71" spans="1:8" ht="14.25" customHeight="1">
      <c r="A71" s="2">
        <v>2084226961</v>
      </c>
      <c r="B71" s="2" t="s">
        <v>2630</v>
      </c>
      <c r="C71" s="2" t="s">
        <v>2632</v>
      </c>
      <c r="D71" s="2" t="s">
        <v>2634</v>
      </c>
      <c r="E71" s="3" t="str">
        <f ca="1">IFERROR(__xludf.DUMMYFUNCTION("GOOGLETRANSLATE(B71,""ja"",""vi"")"),"Ornithine")</f>
        <v>Ornithine</v>
      </c>
      <c r="F71" s="3" t="str">
        <f ca="1">IFERROR(__xludf.DUMMYFUNCTION("GOOGLETRANSLATE(C71,""ja"",""vi"")"),"Đấu giá&gt; thực phẩm, đồ uống&gt; thực phẩm sức khỏe&gt; ​​ornithine")</f>
        <v>Đấu giá&gt; thực phẩm, đồ uống&gt; thực phẩm sức khỏe&gt; ​​ornithine</v>
      </c>
      <c r="G71" s="229" t="str">
        <f t="shared" ca="1" si="2"/>
        <v>"2084226961" : "Ornithine",</v>
      </c>
      <c r="H71" s="229" t="str">
        <f t="shared" si="3"/>
        <v>&lt;li class="col-md-3"&gt;&lt;a class="text-cut" href="javascript:;"(click)="categoryEvent(2084226961)"&gt;{{"2084226961" | translate}}&lt;/a&gt;&lt;/li&gt;</v>
      </c>
    </row>
    <row r="72" spans="1:8" ht="14.25" customHeight="1">
      <c r="A72" s="2">
        <v>2084289281</v>
      </c>
      <c r="B72" s="2" t="s">
        <v>2641</v>
      </c>
      <c r="C72" s="2" t="s">
        <v>2644</v>
      </c>
      <c r="D72" s="2" t="s">
        <v>2646</v>
      </c>
      <c r="E72" s="3" t="str">
        <f ca="1">IFERROR(__xludf.DUMMYFUNCTION("GOOGLETRANSLATE(B72,""ja"",""vi"")"),"kẽm")</f>
        <v>kẽm</v>
      </c>
      <c r="F72" s="3" t="str">
        <f ca="1">IFERROR(__xludf.DUMMYFUNCTION("GOOGLETRANSLATE(C72,""ja"",""vi"")"),"Đấu giá&gt; thực phẩm, đồ uống&gt; thực phẩm sức khỏe&gt; ​​kẽm")</f>
        <v>Đấu giá&gt; thực phẩm, đồ uống&gt; thực phẩm sức khỏe&gt; ​​kẽm</v>
      </c>
      <c r="G72" s="229" t="str">
        <f t="shared" ca="1" si="2"/>
        <v>"2084289281" : "kẽm",</v>
      </c>
      <c r="H72" s="229" t="str">
        <f t="shared" si="3"/>
        <v>&lt;li class="col-md-3"&gt;&lt;a class="text-cut" href="javascript:;"(click)="categoryEvent(2084289281)"&gt;{{"2084289281" | translate}}&lt;/a&gt;&lt;/li&gt;</v>
      </c>
    </row>
    <row r="73" spans="1:8" ht="14.25" customHeight="1">
      <c r="A73" s="2">
        <v>2084289282</v>
      </c>
      <c r="B73" s="2" t="s">
        <v>2649</v>
      </c>
      <c r="C73" s="2" t="s">
        <v>2652</v>
      </c>
      <c r="D73" s="2" t="s">
        <v>2653</v>
      </c>
      <c r="E73" s="3" t="str">
        <f ca="1">IFERROR(__xludf.DUMMYFUNCTION("GOOGLETRANSLATE(B73,""ja"",""vi"")"),"nước trái cây xanh, thực phẩm chế biến cải xoăn")</f>
        <v>nước trái cây xanh, thực phẩm chế biến cải xoăn</v>
      </c>
      <c r="F73" s="3" t="str">
        <f ca="1">IFERROR(__xludf.DUMMYFUNCTION("GOOGLETRANSLATE(C73,""ja"",""vi"")"),"Đấu giá&gt; thực phẩm, đồ uống&gt; thực phẩm sức khỏe&gt; ​​nước trái cây xanh, thực phẩm chế biến cải xoăn")</f>
        <v>Đấu giá&gt; thực phẩm, đồ uống&gt; thực phẩm sức khỏe&gt; ​​nước trái cây xanh, thực phẩm chế biến cải xoăn</v>
      </c>
      <c r="G73" s="229" t="str">
        <f t="shared" ca="1" si="2"/>
        <v>"2084289282" : "nước trái cây xanh, thực phẩm chế biến cải xoăn",</v>
      </c>
      <c r="H73" s="229" t="str">
        <f t="shared" si="3"/>
        <v>&lt;li class="col-md-3"&gt;&lt;a class="text-cut" href="javascript:;"(click)="categoryEvent(2084289282)"&gt;{{"2084289282" | translate}}&lt;/a&gt;&lt;/li&gt;</v>
      </c>
    </row>
    <row r="74" spans="1:8" ht="14.25" customHeight="1">
      <c r="A74" s="2">
        <v>2084289284</v>
      </c>
      <c r="B74" s="2" t="s">
        <v>2658</v>
      </c>
      <c r="C74" s="2" t="s">
        <v>2660</v>
      </c>
      <c r="D74" s="2" t="s">
        <v>2662</v>
      </c>
      <c r="E74" s="3" t="str">
        <f ca="1">IFERROR(__xludf.DUMMYFUNCTION("GOOGLETRANSLATE(B74,""ja"",""vi"")"),"thức uống dinh dưỡng")</f>
        <v>thức uống dinh dưỡng</v>
      </c>
      <c r="F74" s="3" t="str">
        <f ca="1">IFERROR(__xludf.DUMMYFUNCTION("GOOGLETRANSLATE(C74,""ja"",""vi"")"),"Đấu giá&gt; thực phẩm, đồ uống&gt; thực phẩm sức khỏe&gt; ​​đồ uống năng lượng")</f>
        <v>Đấu giá&gt; thực phẩm, đồ uống&gt; thực phẩm sức khỏe&gt; ​​đồ uống năng lượng</v>
      </c>
      <c r="G74" s="229" t="str">
        <f t="shared" ca="1" si="2"/>
        <v>"2084289284" : "thức uống dinh dưỡng",</v>
      </c>
      <c r="H74" s="229" t="str">
        <f t="shared" si="3"/>
        <v>&lt;li class="col-md-3"&gt;&lt;a class="text-cut" href="javascript:;"(click)="categoryEvent(2084289284)"&gt;{{"2084289284" | translate}}&lt;/a&gt;&lt;/li&gt;</v>
      </c>
    </row>
    <row r="75" spans="1:8" ht="14.25" customHeight="1">
      <c r="A75" s="2">
        <v>2084050411</v>
      </c>
      <c r="B75" s="2" t="s">
        <v>2666</v>
      </c>
      <c r="C75" s="2" t="s">
        <v>2668</v>
      </c>
      <c r="D75" s="2" t="s">
        <v>2670</v>
      </c>
      <c r="E75" s="3" t="str">
        <f ca="1">IFERROR(__xludf.DUMMYFUNCTION("GOOGLETRANSLATE(B75,""ja"",""vi"")"),"đồ uống thể thao")</f>
        <v>đồ uống thể thao</v>
      </c>
      <c r="F75" s="3" t="str">
        <f ca="1">IFERROR(__xludf.DUMMYFUNCTION("GOOGLETRANSLATE(C75,""ja"",""vi"")"),"Đấu giá&gt; thực phẩm, đồ uống&gt; thực phẩm sức khỏe&gt; ​​đồ uống thể thao")</f>
        <v>Đấu giá&gt; thực phẩm, đồ uống&gt; thực phẩm sức khỏe&gt; ​​đồ uống thể thao</v>
      </c>
      <c r="G75" s="229" t="str">
        <f t="shared" ca="1" si="2"/>
        <v>"2084050411" : "đồ uống thể thao",</v>
      </c>
      <c r="H75" s="229" t="str">
        <f t="shared" si="3"/>
        <v>&lt;li class="col-md-3"&gt;&lt;a class="text-cut" href="javascript:;"(click)="categoryEvent(2084050411)"&gt;{{"2084050411" | translate}}&lt;/a&gt;&lt;/li&gt;</v>
      </c>
    </row>
    <row r="76" spans="1:8" ht="14.25" customHeight="1">
      <c r="A76" s="2">
        <v>2084006881</v>
      </c>
      <c r="B76" s="2" t="s">
        <v>2673</v>
      </c>
      <c r="C76" s="2" t="s">
        <v>2674</v>
      </c>
      <c r="D76" s="2" t="s">
        <v>2675</v>
      </c>
      <c r="E76" s="3" t="str">
        <f ca="1">IFERROR(__xludf.DUMMYFUNCTION("GOOGLETRANSLATE(B76,""ja"",""vi"")"),"canxi")</f>
        <v>canxi</v>
      </c>
      <c r="F76" s="3" t="str">
        <f ca="1">IFERROR(__xludf.DUMMYFUNCTION("GOOGLETRANSLATE(C76,""ja"",""vi"")"),"Đấu giá&gt; thực phẩm, đồ uống&gt; thực phẩm sức khỏe&gt; ​​canxi")</f>
        <v>Đấu giá&gt; thực phẩm, đồ uống&gt; thực phẩm sức khỏe&gt; ​​canxi</v>
      </c>
      <c r="G76" s="229" t="str">
        <f t="shared" ca="1" si="2"/>
        <v>"2084006881" : "canxi",</v>
      </c>
      <c r="H76" s="229" t="str">
        <f t="shared" si="3"/>
        <v>&lt;li class="col-md-3"&gt;&lt;a class="text-cut" href="javascript:;"(click)="categoryEvent(2084006881)"&gt;{{"2084006881" | translate}}&lt;/a&gt;&lt;/li&gt;</v>
      </c>
    </row>
    <row r="77" spans="1:8" ht="14.25" customHeight="1">
      <c r="A77" s="2">
        <v>2084226960</v>
      </c>
      <c r="B77" s="2" t="s">
        <v>2681</v>
      </c>
      <c r="C77" s="2" t="s">
        <v>2683</v>
      </c>
      <c r="D77" s="2" t="s">
        <v>2685</v>
      </c>
      <c r="E77" s="3" t="str">
        <f ca="1">IFERROR(__xludf.DUMMYFUNCTION("GOOGLETRANSLATE(B77,""ja"",""vi"")"),"carnitine")</f>
        <v>carnitine</v>
      </c>
      <c r="F77" s="3" t="str">
        <f ca="1">IFERROR(__xludf.DUMMYFUNCTION("GOOGLETRANSLATE(C77,""ja"",""vi"")"),"Đấu giá&gt; thực phẩm, đồ uống&gt; thực phẩm sức khỏe&gt; ​​carnitine")</f>
        <v>Đấu giá&gt; thực phẩm, đồ uống&gt; thực phẩm sức khỏe&gt; ​​carnitine</v>
      </c>
      <c r="G77" s="229" t="str">
        <f t="shared" ca="1" si="2"/>
        <v>"2084226960" : "carnitine",</v>
      </c>
      <c r="H77" s="229" t="str">
        <f t="shared" si="3"/>
        <v>&lt;li class="col-md-3"&gt;&lt;a class="text-cut" href="javascript:;"(click)="categoryEvent(2084226960)"&gt;{{"2084226960" | translate}}&lt;/a&gt;&lt;/li&gt;</v>
      </c>
    </row>
    <row r="78" spans="1:8" ht="14.25" customHeight="1">
      <c r="A78" s="2">
        <v>2084006882</v>
      </c>
      <c r="B78" s="2" t="s">
        <v>2690</v>
      </c>
      <c r="C78" s="2" t="s">
        <v>2692</v>
      </c>
      <c r="D78" s="2" t="s">
        <v>2695</v>
      </c>
      <c r="E78" s="3" t="str">
        <f ca="1">IFERROR(__xludf.DUMMYFUNCTION("GOOGLETRANSLATE(B78,""ja"",""vi"")"),"chitosan")</f>
        <v>chitosan</v>
      </c>
      <c r="F78" s="3" t="str">
        <f ca="1">IFERROR(__xludf.DUMMYFUNCTION("GOOGLETRANSLATE(C78,""ja"",""vi"")"),"Đấu giá&gt; thực phẩm, đồ uống&gt; thực phẩm sức khỏe&gt; ​​chitosan")</f>
        <v>Đấu giá&gt; thực phẩm, đồ uống&gt; thực phẩm sức khỏe&gt; ​​chitosan</v>
      </c>
      <c r="G78" s="229" t="str">
        <f t="shared" ca="1" si="2"/>
        <v>"2084006882" : "chitosan",</v>
      </c>
      <c r="H78" s="229" t="str">
        <f t="shared" si="3"/>
        <v>&lt;li class="col-md-3"&gt;&lt;a class="text-cut" href="javascript:;"(click)="categoryEvent(2084006882)"&gt;{{"2084006882" | translate}}&lt;/a&gt;&lt;/li&gt;</v>
      </c>
    </row>
    <row r="79" spans="1:8" ht="14.25" customHeight="1">
      <c r="A79" s="2">
        <v>2084226953</v>
      </c>
      <c r="B79" s="2" t="s">
        <v>2701</v>
      </c>
      <c r="C79" s="2" t="s">
        <v>2705</v>
      </c>
      <c r="D79" s="2" t="s">
        <v>2707</v>
      </c>
      <c r="E79" s="3" t="str">
        <f ca="1">IFERROR(__xludf.DUMMYFUNCTION("GOOGLETRANSLATE(B79,""ja"",""vi"")"),"Loại gia vị Ấn Độ")</f>
        <v>Loại gia vị Ấn Độ</v>
      </c>
      <c r="F79" s="3" t="str">
        <f ca="1">IFERROR(__xludf.DUMMYFUNCTION("GOOGLETRANSLATE(C79,""ja"",""vi"")"),"Đấu giá&gt; thực phẩm, đồ uống&gt; thực phẩm sức khỏe&gt; ​​Gymnema")</f>
        <v>Đấu giá&gt; thực phẩm, đồ uống&gt; thực phẩm sức khỏe&gt; ​​Gymnema</v>
      </c>
      <c r="G79" s="229" t="str">
        <f t="shared" ca="1" si="2"/>
        <v>"2084226953" : "Loại gia vị Ấn Độ",</v>
      </c>
      <c r="H79" s="229" t="str">
        <f t="shared" si="3"/>
        <v>&lt;li class="col-md-3"&gt;&lt;a class="text-cut" href="javascript:;"(click)="categoryEvent(2084226953)"&gt;{{"2084226953" | translate}}&lt;/a&gt;&lt;/li&gt;</v>
      </c>
    </row>
    <row r="80" spans="1:8" ht="14.25" customHeight="1">
      <c r="A80" s="2">
        <v>2084289286</v>
      </c>
      <c r="B80" s="2" t="s">
        <v>2712</v>
      </c>
      <c r="C80" s="2" t="s">
        <v>2714</v>
      </c>
      <c r="D80" s="2" t="s">
        <v>2716</v>
      </c>
      <c r="E80" s="3" t="str">
        <f ca="1">IFERROR(__xludf.DUMMYFUNCTION("GOOGLETRANSLATE(B80,""ja"",""vi"")"),"GABA thức ăn hỗn hợp")</f>
        <v>GABA thức ăn hỗn hợp</v>
      </c>
      <c r="F80" s="3" t="str">
        <f ca="1">IFERROR(__xludf.DUMMYFUNCTION("GOOGLETRANSLATE(C80,""ja"",""vi"")"),"Đấu giá&gt; thực phẩm, đồ uống&gt; thực phẩm sức khỏe&gt; ​​GABA thức ăn hỗn hợp")</f>
        <v>Đấu giá&gt; thực phẩm, đồ uống&gt; thực phẩm sức khỏe&gt; ​​GABA thức ăn hỗn hợp</v>
      </c>
      <c r="G80" s="229" t="str">
        <f t="shared" ca="1" si="2"/>
        <v>"2084289286" : "GABA thức ăn hỗn hợp",</v>
      </c>
      <c r="H80" s="229" t="str">
        <f t="shared" si="3"/>
        <v>&lt;li class="col-md-3"&gt;&lt;a class="text-cut" href="javascript:;"(click)="categoryEvent(2084289286)"&gt;{{"2084289286" | translate}}&lt;/a&gt;&lt;/li&gt;</v>
      </c>
    </row>
    <row r="81" spans="1:8" ht="14.25" customHeight="1">
      <c r="A81" s="2">
        <v>2084289287</v>
      </c>
      <c r="B81" s="2" t="s">
        <v>2725</v>
      </c>
      <c r="C81" s="2" t="s">
        <v>2726</v>
      </c>
      <c r="D81" s="2" t="s">
        <v>2727</v>
      </c>
      <c r="E81" s="3" t="str">
        <f ca="1">IFERROR(__xludf.DUMMYFUNCTION("GOOGLETRANSLATE(B81,""ja"",""vi"")"),"axit citric")</f>
        <v>axit citric</v>
      </c>
      <c r="F81" s="3" t="str">
        <f ca="1">IFERROR(__xludf.DUMMYFUNCTION("GOOGLETRANSLATE(C81,""ja"",""vi"")"),"Đấu giá&gt; thực phẩm, đồ uống&gt; thực phẩm sức khỏe&gt; ​​axit citric")</f>
        <v>Đấu giá&gt; thực phẩm, đồ uống&gt; thực phẩm sức khỏe&gt; ​​axit citric</v>
      </c>
      <c r="G81" s="229" t="str">
        <f t="shared" ca="1" si="2"/>
        <v>"2084289287" : "axit citric",</v>
      </c>
      <c r="H81" s="229" t="str">
        <f t="shared" si="3"/>
        <v>&lt;li class="col-md-3"&gt;&lt;a class="text-cut" href="javascript:;"(click)="categoryEvent(2084289287)"&gt;{{"2084289287" | translate}}&lt;/a&gt;&lt;/li&gt;</v>
      </c>
    </row>
    <row r="82" spans="1:8" ht="14.25" customHeight="1">
      <c r="A82" s="2">
        <v>2084226952</v>
      </c>
      <c r="B82" s="2" t="s">
        <v>2733</v>
      </c>
      <c r="C82" s="2" t="s">
        <v>2735</v>
      </c>
      <c r="D82" s="2" t="s">
        <v>2737</v>
      </c>
      <c r="E82" s="3" t="str">
        <f ca="1">IFERROR(__xludf.DUMMYFUNCTION("GOOGLETRANSLATE(B82,""ja"",""vi"")"),"Chlorella")</f>
        <v>Chlorella</v>
      </c>
      <c r="F82" s="3" t="str">
        <f ca="1">IFERROR(__xludf.DUMMYFUNCTION("GOOGLETRANSLATE(C82,""ja"",""vi"")"),"Đấu giá&gt; thực phẩm, đồ uống&gt; thực phẩm sức khỏe&gt; ​​Chlorella")</f>
        <v>Đấu giá&gt; thực phẩm, đồ uống&gt; thực phẩm sức khỏe&gt; ​​Chlorella</v>
      </c>
      <c r="G82" s="229" t="str">
        <f t="shared" ca="1" si="2"/>
        <v>"2084226952" : "Chlorella",</v>
      </c>
      <c r="H82" s="229" t="str">
        <f t="shared" si="3"/>
        <v>&lt;li class="col-md-3"&gt;&lt;a class="text-cut" href="javascript:;"(click)="categoryEvent(2084226952)"&gt;{{"2084226952" | translate}}&lt;/a&gt;&lt;/li&gt;</v>
      </c>
    </row>
    <row r="83" spans="1:8" ht="14.25" customHeight="1">
      <c r="A83" s="2">
        <v>2084226957</v>
      </c>
      <c r="B83" s="2" t="s">
        <v>2745</v>
      </c>
      <c r="C83" s="2" t="s">
        <v>2746</v>
      </c>
      <c r="D83" s="2" t="s">
        <v>2747</v>
      </c>
      <c r="E83" s="3" t="str">
        <f ca="1">IFERROR(__xludf.DUMMYFUNCTION("GOOGLETRANSLATE(B83,""ja"",""vi"")"),"Glucosamine")</f>
        <v>Glucosamine</v>
      </c>
      <c r="F83" s="3" t="str">
        <f ca="1">IFERROR(__xludf.DUMMYFUNCTION("GOOGLETRANSLATE(C83,""ja"",""vi"")"),"Đấu giá&gt; thực phẩm, đồ uống&gt; thực phẩm sức khỏe&gt; ​​Glucosamine")</f>
        <v>Đấu giá&gt; thực phẩm, đồ uống&gt; thực phẩm sức khỏe&gt; ​​Glucosamine</v>
      </c>
      <c r="G83" s="229" t="str">
        <f t="shared" ca="1" si="2"/>
        <v>"2084226957" : "Glucosamine",</v>
      </c>
      <c r="H83" s="229" t="str">
        <f t="shared" si="3"/>
        <v>&lt;li class="col-md-3"&gt;&lt;a class="text-cut" href="javascript:;"(click)="categoryEvent(2084226957)"&gt;{{"2084226957" | translate}}&lt;/a&gt;&lt;/li&gt;</v>
      </c>
    </row>
    <row r="84" spans="1:8" ht="14.25" customHeight="1">
      <c r="A84" s="2">
        <v>2084226948</v>
      </c>
      <c r="B84" s="2" t="s">
        <v>2754</v>
      </c>
      <c r="C84" s="2" t="s">
        <v>2756</v>
      </c>
      <c r="D84" s="2" t="s">
        <v>2758</v>
      </c>
      <c r="E84" s="3" t="str">
        <f ca="1">IFERROR(__xludf.DUMMYFUNCTION("GOOGLETRANSLATE(B84,""ja"",""vi"")"),"coenzyme Q10")</f>
        <v>coenzyme Q10</v>
      </c>
      <c r="F84" s="3" t="str">
        <f ca="1">IFERROR(__xludf.DUMMYFUNCTION("GOOGLETRANSLATE(C84,""ja"",""vi"")"),"Đấu giá&gt; thực phẩm, đồ uống&gt; thực phẩm sức khỏe&gt; ​​Coenzyme Q10")</f>
        <v>Đấu giá&gt; thực phẩm, đồ uống&gt; thực phẩm sức khỏe&gt; ​​Coenzyme Q10</v>
      </c>
      <c r="G84" s="229" t="str">
        <f t="shared" ca="1" si="2"/>
        <v>"2084226948" : "coenzyme Q10",</v>
      </c>
      <c r="H84" s="229" t="str">
        <f t="shared" si="3"/>
        <v>&lt;li class="col-md-3"&gt;&lt;a class="text-cut" href="javascript:;"(click)="categoryEvent(2084226948)"&gt;{{"2084226948" | translate}}&lt;/a&gt;&lt;/li&gt;</v>
      </c>
    </row>
    <row r="85" spans="1:8" ht="14.25" customHeight="1">
      <c r="A85" s="2">
        <v>2084226950</v>
      </c>
      <c r="B85" s="2" t="s">
        <v>2766</v>
      </c>
      <c r="C85" s="2" t="s">
        <v>2767</v>
      </c>
      <c r="D85" s="2" t="s">
        <v>2768</v>
      </c>
      <c r="E85" s="3" t="str">
        <f ca="1">IFERROR(__xludf.DUMMYFUNCTION("GOOGLETRANSLATE(B85,""ja"",""vi"")"),"collagen")</f>
        <v>collagen</v>
      </c>
      <c r="F85" s="3" t="str">
        <f ca="1">IFERROR(__xludf.DUMMYFUNCTION("GOOGLETRANSLATE(C85,""ja"",""vi"")"),"Đấu giá&gt; thực phẩm, đồ uống&gt; thực phẩm sức khỏe&gt; ​​collagen")</f>
        <v>Đấu giá&gt; thực phẩm, đồ uống&gt; thực phẩm sức khỏe&gt; ​​collagen</v>
      </c>
      <c r="G85" s="229" t="str">
        <f t="shared" ca="1" si="2"/>
        <v>"2084226950" : "collagen",</v>
      </c>
      <c r="H85" s="229" t="str">
        <f t="shared" si="3"/>
        <v>&lt;li class="col-md-3"&gt;&lt;a class="text-cut" href="javascript:;"(click)="categoryEvent(2084226950)"&gt;{{"2084226950" | translate}}&lt;/a&gt;&lt;/li&gt;</v>
      </c>
    </row>
    <row r="86" spans="1:8" ht="14.25" customHeight="1">
      <c r="A86" s="2">
        <v>2084289290</v>
      </c>
      <c r="B86" s="2" t="s">
        <v>2773</v>
      </c>
      <c r="C86" s="2" t="s">
        <v>2774</v>
      </c>
      <c r="D86" s="2" t="s">
        <v>2775</v>
      </c>
      <c r="E86" s="3" t="str">
        <f ca="1">IFERROR(__xludf.DUMMYFUNCTION("GOOGLETRANSLATE(B86,""ja"",""vi"")"),"chondroitin")</f>
        <v>chondroitin</v>
      </c>
      <c r="F86" s="3" t="str">
        <f ca="1">IFERROR(__xludf.DUMMYFUNCTION("GOOGLETRANSLATE(C86,""ja"",""vi"")"),"Đấu giá&gt; thực phẩm, đồ uống&gt; thực phẩm sức khỏe&gt; ​​chondroitin")</f>
        <v>Đấu giá&gt; thực phẩm, đồ uống&gt; thực phẩm sức khỏe&gt; ​​chondroitin</v>
      </c>
      <c r="G86" s="229" t="str">
        <f t="shared" ca="1" si="2"/>
        <v>"2084289290" : "chondroitin",</v>
      </c>
      <c r="H86" s="229" t="str">
        <f t="shared" si="3"/>
        <v>&lt;li class="col-md-3"&gt;&lt;a class="text-cut" href="javascript:;"(click)="categoryEvent(2084289290)"&gt;{{"2084289290" | translate}}&lt;/a&gt;&lt;/li&gt;</v>
      </c>
    </row>
    <row r="87" spans="1:8" ht="14.25" customHeight="1">
      <c r="A87" s="2">
        <v>2084289289</v>
      </c>
      <c r="B87" s="2" t="s">
        <v>2776</v>
      </c>
      <c r="C87" s="2" t="s">
        <v>2777</v>
      </c>
      <c r="D87" s="2" t="s">
        <v>2778</v>
      </c>
      <c r="E87" s="3" t="str">
        <f ca="1">IFERROR(__xludf.DUMMYFUNCTION("GOOGLETRANSLATE(B87,""ja"",""vi"")"),"trà sức khỏe")</f>
        <v>trà sức khỏe</v>
      </c>
      <c r="F87" s="3" t="str">
        <f ca="1">IFERROR(__xludf.DUMMYFUNCTION("GOOGLETRANSLATE(C87,""ja"",""vi"")"),"Đấu giá&gt; thực phẩm, đồ uống&gt; thực phẩm sức khỏe&gt; ​​trà sức khỏe")</f>
        <v>Đấu giá&gt; thực phẩm, đồ uống&gt; thực phẩm sức khỏe&gt; ​​trà sức khỏe</v>
      </c>
      <c r="G87" s="229" t="str">
        <f t="shared" ca="1" si="2"/>
        <v>"2084289289" : "trà sức khỏe",</v>
      </c>
      <c r="H87" s="229" t="str">
        <f t="shared" si="3"/>
        <v>&lt;li class="col-md-3"&gt;&lt;a class="text-cut" href="javascript:;"(click)="categoryEvent(2084289289)"&gt;{{"2084289289" | translate}}&lt;/a&gt;&lt;/li&gt;</v>
      </c>
    </row>
    <row r="88" spans="1:8" ht="14.25" customHeight="1">
      <c r="A88" s="2">
        <v>2084289288</v>
      </c>
      <c r="B88" s="2" t="s">
        <v>2782</v>
      </c>
      <c r="C88" s="2" t="s">
        <v>2784</v>
      </c>
      <c r="D88" s="2" t="s">
        <v>2787</v>
      </c>
      <c r="E88" s="3" t="str">
        <f ca="1">IFERROR(__xludf.DUMMYFUNCTION("GOOGLETRANSLATE(B88,""ja"",""vi"")"),"Sức khỏe giấm, uống giấm")</f>
        <v>Sức khỏe giấm, uống giấm</v>
      </c>
      <c r="F88" s="3" t="str">
        <f ca="1">IFERROR(__xludf.DUMMYFUNCTION("GOOGLETRANSLATE(C88,""ja"",""vi"")"),"Đấu giá&gt; thực phẩm, đồ uống&gt; thực phẩm sức khỏe&gt; ​​giấm sức khỏe, đồ uống giấm")</f>
        <v>Đấu giá&gt; thực phẩm, đồ uống&gt; thực phẩm sức khỏe&gt; ​​giấm sức khỏe, đồ uống giấm</v>
      </c>
      <c r="G88" s="229" t="str">
        <f t="shared" ca="1" si="2"/>
        <v>"2084289288" : "Sức khỏe giấm, uống giấm",</v>
      </c>
      <c r="H88" s="229" t="str">
        <f t="shared" si="3"/>
        <v>&lt;li class="col-md-3"&gt;&lt;a class="text-cut" href="javascript:;"(click)="categoryEvent(2084289288)"&gt;{{"2084289288" | translate}}&lt;/a&gt;&lt;/li&gt;</v>
      </c>
    </row>
    <row r="89" spans="1:8" ht="14.25" customHeight="1">
      <c r="A89" s="2">
        <v>2084050386</v>
      </c>
      <c r="B89" s="2" t="s">
        <v>2791</v>
      </c>
      <c r="C89" s="2" t="s">
        <v>2794</v>
      </c>
      <c r="D89" s="2" t="s">
        <v>2797</v>
      </c>
      <c r="E89" s="3" t="str">
        <f ca="1">IFERROR(__xludf.DUMMYFUNCTION("GOOGLETRANSLATE(B89,""ja"",""vi"")"),"giấm")</f>
        <v>giấm</v>
      </c>
      <c r="F89" s="3" t="str">
        <f ca="1">IFERROR(__xludf.DUMMYFUNCTION("GOOGLETRANSLATE(C89,""ja"",""vi"")"),"Đấu giá&gt; thực phẩm, đồ uống&gt; thực phẩm sức khỏe&gt; ​​Giấm")</f>
        <v>Đấu giá&gt; thực phẩm, đồ uống&gt; thực phẩm sức khỏe&gt; ​​Giấm</v>
      </c>
      <c r="G89" s="229" t="str">
        <f t="shared" ca="1" si="2"/>
        <v>"2084050386" : "giấm",</v>
      </c>
      <c r="H89" s="229" t="str">
        <f t="shared" si="3"/>
        <v>&lt;li class="col-md-3"&gt;&lt;a class="text-cut" href="javascript:;"(click)="categoryEvent(2084050386)"&gt;{{"2084050386" | translate}}&lt;/a&gt;&lt;/li&gt;</v>
      </c>
    </row>
    <row r="90" spans="1:8" ht="14.25" customHeight="1">
      <c r="A90" s="2">
        <v>2084062737</v>
      </c>
      <c r="B90" s="2" t="s">
        <v>2799</v>
      </c>
      <c r="C90" s="2" t="s">
        <v>2802</v>
      </c>
      <c r="D90" s="2" t="s">
        <v>2804</v>
      </c>
      <c r="E90" s="3" t="str">
        <f ca="1">IFERROR(__xludf.DUMMYFUNCTION("GOOGLETRANSLATE(B90,""ja"",""vi"")"),"bổ sung thể thao")</f>
        <v>bổ sung thể thao</v>
      </c>
      <c r="F90" s="3" t="str">
        <f ca="1">IFERROR(__xludf.DUMMYFUNCTION("GOOGLETRANSLATE(C90,""ja"",""vi"")"),"Đấu giá&gt; thực phẩm, đồ uống&gt; thực phẩm sức khỏe&gt; ​​bổ sung thể thao")</f>
        <v>Đấu giá&gt; thực phẩm, đồ uống&gt; thực phẩm sức khỏe&gt; ​​bổ sung thể thao</v>
      </c>
      <c r="G90" s="229" t="str">
        <f t="shared" ca="1" si="2"/>
        <v>"2084062737" : "bổ sung thể thao",</v>
      </c>
      <c r="H90" s="229" t="str">
        <f t="shared" si="3"/>
        <v>&lt;li class="col-md-3"&gt;&lt;a class="text-cut" href="javascript:;"(click)="categoryEvent(2084062737)"&gt;{{"2084062737" | translate}}&lt;/a&gt;&lt;/li&gt;</v>
      </c>
    </row>
    <row r="91" spans="1:8" ht="14.25" customHeight="1">
      <c r="A91" s="2">
        <v>2084289291</v>
      </c>
      <c r="B91" s="2" t="s">
        <v>2808</v>
      </c>
      <c r="C91" s="2" t="s">
        <v>2811</v>
      </c>
      <c r="D91" s="2" t="s">
        <v>2813</v>
      </c>
      <c r="E91" s="3" t="str">
        <f ca="1">IFERROR(__xludf.DUMMYFUNCTION("GOOGLETRANSLATE(B91,""ja"",""vi"")"),"chất xơ")</f>
        <v>chất xơ</v>
      </c>
      <c r="F91" s="3" t="str">
        <f ca="1">IFERROR(__xludf.DUMMYFUNCTION("GOOGLETRANSLATE(C91,""ja"",""vi"")"),"Đấu giá&gt; thực phẩm, đồ uống&gt; thực phẩm sức khỏe&gt; ​​chất xơ")</f>
        <v>Đấu giá&gt; thực phẩm, đồ uống&gt; thực phẩm sức khỏe&gt; ​​chất xơ</v>
      </c>
      <c r="G91" s="229" t="str">
        <f t="shared" ca="1" si="2"/>
        <v>"2084289291" : "chất xơ",</v>
      </c>
      <c r="H91" s="229" t="str">
        <f t="shared" si="3"/>
        <v>&lt;li class="col-md-3"&gt;&lt;a class="text-cut" href="javascript:;"(click)="categoryEvent(2084289291)"&gt;{{"2084289291" | translate}}&lt;/a&gt;&lt;/li&gt;</v>
      </c>
    </row>
    <row r="92" spans="1:8" ht="14.25" customHeight="1">
      <c r="A92" s="2">
        <v>2084226955</v>
      </c>
      <c r="B92" s="2" t="s">
        <v>2816</v>
      </c>
      <c r="C92" s="2" t="s">
        <v>2819</v>
      </c>
      <c r="D92" s="2" t="s">
        <v>2822</v>
      </c>
      <c r="E92" s="3" t="str">
        <f ca="1">IFERROR(__xludf.DUMMYFUNCTION("GOOGLETRANSLATE(B92,""ja"",""vi"")"),"DHA")</f>
        <v>DHA</v>
      </c>
      <c r="F92" s="3" t="str">
        <f ca="1">IFERROR(__xludf.DUMMYFUNCTION("GOOGLETRANSLATE(C92,""ja"",""vi"")"),"Đấu giá&gt; thực phẩm, đồ uống&gt; thực phẩm sức khỏe&gt; ​​DHA")</f>
        <v>Đấu giá&gt; thực phẩm, đồ uống&gt; thực phẩm sức khỏe&gt; ​​DHA</v>
      </c>
      <c r="G92" s="229" t="str">
        <f t="shared" ca="1" si="2"/>
        <v>"2084226955" : "DHA",</v>
      </c>
      <c r="H92" s="229" t="str">
        <f t="shared" si="3"/>
        <v>&lt;li class="col-md-3"&gt;&lt;a class="text-cut" href="javascript:;"(click)="categoryEvent(2084226955)"&gt;{{"2084226955" | translate}}&lt;/a&gt;&lt;/li&gt;</v>
      </c>
    </row>
    <row r="93" spans="1:8" ht="14.25" customHeight="1">
      <c r="A93" s="2">
        <v>2084289296</v>
      </c>
      <c r="B93" s="2" t="s">
        <v>2828</v>
      </c>
      <c r="C93" s="2" t="s">
        <v>2830</v>
      </c>
      <c r="D93" s="2" t="s">
        <v>2831</v>
      </c>
      <c r="E93" s="3" t="str">
        <f ca="1">IFERROR(__xludf.DUMMYFUNCTION("GOOGLETRANSLATE(B93,""ja"",""vi"")"),"ủi")</f>
        <v>ủi</v>
      </c>
      <c r="F93" s="3" t="str">
        <f ca="1">IFERROR(__xludf.DUMMYFUNCTION("GOOGLETRANSLATE(C93,""ja"",""vi"")"),"Đấu giá&gt; thực phẩm, đồ uống&gt; thực phẩm sức khỏe&gt; ​​sắt")</f>
        <v>Đấu giá&gt; thực phẩm, đồ uống&gt; thực phẩm sức khỏe&gt; ​​sắt</v>
      </c>
      <c r="G93" s="229" t="str">
        <f t="shared" ca="1" si="2"/>
        <v>"2084289296" : "ủi",</v>
      </c>
      <c r="H93" s="229" t="str">
        <f t="shared" si="3"/>
        <v>&lt;li class="col-md-3"&gt;&lt;a class="text-cut" href="javascript:;"(click)="categoryEvent(2084289296)"&gt;{{"2084289296" | translate}}&lt;/a&gt;&lt;/li&gt;</v>
      </c>
    </row>
    <row r="94" spans="1:8" ht="14.25" customHeight="1">
      <c r="A94" s="2">
        <v>2084289293</v>
      </c>
      <c r="B94" s="2" t="s">
        <v>2837</v>
      </c>
      <c r="C94" s="2" t="s">
        <v>2838</v>
      </c>
      <c r="D94" s="2" t="s">
        <v>2839</v>
      </c>
      <c r="E94" s="3" t="str">
        <f ca="1">IFERROR(__xludf.DUMMYFUNCTION("GOOGLETRANSLATE(B94,""ja"",""vi"")"),"Tỏi chiết xuất thức ăn hỗn hợp")</f>
        <v>Tỏi chiết xuất thức ăn hỗn hợp</v>
      </c>
      <c r="F94" s="3" t="str">
        <f ca="1">IFERROR(__xludf.DUMMYFUNCTION("GOOGLETRANSLATE(C94,""ja"",""vi"")"),"Đấu giá&gt; thực phẩm, đồ uống&gt; thực phẩm sức khỏe&gt; ​​chiết xuất tỏi thức ăn hỗn hợp")</f>
        <v>Đấu giá&gt; thực phẩm, đồ uống&gt; thực phẩm sức khỏe&gt; ​​chiết xuất tỏi thức ăn hỗn hợp</v>
      </c>
      <c r="G94" s="229" t="str">
        <f t="shared" ca="1" si="2"/>
        <v>"2084289293" : "Tỏi chiết xuất thức ăn hỗn hợp",</v>
      </c>
      <c r="H94" s="229" t="str">
        <f t="shared" si="3"/>
        <v>&lt;li class="col-md-3"&gt;&lt;a class="text-cut" href="javascript:;"(click)="categoryEvent(2084289293)"&gt;{{"2084289293" | translate}}&lt;/a&gt;&lt;/li&gt;</v>
      </c>
    </row>
    <row r="95" spans="1:8" ht="14.25" customHeight="1">
      <c r="A95" s="2">
        <v>2084289292</v>
      </c>
      <c r="B95" s="2" t="s">
        <v>2843</v>
      </c>
      <c r="C95" s="2" t="s">
        <v>2845</v>
      </c>
      <c r="D95" s="2" t="s">
        <v>2847</v>
      </c>
      <c r="E95" s="3" t="str">
        <f ca="1">IFERROR(__xludf.DUMMYFUNCTION("GOOGLETRANSLATE(B95,""ja"",""vi"")"),"nattokinase")</f>
        <v>nattokinase</v>
      </c>
      <c r="F95" s="3" t="str">
        <f ca="1">IFERROR(__xludf.DUMMYFUNCTION("GOOGLETRANSLATE(C95,""ja"",""vi"")"),"Đấu giá&gt; thực phẩm, đồ uống&gt; thực phẩm sức khỏe&gt; ​​nattokinase")</f>
        <v>Đấu giá&gt; thực phẩm, đồ uống&gt; thực phẩm sức khỏe&gt; ​​nattokinase</v>
      </c>
      <c r="G95" s="229" t="str">
        <f t="shared" ca="1" si="2"/>
        <v>"2084289292" : "nattokinase",</v>
      </c>
      <c r="H95" s="229" t="str">
        <f t="shared" si="3"/>
        <v>&lt;li class="col-md-3"&gt;&lt;a class="text-cut" href="javascript:;"(click)="categoryEvent(2084289292)"&gt;{{"2084289292" | translate}}&lt;/a&gt;&lt;/li&gt;</v>
      </c>
    </row>
    <row r="96" spans="1:8" ht="14.25" customHeight="1">
      <c r="A96" s="2">
        <v>2084226949</v>
      </c>
      <c r="B96" s="2" t="s">
        <v>2853</v>
      </c>
      <c r="C96" s="2" t="s">
        <v>2854</v>
      </c>
      <c r="D96" s="2" t="s">
        <v>2856</v>
      </c>
      <c r="E96" s="3" t="str">
        <f ca="1">IFERROR(__xludf.DUMMYFUNCTION("GOOGLETRANSLATE(B96,""ja"",""vi"")"),"hyaluronic acid")</f>
        <v>hyaluronic acid</v>
      </c>
      <c r="F96" s="3" t="str">
        <f ca="1">IFERROR(__xludf.DUMMYFUNCTION("GOOGLETRANSLATE(C96,""ja"",""vi"")"),"Đấu giá&gt; thực phẩm, đồ uống&gt; thực phẩm sức khỏe&gt; ​​axit hyaluronic")</f>
        <v>Đấu giá&gt; thực phẩm, đồ uống&gt; thực phẩm sức khỏe&gt; ​​axit hyaluronic</v>
      </c>
      <c r="G96" s="229" t="str">
        <f t="shared" ca="1" si="2"/>
        <v>"2084226949" : "hyaluronic acid",</v>
      </c>
      <c r="H96" s="229" t="str">
        <f t="shared" si="3"/>
        <v>&lt;li class="col-md-3"&gt;&lt;a class="text-cut" href="javascript:;"(click)="categoryEvent(2084226949)"&gt;{{"2084226949" | translate}}&lt;/a&gt;&lt;/li&gt;</v>
      </c>
    </row>
    <row r="97" spans="1:8" ht="14.25" customHeight="1">
      <c r="A97" s="2">
        <v>2084289294</v>
      </c>
      <c r="B97" s="2" t="s">
        <v>2862</v>
      </c>
      <c r="C97" s="2" t="s">
        <v>2865</v>
      </c>
      <c r="D97" s="2" t="s">
        <v>2867</v>
      </c>
      <c r="E97" s="3" t="str">
        <f ca="1">IFERROR(__xludf.DUMMYFUNCTION("GOOGLETRANSLATE(B97,""ja"",""vi"")"),"Men bia")</f>
        <v>Men bia</v>
      </c>
      <c r="F97" s="3" t="str">
        <f ca="1">IFERROR(__xludf.DUMMYFUNCTION("GOOGLETRANSLATE(C97,""ja"",""vi"")"),"Đấu giá&gt; thực phẩm, đồ uống&gt; thực phẩm sức khỏe&gt; ​​men bia")</f>
        <v>Đấu giá&gt; thực phẩm, đồ uống&gt; thực phẩm sức khỏe&gt; ​​men bia</v>
      </c>
      <c r="G97" s="229" t="str">
        <f t="shared" ca="1" si="2"/>
        <v>"2084289294" : "Men bia",</v>
      </c>
      <c r="H97" s="229" t="str">
        <f t="shared" si="3"/>
        <v>&lt;li class="col-md-3"&gt;&lt;a class="text-cut" href="javascript:;"(click)="categoryEvent(2084289294)"&gt;{{"2084289294" | translate}}&lt;/a&gt;&lt;/li&gt;</v>
      </c>
    </row>
    <row r="98" spans="1:8" ht="14.25" customHeight="1">
      <c r="A98" s="2">
        <v>24066</v>
      </c>
      <c r="B98" s="2" t="s">
        <v>2872</v>
      </c>
      <c r="C98" s="2" t="s">
        <v>2875</v>
      </c>
      <c r="D98" s="2" t="s">
        <v>2876</v>
      </c>
      <c r="E98" s="3" t="str">
        <f ca="1">IFERROR(__xludf.DUMMYFUNCTION("GOOGLETRANSLATE(B98,""ja"",""vi"")"),"vitamin")</f>
        <v>vitamin</v>
      </c>
      <c r="F98" s="3" t="str">
        <f ca="1">IFERROR(__xludf.DUMMYFUNCTION("GOOGLETRANSLATE(C98,""ja"",""vi"")"),"Đấu giá&gt; thực phẩm, đồ uống&gt; thực phẩm sức khỏe&gt; ​​vitamin")</f>
        <v>Đấu giá&gt; thực phẩm, đồ uống&gt; thực phẩm sức khỏe&gt; ​​vitamin</v>
      </c>
      <c r="G98" s="229" t="str">
        <f t="shared" ca="1" si="2"/>
        <v>"24066" : "vitamin",</v>
      </c>
      <c r="H98" s="229" t="str">
        <f t="shared" si="3"/>
        <v>&lt;li class="col-md-3"&gt;&lt;a class="text-cut" href="javascript:;"(click)="categoryEvent(24066)"&gt;{{"24066" | translate}}&lt;/a&gt;&lt;/li&gt;</v>
      </c>
    </row>
    <row r="99" spans="1:8" ht="14.25" customHeight="1">
      <c r="A99" s="2">
        <v>2084289295</v>
      </c>
      <c r="B99" s="2" t="s">
        <v>2880</v>
      </c>
      <c r="C99" s="2" t="s">
        <v>2882</v>
      </c>
      <c r="D99" s="2" t="s">
        <v>2885</v>
      </c>
      <c r="E99" s="3" t="str">
        <f ca="1">IFERROR(__xludf.DUMMYFUNCTION("GOOGLETRANSLATE(B99,""ja"",""vi"")"),"thức ăn hỗn hợp Blueberry")</f>
        <v>thức ăn hỗn hợp Blueberry</v>
      </c>
      <c r="F99" s="3" t="str">
        <f ca="1">IFERROR(__xludf.DUMMYFUNCTION("GOOGLETRANSLATE(C99,""ja"",""vi"")"),"Đấu giá&gt; thực phẩm, đồ uống&gt; thực phẩm sức khỏe&gt; ​​quả việt quất thực phẩm pha trộn")</f>
        <v>Đấu giá&gt; thực phẩm, đồ uống&gt; thực phẩm sức khỏe&gt; ​​quả việt quất thực phẩm pha trộn</v>
      </c>
      <c r="G99" s="229" t="str">
        <f t="shared" ca="1" si="2"/>
        <v>"2084289295" : "thức ăn hỗn hợp Blueberry",</v>
      </c>
      <c r="H99" s="229" t="str">
        <f t="shared" si="3"/>
        <v>&lt;li class="col-md-3"&gt;&lt;a class="text-cut" href="javascript:;"(click)="categoryEvent(2084289295)"&gt;{{"2084289295" | translate}}&lt;/a&gt;&lt;/li&gt;</v>
      </c>
    </row>
    <row r="100" spans="1:8" ht="14.25" customHeight="1">
      <c r="A100" s="2">
        <v>2084226951</v>
      </c>
      <c r="B100" s="2" t="s">
        <v>2890</v>
      </c>
      <c r="C100" s="2" t="s">
        <v>2893</v>
      </c>
      <c r="D100" s="2" t="s">
        <v>2894</v>
      </c>
      <c r="E100" s="3" t="str">
        <f ca="1">IFERROR(__xludf.DUMMYFUNCTION("GOOGLETRANSLATE(B100,""ja"",""vi"")"),"Placenta")</f>
        <v>Placenta</v>
      </c>
      <c r="F100" s="3" t="str">
        <f ca="1">IFERROR(__xludf.DUMMYFUNCTION("GOOGLETRANSLATE(C100,""ja"",""vi"")"),"Đấu giá&gt; thực phẩm, đồ uống&gt; thực phẩm sức khỏe&gt; ​​Placenta")</f>
        <v>Đấu giá&gt; thực phẩm, đồ uống&gt; thực phẩm sức khỏe&gt; ​​Placenta</v>
      </c>
      <c r="G100" s="229" t="str">
        <f t="shared" ca="1" si="2"/>
        <v>"2084226951" : "Placenta",</v>
      </c>
      <c r="H100" s="229" t="str">
        <f t="shared" si="3"/>
        <v>&lt;li class="col-md-3"&gt;&lt;a class="text-cut" href="javascript:;"(click)="categoryEvent(2084226951)"&gt;{{"2084226951" | translate}}&lt;/a&gt;&lt;/li&gt;</v>
      </c>
    </row>
    <row r="101" spans="1:8" ht="14.25" customHeight="1">
      <c r="A101" s="2">
        <v>2084006884</v>
      </c>
      <c r="B101" s="2" t="s">
        <v>2900</v>
      </c>
      <c r="C101" s="2" t="s">
        <v>2902</v>
      </c>
      <c r="D101" s="2" t="s">
        <v>2903</v>
      </c>
      <c r="E101" s="3" t="str">
        <f ca="1">IFERROR(__xludf.DUMMYFUNCTION("GOOGLETRANSLATE(B101,""ja"",""vi"")"),"protein")</f>
        <v>protein</v>
      </c>
      <c r="F101" s="3" t="str">
        <f ca="1">IFERROR(__xludf.DUMMYFUNCTION("GOOGLETRANSLATE(C101,""ja"",""vi"")"),"Đấu giá&gt; thực phẩm, đồ uống&gt; thực phẩm sức khỏe&gt; ​​protein")</f>
        <v>Đấu giá&gt; thực phẩm, đồ uống&gt; thực phẩm sức khỏe&gt; ​​protein</v>
      </c>
      <c r="G101" s="229" t="str">
        <f t="shared" ca="1" si="2"/>
        <v>"2084006884" : "protein",</v>
      </c>
      <c r="H101" s="229" t="str">
        <f t="shared" si="3"/>
        <v>&lt;li class="col-md-3"&gt;&lt;a class="text-cut" href="javascript:;"(click)="categoryEvent(2084006884)"&gt;{{"2084006884" | translate}}&lt;/a&gt;&lt;/li&gt;</v>
      </c>
    </row>
    <row r="102" spans="1:8" ht="14.25" customHeight="1">
      <c r="A102" s="2">
        <v>2084006883</v>
      </c>
      <c r="B102" s="2" t="s">
        <v>2909</v>
      </c>
      <c r="C102" s="2" t="s">
        <v>2910</v>
      </c>
      <c r="D102" s="2" t="s">
        <v>2911</v>
      </c>
      <c r="E102" s="3" t="str">
        <f ca="1">IFERROR(__xludf.DUMMYFUNCTION("GOOGLETRANSLATE(B102,""ja"",""vi"")"),"sáp ong")</f>
        <v>sáp ong</v>
      </c>
      <c r="F102" s="3" t="str">
        <f ca="1">IFERROR(__xludf.DUMMYFUNCTION("GOOGLETRANSLATE(C102,""ja"",""vi"")"),"Đấu giá&gt; thực phẩm, đồ uống&gt; thực phẩm sức khỏe&gt; ​​keo ong")</f>
        <v>Đấu giá&gt; thực phẩm, đồ uống&gt; thực phẩm sức khỏe&gt; ​​keo ong</v>
      </c>
      <c r="G102" s="229" t="str">
        <f t="shared" ca="1" si="2"/>
        <v>"2084006883" : "sáp ong",</v>
      </c>
      <c r="H102" s="229" t="str">
        <f t="shared" si="3"/>
        <v>&lt;li class="col-md-3"&gt;&lt;a class="text-cut" href="javascript:;"(click)="categoryEvent(2084006883)"&gt;{{"2084006883" | translate}}&lt;/a&gt;&lt;/li&gt;</v>
      </c>
    </row>
    <row r="103" spans="1:8" ht="14.25" customHeight="1">
      <c r="A103" s="2">
        <v>2084226958</v>
      </c>
      <c r="B103" s="2" t="s">
        <v>2917</v>
      </c>
      <c r="C103" s="2" t="s">
        <v>2918</v>
      </c>
      <c r="D103" s="2" t="s">
        <v>2919</v>
      </c>
      <c r="E103" s="3" t="str">
        <f ca="1">IFERROR(__xludf.DUMMYFUNCTION("GOOGLETRANSLATE(B103,""ja"",""vi"")"),"Maca")</f>
        <v>Maca</v>
      </c>
      <c r="F103" s="3" t="str">
        <f ca="1">IFERROR(__xludf.DUMMYFUNCTION("GOOGLETRANSLATE(C103,""ja"",""vi"")"),"Đấu giá&gt; thực phẩm, đồ uống&gt; thực phẩm sức khỏe&gt; ​​Maca")</f>
        <v>Đấu giá&gt; thực phẩm, đồ uống&gt; thực phẩm sức khỏe&gt; ​​Maca</v>
      </c>
      <c r="G103" s="229" t="str">
        <f t="shared" ca="1" si="2"/>
        <v>"2084226958" : "Maca",</v>
      </c>
      <c r="H103" s="229" t="str">
        <f t="shared" si="3"/>
        <v>&lt;li class="col-md-3"&gt;&lt;a class="text-cut" href="javascript:;"(click)="categoryEvent(2084226958)"&gt;{{"2084226958" | translate}}&lt;/a&gt;&lt;/li&gt;</v>
      </c>
    </row>
    <row r="104" spans="1:8" ht="14.25" customHeight="1">
      <c r="A104" s="2">
        <v>2084006886</v>
      </c>
      <c r="B104" s="2" t="s">
        <v>2923</v>
      </c>
      <c r="C104" s="2" t="s">
        <v>2924</v>
      </c>
      <c r="D104" s="2" t="s">
        <v>2925</v>
      </c>
      <c r="E104" s="3" t="str">
        <f ca="1">IFERROR(__xludf.DUMMYFUNCTION("GOOGLETRANSLATE(B104,""ja"",""vi"")"),"Ganoderma lucidum, Ganoderma lucidum")</f>
        <v>Ganoderma lucidum, Ganoderma lucidum</v>
      </c>
      <c r="F104" s="3" t="str">
        <f ca="1">IFERROR(__xludf.DUMMYFUNCTION("GOOGLETRANSLATE(C104,""ja"",""vi"")"),"Đấu giá&gt; thực phẩm, đồ uống&gt; thực phẩm sức khỏe&gt; ​​Ganoderma lucidum, Ganoderma lucidum")</f>
        <v>Đấu giá&gt; thực phẩm, đồ uống&gt; thực phẩm sức khỏe&gt; ​​Ganoderma lucidum, Ganoderma lucidum</v>
      </c>
      <c r="G104" s="229" t="str">
        <f t="shared" ca="1" si="2"/>
        <v>"2084006886" : "Ganoderma lucidum, Ganoderma lucidum",</v>
      </c>
      <c r="H104" s="229" t="str">
        <f t="shared" si="3"/>
        <v>&lt;li class="col-md-3"&gt;&lt;a class="text-cut" href="javascript:;"(click)="categoryEvent(2084006886)"&gt;{{"2084006886" | translate}}&lt;/a&gt;&lt;/li&gt;</v>
      </c>
    </row>
    <row r="105" spans="1:8" ht="14.25" customHeight="1">
      <c r="A105" s="2">
        <v>2084226954</v>
      </c>
      <c r="B105" s="2" t="s">
        <v>2931</v>
      </c>
      <c r="C105" s="2" t="s">
        <v>2933</v>
      </c>
      <c r="D105" s="2" t="s">
        <v>2935</v>
      </c>
      <c r="E105" s="3" t="str">
        <f ca="1">IFERROR(__xludf.DUMMYFUNCTION("GOOGLETRANSLATE(B105,""ja"",""vi"")"),"khoáng vật")</f>
        <v>khoáng vật</v>
      </c>
      <c r="F105" s="3" t="str">
        <f ca="1">IFERROR(__xludf.DUMMYFUNCTION("GOOGLETRANSLATE(C105,""ja"",""vi"")"),"Đấu giá&gt; thực phẩm, đồ uống&gt; thực phẩm sức khỏe&gt; ​​khoáng sản")</f>
        <v>Đấu giá&gt; thực phẩm, đồ uống&gt; thực phẩm sức khỏe&gt; ​​khoáng sản</v>
      </c>
      <c r="G105" s="229" t="str">
        <f t="shared" ca="1" si="2"/>
        <v>"2084226954" : "khoáng vật",</v>
      </c>
      <c r="H105" s="229" t="str">
        <f t="shared" si="3"/>
        <v>&lt;li class="col-md-3"&gt;&lt;a class="text-cut" href="javascript:;"(click)="categoryEvent(2084226954)"&gt;{{"2084226954" | translate}}&lt;/a&gt;&lt;/li&gt;</v>
      </c>
    </row>
    <row r="106" spans="1:8" ht="14.25" customHeight="1">
      <c r="A106" s="2">
        <v>2084006885</v>
      </c>
      <c r="B106" s="2" t="s">
        <v>2939</v>
      </c>
      <c r="C106" s="2" t="s">
        <v>2943</v>
      </c>
      <c r="D106" s="2" t="s">
        <v>2946</v>
      </c>
      <c r="E106" s="3" t="str">
        <f ca="1">IFERROR(__xludf.DUMMYFUNCTION("GOOGLETRANSLATE(B106,""ja"",""vi"")"),"Sữa ong chúa")</f>
        <v>Sữa ong chúa</v>
      </c>
      <c r="F106" s="3" t="str">
        <f ca="1">IFERROR(__xludf.DUMMYFUNCTION("GOOGLETRANSLATE(C106,""ja"",""vi"")"),"Đấu giá&gt; thực phẩm, đồ uống&gt; thực phẩm sức khỏe&gt; ​​sữa ong chúa")</f>
        <v>Đấu giá&gt; thực phẩm, đồ uống&gt; thực phẩm sức khỏe&gt; ​​sữa ong chúa</v>
      </c>
      <c r="G106" s="229" t="str">
        <f t="shared" ca="1" si="2"/>
        <v>"2084006885" : "Sữa ong chúa",</v>
      </c>
      <c r="H106" s="229" t="str">
        <f t="shared" si="3"/>
        <v>&lt;li class="col-md-3"&gt;&lt;a class="text-cut" href="javascript:;"(click)="categoryEvent(2084006885)"&gt;{{"2084006885" | translate}}&lt;/a&gt;&lt;/li&gt;</v>
      </c>
    </row>
    <row r="107" spans="1:8" ht="14.25" customHeight="1">
      <c r="A107" s="2">
        <v>2084006888</v>
      </c>
      <c r="B107" s="2" t="s">
        <v>2141</v>
      </c>
      <c r="C107" s="2" t="s">
        <v>2953</v>
      </c>
      <c r="D107" s="2" t="s">
        <v>2955</v>
      </c>
      <c r="E107" s="3" t="str">
        <f ca="1">IFERROR(__xludf.DUMMYFUNCTION("GOOGLETRANSLATE(B107,""ja"",""vi"")"),"thực phẩm chế độ ăn uống")</f>
        <v>thực phẩm chế độ ăn uống</v>
      </c>
      <c r="F107" s="3" t="str">
        <f ca="1">IFERROR(__xludf.DUMMYFUNCTION("GOOGLETRANSLATE(C107,""ja"",""vi"")"),"Đấu giá&gt; thực phẩm, đồ uống&gt; thực phẩm sức khỏe&gt; ​​thực phẩm chế độ ăn uống")</f>
        <v>Đấu giá&gt; thực phẩm, đồ uống&gt; thực phẩm sức khỏe&gt; ​​thực phẩm chế độ ăn uống</v>
      </c>
      <c r="G107" s="229" t="str">
        <f t="shared" ca="1" si="2"/>
        <v>"2084006888" : "thực phẩm chế độ ăn uống",</v>
      </c>
      <c r="H107" s="229" t="str">
        <f t="shared" si="3"/>
        <v>&lt;li class="col-md-3"&gt;&lt;a class="text-cut" href="javascript:;"(click)="categoryEvent(2084006888)"&gt;{{"2084006888" | translate}}&lt;/a&gt;&lt;/li&gt;</v>
      </c>
    </row>
    <row r="108" spans="1:8" ht="14.25" customHeight="1">
      <c r="A108" s="2">
        <v>2084006887</v>
      </c>
      <c r="B108" s="2" t="s">
        <v>16</v>
      </c>
      <c r="C108" s="2" t="s">
        <v>2965</v>
      </c>
      <c r="D108" s="2" t="s">
        <v>2966</v>
      </c>
      <c r="E108" s="3" t="str">
        <f ca="1">IFERROR(__xludf.DUMMYFUNCTION("GOOGLETRANSLATE(B108,""ja"",""vi"")"),"nếu không thì")</f>
        <v>nếu không thì</v>
      </c>
      <c r="F108" s="3" t="str">
        <f ca="1">IFERROR(__xludf.DUMMYFUNCTION("GOOGLETRANSLATE(C108,""ja"",""vi"")"),"Đấu giá&gt; thực phẩm, đồ uống&gt; thực phẩm sức khỏe&gt; ​​Khác")</f>
        <v>Đấu giá&gt; thực phẩm, đồ uống&gt; thực phẩm sức khỏe&gt; ​​Khác</v>
      </c>
      <c r="G108" s="229" t="str">
        <f t="shared" ca="1" si="2"/>
        <v>"2084006887" : "nếu không thì",</v>
      </c>
      <c r="H108" s="229" t="str">
        <f t="shared" si="3"/>
        <v>&lt;li class="col-md-3"&gt;&lt;a class="text-cut" href="javascript:;"(click)="categoryEvent(2084006887)"&gt;{{"2084006887" | translate}}&lt;/a&gt;&lt;/li&gt;</v>
      </c>
    </row>
    <row r="109" spans="1:8" ht="14.25" customHeight="1">
      <c r="E109" s="3"/>
      <c r="F109" s="3"/>
      <c r="G109" s="229"/>
      <c r="H109" s="229"/>
    </row>
    <row r="110" spans="1:8" ht="14.25" customHeight="1">
      <c r="A110" s="238">
        <v>2084006888</v>
      </c>
      <c r="B110" s="232"/>
      <c r="C110" s="232"/>
      <c r="D110" s="233"/>
      <c r="E110" s="3"/>
      <c r="F110" s="3"/>
      <c r="G110" s="229"/>
      <c r="H110" s="229"/>
    </row>
    <row r="111" spans="1:8" ht="14.25" customHeight="1">
      <c r="A111" s="2">
        <v>2084006893</v>
      </c>
      <c r="B111" s="2" t="s">
        <v>2981</v>
      </c>
      <c r="C111" s="2" t="s">
        <v>2983</v>
      </c>
      <c r="D111" s="2" t="s">
        <v>2985</v>
      </c>
      <c r="E111" s="3" t="str">
        <f ca="1">IFERROR(__xludf.DUMMYFUNCTION("GOOGLETRANSLATE(B111,""ja"",""vi"")"),"Cookies, bánh quy")</f>
        <v>Cookies, bánh quy</v>
      </c>
      <c r="F111" s="3" t="str">
        <f ca="1">IFERROR(__xludf.DUMMYFUNCTION("GOOGLETRANSLATE(C111,""ja"",""vi"")"),"Đấu giá&gt; thực phẩm, đồ uống&gt; thực phẩm chế độ ăn uống&gt; cookies, bánh quy")</f>
        <v>Đấu giá&gt; thực phẩm, đồ uống&gt; thực phẩm chế độ ăn uống&gt; cookies, bánh quy</v>
      </c>
      <c r="G111" s="229" t="str">
        <f t="shared" ca="1" si="2"/>
        <v>"2084006893" : "Cookies, bánh quy",</v>
      </c>
      <c r="H111" s="229" t="str">
        <f t="shared" si="3"/>
        <v>&lt;li class="col-md-3"&gt;&lt;a class="text-cut" href="javascript:;"(click)="categoryEvent(2084006893)"&gt;{{"2084006893" | translate}}&lt;/a&gt;&lt;/li&gt;</v>
      </c>
    </row>
    <row r="112" spans="1:8" ht="14.25" customHeight="1">
      <c r="A112" s="2">
        <v>2084006892</v>
      </c>
      <c r="B112" s="2" t="s">
        <v>2991</v>
      </c>
      <c r="C112" s="2" t="s">
        <v>2995</v>
      </c>
      <c r="D112" s="2" t="s">
        <v>2996</v>
      </c>
      <c r="E112" s="3" t="str">
        <f ca="1">IFERROR(__xludf.DUMMYFUNCTION("GOOGLETRANSLATE(B112,""ja"",""vi"")"),"canh")</f>
        <v>canh</v>
      </c>
      <c r="F112" s="3" t="str">
        <f ca="1">IFERROR(__xludf.DUMMYFUNCTION("GOOGLETRANSLATE(C112,""ja"",""vi"")"),"Đấu giá&gt; thực phẩm, đồ uống&gt; thực phẩm chế độ ăn uống&gt; súp")</f>
        <v>Đấu giá&gt; thực phẩm, đồ uống&gt; thực phẩm chế độ ăn uống&gt; súp</v>
      </c>
      <c r="G112" s="229" t="str">
        <f t="shared" ca="1" si="2"/>
        <v>"2084006892" : "canh",</v>
      </c>
      <c r="H112" s="229" t="str">
        <f t="shared" si="3"/>
        <v>&lt;li class="col-md-3"&gt;&lt;a class="text-cut" href="javascript:;"(click)="categoryEvent(2084006892)"&gt;{{"2084006892" | translate}}&lt;/a&gt;&lt;/li&gt;</v>
      </c>
    </row>
    <row r="113" spans="1:8" ht="14.25" customHeight="1">
      <c r="A113" s="2">
        <v>2084006891</v>
      </c>
      <c r="B113" s="2" t="s">
        <v>3000</v>
      </c>
      <c r="C113" s="2" t="s">
        <v>3002</v>
      </c>
      <c r="D113" s="2" t="s">
        <v>3004</v>
      </c>
      <c r="E113" s="3" t="str">
        <f ca="1">IFERROR(__xludf.DUMMYFUNCTION("GOOGLETRANSLATE(B113,""ja"",""vi"")"),"thạch")</f>
        <v>thạch</v>
      </c>
      <c r="F113" s="3" t="str">
        <f ca="1">IFERROR(__xludf.DUMMYFUNCTION("GOOGLETRANSLATE(C113,""ja"",""vi"")"),"Đấu giá&gt; thực phẩm, đồ uống&gt; chế độ ăn uống thực phẩm&gt; thạch")</f>
        <v>Đấu giá&gt; thực phẩm, đồ uống&gt; chế độ ăn uống thực phẩm&gt; thạch</v>
      </c>
      <c r="G113" s="229" t="str">
        <f t="shared" ca="1" si="2"/>
        <v>"2084006891" : "thạch",</v>
      </c>
      <c r="H113" s="229" t="str">
        <f t="shared" si="3"/>
        <v>&lt;li class="col-md-3"&gt;&lt;a class="text-cut" href="javascript:;"(click)="categoryEvent(2084006891)"&gt;{{"2084006891" | translate}}&lt;/a&gt;&lt;/li&gt;</v>
      </c>
    </row>
    <row r="114" spans="1:8" ht="14.25" customHeight="1">
      <c r="A114" s="2">
        <v>2084006889</v>
      </c>
      <c r="B114" s="2" t="s">
        <v>2127</v>
      </c>
      <c r="C114" s="2" t="s">
        <v>3009</v>
      </c>
      <c r="D114" s="2" t="s">
        <v>3011</v>
      </c>
      <c r="E114" s="3" t="str">
        <f ca="1">IFERROR(__xludf.DUMMYFUNCTION("GOOGLETRANSLATE(B114,""ja"",""vi"")"),"đồ uống")</f>
        <v>đồ uống</v>
      </c>
      <c r="F114" s="3" t="str">
        <f ca="1">IFERROR(__xludf.DUMMYFUNCTION("GOOGLETRANSLATE(C114,""ja"",""vi"")"),"Đấu giá&gt; thực phẩm, đồ uống&gt; thực phẩm chế độ ăn uống&gt; uống")</f>
        <v>Đấu giá&gt; thực phẩm, đồ uống&gt; thực phẩm chế độ ăn uống&gt; uống</v>
      </c>
      <c r="G114" s="229" t="str">
        <f t="shared" ca="1" si="2"/>
        <v>"2084006889" : "đồ uống",</v>
      </c>
      <c r="H114" s="229" t="str">
        <f t="shared" si="3"/>
        <v>&lt;li class="col-md-3"&gt;&lt;a class="text-cut" href="javascript:;"(click)="categoryEvent(2084006889)"&gt;{{"2084006889" | translate}}&lt;/a&gt;&lt;/li&gt;</v>
      </c>
    </row>
    <row r="115" spans="1:8" ht="14.25" customHeight="1">
      <c r="A115" s="2">
        <v>24054</v>
      </c>
      <c r="B115" s="2" t="s">
        <v>2134</v>
      </c>
      <c r="C115" s="2" t="s">
        <v>3024</v>
      </c>
      <c r="D115" s="2" t="s">
        <v>3026</v>
      </c>
      <c r="E115" s="3" t="str">
        <f ca="1">IFERROR(__xludf.DUMMYFUNCTION("GOOGLETRANSLATE(B115,""ja"",""vi"")"),"thực phẩm sức khỏe")</f>
        <v>thực phẩm sức khỏe</v>
      </c>
      <c r="F115" s="3" t="str">
        <f ca="1">IFERROR(__xludf.DUMMYFUNCTION("GOOGLETRANSLATE(C115,""ja"",""vi"")"),"Đấu giá&gt; thực phẩm, đồ uống&gt; thực phẩm chế độ ăn uống&gt; thực phẩm sức khỏe")</f>
        <v>Đấu giá&gt; thực phẩm, đồ uống&gt; thực phẩm chế độ ăn uống&gt; thực phẩm sức khỏe</v>
      </c>
      <c r="G115" s="229" t="str">
        <f t="shared" ca="1" si="2"/>
        <v>"24054" : "thực phẩm sức khỏe",</v>
      </c>
      <c r="H115" s="229" t="str">
        <f t="shared" si="3"/>
        <v>&lt;li class="col-md-3"&gt;&lt;a class="text-cut" href="javascript:;"(click)="categoryEvent(24054)"&gt;{{"24054" | translate}}&lt;/a&gt;&lt;/li&gt;</v>
      </c>
    </row>
    <row r="116" spans="1:8" ht="14.25" customHeight="1">
      <c r="A116" s="2">
        <v>2084006894</v>
      </c>
      <c r="B116" s="2" t="s">
        <v>3036</v>
      </c>
      <c r="C116" s="2" t="s">
        <v>3037</v>
      </c>
      <c r="D116" s="2" t="s">
        <v>3038</v>
      </c>
      <c r="E116" s="3" t="str">
        <f ca="1">IFERROR(__xludf.DUMMYFUNCTION("GOOGLETRANSLATE(B116,""ja"",""vi"")"),"mì sợi")</f>
        <v>mì sợi</v>
      </c>
      <c r="F116" s="3" t="str">
        <f ca="1">IFERROR(__xludf.DUMMYFUNCTION("GOOGLETRANSLATE(C116,""ja"",""vi"")"),"Đấu giá&gt; thực phẩm, đồ uống&gt; thực phẩm chế độ ăn uống&gt; mì")</f>
        <v>Đấu giá&gt; thực phẩm, đồ uống&gt; thực phẩm chế độ ăn uống&gt; mì</v>
      </c>
      <c r="G116" s="229" t="str">
        <f t="shared" ca="1" si="2"/>
        <v>"2084006894" : "mì sợi",</v>
      </c>
      <c r="H116" s="229" t="str">
        <f t="shared" si="3"/>
        <v>&lt;li class="col-md-3"&gt;&lt;a class="text-cut" href="javascript:;"(click)="categoryEvent(2084006894)"&gt;{{"2084006894" | translate}}&lt;/a&gt;&lt;/li&gt;</v>
      </c>
    </row>
    <row r="117" spans="1:8" ht="14.25" customHeight="1">
      <c r="A117" s="2">
        <v>2084006890</v>
      </c>
      <c r="B117" s="2" t="s">
        <v>16</v>
      </c>
      <c r="C117" s="2" t="s">
        <v>3047</v>
      </c>
      <c r="D117" s="2" t="s">
        <v>3049</v>
      </c>
      <c r="E117" s="3" t="str">
        <f ca="1">IFERROR(__xludf.DUMMYFUNCTION("GOOGLETRANSLATE(B117,""ja"",""vi"")"),"nếu không thì")</f>
        <v>nếu không thì</v>
      </c>
      <c r="F117" s="3" t="str">
        <f ca="1">IFERROR(__xludf.DUMMYFUNCTION("GOOGLETRANSLATE(C117,""ja"",""vi"")"),"Đấu giá&gt; thực phẩm, đồ uống&gt; thực phẩm chế độ ăn uống&gt; Khác")</f>
        <v>Đấu giá&gt; thực phẩm, đồ uống&gt; thực phẩm chế độ ăn uống&gt; Khác</v>
      </c>
      <c r="G117" s="229" t="str">
        <f t="shared" ca="1" si="2"/>
        <v>"2084006890" : "nếu không thì",</v>
      </c>
      <c r="H117" s="229" t="str">
        <f t="shared" si="3"/>
        <v>&lt;li class="col-md-3"&gt;&lt;a class="text-cut" href="javascript:;"(click)="categoryEvent(2084006890)"&gt;{{"2084006890" | translate}}&lt;/a&gt;&lt;/li&gt;</v>
      </c>
    </row>
    <row r="118" spans="1:8" ht="14.25" customHeight="1">
      <c r="E118" s="3"/>
      <c r="F118" s="3"/>
      <c r="G118" s="229"/>
      <c r="H118" s="229"/>
    </row>
    <row r="119" spans="1:8" ht="14.25" customHeight="1">
      <c r="A119" s="256">
        <v>2084042479</v>
      </c>
      <c r="B119" s="232"/>
      <c r="C119" s="232"/>
      <c r="D119" s="233"/>
      <c r="E119" s="3"/>
      <c r="F119" s="3"/>
      <c r="G119" s="229"/>
      <c r="H119" s="229"/>
    </row>
    <row r="120" spans="1:8" ht="14.25" customHeight="1">
      <c r="A120" s="2">
        <v>2084006744</v>
      </c>
      <c r="B120" s="2" t="s">
        <v>3062</v>
      </c>
      <c r="C120" s="2" t="s">
        <v>3063</v>
      </c>
      <c r="D120" s="2" t="s">
        <v>3065</v>
      </c>
      <c r="E120" s="3" t="str">
        <f ca="1">IFERROR(__xludf.DUMMYFUNCTION("GOOGLETRANSLATE(B120,""ja"",""vi"")"),"Đóng hộp, đóng chai")</f>
        <v>Đóng hộp, đóng chai</v>
      </c>
      <c r="F120" s="3" t="str">
        <f ca="1">IFERROR(__xludf.DUMMYFUNCTION("GOOGLETRANSLATE(C120,""ja"",""vi"")"),"Đấu giá&gt; thực phẩm, đồ uống&gt; thực phẩm chế biến&gt; đóng hộp, đóng chai")</f>
        <v>Đấu giá&gt; thực phẩm, đồ uống&gt; thực phẩm chế biến&gt; đóng hộp, đóng chai</v>
      </c>
      <c r="G120" s="229" t="str">
        <f t="shared" ca="1" si="2"/>
        <v>"2084006744" : "Đóng hộp, đóng chai",</v>
      </c>
      <c r="H120" s="229" t="str">
        <f t="shared" si="3"/>
        <v>&lt;li class="col-md-3"&gt;&lt;a class="text-cut" href="javascript:;"(click)="categoryEvent(2084006744)"&gt;{{"2084006744" | translate}}&lt;/a&gt;&lt;/li&gt;</v>
      </c>
    </row>
    <row r="121" spans="1:8" ht="14.25" customHeight="1">
      <c r="A121" s="2">
        <v>2084006743</v>
      </c>
      <c r="B121" s="2" t="s">
        <v>3071</v>
      </c>
      <c r="C121" s="2" t="s">
        <v>3075</v>
      </c>
      <c r="D121" s="2" t="s">
        <v>3077</v>
      </c>
      <c r="E121" s="3" t="str">
        <f ca="1">IFERROR(__xludf.DUMMYFUNCTION("GOOGLETRANSLATE(B121,""ja"",""vi"")"),"thực phẩm ăn liền")</f>
        <v>thực phẩm ăn liền</v>
      </c>
      <c r="F121" s="3" t="str">
        <f ca="1">IFERROR(__xludf.DUMMYFUNCTION("GOOGLETRANSLATE(C121,""ja"",""vi"")"),"Đấu giá&gt; thực phẩm, đồ uống&gt; thực phẩm chế biến&gt; Thực phẩm tức thì")</f>
        <v>Đấu giá&gt; thực phẩm, đồ uống&gt; thực phẩm chế biến&gt; Thực phẩm tức thì</v>
      </c>
      <c r="G121" s="229" t="str">
        <f t="shared" ca="1" si="2"/>
        <v>"2084006743" : "thực phẩm ăn liền",</v>
      </c>
      <c r="H121" s="229" t="str">
        <f t="shared" si="3"/>
        <v>&lt;li class="col-md-3"&gt;&lt;a class="text-cut" href="javascript:;"(click)="categoryEvent(2084006743)"&gt;{{"2084006743" | translate}}&lt;/a&gt;&lt;/li&gt;</v>
      </c>
    </row>
    <row r="122" spans="1:8" ht="14.25" customHeight="1">
      <c r="A122" s="2">
        <v>2084006745</v>
      </c>
      <c r="B122" s="2" t="s">
        <v>3083</v>
      </c>
      <c r="C122" s="2" t="s">
        <v>3085</v>
      </c>
      <c r="D122" s="2" t="s">
        <v>3086</v>
      </c>
      <c r="E122" s="3" t="str">
        <f ca="1">IFERROR(__xludf.DUMMYFUNCTION("GOOGLETRANSLATE(B122,""ja"",""vi"")"),"chất khô")</f>
        <v>chất khô</v>
      </c>
      <c r="F122" s="3" t="str">
        <f ca="1">IFERROR(__xludf.DUMMYFUNCTION("GOOGLETRANSLATE(C122,""ja"",""vi"")"),"Đấu giá&gt; thực phẩm, đồ uống&gt; thực phẩm chế biến&gt; chất khô")</f>
        <v>Đấu giá&gt; thực phẩm, đồ uống&gt; thực phẩm chế biến&gt; chất khô</v>
      </c>
      <c r="G122" s="229" t="str">
        <f t="shared" ca="1" si="2"/>
        <v>"2084006745" : "chất khô",</v>
      </c>
      <c r="H122" s="229" t="str">
        <f t="shared" si="3"/>
        <v>&lt;li class="col-md-3"&gt;&lt;a class="text-cut" href="javascript:;"(click)="categoryEvent(2084006745)"&gt;{{"2084006745" | translate}}&lt;/a&gt;&lt;/li&gt;</v>
      </c>
    </row>
    <row r="123" spans="1:8" ht="14.25" customHeight="1">
      <c r="A123" s="2">
        <v>2084006746</v>
      </c>
      <c r="B123" s="2" t="s">
        <v>3089</v>
      </c>
      <c r="C123" s="2" t="s">
        <v>3092</v>
      </c>
      <c r="D123" s="2" t="s">
        <v>3093</v>
      </c>
      <c r="E123" s="3" t="str">
        <f ca="1">IFERROR(__xludf.DUMMYFUNCTION("GOOGLETRANSLATE(B123,""ja"",""vi"")"),"dưa chua")</f>
        <v>dưa chua</v>
      </c>
      <c r="F123" s="3" t="str">
        <f ca="1">IFERROR(__xludf.DUMMYFUNCTION("GOOGLETRANSLATE(C123,""ja"",""vi"")"),"Đấu giá&gt; thực phẩm, đồ uống&gt; thực phẩm chế biến&gt; dưa chua")</f>
        <v>Đấu giá&gt; thực phẩm, đồ uống&gt; thực phẩm chế biến&gt; dưa chua</v>
      </c>
      <c r="G123" s="229" t="str">
        <f t="shared" ca="1" si="2"/>
        <v>"2084006746" : "dưa chua",</v>
      </c>
      <c r="H123" s="229" t="str">
        <f t="shared" si="3"/>
        <v>&lt;li class="col-md-3"&gt;&lt;a class="text-cut" href="javascript:;"(click)="categoryEvent(2084006746)"&gt;{{"2084006746" | translate}}&lt;/a&gt;&lt;/li&gt;</v>
      </c>
    </row>
    <row r="124" spans="1:8" ht="14.25" customHeight="1">
      <c r="A124" s="2">
        <v>2084217301</v>
      </c>
      <c r="B124" s="2" t="s">
        <v>2097</v>
      </c>
      <c r="C124" s="2" t="s">
        <v>3099</v>
      </c>
      <c r="D124" s="2" t="s">
        <v>3101</v>
      </c>
      <c r="E124" s="3" t="str">
        <f ca="1">IFERROR(__xludf.DUMMYFUNCTION("GOOGLETRANSLATE(B124,""ja"",""vi"")"),"thịt")</f>
        <v>thịt</v>
      </c>
      <c r="F124" s="3" t="str">
        <f ca="1">IFERROR(__xludf.DUMMYFUNCTION("GOOGLETRANSLATE(C124,""ja"",""vi"")"),"Đấu giá&gt; thực phẩm, đồ uống&gt; thực phẩm chế biến&gt; thịt")</f>
        <v>Đấu giá&gt; thực phẩm, đồ uống&gt; thực phẩm chế biến&gt; thịt</v>
      </c>
      <c r="G124" s="229" t="str">
        <f t="shared" ca="1" si="2"/>
        <v>"2084217301" : "thịt",</v>
      </c>
      <c r="H124" s="229" t="str">
        <f t="shared" si="3"/>
        <v>&lt;li class="col-md-3"&gt;&lt;a class="text-cut" href="javascript:;"(click)="categoryEvent(2084217301)"&gt;{{"2084217301" | translate}}&lt;/a&gt;&lt;/li&gt;</v>
      </c>
    </row>
    <row r="125" spans="1:8" ht="14.25" customHeight="1">
      <c r="A125" s="2">
        <v>2084045148</v>
      </c>
      <c r="B125" s="2" t="s">
        <v>2428</v>
      </c>
      <c r="C125" s="2" t="s">
        <v>3108</v>
      </c>
      <c r="D125" s="2" t="s">
        <v>3109</v>
      </c>
      <c r="E125" s="3" t="str">
        <f ca="1">IFERROR(__xludf.DUMMYFUNCTION("GOOGLETRANSLATE(B125,""ja"",""vi"")"),"Ham, xúc xích")</f>
        <v>Ham, xúc xích</v>
      </c>
      <c r="F125" s="3" t="str">
        <f ca="1">IFERROR(__xludf.DUMMYFUNCTION("GOOGLETRANSLATE(C125,""ja"",""vi"")"),"Đấu giá&gt; thực phẩm, đồ uống&gt; thực phẩm chế biến&gt; giăm bông, xúc xích")</f>
        <v>Đấu giá&gt; thực phẩm, đồ uống&gt; thực phẩm chế biến&gt; giăm bông, xúc xích</v>
      </c>
      <c r="G125" s="229" t="str">
        <f t="shared" ca="1" si="2"/>
        <v>"2084045148" : "Ham, xúc xích",</v>
      </c>
      <c r="H125" s="229" t="str">
        <f t="shared" si="3"/>
        <v>&lt;li class="col-md-3"&gt;&lt;a class="text-cut" href="javascript:;"(click)="categoryEvent(2084045148)"&gt;{{"2084045148" | translate}}&lt;/a&gt;&lt;/li&gt;</v>
      </c>
    </row>
    <row r="126" spans="1:8" ht="14.25" customHeight="1">
      <c r="A126" s="2">
        <v>2084220401</v>
      </c>
      <c r="B126" s="2" t="s">
        <v>3114</v>
      </c>
      <c r="C126" s="2" t="s">
        <v>3115</v>
      </c>
      <c r="D126" s="2" t="s">
        <v>3116</v>
      </c>
      <c r="E126" s="3" t="str">
        <f ca="1">IFERROR(__xludf.DUMMYFUNCTION("GOOGLETRANSLATE(B126,""ja"",""vi"")"),"thực phẩm vặn lại")</f>
        <v>thực phẩm vặn lại</v>
      </c>
      <c r="F126" s="3" t="str">
        <f ca="1">IFERROR(__xludf.DUMMYFUNCTION("GOOGLETRANSLATE(C126,""ja"",""vi"")"),"Đấu giá&gt; thực phẩm, đồ uống&gt; thực phẩm chế biến&gt; thực phẩm vặn lại")</f>
        <v>Đấu giá&gt; thực phẩm, đồ uống&gt; thực phẩm chế biến&gt; thực phẩm vặn lại</v>
      </c>
      <c r="G126" s="229" t="str">
        <f t="shared" ca="1" si="2"/>
        <v>"2084220401" : "thực phẩm vặn lại",</v>
      </c>
      <c r="H126" s="229" t="str">
        <f t="shared" si="3"/>
        <v>&lt;li class="col-md-3"&gt;&lt;a class="text-cut" href="javascript:;"(click)="categoryEvent(2084220401)"&gt;{{"2084220401" | translate}}&lt;/a&gt;&lt;/li&gt;</v>
      </c>
    </row>
    <row r="127" spans="1:8" ht="14.25" customHeight="1">
      <c r="A127" s="2">
        <v>2084006749</v>
      </c>
      <c r="B127" s="2" t="s">
        <v>3119</v>
      </c>
      <c r="C127" s="2" t="s">
        <v>3120</v>
      </c>
      <c r="D127" s="2" t="s">
        <v>3121</v>
      </c>
      <c r="E127" s="3" t="str">
        <f ca="1">IFERROR(__xludf.DUMMYFUNCTION("GOOGLETRANSLATE(B127,""ja"",""vi"")"),"Đậu hũ, các sản phẩm đậu")</f>
        <v>Đậu hũ, các sản phẩm đậu</v>
      </c>
      <c r="F127" s="3" t="str">
        <f ca="1">IFERROR(__xludf.DUMMYFUNCTION("GOOGLETRANSLATE(C127,""ja"",""vi"")"),"Đấu giá&gt; thực phẩm, đồ uống&gt; thực phẩm&gt; đậu hũ, các sản phẩm đậu chế biến")</f>
        <v>Đấu giá&gt; thực phẩm, đồ uống&gt; thực phẩm&gt; đậu hũ, các sản phẩm đậu chế biến</v>
      </c>
      <c r="G127" s="229" t="str">
        <f t="shared" ca="1" si="2"/>
        <v>"2084006749" : "Đậu hũ, các sản phẩm đậu",</v>
      </c>
      <c r="H127" s="229" t="str">
        <f t="shared" si="3"/>
        <v>&lt;li class="col-md-3"&gt;&lt;a class="text-cut" href="javascript:;"(click)="categoryEvent(2084006749)"&gt;{{"2084006749" | translate}}&lt;/a&gt;&lt;/li&gt;</v>
      </c>
    </row>
    <row r="128" spans="1:8" ht="14.25" customHeight="1">
      <c r="A128" s="2">
        <v>2084006747</v>
      </c>
      <c r="B128" s="2" t="s">
        <v>3125</v>
      </c>
      <c r="C128" s="2" t="s">
        <v>3126</v>
      </c>
      <c r="D128" s="2" t="s">
        <v>3127</v>
      </c>
      <c r="E128" s="3" t="str">
        <f ca="1">IFERROR(__xludf.DUMMYFUNCTION("GOOGLETRANSLATE(B128,""ja"",""vi"")"),"thực phẩm đông lạnh")</f>
        <v>thực phẩm đông lạnh</v>
      </c>
      <c r="F128" s="3" t="str">
        <f ca="1">IFERROR(__xludf.DUMMYFUNCTION("GOOGLETRANSLATE(C128,""ja"",""vi"")"),"Đấu giá&gt; thực phẩm, đồ uống&gt; thực phẩm chế biến&gt; thực phẩm đông lạnh")</f>
        <v>Đấu giá&gt; thực phẩm, đồ uống&gt; thực phẩm chế biến&gt; thực phẩm đông lạnh</v>
      </c>
      <c r="G128" s="229" t="str">
        <f t="shared" ca="1" si="2"/>
        <v>"2084006747" : "thực phẩm đông lạnh",</v>
      </c>
      <c r="H128" s="229" t="str">
        <f t="shared" si="3"/>
        <v>&lt;li class="col-md-3"&gt;&lt;a class="text-cut" href="javascript:;"(click)="categoryEvent(2084006747)"&gt;{{"2084006747" | translate}}&lt;/a&gt;&lt;/li&gt;</v>
      </c>
    </row>
    <row r="129" spans="1:8" ht="14.25" customHeight="1">
      <c r="A129" s="2">
        <v>2084049561</v>
      </c>
      <c r="B129" s="2" t="s">
        <v>3129</v>
      </c>
      <c r="C129" s="2" t="s">
        <v>3131</v>
      </c>
      <c r="D129" s="2" t="s">
        <v>3133</v>
      </c>
      <c r="E129" s="3" t="str">
        <f ca="1">IFERROR(__xludf.DUMMYFUNCTION("GOOGLETRANSLATE(B129,""ja"",""vi"")"),"kneaded")</f>
        <v>kneaded</v>
      </c>
      <c r="F129" s="3" t="str">
        <f ca="1">IFERROR(__xludf.DUMMYFUNCTION("GOOGLETRANSLATE(C129,""ja"",""vi"")"),"Đấu giá&gt; thực phẩm, đồ uống&gt; thực phẩm chế biến&gt; sen được nhào nặn")</f>
        <v>Đấu giá&gt; thực phẩm, đồ uống&gt; thực phẩm chế biến&gt; sen được nhào nặn</v>
      </c>
      <c r="G129" s="229" t="str">
        <f t="shared" ca="1" si="2"/>
        <v>"2084049561" : "kneaded",</v>
      </c>
      <c r="H129" s="229" t="str">
        <f t="shared" si="3"/>
        <v>&lt;li class="col-md-3"&gt;&lt;a class="text-cut" href="javascript:;"(click)="categoryEvent(2084049561)"&gt;{{"2084049561" | translate}}&lt;/a&gt;&lt;/li&gt;</v>
      </c>
    </row>
    <row r="130" spans="1:8" ht="14.25" customHeight="1">
      <c r="A130" s="2">
        <v>2084042495</v>
      </c>
      <c r="B130" s="2" t="s">
        <v>16</v>
      </c>
      <c r="C130" s="2" t="s">
        <v>3143</v>
      </c>
      <c r="D130" s="2" t="s">
        <v>3144</v>
      </c>
      <c r="E130" s="3" t="str">
        <f ca="1">IFERROR(__xludf.DUMMYFUNCTION("GOOGLETRANSLATE(B130,""ja"",""vi"")"),"nếu không thì")</f>
        <v>nếu không thì</v>
      </c>
      <c r="F130" s="3" t="str">
        <f ca="1">IFERROR(__xludf.DUMMYFUNCTION("GOOGLETRANSLATE(C130,""ja"",""vi"")"),"Đấu giá&gt; thực phẩm, đồ uống&gt; thực phẩm chế biến&gt; Khác")</f>
        <v>Đấu giá&gt; thực phẩm, đồ uống&gt; thực phẩm chế biến&gt; Khác</v>
      </c>
      <c r="G130" s="229" t="str">
        <f t="shared" ca="1" si="2"/>
        <v>"2084042495" : "nếu không thì",</v>
      </c>
      <c r="H130" s="229" t="str">
        <f t="shared" si="3"/>
        <v>&lt;li class="col-md-3"&gt;&lt;a class="text-cut" href="javascript:;"(click)="categoryEvent(2084042495)"&gt;{{"2084042495" | translate}}&lt;/a&gt;&lt;/li&gt;</v>
      </c>
    </row>
    <row r="131" spans="1:8" ht="14.25" customHeight="1">
      <c r="E131" s="3"/>
      <c r="F131" s="3"/>
      <c r="G131" s="229"/>
      <c r="H131" s="229"/>
    </row>
    <row r="132" spans="1:8" ht="14.25" customHeight="1">
      <c r="A132" s="252">
        <v>23982</v>
      </c>
      <c r="B132" s="232"/>
      <c r="C132" s="232"/>
      <c r="D132" s="233"/>
      <c r="E132" s="3"/>
      <c r="F132" s="3"/>
      <c r="G132" s="229"/>
      <c r="H132" s="229"/>
    </row>
    <row r="133" spans="1:8" ht="14.25" customHeight="1">
      <c r="A133" s="2">
        <v>2084050394</v>
      </c>
      <c r="B133" s="2" t="s">
        <v>2346</v>
      </c>
      <c r="C133" s="2" t="s">
        <v>3165</v>
      </c>
      <c r="D133" s="2" t="s">
        <v>3167</v>
      </c>
      <c r="E133" s="3" t="str">
        <f ca="1">IFERROR(__xludf.DUMMYFUNCTION("GOOGLETRANSLATE(B133,""ja"",""vi"")"),"Set, Assortment")</f>
        <v>Set, Assortment</v>
      </c>
      <c r="F133" s="3" t="str">
        <f ca="1">IFERROR(__xludf.DUMMYFUNCTION("GOOGLETRANSLATE(C133,""ja"",""vi"")"),"Đấu giá&gt; thực phẩm, đồ uống&gt; bánh ngọt, món tráng miệng&gt; thiết lập, loại")</f>
        <v>Đấu giá&gt; thực phẩm, đồ uống&gt; bánh ngọt, món tráng miệng&gt; thiết lập, loại</v>
      </c>
      <c r="G133" s="229" t="str">
        <f t="shared" ref="G133:G192" ca="1" si="4">CONCATENATE(CHAR(34)&amp;"",A133,""&amp;CHAR(34)," : ", CHAR(34)&amp;"",E133,""&amp;CHAR(34),",")</f>
        <v>"2084050394" : "Set, Assortment",</v>
      </c>
      <c r="H133" s="229" t="str">
        <f t="shared" ref="H133:H192" si="5">CONCATENATE("&lt;li class=",CHAR(34)&amp;"","col-md-3",""&amp;CHAR(34),"&gt;","&lt;a class=",CHAR(34)&amp;"","text-cut",""&amp;CHAR(34)," href=",CHAR(34)&amp;"","javascript:;",""&amp;CHAR(34), "(click)=",CHAR(34)&amp;"","categoryEvent(",A133,")",""&amp;CHAR(34),"&gt;{{",CHAR(34)&amp;"",A133,""&amp;CHAR(34)," | translate}}&lt;/a&gt;&lt;/li&gt;")</f>
        <v>&lt;li class="col-md-3"&gt;&lt;a class="text-cut" href="javascript:;"(click)="categoryEvent(2084050394)"&gt;{{"2084050394" | translate}}&lt;/a&gt;&lt;/li&gt;</v>
      </c>
    </row>
    <row r="134" spans="1:8" ht="14.25" customHeight="1">
      <c r="A134" s="2">
        <v>2084050396</v>
      </c>
      <c r="B134" s="2" t="s">
        <v>3176</v>
      </c>
      <c r="C134" s="2" t="s">
        <v>3177</v>
      </c>
      <c r="D134" s="2" t="s">
        <v>3178</v>
      </c>
      <c r="E134" s="3" t="str">
        <f ca="1">IFERROR(__xludf.DUMMYFUNCTION("GOOGLETRANSLATE(B134,""ja"",""vi"")"),"Món khai vị, món ăn")</f>
        <v>Món khai vị, món ăn</v>
      </c>
      <c r="F134" s="3" t="str">
        <f ca="1">IFERROR(__xludf.DUMMYFUNCTION("GOOGLETRANSLATE(C134,""ja"",""vi"")"),"Đấu giá&gt; thực phẩm, đồ uống&gt; bánh ngọt, món tráng miệng&gt; món khai vị, món ăn")</f>
        <v>Đấu giá&gt; thực phẩm, đồ uống&gt; bánh ngọt, món tráng miệng&gt; món khai vị, món ăn</v>
      </c>
      <c r="G134" s="229" t="str">
        <f t="shared" ca="1" si="4"/>
        <v>"2084050396" : "Món khai vị, món ăn",</v>
      </c>
      <c r="H134" s="229" t="str">
        <f t="shared" si="5"/>
        <v>&lt;li class="col-md-3"&gt;&lt;a class="text-cut" href="javascript:;"(click)="categoryEvent(2084050396)"&gt;{{"2084050396" | translate}}&lt;/a&gt;&lt;/li&gt;</v>
      </c>
    </row>
    <row r="135" spans="1:8" ht="14.25" customHeight="1">
      <c r="A135" s="2">
        <v>2084050400</v>
      </c>
      <c r="B135" s="2" t="s">
        <v>3185</v>
      </c>
      <c r="C135" s="2" t="s">
        <v>3186</v>
      </c>
      <c r="D135" s="2" t="s">
        <v>3189</v>
      </c>
      <c r="E135" s="3" t="str">
        <f ca="1">IFERROR(__xludf.DUMMYFUNCTION("GOOGLETRANSLATE(B135,""ja"",""vi"")"),"Bánh quy giòn, mưa đá")</f>
        <v>Bánh quy giòn, mưa đá</v>
      </c>
      <c r="F135" s="3" t="str">
        <f ca="1">IFERROR(__xludf.DUMMYFUNCTION("GOOGLETRANSLATE(C135,""ja"",""vi"")"),"Đấu giá&gt; thực phẩm, đồ uống&gt; bánh ngọt, món tráng miệng&gt; bánh quy giòn, mưa đá")</f>
        <v>Đấu giá&gt; thực phẩm, đồ uống&gt; bánh ngọt, món tráng miệng&gt; bánh quy giòn, mưa đá</v>
      </c>
      <c r="G135" s="229" t="str">
        <f t="shared" ca="1" si="4"/>
        <v>"2084050400" : "Bánh quy giòn, mưa đá",</v>
      </c>
      <c r="H135" s="229" t="str">
        <f t="shared" si="5"/>
        <v>&lt;li class="col-md-3"&gt;&lt;a class="text-cut" href="javascript:;"(click)="categoryEvent(2084050400)"&gt;{{"2084050400" | translate}}&lt;/a&gt;&lt;/li&gt;</v>
      </c>
    </row>
    <row r="136" spans="1:8" ht="14.25" customHeight="1">
      <c r="A136" s="2">
        <v>2084050395</v>
      </c>
      <c r="B136" s="2" t="s">
        <v>3196</v>
      </c>
      <c r="C136" s="2" t="s">
        <v>3197</v>
      </c>
      <c r="D136" s="2" t="s">
        <v>3198</v>
      </c>
      <c r="E136" s="3" t="str">
        <f ca="1">IFERROR(__xludf.DUMMYFUNCTION("GOOGLETRANSLATE(B136,""ja"",""vi"")"),"Ice, nước trái cây")</f>
        <v>Ice, nước trái cây</v>
      </c>
      <c r="F136" s="3" t="str">
        <f ca="1">IFERROR(__xludf.DUMMYFUNCTION("GOOGLETRANSLATE(C136,""ja"",""vi"")"),"Đấu giá&gt; thực phẩm, đồ uống&gt; bánh ngọt, món tráng miệng&gt; băng, nước trái cây")</f>
        <v>Đấu giá&gt; thực phẩm, đồ uống&gt; bánh ngọt, món tráng miệng&gt; băng, nước trái cây</v>
      </c>
      <c r="G136" s="229" t="str">
        <f t="shared" ca="1" si="4"/>
        <v>"2084050395" : "Ice, nước trái cây",</v>
      </c>
      <c r="H136" s="229" t="str">
        <f t="shared" si="5"/>
        <v>&lt;li class="col-md-3"&gt;&lt;a class="text-cut" href="javascript:;"(click)="categoryEvent(2084050395)"&gt;{{"2084050395" | translate}}&lt;/a&gt;&lt;/li&gt;</v>
      </c>
    </row>
    <row r="137" spans="1:8" ht="14.25" customHeight="1">
      <c r="A137" s="2">
        <v>2084050397</v>
      </c>
      <c r="B137" s="2" t="s">
        <v>2981</v>
      </c>
      <c r="C137" s="2" t="s">
        <v>3205</v>
      </c>
      <c r="D137" s="2" t="s">
        <v>3206</v>
      </c>
      <c r="E137" s="3" t="str">
        <f ca="1">IFERROR(__xludf.DUMMYFUNCTION("GOOGLETRANSLATE(B137,""ja"",""vi"")"),"Cookies, bánh quy")</f>
        <v>Cookies, bánh quy</v>
      </c>
      <c r="F137" s="3" t="str">
        <f ca="1">IFERROR(__xludf.DUMMYFUNCTION("GOOGLETRANSLATE(C137,""ja"",""vi"")"),"Đấu giá&gt; thực phẩm, đồ uống&gt; bánh ngọt, món tráng miệng&gt; cookies, bánh quy")</f>
        <v>Đấu giá&gt; thực phẩm, đồ uống&gt; bánh ngọt, món tráng miệng&gt; cookies, bánh quy</v>
      </c>
      <c r="G137" s="229" t="str">
        <f t="shared" ca="1" si="4"/>
        <v>"2084050397" : "Cookies, bánh quy",</v>
      </c>
      <c r="H137" s="229" t="str">
        <f t="shared" si="5"/>
        <v>&lt;li class="col-md-3"&gt;&lt;a class="text-cut" href="javascript:;"(click)="categoryEvent(2084050397)"&gt;{{"2084050397" | translate}}&lt;/a&gt;&lt;/li&gt;</v>
      </c>
    </row>
    <row r="138" spans="1:8" ht="14.25" customHeight="1">
      <c r="A138" s="2">
        <v>2084050398</v>
      </c>
      <c r="B138" s="2" t="s">
        <v>3211</v>
      </c>
      <c r="C138" s="2" t="s">
        <v>3213</v>
      </c>
      <c r="D138" s="2" t="s">
        <v>3216</v>
      </c>
      <c r="E138" s="3" t="str">
        <f ca="1">IFERROR(__xludf.DUMMYFUNCTION("GOOGLETRANSLATE(B138,""ja"",""vi"")"),"bánh ngọt")</f>
        <v>bánh ngọt</v>
      </c>
      <c r="F138" s="3" t="str">
        <f ca="1">IFERROR(__xludf.DUMMYFUNCTION("GOOGLETRANSLATE(C138,""ja"",""vi"")"),"Đấu giá&gt; thực phẩm, đồ uống&gt; bánh ngọt, món tráng miệng&gt; Bánh")</f>
        <v>Đấu giá&gt; thực phẩm, đồ uống&gt; bánh ngọt, món tráng miệng&gt; Bánh</v>
      </c>
      <c r="G138" s="229" t="str">
        <f t="shared" ca="1" si="4"/>
        <v>"2084050398" : "bánh ngọt",</v>
      </c>
      <c r="H138" s="229" t="str">
        <f t="shared" si="5"/>
        <v>&lt;li class="col-md-3"&gt;&lt;a class="text-cut" href="javascript:;"(click)="categoryEvent(2084050398)"&gt;{{"2084050398" | translate}}&lt;/a&gt;&lt;/li&gt;</v>
      </c>
    </row>
    <row r="139" spans="1:8" ht="14.25" customHeight="1">
      <c r="A139" s="2">
        <v>2084050399</v>
      </c>
      <c r="B139" s="2" t="s">
        <v>3219</v>
      </c>
      <c r="C139" s="2" t="s">
        <v>3221</v>
      </c>
      <c r="D139" s="2" t="s">
        <v>3223</v>
      </c>
      <c r="E139" s="3" t="str">
        <f ca="1">IFERROR(__xludf.DUMMYFUNCTION("GOOGLETRANSLATE(B139,""ja"",""vi"")"),"đồ ăn vặt")</f>
        <v>đồ ăn vặt</v>
      </c>
      <c r="F139" s="3" t="str">
        <f ca="1">IFERROR(__xludf.DUMMYFUNCTION("GOOGLETRANSLATE(C139,""ja"",""vi"")"),"Đấu giá&gt; thực phẩm, đồ uống&gt; bánh ngọt, món tráng miệng&gt; đồ ăn nhẹ")</f>
        <v>Đấu giá&gt; thực phẩm, đồ uống&gt; bánh ngọt, món tráng miệng&gt; đồ ăn nhẹ</v>
      </c>
      <c r="G139" s="229" t="str">
        <f t="shared" ca="1" si="4"/>
        <v>"2084050399" : "đồ ăn vặt",</v>
      </c>
      <c r="H139" s="229" t="str">
        <f t="shared" si="5"/>
        <v>&lt;li class="col-md-3"&gt;&lt;a class="text-cut" href="javascript:;"(click)="categoryEvent(2084050399)"&gt;{{"2084050399" | translate}}&lt;/a&gt;&lt;/li&gt;</v>
      </c>
    </row>
    <row r="140" spans="1:8" ht="14.25" customHeight="1">
      <c r="A140" s="2">
        <v>2084050429</v>
      </c>
      <c r="B140" s="2" t="s">
        <v>3227</v>
      </c>
      <c r="C140" s="2" t="s">
        <v>3228</v>
      </c>
      <c r="D140" s="2" t="s">
        <v>3229</v>
      </c>
      <c r="E140" s="3" t="str">
        <f ca="1">IFERROR(__xludf.DUMMYFUNCTION("GOOGLETRANSLATE(B140,""ja"",""vi"")"),"kẹo cao su")</f>
        <v>kẹo cao su</v>
      </c>
      <c r="F140" s="3" t="str">
        <f ca="1">IFERROR(__xludf.DUMMYFUNCTION("GOOGLETRANSLATE(C140,""ja"",""vi"")"),"Đấu giá&gt; thực phẩm, đồ uống&gt; bánh ngọt, món tráng miệng&gt; kẹo cao su")</f>
        <v>Đấu giá&gt; thực phẩm, đồ uống&gt; bánh ngọt, món tráng miệng&gt; kẹo cao su</v>
      </c>
      <c r="G140" s="229" t="str">
        <f t="shared" ca="1" si="4"/>
        <v>"2084050429" : "kẹo cao su",</v>
      </c>
      <c r="H140" s="229" t="str">
        <f t="shared" si="5"/>
        <v>&lt;li class="col-md-3"&gt;&lt;a class="text-cut" href="javascript:;"(click)="categoryEvent(2084050429)"&gt;{{"2084050429" | translate}}&lt;/a&gt;&lt;/li&gt;</v>
      </c>
    </row>
    <row r="141" spans="1:8" ht="14.25" customHeight="1">
      <c r="A141" s="2">
        <v>23986</v>
      </c>
      <c r="B141" s="2" t="s">
        <v>3235</v>
      </c>
      <c r="C141" s="2" t="s">
        <v>3236</v>
      </c>
      <c r="D141" s="2" t="s">
        <v>3240</v>
      </c>
      <c r="E141" s="3" t="str">
        <f ca="1">IFERROR(__xludf.DUMMYFUNCTION("GOOGLETRANSLATE(B141,""ja"",""vi"")"),"sôcôla")</f>
        <v>sôcôla</v>
      </c>
      <c r="F141" s="3" t="str">
        <f ca="1">IFERROR(__xludf.DUMMYFUNCTION("GOOGLETRANSLATE(C141,""ja"",""vi"")"),"Đấu giá&gt; thực phẩm, đồ uống&gt; bánh ngọt, món tráng miệng&gt; Sôcôla")</f>
        <v>Đấu giá&gt; thực phẩm, đồ uống&gt; bánh ngọt, món tráng miệng&gt; Sôcôla</v>
      </c>
      <c r="G141" s="229" t="str">
        <f t="shared" ca="1" si="4"/>
        <v>"23986" : "sôcôla",</v>
      </c>
      <c r="H141" s="229" t="str">
        <f t="shared" si="5"/>
        <v>&lt;li class="col-md-3"&gt;&lt;a class="text-cut" href="javascript:;"(click)="categoryEvent(23986)"&gt;{{"23986" | translate}}&lt;/a&gt;&lt;/li&gt;</v>
      </c>
    </row>
    <row r="142" spans="1:8" ht="14.25" customHeight="1">
      <c r="A142" s="2">
        <v>2084050401</v>
      </c>
      <c r="B142" s="2" t="s">
        <v>3243</v>
      </c>
      <c r="C142" s="2" t="s">
        <v>3244</v>
      </c>
      <c r="D142" s="2" t="s">
        <v>3245</v>
      </c>
      <c r="E142" s="3" t="str">
        <f ca="1">IFERROR(__xludf.DUMMYFUNCTION("GOOGLETRANSLATE(B142,""ja"",""vi"")"),"donut")</f>
        <v>donut</v>
      </c>
      <c r="F142" s="3" t="str">
        <f ca="1">IFERROR(__xludf.DUMMYFUNCTION("GOOGLETRANSLATE(C142,""ja"",""vi"")"),"Đấu giá&gt; thực phẩm, đồ uống&gt; bánh ngọt, món tráng miệng&gt; donut")</f>
        <v>Đấu giá&gt; thực phẩm, đồ uống&gt; bánh ngọt, món tráng miệng&gt; donut</v>
      </c>
      <c r="G142" s="229" t="str">
        <f t="shared" ca="1" si="4"/>
        <v>"2084050401" : "donut",</v>
      </c>
      <c r="H142" s="229" t="str">
        <f t="shared" si="5"/>
        <v>&lt;li class="col-md-3"&gt;&lt;a class="text-cut" href="javascript:;"(click)="categoryEvent(2084050401)"&gt;{{"2084050401" | translate}}&lt;/a&gt;&lt;/li&gt;</v>
      </c>
    </row>
    <row r="143" spans="1:8" ht="14.25" customHeight="1">
      <c r="A143" s="2">
        <v>2084050402</v>
      </c>
      <c r="B143" s="2" t="s">
        <v>3250</v>
      </c>
      <c r="C143" s="2" t="s">
        <v>3251</v>
      </c>
      <c r="D143" s="2" t="s">
        <v>3254</v>
      </c>
      <c r="E143" s="3" t="str">
        <f ca="1">IFERROR(__xludf.DUMMYFUNCTION("GOOGLETRANSLATE(B143,""ja"",""vi"")"),"quả hạch")</f>
        <v>quả hạch</v>
      </c>
      <c r="F143" s="3" t="str">
        <f ca="1">IFERROR(__xludf.DUMMYFUNCTION("GOOGLETRANSLATE(C143,""ja"",""vi"")"),"Đấu giá&gt; thực phẩm, đồ uống&gt; bánh ngọt, món tráng miệng&gt; hạt")</f>
        <v>Đấu giá&gt; thực phẩm, đồ uống&gt; bánh ngọt, món tráng miệng&gt; hạt</v>
      </c>
      <c r="G143" s="229" t="str">
        <f t="shared" ca="1" si="4"/>
        <v>"2084050402" : "quả hạch",</v>
      </c>
      <c r="H143" s="229" t="str">
        <f t="shared" si="5"/>
        <v>&lt;li class="col-md-3"&gt;&lt;a class="text-cut" href="javascript:;"(click)="categoryEvent(2084050402)"&gt;{{"2084050402" | translate}}&lt;/a&gt;&lt;/li&gt;</v>
      </c>
    </row>
    <row r="144" spans="1:8" ht="14.25" customHeight="1">
      <c r="A144" s="2">
        <v>2084050403</v>
      </c>
      <c r="B144" s="2" t="s">
        <v>3258</v>
      </c>
      <c r="C144" s="2" t="s">
        <v>3260</v>
      </c>
      <c r="D144" s="2" t="s">
        <v>3263</v>
      </c>
      <c r="E144" s="3" t="str">
        <f ca="1">IFERROR(__xludf.DUMMYFUNCTION("GOOGLETRANSLATE(B144,""ja"",""vi"")"),"Bánh nướng, bánh")</f>
        <v>Bánh nướng, bánh</v>
      </c>
      <c r="F144" s="3" t="str">
        <f ca="1">IFERROR(__xludf.DUMMYFUNCTION("GOOGLETRANSLATE(C144,""ja"",""vi"")"),"Đấu giá&gt; thực phẩm, đồ uống&gt; bánh ngọt, món tráng miệng&gt; bánh nướng, bánh")</f>
        <v>Đấu giá&gt; thực phẩm, đồ uống&gt; bánh ngọt, món tráng miệng&gt; bánh nướng, bánh</v>
      </c>
      <c r="G144" s="229" t="str">
        <f t="shared" ca="1" si="4"/>
        <v>"2084050403" : "Bánh nướng, bánh",</v>
      </c>
      <c r="H144" s="229" t="str">
        <f t="shared" si="5"/>
        <v>&lt;li class="col-md-3"&gt;&lt;a class="text-cut" href="javascript:;"(click)="categoryEvent(2084050403)"&gt;{{"2084050403" | translate}}&lt;/a&gt;&lt;/li&gt;</v>
      </c>
    </row>
    <row r="145" spans="1:8" ht="14.25" customHeight="1">
      <c r="A145" s="2">
        <v>2084048839</v>
      </c>
      <c r="B145" s="2" t="s">
        <v>3267</v>
      </c>
      <c r="C145" s="2" t="s">
        <v>3270</v>
      </c>
      <c r="D145" s="2" t="s">
        <v>3272</v>
      </c>
      <c r="E145" s="3" t="str">
        <f ca="1">IFERROR(__xludf.DUMMYFUNCTION("GOOGLETRANSLATE(B145,""ja"",""vi"")"),"quả")</f>
        <v>quả</v>
      </c>
      <c r="F145" s="3" t="str">
        <f ca="1">IFERROR(__xludf.DUMMYFUNCTION("GOOGLETRANSLATE(C145,""ja"",""vi"")"),"Đấu giá&gt; thực phẩm, đồ uống&gt; bánh ngọt, món tráng miệng&gt; hoa quả")</f>
        <v>Đấu giá&gt; thực phẩm, đồ uống&gt; bánh ngọt, món tráng miệng&gt; hoa quả</v>
      </c>
      <c r="G145" s="229" t="str">
        <f t="shared" ca="1" si="4"/>
        <v>"2084048839" : "quả",</v>
      </c>
      <c r="H145" s="229" t="str">
        <f t="shared" si="5"/>
        <v>&lt;li class="col-md-3"&gt;&lt;a class="text-cut" href="javascript:;"(click)="categoryEvent(2084048839)"&gt;{{"2084048839" | translate}}&lt;/a&gt;&lt;/li&gt;</v>
      </c>
    </row>
    <row r="146" spans="1:8" ht="14.25" customHeight="1">
      <c r="A146" s="2">
        <v>2084050404</v>
      </c>
      <c r="B146" s="2" t="s">
        <v>3278</v>
      </c>
      <c r="C146" s="2" t="s">
        <v>3280</v>
      </c>
      <c r="D146" s="2" t="s">
        <v>3283</v>
      </c>
      <c r="E146" s="3" t="str">
        <f ca="1">IFERROR(__xludf.DUMMYFUNCTION("GOOGLETRANSLATE(B146,""ja"",""vi"")"),"Pudding, mousse")</f>
        <v>Pudding, mousse</v>
      </c>
      <c r="F146" s="3" t="str">
        <f ca="1">IFERROR(__xludf.DUMMYFUNCTION("GOOGLETRANSLATE(C146,""ja"",""vi"")"),"Đấu giá&gt; thực phẩm, đồ uống&gt; bánh ngọt, món tráng miệng&gt; bánh pudding, mousse")</f>
        <v>Đấu giá&gt; thực phẩm, đồ uống&gt; bánh ngọt, món tráng miệng&gt; bánh pudding, mousse</v>
      </c>
      <c r="G146" s="229" t="str">
        <f t="shared" ca="1" si="4"/>
        <v>"2084050404" : "Pudding, mousse",</v>
      </c>
      <c r="H146" s="229" t="str">
        <f t="shared" si="5"/>
        <v>&lt;li class="col-md-3"&gt;&lt;a class="text-cut" href="javascript:;"(click)="categoryEvent(2084050404)"&gt;{{"2084050404" | translate}}&lt;/a&gt;&lt;/li&gt;</v>
      </c>
    </row>
    <row r="147" spans="1:8" ht="14.25" customHeight="1">
      <c r="A147" s="2">
        <v>23990</v>
      </c>
      <c r="B147" s="2" t="s">
        <v>3288</v>
      </c>
      <c r="C147" s="2" t="s">
        <v>3290</v>
      </c>
      <c r="D147" s="2" t="s">
        <v>3292</v>
      </c>
      <c r="E147" s="3" t="str">
        <f ca="1">IFERROR(__xludf.DUMMYFUNCTION("GOOGLETRANSLATE(B147,""ja"",""vi"")"),"Kẹo, kẹo")</f>
        <v>Kẹo, kẹo</v>
      </c>
      <c r="F147" s="3" t="str">
        <f ca="1">IFERROR(__xludf.DUMMYFUNCTION("GOOGLETRANSLATE(C147,""ja"",""vi"")"),"Đấu giá&gt; thực phẩm, đồ uống&gt; bánh ngọt, món tráng miệng&gt; kẹo, kẹo")</f>
        <v>Đấu giá&gt; thực phẩm, đồ uống&gt; bánh ngọt, món tráng miệng&gt; kẹo, kẹo</v>
      </c>
      <c r="G147" s="229" t="str">
        <f t="shared" ca="1" si="4"/>
        <v>"23990" : "Kẹo, kẹo",</v>
      </c>
      <c r="H147" s="229" t="str">
        <f t="shared" si="5"/>
        <v>&lt;li class="col-md-3"&gt;&lt;a class="text-cut" href="javascript:;"(click)="categoryEvent(23990)"&gt;{{"23990" | translate}}&lt;/a&gt;&lt;/li&gt;</v>
      </c>
    </row>
    <row r="148" spans="1:8" ht="14.25" customHeight="1">
      <c r="A148" s="2">
        <v>2084050405</v>
      </c>
      <c r="B148" s="2" t="s">
        <v>3297</v>
      </c>
      <c r="C148" s="2" t="s">
        <v>3299</v>
      </c>
      <c r="D148" s="2" t="s">
        <v>3300</v>
      </c>
      <c r="E148" s="3" t="str">
        <f ca="1">IFERROR(__xludf.DUMMYFUNCTION("GOOGLETRANSLATE(B148,""ja"",""vi"")"),"bánh kẹo Nhật Bản")</f>
        <v>bánh kẹo Nhật Bản</v>
      </c>
      <c r="F148" s="3" t="str">
        <f ca="1">IFERROR(__xludf.DUMMYFUNCTION("GOOGLETRANSLATE(C148,""ja"",""vi"")"),"Đấu giá&gt; thực phẩm, đồ uống&gt; bánh ngọt, món tráng miệng&gt; kẹo")</f>
        <v>Đấu giá&gt; thực phẩm, đồ uống&gt; bánh ngọt, món tráng miệng&gt; kẹo</v>
      </c>
      <c r="G148" s="229" t="str">
        <f t="shared" ca="1" si="4"/>
        <v>"2084050405" : "bánh kẹo Nhật Bản",</v>
      </c>
      <c r="H148" s="229" t="str">
        <f t="shared" si="5"/>
        <v>&lt;li class="col-md-3"&gt;&lt;a class="text-cut" href="javascript:;"(click)="categoryEvent(2084050405)"&gt;{{"2084050405" | translate}}&lt;/a&gt;&lt;/li&gt;</v>
      </c>
    </row>
    <row r="149" spans="1:8" ht="14.25" customHeight="1">
      <c r="A149" s="2">
        <v>24002</v>
      </c>
      <c r="B149" s="2" t="s">
        <v>16</v>
      </c>
      <c r="C149" s="2" t="s">
        <v>3306</v>
      </c>
      <c r="D149" s="2" t="s">
        <v>3307</v>
      </c>
      <c r="E149" s="3" t="str">
        <f ca="1">IFERROR(__xludf.DUMMYFUNCTION("GOOGLETRANSLATE(B149,""ja"",""vi"")"),"nếu không thì")</f>
        <v>nếu không thì</v>
      </c>
      <c r="F149" s="3" t="str">
        <f ca="1">IFERROR(__xludf.DUMMYFUNCTION("GOOGLETRANSLATE(C149,""ja"",""vi"")"),"Đấu giá&gt; thực phẩm, đồ uống&gt; bánh ngọt, món tráng miệng&gt; Khác")</f>
        <v>Đấu giá&gt; thực phẩm, đồ uống&gt; bánh ngọt, món tráng miệng&gt; Khác</v>
      </c>
      <c r="G149" s="229" t="str">
        <f t="shared" ca="1" si="4"/>
        <v>"24002" : "nếu không thì",</v>
      </c>
      <c r="H149" s="229" t="str">
        <f t="shared" si="5"/>
        <v>&lt;li class="col-md-3"&gt;&lt;a class="text-cut" href="javascript:;"(click)="categoryEvent(24002)"&gt;{{"24002" | translate}}&lt;/a&gt;&lt;/li&gt;</v>
      </c>
    </row>
    <row r="150" spans="1:8" ht="14.25" customHeight="1">
      <c r="E150" s="3"/>
      <c r="F150" s="3"/>
      <c r="G150" s="229"/>
      <c r="H150" s="229"/>
    </row>
    <row r="151" spans="1:8" ht="14.25" customHeight="1">
      <c r="A151" s="261">
        <v>2084006750</v>
      </c>
      <c r="B151" s="232"/>
      <c r="C151" s="232"/>
      <c r="D151" s="233"/>
      <c r="E151" s="3"/>
      <c r="F151" s="3"/>
      <c r="G151" s="229"/>
      <c r="H151" s="229"/>
    </row>
    <row r="152" spans="1:8" ht="14.25" customHeight="1">
      <c r="A152" s="2">
        <v>2084050417</v>
      </c>
      <c r="B152" s="2" t="s">
        <v>2346</v>
      </c>
      <c r="C152" s="2" t="s">
        <v>3321</v>
      </c>
      <c r="D152" s="2" t="s">
        <v>3323</v>
      </c>
      <c r="E152" s="3" t="str">
        <f ca="1">IFERROR(__xludf.DUMMYFUNCTION("GOOGLETRANSLATE(B152,""ja"",""vi"")"),"Set, Assortment")</f>
        <v>Set, Assortment</v>
      </c>
      <c r="F152" s="3" t="str">
        <f ca="1">IFERROR(__xludf.DUMMYFUNCTION("GOOGLETRANSLATE(C152,""ja"",""vi"")"),"Đấu giá&gt; thực phẩm, đồ uống&gt; mì ống, mì&gt; thiết lập, loại")</f>
        <v>Đấu giá&gt; thực phẩm, đồ uống&gt; mì ống, mì&gt; thiết lập, loại</v>
      </c>
      <c r="G152" s="229" t="str">
        <f t="shared" ca="1" si="4"/>
        <v>"2084050417" : "Set, Assortment",</v>
      </c>
      <c r="H152" s="229" t="str">
        <f t="shared" si="5"/>
        <v>&lt;li class="col-md-3"&gt;&lt;a class="text-cut" href="javascript:;"(click)="categoryEvent(2084050417)"&gt;{{"2084050417" | translate}}&lt;/a&gt;&lt;/li&gt;</v>
      </c>
    </row>
    <row r="153" spans="1:8" ht="14.25" customHeight="1">
      <c r="A153" s="2">
        <v>2084050418</v>
      </c>
      <c r="B153" s="2" t="s">
        <v>3329</v>
      </c>
      <c r="C153" s="2" t="s">
        <v>3331</v>
      </c>
      <c r="D153" s="2" t="s">
        <v>3332</v>
      </c>
      <c r="E153" s="3" t="str">
        <f ca="1">IFERROR(__xludf.DUMMYFUNCTION("GOOGLETRANSLATE(B153,""ja"",""vi"")"),"Udon")</f>
        <v>Udon</v>
      </c>
      <c r="F153" s="3" t="str">
        <f ca="1">IFERROR(__xludf.DUMMYFUNCTION("GOOGLETRANSLATE(C153,""ja"",""vi"")"),"Đấu giá&gt; thực phẩm, đồ uống&gt; mì ống, mì&gt; udon")</f>
        <v>Đấu giá&gt; thực phẩm, đồ uống&gt; mì ống, mì&gt; udon</v>
      </c>
      <c r="G153" s="229" t="str">
        <f t="shared" ca="1" si="4"/>
        <v>"2084050418" : "Udon",</v>
      </c>
      <c r="H153" s="229" t="str">
        <f t="shared" si="5"/>
        <v>&lt;li class="col-md-3"&gt;&lt;a class="text-cut" href="javascript:;"(click)="categoryEvent(2084050418)"&gt;{{"2084050418" | translate}}&lt;/a&gt;&lt;/li&gt;</v>
      </c>
    </row>
    <row r="154" spans="1:8" ht="14.25" customHeight="1">
      <c r="A154" s="2">
        <v>2084050419</v>
      </c>
      <c r="B154" s="2" t="s">
        <v>3339</v>
      </c>
      <c r="C154" s="2" t="s">
        <v>3340</v>
      </c>
      <c r="D154" s="2" t="s">
        <v>3341</v>
      </c>
      <c r="E154" s="3" t="str">
        <f ca="1">IFERROR(__xludf.DUMMYFUNCTION("GOOGLETRANSLATE(B154,""ja"",""vi"")"),"Somen")</f>
        <v>Somen</v>
      </c>
      <c r="F154" s="3" t="str">
        <f ca="1">IFERROR(__xludf.DUMMYFUNCTION("GOOGLETRANSLATE(C154,""ja"",""vi"")"),"Đấu giá&gt; thực phẩm, đồ uống&gt; mì ống, mì&gt; Somen")</f>
        <v>Đấu giá&gt; thực phẩm, đồ uống&gt; mì ống, mì&gt; Somen</v>
      </c>
      <c r="G154" s="229" t="str">
        <f t="shared" ca="1" si="4"/>
        <v>"2084050419" : "Somen",</v>
      </c>
      <c r="H154" s="229" t="str">
        <f t="shared" si="5"/>
        <v>&lt;li class="col-md-3"&gt;&lt;a class="text-cut" href="javascript:;"(click)="categoryEvent(2084050419)"&gt;{{"2084050419" | translate}}&lt;/a&gt;&lt;/li&gt;</v>
      </c>
    </row>
    <row r="155" spans="1:8" ht="14.25" customHeight="1">
      <c r="A155" s="2">
        <v>2084050421</v>
      </c>
      <c r="B155" s="2" t="s">
        <v>3348</v>
      </c>
      <c r="C155" s="2" t="s">
        <v>3349</v>
      </c>
      <c r="D155" s="2" t="s">
        <v>3350</v>
      </c>
      <c r="E155" s="3" t="str">
        <f ca="1">IFERROR(__xludf.DUMMYFUNCTION("GOOGLETRANSLATE(B155,""ja"",""vi"")"),"mỳ ống")</f>
        <v>mỳ ống</v>
      </c>
      <c r="F155" s="3" t="str">
        <f ca="1">IFERROR(__xludf.DUMMYFUNCTION("GOOGLETRANSLATE(C155,""ja"",""vi"")"),"Đấu giá&gt; thực phẩm, đồ uống&gt; mì ống, mì&gt; Pasta")</f>
        <v>Đấu giá&gt; thực phẩm, đồ uống&gt; mì ống, mì&gt; Pasta</v>
      </c>
      <c r="G155" s="229" t="str">
        <f t="shared" ca="1" si="4"/>
        <v>"2084050421" : "mỳ ống",</v>
      </c>
      <c r="H155" s="229" t="str">
        <f t="shared" si="5"/>
        <v>&lt;li class="col-md-3"&gt;&lt;a class="text-cut" href="javascript:;"(click)="categoryEvent(2084050421)"&gt;{{"2084050421" | translate}}&lt;/a&gt;&lt;/li&gt;</v>
      </c>
    </row>
    <row r="156" spans="1:8" ht="14.25" customHeight="1">
      <c r="A156" s="2">
        <v>2084050422</v>
      </c>
      <c r="B156" s="2" t="s">
        <v>3357</v>
      </c>
      <c r="C156" s="2" t="s">
        <v>3358</v>
      </c>
      <c r="D156" s="2" t="s">
        <v>3359</v>
      </c>
      <c r="E156" s="3" t="str">
        <f ca="1">IFERROR(__xludf.DUMMYFUNCTION("GOOGLETRANSLATE(B156,""ja"",""vi"")"),"mì Ramen")</f>
        <v>mì Ramen</v>
      </c>
      <c r="F156" s="3" t="str">
        <f ca="1">IFERROR(__xludf.DUMMYFUNCTION("GOOGLETRANSLATE(C156,""ja"",""vi"")"),"Đấu giá&gt; thực phẩm, đồ uống&gt; mì ống, mì&gt; Ramen")</f>
        <v>Đấu giá&gt; thực phẩm, đồ uống&gt; mì ống, mì&gt; Ramen</v>
      </c>
      <c r="G156" s="229" t="str">
        <f t="shared" ca="1" si="4"/>
        <v>"2084050422" : "mì Ramen",</v>
      </c>
      <c r="H156" s="229" t="str">
        <f t="shared" si="5"/>
        <v>&lt;li class="col-md-3"&gt;&lt;a class="text-cut" href="javascript:;"(click)="categoryEvent(2084050422)"&gt;{{"2084050422" | translate}}&lt;/a&gt;&lt;/li&gt;</v>
      </c>
    </row>
    <row r="157" spans="1:8" ht="14.25" customHeight="1">
      <c r="A157" s="2">
        <v>2084050420</v>
      </c>
      <c r="B157" s="2" t="s">
        <v>3365</v>
      </c>
      <c r="C157" s="2" t="s">
        <v>3367</v>
      </c>
      <c r="D157" s="2" t="s">
        <v>3368</v>
      </c>
      <c r="E157" s="3" t="str">
        <f ca="1">IFERROR(__xludf.DUMMYFUNCTION("GOOGLETRANSLATE(B157,""ja"",""vi"")"),"kiều mạch Nhật Bản")</f>
        <v>kiều mạch Nhật Bản</v>
      </c>
      <c r="F157" s="3" t="str">
        <f ca="1">IFERROR(__xludf.DUMMYFUNCTION("GOOGLETRANSLATE(C157,""ja"",""vi"")"),"Đấu giá&gt; thực phẩm, đồ uống&gt; mì ống, mì&gt; kiều mạch Nhật Bản")</f>
        <v>Đấu giá&gt; thực phẩm, đồ uống&gt; mì ống, mì&gt; kiều mạch Nhật Bản</v>
      </c>
      <c r="G157" s="229" t="str">
        <f t="shared" ca="1" si="4"/>
        <v>"2084050420" : "kiều mạch Nhật Bản",</v>
      </c>
      <c r="H157" s="229" t="str">
        <f t="shared" si="5"/>
        <v>&lt;li class="col-md-3"&gt;&lt;a class="text-cut" href="javascript:;"(click)="categoryEvent(2084050420)"&gt;{{"2084050420" | translate}}&lt;/a&gt;&lt;/li&gt;</v>
      </c>
    </row>
    <row r="158" spans="1:8" ht="14.25" customHeight="1">
      <c r="A158" s="2">
        <v>2084220402</v>
      </c>
      <c r="B158" s="2" t="s">
        <v>3372</v>
      </c>
      <c r="C158" s="2" t="s">
        <v>3374</v>
      </c>
      <c r="D158" s="2" t="s">
        <v>3375</v>
      </c>
      <c r="E158" s="3" t="str">
        <f ca="1">IFERROR(__xludf.DUMMYFUNCTION("GOOGLETRANSLATE(B158,""ja"",""vi"")"),"mì ăn liền")</f>
        <v>mì ăn liền</v>
      </c>
      <c r="F158" s="3" t="str">
        <f ca="1">IFERROR(__xludf.DUMMYFUNCTION("GOOGLETRANSLATE(C158,""ja"",""vi"")"),"Đấu giá&gt; thực phẩm, đồ uống&gt; mì ống, mì&gt; Mì ăn liền")</f>
        <v>Đấu giá&gt; thực phẩm, đồ uống&gt; mì ống, mì&gt; Mì ăn liền</v>
      </c>
      <c r="G158" s="229" t="str">
        <f t="shared" ca="1" si="4"/>
        <v>"2084220402" : "mì ăn liền",</v>
      </c>
      <c r="H158" s="229" t="str">
        <f t="shared" si="5"/>
        <v>&lt;li class="col-md-3"&gt;&lt;a class="text-cut" href="javascript:;"(click)="categoryEvent(2084220402)"&gt;{{"2084220402" | translate}}&lt;/a&gt;&lt;/li&gt;</v>
      </c>
    </row>
    <row r="159" spans="1:8" ht="14.25" customHeight="1">
      <c r="A159" s="2">
        <v>2084050423</v>
      </c>
      <c r="B159" s="2" t="s">
        <v>16</v>
      </c>
      <c r="C159" s="2" t="s">
        <v>3376</v>
      </c>
      <c r="D159" s="2" t="s">
        <v>3377</v>
      </c>
      <c r="E159" s="3" t="str">
        <f ca="1">IFERROR(__xludf.DUMMYFUNCTION("GOOGLETRANSLATE(B159,""ja"",""vi"")"),"nếu không thì")</f>
        <v>nếu không thì</v>
      </c>
      <c r="F159" s="3" t="str">
        <f ca="1">IFERROR(__xludf.DUMMYFUNCTION("GOOGLETRANSLATE(C159,""ja"",""vi"")"),"Đấu giá&gt; thực phẩm, đồ uống&gt; mì ống, mì&gt; Khác")</f>
        <v>Đấu giá&gt; thực phẩm, đồ uống&gt; mì ống, mì&gt; Khác</v>
      </c>
      <c r="G159" s="229" t="str">
        <f t="shared" ca="1" si="4"/>
        <v>"2084050423" : "nếu không thì",</v>
      </c>
      <c r="H159" s="229" t="str">
        <f t="shared" si="5"/>
        <v>&lt;li class="col-md-3"&gt;&lt;a class="text-cut" href="javascript:;"(click)="categoryEvent(2084050423)"&gt;{{"2084050423" | translate}}&lt;/a&gt;&lt;/li&gt;</v>
      </c>
    </row>
    <row r="160" spans="1:8" ht="14.25" customHeight="1">
      <c r="E160" s="3"/>
      <c r="F160" s="3"/>
      <c r="G160" s="229"/>
      <c r="H160" s="229"/>
    </row>
    <row r="161" spans="1:8" ht="14.25" customHeight="1">
      <c r="A161" s="253">
        <v>2084049724</v>
      </c>
      <c r="B161" s="232"/>
      <c r="C161" s="232"/>
      <c r="D161" s="233"/>
      <c r="E161" s="3"/>
      <c r="F161" s="3"/>
      <c r="G161" s="229"/>
      <c r="H161" s="229"/>
    </row>
    <row r="162" spans="1:8" ht="14.25" customHeight="1">
      <c r="A162" s="2">
        <v>2084220399</v>
      </c>
      <c r="B162" s="2" t="s">
        <v>3384</v>
      </c>
      <c r="C162" s="2" t="s">
        <v>3386</v>
      </c>
      <c r="D162" s="2" t="s">
        <v>3388</v>
      </c>
      <c r="E162" s="3" t="str">
        <f ca="1">IFERROR(__xludf.DUMMYFUNCTION("GOOGLETRANSLATE(B162,""ja"",""vi"")"),"bagels")</f>
        <v>bagels</v>
      </c>
      <c r="F162" s="3" t="str">
        <f ca="1">IFERROR(__xludf.DUMMYFUNCTION("GOOGLETRANSLATE(C162,""ja"",""vi"")"),"Đấu giá&gt; thực phẩm, đồ uống&gt; Bánh&gt; bagel")</f>
        <v>Đấu giá&gt; thực phẩm, đồ uống&gt; Bánh&gt; bagel</v>
      </c>
      <c r="G162" s="229" t="str">
        <f t="shared" ca="1" si="4"/>
        <v>"2084220399" : "bagels",</v>
      </c>
      <c r="H162" s="229" t="str">
        <f t="shared" si="5"/>
        <v>&lt;li class="col-md-3"&gt;&lt;a class="text-cut" href="javascript:;"(click)="categoryEvent(2084220399)"&gt;{{"2084220399" | translate}}&lt;/a&gt;&lt;/li&gt;</v>
      </c>
    </row>
    <row r="163" spans="1:8" ht="14.25" customHeight="1">
      <c r="A163" s="2">
        <v>2084220396</v>
      </c>
      <c r="B163" s="2" t="s">
        <v>3390</v>
      </c>
      <c r="C163" s="2" t="s">
        <v>3392</v>
      </c>
      <c r="D163" s="2" t="s">
        <v>3393</v>
      </c>
      <c r="E163" s="3" t="str">
        <f ca="1">IFERROR(__xludf.DUMMYFUNCTION("GOOGLETRANSLATE(B163,""ja"",""vi"")"),"bánh ngọt")</f>
        <v>bánh ngọt</v>
      </c>
      <c r="F163" s="3" t="str">
        <f ca="1">IFERROR(__xludf.DUMMYFUNCTION("GOOGLETRANSLATE(C163,""ja"",""vi"")"),"Đấu giá&gt; thực phẩm, đồ uống&gt; Bánh&gt; bánh ngọt")</f>
        <v>Đấu giá&gt; thực phẩm, đồ uống&gt; Bánh&gt; bánh ngọt</v>
      </c>
      <c r="G163" s="229" t="str">
        <f t="shared" ca="1" si="4"/>
        <v>"2084220396" : "bánh ngọt",</v>
      </c>
      <c r="H163" s="229" t="str">
        <f t="shared" si="5"/>
        <v>&lt;li class="col-md-3"&gt;&lt;a class="text-cut" href="javascript:;"(click)="categoryEvent(2084220396)"&gt;{{"2084220396" | translate}}&lt;/a&gt;&lt;/li&gt;</v>
      </c>
    </row>
    <row r="164" spans="1:8" ht="14.25" customHeight="1">
      <c r="A164" s="2">
        <v>2084220397</v>
      </c>
      <c r="B164" s="2" t="s">
        <v>3396</v>
      </c>
      <c r="C164" s="2" t="s">
        <v>3397</v>
      </c>
      <c r="D164" s="2" t="s">
        <v>3398</v>
      </c>
      <c r="E164" s="3" t="str">
        <f ca="1">IFERROR(__xludf.DUMMYFUNCTION("GOOGLETRANSLATE(B164,""ja"",""vi"")"),"bánh Plain")</f>
        <v>bánh Plain</v>
      </c>
      <c r="F164" s="3" t="str">
        <f ca="1">IFERROR(__xludf.DUMMYFUNCTION("GOOGLETRANSLATE(C164,""ja"",""vi"")"),"Đấu giá&gt; thực phẩm, đồ uống&gt; Bánh&gt; bánh mì")</f>
        <v>Đấu giá&gt; thực phẩm, đồ uống&gt; Bánh&gt; bánh mì</v>
      </c>
      <c r="G164" s="229" t="str">
        <f t="shared" ca="1" si="4"/>
        <v>"2084220397" : "bánh Plain",</v>
      </c>
      <c r="H164" s="229" t="str">
        <f t="shared" si="5"/>
        <v>&lt;li class="col-md-3"&gt;&lt;a class="text-cut" href="javascript:;"(click)="categoryEvent(2084220397)"&gt;{{"2084220397" | translate}}&lt;/a&gt;&lt;/li&gt;</v>
      </c>
    </row>
    <row r="165" spans="1:8" ht="14.25" customHeight="1">
      <c r="A165" s="2">
        <v>2084220398</v>
      </c>
      <c r="B165" s="2" t="s">
        <v>3401</v>
      </c>
      <c r="C165" s="2" t="s">
        <v>3402</v>
      </c>
      <c r="D165" s="2" t="s">
        <v>3403</v>
      </c>
      <c r="E165" s="3" t="str">
        <f ca="1">IFERROR(__xludf.DUMMYFUNCTION("GOOGLETRANSLATE(B165,""ja"",""vi"")"),"bánh mì nấu ăn")</f>
        <v>bánh mì nấu ăn</v>
      </c>
      <c r="F165" s="3" t="str">
        <f ca="1">IFERROR(__xludf.DUMMYFUNCTION("GOOGLETRANSLATE(C165,""ja"",""vi"")"),"Đấu giá&gt; thực phẩm, đồ uống&gt; Bánh&gt; bánh mì nấu ăn")</f>
        <v>Đấu giá&gt; thực phẩm, đồ uống&gt; Bánh&gt; bánh mì nấu ăn</v>
      </c>
      <c r="G165" s="229" t="str">
        <f t="shared" ca="1" si="4"/>
        <v>"2084220398" : "bánh mì nấu ăn",</v>
      </c>
      <c r="H165" s="229" t="str">
        <f t="shared" si="5"/>
        <v>&lt;li class="col-md-3"&gt;&lt;a class="text-cut" href="javascript:;"(click)="categoryEvent(2084220398)"&gt;{{"2084220398" | translate}}&lt;/a&gt;&lt;/li&gt;</v>
      </c>
    </row>
    <row r="166" spans="1:8" ht="14.25" customHeight="1">
      <c r="A166" s="2">
        <v>2084050385</v>
      </c>
      <c r="B166" s="2" t="s">
        <v>3406</v>
      </c>
      <c r="C166" s="2" t="s">
        <v>3407</v>
      </c>
      <c r="D166" s="2" t="s">
        <v>3408</v>
      </c>
      <c r="E166" s="3" t="str">
        <f ca="1">IFERROR(__xludf.DUMMYFUNCTION("GOOGLETRANSLATE(B166,""ja"",""vi"")"),"Mứt, lây lan")</f>
        <v>Mứt, lây lan</v>
      </c>
      <c r="F166" s="3" t="str">
        <f ca="1">IFERROR(__xludf.DUMMYFUNCTION("GOOGLETRANSLATE(C166,""ja"",""vi"")"),"Đấu giá&gt; thực phẩm, đồ uống&gt; Bánh&gt; mứt, lây lan")</f>
        <v>Đấu giá&gt; thực phẩm, đồ uống&gt; Bánh&gt; mứt, lây lan</v>
      </c>
      <c r="G166" s="229" t="str">
        <f t="shared" ca="1" si="4"/>
        <v>"2084050385" : "Mứt, lây lan",</v>
      </c>
      <c r="H166" s="229" t="str">
        <f t="shared" si="5"/>
        <v>&lt;li class="col-md-3"&gt;&lt;a class="text-cut" href="javascript:;"(click)="categoryEvent(2084050385)"&gt;{{"2084050385" | translate}}&lt;/a&gt;&lt;/li&gt;</v>
      </c>
    </row>
    <row r="167" spans="1:8" ht="14.25" customHeight="1">
      <c r="A167" s="2">
        <v>2084220400</v>
      </c>
      <c r="B167" s="2" t="s">
        <v>16</v>
      </c>
      <c r="C167" s="2" t="s">
        <v>3412</v>
      </c>
      <c r="D167" s="2" t="s">
        <v>3413</v>
      </c>
      <c r="E167" s="3" t="str">
        <f ca="1">IFERROR(__xludf.DUMMYFUNCTION("GOOGLETRANSLATE(B167,""ja"",""vi"")"),"nếu không thì")</f>
        <v>nếu không thì</v>
      </c>
      <c r="F167" s="3" t="str">
        <f ca="1">IFERROR(__xludf.DUMMYFUNCTION("GOOGLETRANSLATE(C167,""ja"",""vi"")"),"Đấu giá&gt; thực phẩm, đồ uống&gt; bánh&gt; Khác")</f>
        <v>Đấu giá&gt; thực phẩm, đồ uống&gt; bánh&gt; Khác</v>
      </c>
      <c r="G167" s="229" t="str">
        <f t="shared" ca="1" si="4"/>
        <v>"2084220400" : "nếu không thì",</v>
      </c>
      <c r="H167" s="229" t="str">
        <f t="shared" si="5"/>
        <v>&lt;li class="col-md-3"&gt;&lt;a class="text-cut" href="javascript:;"(click)="categoryEvent(2084220400)"&gt;{{"2084220400" | translate}}&lt;/a&gt;&lt;/li&gt;</v>
      </c>
    </row>
    <row r="168" spans="1:8" ht="14.25" customHeight="1">
      <c r="E168" s="3"/>
      <c r="F168" s="3"/>
      <c r="G168" s="229"/>
      <c r="H168" s="229"/>
    </row>
    <row r="169" spans="1:8" ht="14.25" customHeight="1">
      <c r="A169" s="264">
        <v>24034</v>
      </c>
      <c r="B169" s="232"/>
      <c r="C169" s="232"/>
      <c r="D169" s="233"/>
      <c r="E169" s="3"/>
      <c r="F169" s="3"/>
      <c r="G169" s="229"/>
      <c r="H169" s="229"/>
    </row>
    <row r="170" spans="1:8" ht="14.25" customHeight="1">
      <c r="A170" s="2">
        <v>2084050374</v>
      </c>
      <c r="B170" s="2" t="s">
        <v>2346</v>
      </c>
      <c r="C170" s="2" t="s">
        <v>3416</v>
      </c>
      <c r="D170" s="2" t="s">
        <v>3417</v>
      </c>
      <c r="E170" s="3" t="str">
        <f ca="1">IFERROR(__xludf.DUMMYFUNCTION("GOOGLETRANSLATE(B170,""ja"",""vi"")"),"Set, Assortment")</f>
        <v>Set, Assortment</v>
      </c>
      <c r="F170" s="3" t="str">
        <f ca="1">IFERROR(__xludf.DUMMYFUNCTION("GOOGLETRANSLATE(C170,""ja"",""vi"")"),"Đấu giá&gt; thực phẩm, đồ uống&gt; trứng, sản phẩm sữa&gt; thiết lập, loại")</f>
        <v>Đấu giá&gt; thực phẩm, đồ uống&gt; trứng, sản phẩm sữa&gt; thiết lập, loại</v>
      </c>
      <c r="G170" s="229" t="str">
        <f t="shared" ca="1" si="4"/>
        <v>"2084050374" : "Set, Assortment",</v>
      </c>
      <c r="H170" s="229" t="str">
        <f t="shared" si="5"/>
        <v>&lt;li class="col-md-3"&gt;&lt;a class="text-cut" href="javascript:;"(click)="categoryEvent(2084050374)"&gt;{{"2084050374" | translate}}&lt;/a&gt;&lt;/li&gt;</v>
      </c>
    </row>
    <row r="171" spans="1:8" ht="14.25" customHeight="1">
      <c r="A171" s="2">
        <v>2084050375</v>
      </c>
      <c r="B171" s="2" t="s">
        <v>3421</v>
      </c>
      <c r="C171" s="2" t="s">
        <v>3422</v>
      </c>
      <c r="D171" s="2" t="s">
        <v>3423</v>
      </c>
      <c r="E171" s="3" t="str">
        <f ca="1">IFERROR(__xludf.DUMMYFUNCTION("GOOGLETRANSLATE(B171,""ja"",""vi"")"),"sữa")</f>
        <v>sữa</v>
      </c>
      <c r="F171" s="3" t="str">
        <f ca="1">IFERROR(__xludf.DUMMYFUNCTION("GOOGLETRANSLATE(C171,""ja"",""vi"")"),"Đấu giá&gt; thực phẩm, đồ uống&gt; trứng, sản phẩm sữa&gt; sữa")</f>
        <v>Đấu giá&gt; thực phẩm, đồ uống&gt; trứng, sản phẩm sữa&gt; sữa</v>
      </c>
      <c r="G171" s="229" t="str">
        <f t="shared" ca="1" si="4"/>
        <v>"2084050375" : "sữa",</v>
      </c>
      <c r="H171" s="229" t="str">
        <f t="shared" si="5"/>
        <v>&lt;li class="col-md-3"&gt;&lt;a class="text-cut" href="javascript:;"(click)="categoryEvent(2084050375)"&gt;{{"2084050375" | translate}}&lt;/a&gt;&lt;/li&gt;</v>
      </c>
    </row>
    <row r="172" spans="1:8" ht="14.25" customHeight="1">
      <c r="A172" s="2">
        <v>2084050377</v>
      </c>
      <c r="B172" s="2" t="s">
        <v>3427</v>
      </c>
      <c r="C172" s="2" t="s">
        <v>3429</v>
      </c>
      <c r="D172" s="2" t="s">
        <v>3432</v>
      </c>
      <c r="E172" s="3" t="str">
        <f ca="1">IFERROR(__xludf.DUMMYFUNCTION("GOOGLETRANSLATE(B172,""ja"",""vi"")"),"các sản phẩm sữa")</f>
        <v>các sản phẩm sữa</v>
      </c>
      <c r="F172" s="3" t="str">
        <f ca="1">IFERROR(__xludf.DUMMYFUNCTION("GOOGLETRANSLATE(C172,""ja"",""vi"")"),"Đấu giá&gt; thực phẩm, đồ uống&gt; trứng, sản phẩm sữa&gt; các sản phẩm sữa")</f>
        <v>Đấu giá&gt; thực phẩm, đồ uống&gt; trứng, sản phẩm sữa&gt; các sản phẩm sữa</v>
      </c>
      <c r="G172" s="229" t="str">
        <f t="shared" ca="1" si="4"/>
        <v>"2084050377" : "các sản phẩm sữa",</v>
      </c>
      <c r="H172" s="229" t="str">
        <f t="shared" si="5"/>
        <v>&lt;li class="col-md-3"&gt;&lt;a class="text-cut" href="javascript:;"(click)="categoryEvent(2084050377)"&gt;{{"2084050377" | translate}}&lt;/a&gt;&lt;/li&gt;</v>
      </c>
    </row>
    <row r="173" spans="1:8" ht="14.25" customHeight="1">
      <c r="A173" s="2">
        <v>2084050376</v>
      </c>
      <c r="B173" s="2" t="s">
        <v>3435</v>
      </c>
      <c r="C173" s="2" t="s">
        <v>3437</v>
      </c>
      <c r="D173" s="2" t="s">
        <v>3438</v>
      </c>
      <c r="E173" s="3" t="str">
        <f ca="1">IFERROR(__xludf.DUMMYFUNCTION("GOOGLETRANSLATE(B173,""ja"",""vi"")"),"trứng")</f>
        <v>trứng</v>
      </c>
      <c r="F173" s="3" t="str">
        <f ca="1">IFERROR(__xludf.DUMMYFUNCTION("GOOGLETRANSLATE(C173,""ja"",""vi"")"),"Đấu giá&gt; thực phẩm, đồ uống&gt; trứng, sản phẩm sữa&gt; trứng")</f>
        <v>Đấu giá&gt; thực phẩm, đồ uống&gt; trứng, sản phẩm sữa&gt; trứng</v>
      </c>
      <c r="G173" s="229" t="str">
        <f t="shared" ca="1" si="4"/>
        <v>"2084050376" : "trứng",</v>
      </c>
      <c r="H173" s="229" t="str">
        <f t="shared" si="5"/>
        <v>&lt;li class="col-md-3"&gt;&lt;a class="text-cut" href="javascript:;"(click)="categoryEvent(2084050376)"&gt;{{"2084050376" | translate}}&lt;/a&gt;&lt;/li&gt;</v>
      </c>
    </row>
    <row r="174" spans="1:8" ht="14.25" customHeight="1">
      <c r="A174" s="2">
        <v>2084050378</v>
      </c>
      <c r="B174" s="2" t="s">
        <v>16</v>
      </c>
      <c r="C174" s="2" t="s">
        <v>3442</v>
      </c>
      <c r="D174" s="2" t="s">
        <v>3443</v>
      </c>
      <c r="E174" s="3" t="str">
        <f ca="1">IFERROR(__xludf.DUMMYFUNCTION("GOOGLETRANSLATE(B174,""ja"",""vi"")"),"nếu không thì")</f>
        <v>nếu không thì</v>
      </c>
      <c r="F174" s="3" t="str">
        <f ca="1">IFERROR(__xludf.DUMMYFUNCTION("GOOGLETRANSLATE(C174,""ja"",""vi"")"),"Đấu giá&gt; thực phẩm, đồ uống&gt; trứng, sản phẩm sữa&gt; Khác")</f>
        <v>Đấu giá&gt; thực phẩm, đồ uống&gt; trứng, sản phẩm sữa&gt; Khác</v>
      </c>
      <c r="G174" s="229" t="str">
        <f t="shared" ca="1" si="4"/>
        <v>"2084050378" : "nếu không thì",</v>
      </c>
      <c r="H174" s="229" t="str">
        <f t="shared" si="5"/>
        <v>&lt;li class="col-md-3"&gt;&lt;a class="text-cut" href="javascript:;"(click)="categoryEvent(2084050378)"&gt;{{"2084050378" | translate}}&lt;/a&gt;&lt;/li&gt;</v>
      </c>
    </row>
    <row r="175" spans="1:8" ht="14.25" customHeight="1">
      <c r="E175" s="3"/>
      <c r="F175" s="3"/>
      <c r="G175" s="229"/>
      <c r="H175" s="229"/>
    </row>
    <row r="176" spans="1:8" ht="14.25" customHeight="1">
      <c r="A176" s="254">
        <v>24042</v>
      </c>
      <c r="B176" s="232"/>
      <c r="C176" s="232"/>
      <c r="D176" s="233"/>
      <c r="E176" s="3"/>
      <c r="F176" s="3"/>
      <c r="G176" s="229"/>
      <c r="H176" s="229"/>
    </row>
    <row r="177" spans="1:8" ht="14.25" customHeight="1">
      <c r="A177" s="2">
        <v>2084050379</v>
      </c>
      <c r="B177" s="2" t="s">
        <v>2346</v>
      </c>
      <c r="C177" s="2" t="s">
        <v>3455</v>
      </c>
      <c r="D177" s="2" t="s">
        <v>3456</v>
      </c>
      <c r="E177" s="3" t="str">
        <f ca="1">IFERROR(__xludf.DUMMYFUNCTION("GOOGLETRANSLATE(B177,""ja"",""vi"")"),"Set, Assortment")</f>
        <v>Set, Assortment</v>
      </c>
      <c r="F177" s="3" t="str">
        <f ca="1">IFERROR(__xludf.DUMMYFUNCTION("GOOGLETRANSLATE(C177,""ja"",""vi"")"),"Đấu giá&gt; thực phẩm, đồ uống&gt; nêm, gia vị&gt; thiết lập, loại")</f>
        <v>Đấu giá&gt; thực phẩm, đồ uống&gt; nêm, gia vị&gt; thiết lập, loại</v>
      </c>
      <c r="G177" s="229" t="str">
        <f t="shared" ca="1" si="4"/>
        <v>"2084050379" : "Set, Assortment",</v>
      </c>
      <c r="H177" s="229" t="str">
        <f t="shared" si="5"/>
        <v>&lt;li class="col-md-3"&gt;&lt;a class="text-cut" href="javascript:;"(click)="categoryEvent(2084050379)"&gt;{{"2084050379" | translate}}&lt;/a&gt;&lt;/li&gt;</v>
      </c>
    </row>
    <row r="178" spans="1:8" ht="14.25" customHeight="1">
      <c r="A178" s="2">
        <v>2084050384</v>
      </c>
      <c r="B178" s="2" t="s">
        <v>3457</v>
      </c>
      <c r="C178" s="2" t="s">
        <v>3458</v>
      </c>
      <c r="D178" s="2" t="s">
        <v>3459</v>
      </c>
      <c r="E178" s="3" t="str">
        <f ca="1">IFERROR(__xludf.DUMMYFUNCTION("GOOGLETRANSLATE(B178,""ja"",""vi"")"),"nước tương")</f>
        <v>nước tương</v>
      </c>
      <c r="F178" s="3" t="str">
        <f ca="1">IFERROR(__xludf.DUMMYFUNCTION("GOOGLETRANSLATE(C178,""ja"",""vi"")"),"Đấu giá&gt; thực phẩm, đồ uống&gt; nêm, gia vị&gt; xì dầu")</f>
        <v>Đấu giá&gt; thực phẩm, đồ uống&gt; nêm, gia vị&gt; xì dầu</v>
      </c>
      <c r="G178" s="229" t="str">
        <f t="shared" ca="1" si="4"/>
        <v>"2084050384" : "nước tương",</v>
      </c>
      <c r="H178" s="229" t="str">
        <f t="shared" si="5"/>
        <v>&lt;li class="col-md-3"&gt;&lt;a class="text-cut" href="javascript:;"(click)="categoryEvent(2084050384)"&gt;{{"2084050384" | translate}}&lt;/a&gt;&lt;/li&gt;</v>
      </c>
    </row>
    <row r="179" spans="1:8" ht="14.25" customHeight="1">
      <c r="A179" s="2">
        <v>2084050388</v>
      </c>
      <c r="B179" s="2" t="s">
        <v>3460</v>
      </c>
      <c r="C179" s="2" t="s">
        <v>3461</v>
      </c>
      <c r="D179" s="2" t="s">
        <v>3462</v>
      </c>
      <c r="E179" s="3" t="str">
        <f ca="1">IFERROR(__xludf.DUMMYFUNCTION("GOOGLETRANSLATE(B179,""ja"",""vi"")"),"Nước sốt, súp")</f>
        <v>Nước sốt, súp</v>
      </c>
      <c r="F179" s="3" t="str">
        <f ca="1">IFERROR(__xludf.DUMMYFUNCTION("GOOGLETRANSLATE(C179,""ja"",""vi"")"),"Đấu giá&gt; thực phẩm, đồ uống&gt; nêm, gia vị&gt; sốt, súp")</f>
        <v>Đấu giá&gt; thực phẩm, đồ uống&gt; nêm, gia vị&gt; sốt, súp</v>
      </c>
      <c r="G179" s="229" t="str">
        <f t="shared" ca="1" si="4"/>
        <v>"2084050388" : "Nước sốt, súp",</v>
      </c>
      <c r="H179" s="229" t="str">
        <f t="shared" si="5"/>
        <v>&lt;li class="col-md-3"&gt;&lt;a class="text-cut" href="javascript:;"(click)="categoryEvent(2084050388)"&gt;{{"2084050388" | translate}}&lt;/a&gt;&lt;/li&gt;</v>
      </c>
    </row>
    <row r="180" spans="1:8" ht="14.25" customHeight="1">
      <c r="A180" s="2">
        <v>2084050389</v>
      </c>
      <c r="B180" s="2" t="s">
        <v>3463</v>
      </c>
      <c r="C180" s="2" t="s">
        <v>3464</v>
      </c>
      <c r="D180" s="2" t="s">
        <v>3465</v>
      </c>
      <c r="E180" s="3" t="str">
        <f ca="1">IFERROR(__xludf.DUMMYFUNCTION("GOOGLETRANSLATE(B180,""ja"",""vi"")"),"Tuy nhiên, bouillon")</f>
        <v>Tuy nhiên, bouillon</v>
      </c>
      <c r="F180" s="3" t="str">
        <f ca="1">IFERROR(__xludf.DUMMYFUNCTION("GOOGLETRANSLATE(C180,""ja"",""vi"")"),"Đấu giá&gt; thực phẩm, đồ uống&gt; nêm, gia vị&gt; súp, bouillon")</f>
        <v>Đấu giá&gt; thực phẩm, đồ uống&gt; nêm, gia vị&gt; súp, bouillon</v>
      </c>
      <c r="G180" s="229" t="str">
        <f t="shared" ca="1" si="4"/>
        <v>"2084050389" : "Tuy nhiên, bouillon",</v>
      </c>
      <c r="H180" s="229" t="str">
        <f t="shared" si="5"/>
        <v>&lt;li class="col-md-3"&gt;&lt;a class="text-cut" href="javascript:;"(click)="categoryEvent(2084050389)"&gt;{{"2084050389" | translate}}&lt;/a&gt;&lt;/li&gt;</v>
      </c>
    </row>
    <row r="181" spans="1:8" ht="14.25" customHeight="1">
      <c r="A181" s="2">
        <v>2084050390</v>
      </c>
      <c r="B181" s="2" t="s">
        <v>3466</v>
      </c>
      <c r="C181" s="2" t="s">
        <v>3467</v>
      </c>
      <c r="D181" s="2" t="s">
        <v>3468</v>
      </c>
      <c r="E181" s="3" t="str">
        <f ca="1">IFERROR(__xludf.DUMMYFUNCTION("GOOGLETRANSLATE(B181,""ja"",""vi"")"),"mật ong")</f>
        <v>mật ong</v>
      </c>
      <c r="F181" s="3" t="str">
        <f ca="1">IFERROR(__xludf.DUMMYFUNCTION("GOOGLETRANSLATE(C181,""ja"",""vi"")"),"Đấu giá&gt; thực phẩm, đồ uống&gt; nêm, gia vị&gt; Mật ong")</f>
        <v>Đấu giá&gt; thực phẩm, đồ uống&gt; nêm, gia vị&gt; Mật ong</v>
      </c>
      <c r="G181" s="229" t="str">
        <f t="shared" ca="1" si="4"/>
        <v>"2084050390" : "mật ong",</v>
      </c>
      <c r="H181" s="229" t="str">
        <f t="shared" si="5"/>
        <v>&lt;li class="col-md-3"&gt;&lt;a class="text-cut" href="javascript:;"(click)="categoryEvent(2084050390)"&gt;{{"2084050390" | translate}}&lt;/a&gt;&lt;/li&gt;</v>
      </c>
    </row>
    <row r="182" spans="1:8" ht="14.25" customHeight="1">
      <c r="A182" s="2">
        <v>2084050391</v>
      </c>
      <c r="B182" s="2" t="s">
        <v>3469</v>
      </c>
      <c r="C182" s="2" t="s">
        <v>3470</v>
      </c>
      <c r="D182" s="2" t="s">
        <v>3471</v>
      </c>
      <c r="E182" s="3" t="str">
        <f ca="1">IFERROR(__xludf.DUMMYFUNCTION("GOOGLETRANSLATE(B182,""ja"",""vi"")"),"miso")</f>
        <v>miso</v>
      </c>
      <c r="F182" s="3" t="str">
        <f ca="1">IFERROR(__xludf.DUMMYFUNCTION("GOOGLETRANSLATE(C182,""ja"",""vi"")"),"Đấu giá&gt; thực phẩm, đồ uống&gt; nêm, gia vị&gt; Miso")</f>
        <v>Đấu giá&gt; thực phẩm, đồ uống&gt; nêm, gia vị&gt; Miso</v>
      </c>
      <c r="G182" s="229" t="str">
        <f t="shared" ca="1" si="4"/>
        <v>"2084050391" : "miso",</v>
      </c>
      <c r="H182" s="229" t="str">
        <f t="shared" si="5"/>
        <v>&lt;li class="col-md-3"&gt;&lt;a class="text-cut" href="javascript:;"(click)="categoryEvent(2084050391)"&gt;{{"2084050391" | translate}}&lt;/a&gt;&lt;/li&gt;</v>
      </c>
    </row>
    <row r="183" spans="1:8" ht="14.25" customHeight="1">
      <c r="A183" s="2">
        <v>2084050381</v>
      </c>
      <c r="B183" s="2" t="s">
        <v>3472</v>
      </c>
      <c r="C183" s="2" t="s">
        <v>3473</v>
      </c>
      <c r="D183" s="2" t="s">
        <v>3474</v>
      </c>
      <c r="E183" s="3" t="str">
        <f ca="1">IFERROR(__xludf.DUMMYFUNCTION("GOOGLETRANSLATE(B183,""ja"",""vi"")"),"Sốt cà chua, mayonnaise")</f>
        <v>Sốt cà chua, mayonnaise</v>
      </c>
      <c r="F183" s="3" t="str">
        <f ca="1">IFERROR(__xludf.DUMMYFUNCTION("GOOGLETRANSLATE(C183,""ja"",""vi"")"),"Đấu giá&gt; thực phẩm, đồ uống&gt; nêm, gia vị&gt; sốt cà chua, mayonnaise")</f>
        <v>Đấu giá&gt; thực phẩm, đồ uống&gt; nêm, gia vị&gt; sốt cà chua, mayonnaise</v>
      </c>
      <c r="G183" s="229" t="str">
        <f t="shared" ca="1" si="4"/>
        <v>"2084050381" : "Sốt cà chua, mayonnaise",</v>
      </c>
      <c r="H183" s="229" t="str">
        <f t="shared" si="5"/>
        <v>&lt;li class="col-md-3"&gt;&lt;a class="text-cut" href="javascript:;"(click)="categoryEvent(2084050381)"&gt;{{"2084050381" | translate}}&lt;/a&gt;&lt;/li&gt;</v>
      </c>
    </row>
    <row r="184" spans="1:8" ht="14.25" customHeight="1">
      <c r="A184" s="2">
        <v>2084050385</v>
      </c>
      <c r="B184" s="2" t="s">
        <v>3406</v>
      </c>
      <c r="C184" s="2" t="s">
        <v>3475</v>
      </c>
      <c r="D184" s="2" t="s">
        <v>3476</v>
      </c>
      <c r="E184" s="3" t="str">
        <f ca="1">IFERROR(__xludf.DUMMYFUNCTION("GOOGLETRANSLATE(B184,""ja"",""vi"")"),"Mứt, lây lan")</f>
        <v>Mứt, lây lan</v>
      </c>
      <c r="F184" s="3" t="str">
        <f ca="1">IFERROR(__xludf.DUMMYFUNCTION("GOOGLETRANSLATE(C184,""ja"",""vi"")"),"Đấu giá&gt; thực phẩm, đồ uống&gt; nêm, gia vị&gt; mứt, lây lan")</f>
        <v>Đấu giá&gt; thực phẩm, đồ uống&gt; nêm, gia vị&gt; mứt, lây lan</v>
      </c>
      <c r="G184" s="229" t="str">
        <f t="shared" ca="1" si="4"/>
        <v>"2084050385" : "Mứt, lây lan",</v>
      </c>
      <c r="H184" s="229" t="str">
        <f t="shared" si="5"/>
        <v>&lt;li class="col-md-3"&gt;&lt;a class="text-cut" href="javascript:;"(click)="categoryEvent(2084050385)"&gt;{{"2084050385" | translate}}&lt;/a&gt;&lt;/li&gt;</v>
      </c>
    </row>
    <row r="185" spans="1:8" ht="14.25" customHeight="1">
      <c r="A185" s="2">
        <v>2084050387</v>
      </c>
      <c r="B185" s="2" t="s">
        <v>3477</v>
      </c>
      <c r="C185" s="2" t="s">
        <v>3478</v>
      </c>
      <c r="D185" s="2" t="s">
        <v>3479</v>
      </c>
      <c r="E185" s="3" t="str">
        <f ca="1">IFERROR(__xludf.DUMMYFUNCTION("GOOGLETRANSLATE(B185,""ja"",""vi"")"),"nguồn")</f>
        <v>nguồn</v>
      </c>
      <c r="F185" s="3" t="str">
        <f ca="1">IFERROR(__xludf.DUMMYFUNCTION("GOOGLETRANSLATE(C185,""ja"",""vi"")"),"Đấu giá&gt; thực phẩm, đồ uống&gt; nêm, gia vị&gt; nguồn")</f>
        <v>Đấu giá&gt; thực phẩm, đồ uống&gt; nêm, gia vị&gt; nguồn</v>
      </c>
      <c r="G185" s="229" t="str">
        <f t="shared" ca="1" si="4"/>
        <v>"2084050387" : "nguồn",</v>
      </c>
      <c r="H185" s="229" t="str">
        <f t="shared" si="5"/>
        <v>&lt;li class="col-md-3"&gt;&lt;a class="text-cut" href="javascript:;"(click)="categoryEvent(2084050387)"&gt;{{"2084050387" | translate}}&lt;/a&gt;&lt;/li&gt;</v>
      </c>
    </row>
    <row r="186" spans="1:8" ht="14.25" customHeight="1">
      <c r="A186" s="2">
        <v>2084050416</v>
      </c>
      <c r="B186" s="2" t="s">
        <v>3480</v>
      </c>
      <c r="C186" s="2" t="s">
        <v>3481</v>
      </c>
      <c r="D186" s="2" t="s">
        <v>3482</v>
      </c>
      <c r="E186" s="3" t="str">
        <f ca="1">IFERROR(__xludf.DUMMYFUNCTION("GOOGLETRANSLATE(B186,""ja"",""vi"")"),"mặc quần áo")</f>
        <v>mặc quần áo</v>
      </c>
      <c r="F186" s="3" t="str">
        <f ca="1">IFERROR(__xludf.DUMMYFUNCTION("GOOGLETRANSLATE(C186,""ja"",""vi"")"),"Đấu giá&gt; thực phẩm, đồ uống&gt; nêm, gia vị&gt; thay đồ")</f>
        <v>Đấu giá&gt; thực phẩm, đồ uống&gt; nêm, gia vị&gt; thay đồ</v>
      </c>
      <c r="G186" s="229" t="str">
        <f t="shared" ca="1" si="4"/>
        <v>"2084050416" : "mặc quần áo",</v>
      </c>
      <c r="H186" s="229" t="str">
        <f t="shared" si="5"/>
        <v>&lt;li class="col-md-3"&gt;&lt;a class="text-cut" href="javascript:;"(click)="categoryEvent(2084050416)"&gt;{{"2084050416" | translate}}&lt;/a&gt;&lt;/li&gt;</v>
      </c>
    </row>
    <row r="187" spans="1:8" ht="14.25" customHeight="1">
      <c r="A187" s="2">
        <v>2084050382</v>
      </c>
      <c r="B187" s="2" t="s">
        <v>3483</v>
      </c>
      <c r="C187" s="2" t="s">
        <v>3484</v>
      </c>
      <c r="D187" s="2" t="s">
        <v>3485</v>
      </c>
      <c r="E187" s="3" t="str">
        <f ca="1">IFERROR(__xludf.DUMMYFUNCTION("GOOGLETRANSLATE(B187,""ja"",""vi"")"),"muối")</f>
        <v>muối</v>
      </c>
      <c r="F187" s="3" t="str">
        <f ca="1">IFERROR(__xludf.DUMMYFUNCTION("GOOGLETRANSLATE(C187,""ja"",""vi"")"),"Đấu giá&gt; thực phẩm, đồ uống&gt; nêm, gia vị&gt; muối")</f>
        <v>Đấu giá&gt; thực phẩm, đồ uống&gt; nêm, gia vị&gt; muối</v>
      </c>
      <c r="G187" s="229" t="str">
        <f t="shared" ca="1" si="4"/>
        <v>"2084050382" : "muối",</v>
      </c>
      <c r="H187" s="229" t="str">
        <f t="shared" si="5"/>
        <v>&lt;li class="col-md-3"&gt;&lt;a class="text-cut" href="javascript:;"(click)="categoryEvent(2084050382)"&gt;{{"2084050382" | translate}}&lt;/a&gt;&lt;/li&gt;</v>
      </c>
    </row>
    <row r="188" spans="1:8" ht="14.25" customHeight="1">
      <c r="A188" s="2">
        <v>2084050383</v>
      </c>
      <c r="B188" s="2" t="s">
        <v>3486</v>
      </c>
      <c r="C188" s="2" t="s">
        <v>3487</v>
      </c>
      <c r="D188" s="2" t="s">
        <v>3488</v>
      </c>
      <c r="E188" s="3" t="str">
        <f ca="1">IFERROR(__xludf.DUMMYFUNCTION("GOOGLETRANSLATE(B188,""ja"",""vi"")"),"đường")</f>
        <v>đường</v>
      </c>
      <c r="F188" s="3" t="str">
        <f ca="1">IFERROR(__xludf.DUMMYFUNCTION("GOOGLETRANSLATE(C188,""ja"",""vi"")"),"Đấu giá&gt; thực phẩm, đồ uống&gt; nêm, gia vị&gt; đường")</f>
        <v>Đấu giá&gt; thực phẩm, đồ uống&gt; nêm, gia vị&gt; đường</v>
      </c>
      <c r="G188" s="229" t="str">
        <f t="shared" ca="1" si="4"/>
        <v>"2084050383" : "đường",</v>
      </c>
      <c r="H188" s="229" t="str">
        <f t="shared" si="5"/>
        <v>&lt;li class="col-md-3"&gt;&lt;a class="text-cut" href="javascript:;"(click)="categoryEvent(2084050383)"&gt;{{"2084050383" | translate}}&lt;/a&gt;&lt;/li&gt;</v>
      </c>
    </row>
    <row r="189" spans="1:8" ht="14.25" customHeight="1">
      <c r="A189" s="2">
        <v>2084050386</v>
      </c>
      <c r="B189" s="2" t="s">
        <v>2791</v>
      </c>
      <c r="C189" s="2" t="s">
        <v>3489</v>
      </c>
      <c r="D189" s="2" t="s">
        <v>3490</v>
      </c>
      <c r="E189" s="3" t="str">
        <f ca="1">IFERROR(__xludf.DUMMYFUNCTION("GOOGLETRANSLATE(B189,""ja"",""vi"")"),"giấm")</f>
        <v>giấm</v>
      </c>
      <c r="F189" s="3" t="str">
        <f ca="1">IFERROR(__xludf.DUMMYFUNCTION("GOOGLETRANSLATE(C189,""ja"",""vi"")"),"Đấu giá&gt; thực phẩm, đồ uống&gt; nêm, gia vị&gt; giấm")</f>
        <v>Đấu giá&gt; thực phẩm, đồ uống&gt; nêm, gia vị&gt; giấm</v>
      </c>
      <c r="G189" s="229" t="str">
        <f t="shared" ca="1" si="4"/>
        <v>"2084050386" : "giấm",</v>
      </c>
      <c r="H189" s="229" t="str">
        <f t="shared" si="5"/>
        <v>&lt;li class="col-md-3"&gt;&lt;a class="text-cut" href="javascript:;"(click)="categoryEvent(2084050386)"&gt;{{"2084050386" | translate}}&lt;/a&gt;&lt;/li&gt;</v>
      </c>
    </row>
    <row r="190" spans="1:8" ht="14.25" customHeight="1">
      <c r="A190" s="2">
        <v>2084050392</v>
      </c>
      <c r="B190" s="2" t="s">
        <v>3494</v>
      </c>
      <c r="C190" s="2" t="s">
        <v>3495</v>
      </c>
      <c r="D190" s="2" t="s">
        <v>3496</v>
      </c>
      <c r="E190" s="3" t="str">
        <f ca="1">IFERROR(__xludf.DUMMYFUNCTION("GOOGLETRANSLATE(B190,""ja"",""vi"")"),"Gia vị, gia vị")</f>
        <v>Gia vị, gia vị</v>
      </c>
      <c r="F190" s="3" t="str">
        <f ca="1">IFERROR(__xludf.DUMMYFUNCTION("GOOGLETRANSLATE(C190,""ja"",""vi"")"),"Đấu giá&gt; thực phẩm, đồ uống&gt; nêm, gia vị&gt; gia vị, gia vị")</f>
        <v>Đấu giá&gt; thực phẩm, đồ uống&gt; nêm, gia vị&gt; gia vị, gia vị</v>
      </c>
      <c r="G190" s="229" t="str">
        <f t="shared" ca="1" si="4"/>
        <v>"2084050392" : "Gia vị, gia vị",</v>
      </c>
      <c r="H190" s="229" t="str">
        <f t="shared" si="5"/>
        <v>&lt;li class="col-md-3"&gt;&lt;a class="text-cut" href="javascript:;"(click)="categoryEvent(2084050392)"&gt;{{"2084050392" | translate}}&lt;/a&gt;&lt;/li&gt;</v>
      </c>
    </row>
    <row r="191" spans="1:8" ht="14.25" customHeight="1">
      <c r="A191" s="2">
        <v>2084050380</v>
      </c>
      <c r="B191" s="2" t="s">
        <v>3500</v>
      </c>
      <c r="C191" s="2" t="s">
        <v>3501</v>
      </c>
      <c r="D191" s="2" t="s">
        <v>3502</v>
      </c>
      <c r="E191" s="3" t="str">
        <f ca="1">IFERROR(__xludf.DUMMYFUNCTION("GOOGLETRANSLATE(B191,""ja"",""vi"")"),"dầu")</f>
        <v>dầu</v>
      </c>
      <c r="F191" s="3" t="str">
        <f ca="1">IFERROR(__xludf.DUMMYFUNCTION("GOOGLETRANSLATE(C191,""ja"",""vi"")"),"Đấu giá&gt; thực phẩm, đồ uống&gt; nêm, gia vị&gt; dầu")</f>
        <v>Đấu giá&gt; thực phẩm, đồ uống&gt; nêm, gia vị&gt; dầu</v>
      </c>
      <c r="G191" s="229" t="str">
        <f t="shared" ca="1" si="4"/>
        <v>"2084050380" : "dầu",</v>
      </c>
      <c r="H191" s="229" t="str">
        <f t="shared" si="5"/>
        <v>&lt;li class="col-md-3"&gt;&lt;a class="text-cut" href="javascript:;"(click)="categoryEvent(2084050380)"&gt;{{"2084050380" | translate}}&lt;/a&gt;&lt;/li&gt;</v>
      </c>
    </row>
    <row r="192" spans="1:8" ht="14.25" customHeight="1">
      <c r="A192" s="2">
        <v>2084050393</v>
      </c>
      <c r="B192" s="2" t="s">
        <v>16</v>
      </c>
      <c r="C192" s="2" t="s">
        <v>3503</v>
      </c>
      <c r="D192" s="2" t="s">
        <v>3504</v>
      </c>
      <c r="E192" s="3" t="str">
        <f ca="1">IFERROR(__xludf.DUMMYFUNCTION("GOOGLETRANSLATE(B192,""ja"",""vi"")"),"nếu không thì")</f>
        <v>nếu không thì</v>
      </c>
      <c r="F192" s="3" t="str">
        <f ca="1">IFERROR(__xludf.DUMMYFUNCTION("GOOGLETRANSLATE(C192,""ja"",""vi"")"),"Đấu giá&gt; thực phẩm, đồ uống&gt; nêm, gia vị&gt; Khác")</f>
        <v>Đấu giá&gt; thực phẩm, đồ uống&gt; nêm, gia vị&gt; Khác</v>
      </c>
      <c r="G192" s="229" t="str">
        <f t="shared" ca="1" si="4"/>
        <v>"2084050393" : "nếu không thì",</v>
      </c>
      <c r="H192" s="229" t="str">
        <f t="shared" si="5"/>
        <v>&lt;li class="col-md-3"&gt;&lt;a class="text-cut" href="javascript:;"(click)="categoryEvent(2084050393)"&gt;{{"2084050393" | translate}}&lt;/a&gt;&lt;/li&gt;</v>
      </c>
    </row>
    <row r="193" spans="1:8" ht="14.25" customHeight="1">
      <c r="E193" s="3"/>
      <c r="F193" s="3"/>
      <c r="G193" s="229"/>
      <c r="H193" s="229"/>
    </row>
    <row r="194" spans="1:8" ht="14.25" customHeight="1">
      <c r="A194" s="249">
        <v>24050</v>
      </c>
      <c r="B194" s="232"/>
      <c r="C194" s="232"/>
      <c r="D194" s="233"/>
      <c r="E194" s="3"/>
      <c r="F194" s="3"/>
      <c r="G194" s="229"/>
      <c r="H194" s="229"/>
    </row>
    <row r="195" spans="1:8" ht="14.25" customHeight="1">
      <c r="A195" s="2">
        <v>2084050432</v>
      </c>
      <c r="B195" s="2" t="s">
        <v>3505</v>
      </c>
      <c r="C195" s="2" t="s">
        <v>3506</v>
      </c>
      <c r="D195" s="2" t="s">
        <v>3507</v>
      </c>
      <c r="E195" s="3" t="str">
        <f ca="1">IFERROR(__xludf.DUMMYFUNCTION("GOOGLETRANSLATE(B195,""ja"",""vi"")"),"bộ ấm chén")</f>
        <v>bộ ấm chén</v>
      </c>
      <c r="F195" s="3" t="str">
        <f ca="1">IFERROR(__xludf.DUMMYFUNCTION("GOOGLETRANSLATE(C195,""ja"",""vi"")"),"Đấu giá&gt; thực phẩm, đồ uống&gt; loại&gt; bộ ấm chén")</f>
        <v>Đấu giá&gt; thực phẩm, đồ uống&gt; loại&gt; bộ ấm chén</v>
      </c>
      <c r="G195" s="229" t="str">
        <f t="shared" ref="G195:G225" ca="1" si="6">CONCATENATE(CHAR(34)&amp;"",A195,""&amp;CHAR(34)," : ", CHAR(34)&amp;"",E195,""&amp;CHAR(34),",")</f>
        <v>"2084050432" : "bộ ấm chén",</v>
      </c>
      <c r="H195" s="229" t="str">
        <f t="shared" ref="H195:H225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href="javascript:;"(click)="categoryEvent(2084050432)"&gt;{{"2084050432" | translate}}&lt;/a&gt;&lt;/li&gt;</v>
      </c>
    </row>
    <row r="196" spans="1:8" ht="14.25" customHeight="1">
      <c r="A196" s="2">
        <v>2084050406</v>
      </c>
      <c r="B196" s="2" t="s">
        <v>3508</v>
      </c>
      <c r="C196" s="2" t="s">
        <v>3509</v>
      </c>
      <c r="D196" s="2" t="s">
        <v>3510</v>
      </c>
      <c r="E196" s="3" t="str">
        <f ca="1">IFERROR(__xludf.DUMMYFUNCTION("GOOGLETRANSLATE(B196,""ja"",""vi"")"),"rượu bộ")</f>
        <v>rượu bộ</v>
      </c>
      <c r="F196" s="3" t="str">
        <f ca="1">IFERROR(__xludf.DUMMYFUNCTION("GOOGLETRANSLATE(C196,""ja"",""vi"")"),"Đấu giá&gt; thực phẩm, đồ uống&gt; loại&gt; set rượu")</f>
        <v>Đấu giá&gt; thực phẩm, đồ uống&gt; loại&gt; set rượu</v>
      </c>
      <c r="G196" s="229" t="str">
        <f t="shared" ca="1" si="6"/>
        <v>"2084050406" : "rượu bộ",</v>
      </c>
      <c r="H196" s="229" t="str">
        <f t="shared" si="7"/>
        <v>&lt;li class="col-md-3"&gt;&lt;a class="text-cut" href="javascript:;"(click)="categoryEvent(2084050406)"&gt;{{"2084050406" | translate}}&lt;/a&gt;&lt;/li&gt;</v>
      </c>
    </row>
    <row r="197" spans="1:8" ht="14.25" customHeight="1">
      <c r="A197" s="2">
        <v>24010</v>
      </c>
      <c r="B197" s="2" t="s">
        <v>3511</v>
      </c>
      <c r="C197" s="2" t="s">
        <v>3512</v>
      </c>
      <c r="D197" s="2" t="s">
        <v>3513</v>
      </c>
      <c r="E197" s="3" t="str">
        <f ca="1">IFERROR(__xludf.DUMMYFUNCTION("GOOGLETRANSLATE(B197,""ja"",""vi"")"),"bộ cà phê")</f>
        <v>bộ cà phê</v>
      </c>
      <c r="F197" s="3" t="str">
        <f ca="1">IFERROR(__xludf.DUMMYFUNCTION("GOOGLETRANSLATE(C197,""ja"",""vi"")"),"Đấu giá&gt; thực phẩm, đồ uống&gt; loại&gt; Cà phê")</f>
        <v>Đấu giá&gt; thực phẩm, đồ uống&gt; loại&gt; Cà phê</v>
      </c>
      <c r="G197" s="229" t="str">
        <f t="shared" ca="1" si="6"/>
        <v>"24010" : "bộ cà phê",</v>
      </c>
      <c r="H197" s="229" t="str">
        <f t="shared" si="7"/>
        <v>&lt;li class="col-md-3"&gt;&lt;a class="text-cut" href="javascript:;"(click)="categoryEvent(24010)"&gt;{{"24010" | translate}}&lt;/a&gt;&lt;/li&gt;</v>
      </c>
    </row>
    <row r="198" spans="1:8" ht="14.25" customHeight="1">
      <c r="A198" s="2">
        <v>24026</v>
      </c>
      <c r="B198" s="2" t="s">
        <v>3514</v>
      </c>
      <c r="C198" s="2" t="s">
        <v>3515</v>
      </c>
      <c r="D198" s="2" t="s">
        <v>3516</v>
      </c>
      <c r="E198" s="3" t="str">
        <f ca="1">IFERROR(__xludf.DUMMYFUNCTION("GOOGLETRANSLATE(B198,""ja"",""vi"")"),"nước giải khát bộ")</f>
        <v>nước giải khát bộ</v>
      </c>
      <c r="F198" s="3" t="str">
        <f ca="1">IFERROR(__xludf.DUMMYFUNCTION("GOOGLETRANSLATE(C198,""ja"",""vi"")"),"Đấu giá&gt; thực phẩm, đồ uống&gt; loại&gt; nước giải khát bộ")</f>
        <v>Đấu giá&gt; thực phẩm, đồ uống&gt; loại&gt; nước giải khát bộ</v>
      </c>
      <c r="G198" s="229" t="str">
        <f t="shared" ca="1" si="6"/>
        <v>"24026" : "nước giải khát bộ",</v>
      </c>
      <c r="H198" s="229" t="str">
        <f t="shared" si="7"/>
        <v>&lt;li class="col-md-3"&gt;&lt;a class="text-cut" href="javascript:;"(click)="categoryEvent(24026)"&gt;{{"24026" | translate}}&lt;/a&gt;&lt;/li&gt;</v>
      </c>
    </row>
    <row r="199" spans="1:8" ht="14.25" customHeight="1">
      <c r="A199" s="2">
        <v>2084050417</v>
      </c>
      <c r="B199" s="2" t="s">
        <v>3517</v>
      </c>
      <c r="C199" s="2" t="s">
        <v>3518</v>
      </c>
      <c r="D199" s="2" t="s">
        <v>3519</v>
      </c>
      <c r="E199" s="3" t="str">
        <f ca="1">IFERROR(__xludf.DUMMYFUNCTION("GOOGLETRANSLATE(B199,""ja"",""vi"")"),"Pasta, mì bộ")</f>
        <v>Pasta, mì bộ</v>
      </c>
      <c r="F199" s="3" t="str">
        <f ca="1">IFERROR(__xludf.DUMMYFUNCTION("GOOGLETRANSLATE(C199,""ja"",""vi"")"),"Đấu giá&gt; thực phẩm, đồ uống&gt; loại&gt; mì ống, mì bộ")</f>
        <v>Đấu giá&gt; thực phẩm, đồ uống&gt; loại&gt; mì ống, mì bộ</v>
      </c>
      <c r="G199" s="229" t="str">
        <f t="shared" ca="1" si="6"/>
        <v>"2084050417" : "Pasta, mì bộ",</v>
      </c>
      <c r="H199" s="229" t="str">
        <f t="shared" si="7"/>
        <v>&lt;li class="col-md-3"&gt;&lt;a class="text-cut" href="javascript:;"(click)="categoryEvent(2084050417)"&gt;{{"2084050417" | translate}}&lt;/a&gt;&lt;/li&gt;</v>
      </c>
    </row>
    <row r="200" spans="1:8" ht="14.25" customHeight="1">
      <c r="A200" s="2">
        <v>2084050394</v>
      </c>
      <c r="B200" s="2" t="s">
        <v>3520</v>
      </c>
      <c r="C200" s="2" t="s">
        <v>3521</v>
      </c>
      <c r="D200" s="2" t="s">
        <v>3522</v>
      </c>
      <c r="E200" s="3" t="str">
        <f ca="1">IFERROR(__xludf.DUMMYFUNCTION("GOOGLETRANSLATE(B200,""ja"",""vi"")"),"Bánh kẹo, set món tráng miệng")</f>
        <v>Bánh kẹo, set món tráng miệng</v>
      </c>
      <c r="F200" s="3" t="str">
        <f ca="1">IFERROR(__xludf.DUMMYFUNCTION("GOOGLETRANSLATE(C200,""ja"",""vi"")"),"Đấu giá&gt; thực phẩm, đồ uống&gt; loại&gt; bánh kẹo, set món tráng miệng")</f>
        <v>Đấu giá&gt; thực phẩm, đồ uống&gt; loại&gt; bánh kẹo, set món tráng miệng</v>
      </c>
      <c r="G200" s="229" t="str">
        <f t="shared" ca="1" si="6"/>
        <v>"2084050394" : "Bánh kẹo, set món tráng miệng",</v>
      </c>
      <c r="H200" s="229" t="str">
        <f t="shared" si="7"/>
        <v>&lt;li class="col-md-3"&gt;&lt;a class="text-cut" href="javascript:;"(click)="categoryEvent(2084050394)"&gt;{{"2084050394" | translate}}&lt;/a&gt;&lt;/li&gt;</v>
      </c>
    </row>
    <row r="201" spans="1:8" ht="14.25" customHeight="1">
      <c r="A201" s="2">
        <v>2084050447</v>
      </c>
      <c r="B201" s="2" t="s">
        <v>3526</v>
      </c>
      <c r="C201" s="2" t="s">
        <v>3527</v>
      </c>
      <c r="D201" s="2" t="s">
        <v>3528</v>
      </c>
      <c r="E201" s="3" t="str">
        <f ca="1">IFERROR(__xludf.DUMMYFUNCTION("GOOGLETRANSLATE(B201,""ja"",""vi"")"),"bộ hải sản")</f>
        <v>bộ hải sản</v>
      </c>
      <c r="F201" s="3" t="str">
        <f ca="1">IFERROR(__xludf.DUMMYFUNCTION("GOOGLETRANSLATE(C201,""ja"",""vi"")"),"Đấu giá&gt; thực phẩm, đồ uống&gt; loại&gt; hải sản set")</f>
        <v>Đấu giá&gt; thực phẩm, đồ uống&gt; loại&gt; hải sản set</v>
      </c>
      <c r="G201" s="229" t="str">
        <f t="shared" ca="1" si="6"/>
        <v>"2084050447" : "bộ hải sản",</v>
      </c>
      <c r="H201" s="229" t="str">
        <f t="shared" si="7"/>
        <v>&lt;li class="col-md-3"&gt;&lt;a class="text-cut" href="javascript:;"(click)="categoryEvent(2084050447)"&gt;{{"2084050447" | translate}}&lt;/a&gt;&lt;/li&gt;</v>
      </c>
    </row>
    <row r="202" spans="1:8" ht="14.25" customHeight="1">
      <c r="A202" s="2">
        <v>2084050379</v>
      </c>
      <c r="B202" s="2" t="s">
        <v>3533</v>
      </c>
      <c r="C202" s="2" t="s">
        <v>3536</v>
      </c>
      <c r="D202" s="2" t="s">
        <v>3537</v>
      </c>
      <c r="E202" s="3" t="str">
        <f ca="1">IFERROR(__xludf.DUMMYFUNCTION("GOOGLETRANSLATE(B202,""ja"",""vi"")"),"Gia vị, bộ gia vị")</f>
        <v>Gia vị, bộ gia vị</v>
      </c>
      <c r="F202" s="3" t="str">
        <f ca="1">IFERROR(__xludf.DUMMYFUNCTION("GOOGLETRANSLATE(C202,""ja"",""vi"")"),"Đấu giá&gt; thực phẩm, đồ uống&gt; loại&gt; nêm, bộ gia vị")</f>
        <v>Đấu giá&gt; thực phẩm, đồ uống&gt; loại&gt; nêm, bộ gia vị</v>
      </c>
      <c r="G202" s="229" t="str">
        <f t="shared" ca="1" si="6"/>
        <v>"2084050379" : "Gia vị, bộ gia vị",</v>
      </c>
      <c r="H202" s="229" t="str">
        <f t="shared" si="7"/>
        <v>&lt;li class="col-md-3"&gt;&lt;a class="text-cut" href="javascript:;"(click)="categoryEvent(2084050379)"&gt;{{"2084050379" | translate}}&lt;/a&gt;&lt;/li&gt;</v>
      </c>
    </row>
    <row r="203" spans="1:8" ht="14.25" customHeight="1">
      <c r="A203" s="2">
        <v>2084050370</v>
      </c>
      <c r="B203" s="2" t="s">
        <v>3542</v>
      </c>
      <c r="C203" s="2" t="s">
        <v>3545</v>
      </c>
      <c r="D203" s="2" t="s">
        <v>3548</v>
      </c>
      <c r="E203" s="3" t="str">
        <f ca="1">IFERROR(__xludf.DUMMYFUNCTION("GOOGLETRANSLATE(B203,""ja"",""vi"")"),"bộ thịt")</f>
        <v>bộ thịt</v>
      </c>
      <c r="F203" s="3" t="str">
        <f ca="1">IFERROR(__xludf.DUMMYFUNCTION("GOOGLETRANSLATE(C203,""ja"",""vi"")"),"Đấu giá&gt; Thực phẩm, đồ uống&gt; loại&gt; set thịt")</f>
        <v>Đấu giá&gt; Thực phẩm, đồ uống&gt; loại&gt; set thịt</v>
      </c>
      <c r="G203" s="229" t="str">
        <f t="shared" ca="1" si="6"/>
        <v>"2084050370" : "bộ thịt",</v>
      </c>
      <c r="H203" s="229" t="str">
        <f t="shared" si="7"/>
        <v>&lt;li class="col-md-3"&gt;&lt;a class="text-cut" href="javascript:;"(click)="categoryEvent(2084050370)"&gt;{{"2084050370" | translate}}&lt;/a&gt;&lt;/li&gt;</v>
      </c>
    </row>
    <row r="204" spans="1:8" ht="14.25" customHeight="1">
      <c r="A204" s="2">
        <v>2084050374</v>
      </c>
      <c r="B204" s="2" t="s">
        <v>3553</v>
      </c>
      <c r="C204" s="2" t="s">
        <v>3556</v>
      </c>
      <c r="D204" s="2" t="s">
        <v>3558</v>
      </c>
      <c r="E204" s="3" t="str">
        <f ca="1">IFERROR(__xludf.DUMMYFUNCTION("GOOGLETRANSLATE(B204,""ja"",""vi"")"),"Trứng, các sản phẩm sữa thiết")</f>
        <v>Trứng, các sản phẩm sữa thiết</v>
      </c>
      <c r="F204" s="3" t="str">
        <f ca="1">IFERROR(__xludf.DUMMYFUNCTION("GOOGLETRANSLATE(C204,""ja"",""vi"")"),"Đấu giá&gt; thực phẩm, đồ uống&gt; loại&gt; trứng, sản phẩm từ sữa bộ")</f>
        <v>Đấu giá&gt; thực phẩm, đồ uống&gt; loại&gt; trứng, sản phẩm từ sữa bộ</v>
      </c>
      <c r="G204" s="229" t="str">
        <f t="shared" ca="1" si="6"/>
        <v>"2084050374" : "Trứng, các sản phẩm sữa thiết",</v>
      </c>
      <c r="H204" s="229" t="str">
        <f t="shared" si="7"/>
        <v>&lt;li class="col-md-3"&gt;&lt;a class="text-cut" href="javascript:;"(click)="categoryEvent(2084050374)"&gt;{{"2084050374" | translate}}&lt;/a&gt;&lt;/li&gt;</v>
      </c>
    </row>
    <row r="205" spans="1:8" ht="14.25" customHeight="1">
      <c r="E205" s="3"/>
      <c r="F205" s="3"/>
      <c r="G205" s="229"/>
      <c r="H205" s="229"/>
    </row>
    <row r="206" spans="1:8" ht="25.5" customHeight="1">
      <c r="A206" s="250">
        <v>2084008374</v>
      </c>
      <c r="B206" s="232"/>
      <c r="C206" s="232"/>
      <c r="D206" s="233"/>
      <c r="E206" s="3"/>
      <c r="F206" s="3"/>
      <c r="G206" s="229"/>
      <c r="H206" s="229"/>
    </row>
    <row r="207" spans="1:8" ht="14.25" customHeight="1">
      <c r="A207" s="2">
        <v>2084202516</v>
      </c>
      <c r="B207" s="2" t="s">
        <v>3574</v>
      </c>
      <c r="C207" s="2" t="s">
        <v>3575</v>
      </c>
      <c r="D207" s="2" t="s">
        <v>3576</v>
      </c>
      <c r="E207" s="3" t="str">
        <f ca="1">IFERROR(__xludf.DUMMYFUNCTION("GOOGLETRANSLATE(B207,""ja"",""vi"")"),"thức ăn trẻ em")</f>
        <v>thức ăn trẻ em</v>
      </c>
      <c r="F207" s="3" t="str">
        <f ca="1">IFERROR(__xludf.DUMMYFUNCTION("GOOGLETRANSLATE(C207,""ja"",""vi"")"),"Đấu giá&gt; hàng bé&gt; dưỡng, nguồn cung cấp bữa ăn&gt; sữa, thức ăn trẻ em&gt; thức ăn trẻ em")</f>
        <v>Đấu giá&gt; hàng bé&gt; dưỡng, nguồn cung cấp bữa ăn&gt; sữa, thức ăn trẻ em&gt; thức ăn trẻ em</v>
      </c>
      <c r="G207" s="229" t="str">
        <f t="shared" ca="1" si="6"/>
        <v>"2084202516" : "thức ăn trẻ em",</v>
      </c>
      <c r="H207" s="229" t="str">
        <f t="shared" si="7"/>
        <v>&lt;li class="col-md-3"&gt;&lt;a class="text-cut" href="javascript:;"(click)="categoryEvent(2084202516)"&gt;{{"2084202516" | translate}}&lt;/a&gt;&lt;/li&gt;</v>
      </c>
    </row>
    <row r="208" spans="1:8" ht="14.25" customHeight="1">
      <c r="A208" s="2">
        <v>2084202515</v>
      </c>
      <c r="B208" s="2" t="s">
        <v>3583</v>
      </c>
      <c r="C208" s="2" t="s">
        <v>3585</v>
      </c>
      <c r="D208" s="2" t="s">
        <v>3588</v>
      </c>
      <c r="E208" s="3" t="str">
        <f ca="1">IFERROR(__xludf.DUMMYFUNCTION("GOOGLETRANSLATE(B208,""ja"",""vi"")"),"sữa")</f>
        <v>sữa</v>
      </c>
      <c r="F208" s="3" t="str">
        <f ca="1">IFERROR(__xludf.DUMMYFUNCTION("GOOGLETRANSLATE(C208,""ja"",""vi"")"),"Đấu giá&gt; hàng bé&gt; dưỡng, nguồn cung cấp bữa ăn&gt; sữa, thức ăn trẻ em&gt; sữa")</f>
        <v>Đấu giá&gt; hàng bé&gt; dưỡng, nguồn cung cấp bữa ăn&gt; sữa, thức ăn trẻ em&gt; sữa</v>
      </c>
      <c r="G208" s="229" t="str">
        <f t="shared" ca="1" si="6"/>
        <v>"2084202515" : "sữa",</v>
      </c>
      <c r="H208" s="229" t="str">
        <f t="shared" si="7"/>
        <v>&lt;li class="col-md-3"&gt;&lt;a class="text-cut" href="javascript:;"(click)="categoryEvent(2084202515)"&gt;{{"2084202515" | translate}}&lt;/a&gt;&lt;/li&gt;</v>
      </c>
    </row>
    <row r="209" spans="1:8" ht="14.25" customHeight="1">
      <c r="A209" s="2">
        <v>2084202521</v>
      </c>
      <c r="B209" s="2" t="s">
        <v>16</v>
      </c>
      <c r="C209" s="2" t="s">
        <v>3596</v>
      </c>
      <c r="D209" s="2" t="s">
        <v>3599</v>
      </c>
      <c r="E209" s="3" t="str">
        <f ca="1">IFERROR(__xludf.DUMMYFUNCTION("GOOGLETRANSLATE(B209,""ja"",""vi"")"),"nếu không thì")</f>
        <v>nếu không thì</v>
      </c>
      <c r="F209" s="3" t="str">
        <f ca="1">IFERROR(__xludf.DUMMYFUNCTION("GOOGLETRANSLATE(C209,""ja"",""vi"")"),"Đấu giá&gt; hàng bé&gt; dưỡng, nguồn cung cấp bữa ăn&gt; sữa, thức ăn trẻ em&gt; Khác")</f>
        <v>Đấu giá&gt; hàng bé&gt; dưỡng, nguồn cung cấp bữa ăn&gt; sữa, thức ăn trẻ em&gt; Khác</v>
      </c>
      <c r="G209" s="229" t="str">
        <f t="shared" ca="1" si="6"/>
        <v>"2084202521" : "nếu không thì",</v>
      </c>
      <c r="H209" s="229" t="str">
        <f t="shared" si="7"/>
        <v>&lt;li class="col-md-3"&gt;&lt;a class="text-cut" href="javascript:;"(click)="categoryEvent(2084202521)"&gt;{{"2084202521" | translate}}&lt;/a&gt;&lt;/li&gt;</v>
      </c>
    </row>
    <row r="210" spans="1:8" ht="14.25" customHeight="1">
      <c r="E210" s="3"/>
      <c r="F210" s="3"/>
      <c r="G210" s="229"/>
      <c r="H210" s="229"/>
    </row>
    <row r="211" spans="1:8" ht="14.25" customHeight="1">
      <c r="A211" s="255">
        <v>21704</v>
      </c>
      <c r="B211" s="232"/>
      <c r="C211" s="232"/>
      <c r="D211" s="233"/>
      <c r="E211" s="3"/>
      <c r="F211" s="3"/>
      <c r="G211" s="229"/>
      <c r="H211" s="229"/>
    </row>
    <row r="212" spans="1:8" ht="14.25" customHeight="1">
      <c r="A212" s="2">
        <v>2084008936</v>
      </c>
      <c r="B212" s="2" t="s">
        <v>3617</v>
      </c>
      <c r="C212" s="2" t="s">
        <v>3618</v>
      </c>
      <c r="D212" s="2" t="s">
        <v>3619</v>
      </c>
      <c r="E212" s="3" t="str">
        <f ca="1">IFERROR(__xludf.DUMMYFUNCTION("GOOGLETRANSLATE(B212,""ja"",""vi"")"),"obento")</f>
        <v>obento</v>
      </c>
      <c r="F212" s="3" t="str">
        <f ca="1">IFERROR(__xludf.DUMMYFUNCTION("GOOGLETRANSLATE(C212,""ja"",""vi"")"),"Đấu giá&gt; cuốn sách, tạp chí&gt; nhà, sinh hoạt, chăm sóc trẻ em&gt; nấu ăn, công thức nấu ăn&gt; obento")</f>
        <v>Đấu giá&gt; cuốn sách, tạp chí&gt; nhà, sinh hoạt, chăm sóc trẻ em&gt; nấu ăn, công thức nấu ăn&gt; obento</v>
      </c>
      <c r="G212" s="229" t="str">
        <f t="shared" ca="1" si="6"/>
        <v>"2084008936" : "obento",</v>
      </c>
      <c r="H212" s="229" t="str">
        <f t="shared" si="7"/>
        <v>&lt;li class="col-md-3"&gt;&lt;a class="text-cut" href="javascript:;"(click)="categoryEvent(2084008936)"&gt;{{"2084008936" | translate}}&lt;/a&gt;&lt;/li&gt;</v>
      </c>
    </row>
    <row r="213" spans="1:8" ht="14.25" customHeight="1">
      <c r="A213" s="2">
        <v>2084008941</v>
      </c>
      <c r="B213" s="2" t="s">
        <v>3622</v>
      </c>
      <c r="C213" s="2" t="s">
        <v>3624</v>
      </c>
      <c r="D213" s="2" t="s">
        <v>3626</v>
      </c>
      <c r="E213" s="3" t="str">
        <f ca="1">IFERROR(__xludf.DUMMYFUNCTION("GOOGLETRANSLATE(B213,""ja"",""vi"")"),"làm kẹo")</f>
        <v>làm kẹo</v>
      </c>
      <c r="F213" s="3" t="str">
        <f ca="1">IFERROR(__xludf.DUMMYFUNCTION("GOOGLETRANSLATE(C213,""ja"",""vi"")"),"Đấu giá&gt; cuốn sách, tạp chí&gt; nhà, sinh hoạt, chăm sóc trẻ em&gt; nấu ăn, công thức nấu ăn&gt; làm kẹo")</f>
        <v>Đấu giá&gt; cuốn sách, tạp chí&gt; nhà, sinh hoạt, chăm sóc trẻ em&gt; nấu ăn, công thức nấu ăn&gt; làm kẹo</v>
      </c>
      <c r="G213" s="229" t="str">
        <f t="shared" ca="1" si="6"/>
        <v>"2084008941" : "làm kẹo",</v>
      </c>
      <c r="H213" s="229" t="str">
        <f t="shared" si="7"/>
        <v>&lt;li class="col-md-3"&gt;&lt;a class="text-cut" href="javascript:;"(click)="categoryEvent(2084008941)"&gt;{{"2084008941" | translate}}&lt;/a&gt;&lt;/li&gt;</v>
      </c>
    </row>
    <row r="214" spans="1:8" ht="14.25" customHeight="1">
      <c r="A214" s="2">
        <v>2084045181</v>
      </c>
      <c r="B214" s="2" t="s">
        <v>3632</v>
      </c>
      <c r="C214" s="2" t="s">
        <v>3634</v>
      </c>
      <c r="D214" s="2" t="s">
        <v>3636</v>
      </c>
      <c r="E214" s="3" t="str">
        <f ca="1">IFERROR(__xludf.DUMMYFUNCTION("GOOGLETRANSLATE(B214,""ja"",""vi"")"),"món ăn Ý")</f>
        <v>món ăn Ý</v>
      </c>
      <c r="F214" s="3" t="str">
        <f ca="1">IFERROR(__xludf.DUMMYFUNCTION("GOOGLETRANSLATE(C214,""ja"",""vi"")"),"Đấu giá&gt; cuốn sách, tạp chí&gt; nhà, sinh hoạt, chăm sóc trẻ em&gt; nấu ăn, công thức nấu ăn&gt; món ăn Ý")</f>
        <v>Đấu giá&gt; cuốn sách, tạp chí&gt; nhà, sinh hoạt, chăm sóc trẻ em&gt; nấu ăn, công thức nấu ăn&gt; món ăn Ý</v>
      </c>
      <c r="G214" s="229" t="str">
        <f t="shared" ca="1" si="6"/>
        <v>"2084045181" : "món ăn Ý",</v>
      </c>
      <c r="H214" s="229" t="str">
        <f t="shared" si="7"/>
        <v>&lt;li class="col-md-3"&gt;&lt;a class="text-cut" href="javascript:;"(click)="categoryEvent(2084045181)"&gt;{{"2084045181" | translate}}&lt;/a&gt;&lt;/li&gt;</v>
      </c>
    </row>
    <row r="215" spans="1:8" ht="14.25" customHeight="1">
      <c r="A215" s="2">
        <v>2084045183</v>
      </c>
      <c r="B215" s="2" t="s">
        <v>3643</v>
      </c>
      <c r="C215" s="2" t="s">
        <v>3645</v>
      </c>
      <c r="D215" s="2" t="s">
        <v>3647</v>
      </c>
      <c r="E215" s="3" t="str">
        <f ca="1">IFERROR(__xludf.DUMMYFUNCTION("GOOGLETRANSLATE(B215,""ja"",""vi"")"),"món ăn dân tộc")</f>
        <v>món ăn dân tộc</v>
      </c>
      <c r="F215" s="3" t="str">
        <f ca="1">IFERROR(__xludf.DUMMYFUNCTION("GOOGLETRANSLATE(C215,""ja"",""vi"")"),"Đấu giá&gt; cuốn sách, tạp chí&gt; nhà, sinh hoạt, chăm sóc trẻ em&gt; nấu ăn, công thức nấu ăn&gt; thực phẩm dân tộc")</f>
        <v>Đấu giá&gt; cuốn sách, tạp chí&gt; nhà, sinh hoạt, chăm sóc trẻ em&gt; nấu ăn, công thức nấu ăn&gt; thực phẩm dân tộc</v>
      </c>
      <c r="G215" s="229" t="str">
        <f t="shared" ca="1" si="6"/>
        <v>"2084045183" : "món ăn dân tộc",</v>
      </c>
      <c r="H215" s="229" t="str">
        <f t="shared" si="7"/>
        <v>&lt;li class="col-md-3"&gt;&lt;a class="text-cut" href="javascript:;"(click)="categoryEvent(2084045183)"&gt;{{"2084045183" | translate}}&lt;/a&gt;&lt;/li&gt;</v>
      </c>
    </row>
    <row r="216" spans="1:8" ht="14.25" customHeight="1">
      <c r="A216" s="2">
        <v>2084008942</v>
      </c>
      <c r="B216" s="2" t="s">
        <v>3654</v>
      </c>
      <c r="C216" s="2" t="s">
        <v>3656</v>
      </c>
      <c r="D216" s="2" t="s">
        <v>3657</v>
      </c>
      <c r="E216" s="3" t="str">
        <f ca="1">IFERROR(__xludf.DUMMYFUNCTION("GOOGLETRANSLATE(B216,""ja"",""vi"")"),"bánh mì làm")</f>
        <v>bánh mì làm</v>
      </c>
      <c r="F216" s="3" t="str">
        <f ca="1">IFERROR(__xludf.DUMMYFUNCTION("GOOGLETRANSLATE(C216,""ja"",""vi"")"),"Đấu giá&gt; cuốn sách, tạp chí&gt; nhà, sinh hoạt, chăm sóc trẻ em&gt; nấu ăn, công thức nấu ăn&gt; làm bánh mì")</f>
        <v>Đấu giá&gt; cuốn sách, tạp chí&gt; nhà, sinh hoạt, chăm sóc trẻ em&gt; nấu ăn, công thức nấu ăn&gt; làm bánh mì</v>
      </c>
      <c r="G216" s="229" t="str">
        <f t="shared" ca="1" si="6"/>
        <v>"2084008942" : "bánh mì làm",</v>
      </c>
      <c r="H216" s="229" t="str">
        <f t="shared" si="7"/>
        <v>&lt;li class="col-md-3"&gt;&lt;a class="text-cut" href="javascript:;"(click)="categoryEvent(2084008942)"&gt;{{"2084008942" | translate}}&lt;/a&gt;&lt;/li&gt;</v>
      </c>
    </row>
    <row r="217" spans="1:8" ht="14.25" customHeight="1">
      <c r="A217" s="2">
        <v>2084045182</v>
      </c>
      <c r="B217" s="2" t="s">
        <v>3664</v>
      </c>
      <c r="C217" s="2" t="s">
        <v>3666</v>
      </c>
      <c r="D217" s="2" t="s">
        <v>3669</v>
      </c>
      <c r="E217" s="3" t="str">
        <f ca="1">IFERROR(__xludf.DUMMYFUNCTION("GOOGLETRANSLATE(B217,""ja"",""vi"")"),"các món ăn Pháp")</f>
        <v>các món ăn Pháp</v>
      </c>
      <c r="F217" s="3" t="str">
        <f ca="1">IFERROR(__xludf.DUMMYFUNCTION("GOOGLETRANSLATE(C217,""ja"",""vi"")"),"Đấu giá&gt; cuốn sách, tạp chí&gt; nhà, sinh hoạt, chăm sóc trẻ em&gt; nấu ăn, công thức nấu ăn&gt; món ăn Pháp")</f>
        <v>Đấu giá&gt; cuốn sách, tạp chí&gt; nhà, sinh hoạt, chăm sóc trẻ em&gt; nấu ăn, công thức nấu ăn&gt; món ăn Pháp</v>
      </c>
      <c r="G217" s="229" t="str">
        <f t="shared" ca="1" si="6"/>
        <v>"2084045182" : "các món ăn Pháp",</v>
      </c>
      <c r="H217" s="229" t="str">
        <f t="shared" si="7"/>
        <v>&lt;li class="col-md-3"&gt;&lt;a class="text-cut" href="javascript:;"(click)="categoryEvent(2084045182)"&gt;{{"2084045182" | translate}}&lt;/a&gt;&lt;/li&gt;</v>
      </c>
    </row>
    <row r="218" spans="1:8" ht="14.25" customHeight="1">
      <c r="A218" s="2">
        <v>2084008913</v>
      </c>
      <c r="B218" s="2" t="s">
        <v>3677</v>
      </c>
      <c r="C218" s="2" t="s">
        <v>3679</v>
      </c>
      <c r="D218" s="2" t="s">
        <v>3680</v>
      </c>
      <c r="E218" s="3" t="str">
        <f ca="1">IFERROR(__xludf.DUMMYFUNCTION("GOOGLETRANSLATE(B218,""ja"",""vi"")"),"hướng dẫn nhà hàng")</f>
        <v>hướng dẫn nhà hàng</v>
      </c>
      <c r="F218" s="3" t="str">
        <f ca="1">IFERROR(__xludf.DUMMYFUNCTION("GOOGLETRANSLATE(C218,""ja"",""vi"")"),"Đấu giá&gt; cuốn sách, tạp chí&gt; nhà, sinh hoạt, chăm sóc trẻ em&gt; nấu ăn, công thức nấu ăn&gt; Nhà hàng hướng dẫn")</f>
        <v>Đấu giá&gt; cuốn sách, tạp chí&gt; nhà, sinh hoạt, chăm sóc trẻ em&gt; nấu ăn, công thức nấu ăn&gt; Nhà hàng hướng dẫn</v>
      </c>
      <c r="G218" s="229" t="str">
        <f t="shared" ca="1" si="6"/>
        <v>"2084008913" : "hướng dẫn nhà hàng",</v>
      </c>
      <c r="H218" s="229" t="str">
        <f t="shared" si="7"/>
        <v>&lt;li class="col-md-3"&gt;&lt;a class="text-cut" href="javascript:;"(click)="categoryEvent(2084008913)"&gt;{{"2084008913" | translate}}&lt;/a&gt;&lt;/li&gt;</v>
      </c>
    </row>
    <row r="219" spans="1:8" ht="14.25" customHeight="1">
      <c r="A219" s="2">
        <v>2084008937</v>
      </c>
      <c r="B219" s="2" t="s">
        <v>3689</v>
      </c>
      <c r="C219" s="2" t="s">
        <v>3691</v>
      </c>
      <c r="D219" s="2" t="s">
        <v>3692</v>
      </c>
      <c r="E219" s="3" t="str">
        <f ca="1">IFERROR(__xludf.DUMMYFUNCTION("GOOGLETRANSLATE(B219,""ja"",""vi"")"),"nhà nấu ăn")</f>
        <v>nhà nấu ăn</v>
      </c>
      <c r="F219" s="3" t="str">
        <f ca="1">IFERROR(__xludf.DUMMYFUNCTION("GOOGLETRANSLATE(C219,""ja"",""vi"")"),"Đấu giá&gt; cuốn sách, tạp chí&gt; nhà, sinh hoạt, chăm sóc trẻ em&gt; nấu ăn, công thức nấu ăn&gt; nấu ăn tại nhà")</f>
        <v>Đấu giá&gt; cuốn sách, tạp chí&gt; nhà, sinh hoạt, chăm sóc trẻ em&gt; nấu ăn, công thức nấu ăn&gt; nấu ăn tại nhà</v>
      </c>
      <c r="G219" s="229" t="str">
        <f t="shared" ca="1" si="6"/>
        <v>"2084008937" : "nhà nấu ăn",</v>
      </c>
      <c r="H219" s="229" t="str">
        <f t="shared" si="7"/>
        <v>&lt;li class="col-md-3"&gt;&lt;a class="text-cut" href="javascript:;"(click)="categoryEvent(2084008937)"&gt;{{"2084008937" | translate}}&lt;/a&gt;&lt;/li&gt;</v>
      </c>
    </row>
    <row r="220" spans="1:8" ht="14.25" customHeight="1">
      <c r="A220" s="2">
        <v>2084008124</v>
      </c>
      <c r="B220" s="2" t="s">
        <v>351</v>
      </c>
      <c r="C220" s="2" t="s">
        <v>3699</v>
      </c>
      <c r="D220" s="2" t="s">
        <v>3700</v>
      </c>
      <c r="E220" s="3" t="str">
        <f ca="1">IFERROR(__xludf.DUMMYFUNCTION("GOOGLETRANSLATE(B220,""ja"",""vi"")"),"tạp chí")</f>
        <v>tạp chí</v>
      </c>
      <c r="F220" s="3" t="str">
        <f ca="1">IFERROR(__xludf.DUMMYFUNCTION("GOOGLETRANSLATE(C220,""ja"",""vi"")"),"Đấu giá&gt; cuốn sách, tạp chí&gt; nhà, sinh hoạt, chăm sóc trẻ em&gt; nấu ăn, công thức nấu ăn&gt; Tạp chí")</f>
        <v>Đấu giá&gt; cuốn sách, tạp chí&gt; nhà, sinh hoạt, chăm sóc trẻ em&gt; nấu ăn, công thức nấu ăn&gt; Tạp chí</v>
      </c>
      <c r="G220" s="229" t="str">
        <f t="shared" ca="1" si="6"/>
        <v>"2084008124" : "tạp chí",</v>
      </c>
      <c r="H220" s="229" t="str">
        <f t="shared" si="7"/>
        <v>&lt;li class="col-md-3"&gt;&lt;a class="text-cut" href="javascript:;"(click)="categoryEvent(2084008124)"&gt;{{"2084008124" | translate}}&lt;/a&gt;&lt;/li&gt;</v>
      </c>
    </row>
    <row r="221" spans="1:8" ht="14.25" customHeight="1">
      <c r="A221" s="2">
        <v>2084008945</v>
      </c>
      <c r="B221" s="2" t="s">
        <v>3706</v>
      </c>
      <c r="C221" s="2" t="s">
        <v>3707</v>
      </c>
      <c r="D221" s="2" t="s">
        <v>3708</v>
      </c>
      <c r="E221" s="3" t="str">
        <f ca="1">IFERROR(__xludf.DUMMYFUNCTION("GOOGLETRANSLATE(B221,""ja"",""vi"")"),"Rượu, đồ uống")</f>
        <v>Rượu, đồ uống</v>
      </c>
      <c r="F221" s="3" t="str">
        <f ca="1">IFERROR(__xludf.DUMMYFUNCTION("GOOGLETRANSLATE(C221,""ja"",""vi"")"),"Đấu giá&gt; cuốn sách, tạp chí&gt; nhà, sinh hoạt, chăm sóc trẻ em&gt; nấu ăn, công thức nấu ăn&gt; sake, thức uống")</f>
        <v>Đấu giá&gt; cuốn sách, tạp chí&gt; nhà, sinh hoạt, chăm sóc trẻ em&gt; nấu ăn, công thức nấu ăn&gt; sake, thức uống</v>
      </c>
      <c r="G221" s="229" t="str">
        <f t="shared" ca="1" si="6"/>
        <v>"2084008945" : "Rượu, đồ uống",</v>
      </c>
      <c r="H221" s="229" t="str">
        <f t="shared" si="7"/>
        <v>&lt;li class="col-md-3"&gt;&lt;a class="text-cut" href="javascript:;"(click)="categoryEvent(2084008945)"&gt;{{"2084008945" | translate}}&lt;/a&gt;&lt;/li&gt;</v>
      </c>
    </row>
    <row r="222" spans="1:8" ht="14.25" customHeight="1">
      <c r="A222" s="2">
        <v>2084008940</v>
      </c>
      <c r="B222" s="2" t="s">
        <v>3712</v>
      </c>
      <c r="C222" s="2" t="s">
        <v>3716</v>
      </c>
      <c r="D222" s="2" t="s">
        <v>3718</v>
      </c>
      <c r="E222" s="3" t="str">
        <f ca="1">IFERROR(__xludf.DUMMYFUNCTION("GOOGLETRANSLATE(B222,""ja"",""vi"")"),"món ăn Trung Quốc")</f>
        <v>món ăn Trung Quốc</v>
      </c>
      <c r="F222" s="3" t="str">
        <f ca="1">IFERROR(__xludf.DUMMYFUNCTION("GOOGLETRANSLATE(C222,""ja"",""vi"")"),"Đấu giá&gt; cuốn sách, tạp chí&gt; nhà, sinh hoạt, chăm sóc trẻ em&gt; nấu ăn, công thức nấu ăn&gt; Trung Quốc")</f>
        <v>Đấu giá&gt; cuốn sách, tạp chí&gt; nhà, sinh hoạt, chăm sóc trẻ em&gt; nấu ăn, công thức nấu ăn&gt; Trung Quốc</v>
      </c>
      <c r="G222" s="229" t="str">
        <f t="shared" ca="1" si="6"/>
        <v>"2084008940" : "món ăn Trung Quốc",</v>
      </c>
      <c r="H222" s="229" t="str">
        <f t="shared" si="7"/>
        <v>&lt;li class="col-md-3"&gt;&lt;a class="text-cut" href="javascript:;"(click)="categoryEvent(2084008940)"&gt;{{"2084008940" | translate}}&lt;/a&gt;&lt;/li&gt;</v>
      </c>
    </row>
    <row r="223" spans="1:8" ht="14.25" customHeight="1">
      <c r="A223" s="2">
        <v>2084008938</v>
      </c>
      <c r="B223" s="2" t="s">
        <v>3728</v>
      </c>
      <c r="C223" s="2" t="s">
        <v>3730</v>
      </c>
      <c r="D223" s="2" t="s">
        <v>3731</v>
      </c>
      <c r="E223" s="3" t="str">
        <f ca="1">IFERROR(__xludf.DUMMYFUNCTION("GOOGLETRANSLATE(B223,""ja"",""vi"")"),"Tây")</f>
        <v>Tây</v>
      </c>
      <c r="F223" s="3" t="str">
        <f ca="1">IFERROR(__xludf.DUMMYFUNCTION("GOOGLETRANSLATE(C223,""ja"",""vi"")"),"Đấu giá&gt; cuốn sách, tạp chí&gt; nhà, sinh hoạt, chăm sóc trẻ em&gt; nấu ăn, công thức nấu ăn&gt; Tây")</f>
        <v>Đấu giá&gt; cuốn sách, tạp chí&gt; nhà, sinh hoạt, chăm sóc trẻ em&gt; nấu ăn, công thức nấu ăn&gt; Tây</v>
      </c>
      <c r="G223" s="229" t="str">
        <f t="shared" ca="1" si="6"/>
        <v>"2084008938" : "Tây",</v>
      </c>
      <c r="H223" s="229" t="str">
        <f t="shared" si="7"/>
        <v>&lt;li class="col-md-3"&gt;&lt;a class="text-cut" href="javascript:;"(click)="categoryEvent(2084008938)"&gt;{{"2084008938" | translate}}&lt;/a&gt;&lt;/li&gt;</v>
      </c>
    </row>
    <row r="224" spans="1:8" ht="14.25" customHeight="1">
      <c r="A224" s="2">
        <v>2084008943</v>
      </c>
      <c r="B224" s="2" t="s">
        <v>3738</v>
      </c>
      <c r="C224" s="2" t="s">
        <v>3739</v>
      </c>
      <c r="D224" s="2" t="s">
        <v>3741</v>
      </c>
      <c r="E224" s="3" t="str">
        <f ca="1">IFERROR(__xludf.DUMMYFUNCTION("GOOGLETRANSLATE(B224,""ja"",""vi"")"),"tiểu luận nấu ăn")</f>
        <v>tiểu luận nấu ăn</v>
      </c>
      <c r="F224" s="3" t="str">
        <f ca="1">IFERROR(__xludf.DUMMYFUNCTION("GOOGLETRANSLATE(C224,""ja"",""vi"")"),"Đấu giá&gt; cuốn sách, tạp chí&gt; nhà, sinh hoạt, chăm sóc trẻ em&gt; nấu ăn, công thức nấu ăn&gt; tiểu luận nấu ăn")</f>
        <v>Đấu giá&gt; cuốn sách, tạp chí&gt; nhà, sinh hoạt, chăm sóc trẻ em&gt; nấu ăn, công thức nấu ăn&gt; tiểu luận nấu ăn</v>
      </c>
      <c r="G224" s="229" t="str">
        <f t="shared" ca="1" si="6"/>
        <v>"2084008943" : "tiểu luận nấu ăn",</v>
      </c>
      <c r="H224" s="229" t="str">
        <f t="shared" si="7"/>
        <v>&lt;li class="col-md-3"&gt;&lt;a class="text-cut" href="javascript:;"(click)="categoryEvent(2084008943)"&gt;{{"2084008943" | translate}}&lt;/a&gt;&lt;/li&gt;</v>
      </c>
    </row>
    <row r="225" spans="1:8" ht="14.25" customHeight="1">
      <c r="A225" s="2">
        <v>2084008939</v>
      </c>
      <c r="B225" s="2" t="s">
        <v>3749</v>
      </c>
      <c r="C225" s="2" t="s">
        <v>3753</v>
      </c>
      <c r="D225" s="2" t="s">
        <v>3754</v>
      </c>
      <c r="E225" s="3" t="str">
        <f ca="1">IFERROR(__xludf.DUMMYFUNCTION("GOOGLETRANSLATE(B225,""ja"",""vi"")"),"Nhật Bản")</f>
        <v>Nhật Bản</v>
      </c>
      <c r="F225" s="3" t="str">
        <f ca="1">IFERROR(__xludf.DUMMYFUNCTION("GOOGLETRANSLATE(C225,""ja"",""vi"")"),"Đấu giá&gt; cuốn sách, tạp chí&gt; nhà, sinh hoạt, chăm sóc trẻ em&gt; nấu ăn, công thức nấu ăn&gt; Nhật Bản")</f>
        <v>Đấu giá&gt; cuốn sách, tạp chí&gt; nhà, sinh hoạt, chăm sóc trẻ em&gt; nấu ăn, công thức nấu ăn&gt; Nhật Bản</v>
      </c>
      <c r="G225" s="229" t="str">
        <f t="shared" ca="1" si="6"/>
        <v>"2084008939" : "Nhật Bản",</v>
      </c>
      <c r="H225" s="229" t="str">
        <f t="shared" si="7"/>
        <v>&lt;li class="col-md-3"&gt;&lt;a class="text-cut" href="javascript:;"(click)="categoryEvent(2084008939)"&gt;{{"2084008939" | translate}}&lt;/a&gt;&lt;/li&gt;</v>
      </c>
    </row>
    <row r="226" spans="1:8" ht="14.25" customHeight="1"/>
    <row r="227" spans="1:8" ht="14.25" customHeight="1"/>
    <row r="228" spans="1:8" ht="14.25" customHeight="1"/>
    <row r="229" spans="1:8" ht="14.25" customHeight="1"/>
    <row r="230" spans="1:8" ht="14.25" customHeight="1"/>
    <row r="231" spans="1:8" ht="14.25" customHeight="1"/>
    <row r="232" spans="1:8" ht="14.25" customHeight="1"/>
    <row r="233" spans="1:8" ht="14.25" customHeight="1"/>
    <row r="234" spans="1:8" ht="14.25" customHeight="1"/>
    <row r="235" spans="1:8" ht="14.25" customHeight="1"/>
    <row r="236" spans="1:8" ht="14.25" customHeight="1"/>
    <row r="237" spans="1:8" ht="14.25" customHeight="1"/>
    <row r="238" spans="1:8" ht="14.25" customHeight="1"/>
    <row r="239" spans="1:8" ht="14.25" customHeight="1"/>
    <row r="240" spans="1:8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64:D64"/>
    <mergeCell ref="A21:D21"/>
    <mergeCell ref="A34:D34"/>
    <mergeCell ref="A47:D47"/>
    <mergeCell ref="A51:D51"/>
    <mergeCell ref="A55:D55"/>
    <mergeCell ref="A194:D194"/>
    <mergeCell ref="A206:D206"/>
    <mergeCell ref="A211:D211"/>
    <mergeCell ref="A110:D110"/>
    <mergeCell ref="A119:D119"/>
    <mergeCell ref="A132:D132"/>
    <mergeCell ref="A151:D151"/>
    <mergeCell ref="A161:D161"/>
    <mergeCell ref="A176:D176"/>
    <mergeCell ref="A169:D169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D1" workbookViewId="0">
      <selection activeCell="H2" sqref="H2"/>
    </sheetView>
  </sheetViews>
  <sheetFormatPr defaultColWidth="12.59765625" defaultRowHeight="15" customHeight="1"/>
  <cols>
    <col min="1" max="1" width="15.09765625" customWidth="1"/>
    <col min="2" max="2" width="16.796875" customWidth="1"/>
    <col min="3" max="3" width="28.19921875" customWidth="1"/>
    <col min="4" max="4" width="16.09765625" customWidth="1"/>
    <col min="5" max="5" width="19.3984375" customWidth="1"/>
    <col min="6" max="6" width="47" customWidth="1"/>
    <col min="7" max="7" width="29.69921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42180</v>
      </c>
      <c r="B2" s="2" t="s">
        <v>2451</v>
      </c>
      <c r="C2" s="2" t="s">
        <v>2452</v>
      </c>
      <c r="D2" s="2" t="s">
        <v>2455</v>
      </c>
      <c r="E2" s="3" t="str">
        <f ca="1">IFERROR(__xludf.DUMMYFUNCTION("GOOGLETRANSLATE(B2,""ja"",""vi"")"),"Mỹ phẩm, chăm sóc da")</f>
        <v>Mỹ phẩm, chăm sóc da</v>
      </c>
      <c r="F2" s="3" t="str">
        <f ca="1">IFERROR(__xludf.DUMMYFUNCTION("GOOGLETRANSLATE(C2,""ja"",""vi"")"),"Đấu giá&gt; làm đẹp, chăm sóc sức khỏe&gt; ​​mỹ phẩm, chăm sóc da")</f>
        <v>Đấu giá&gt; làm đẹp, chăm sóc sức khỏe&gt; ​​mỹ phẩm, chăm sóc da</v>
      </c>
      <c r="G2" s="229" t="str">
        <f ca="1">CONCATENATE(CHAR(34)&amp;"",A2,""&amp;CHAR(34)," : ", CHAR(34)&amp;"",E2,""&amp;CHAR(34),",")</f>
        <v>"42180" : "Mỹ phẩm, chăm sóc da",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href="javascript:;"(click)="categoryEvent(42180)"&gt;{{"42180" | translate}}&lt;/a&gt;&lt;/li&gt;</v>
      </c>
    </row>
    <row r="3" spans="1:8" ht="14.25" customHeight="1">
      <c r="A3" s="4">
        <v>42179</v>
      </c>
      <c r="B3" s="4" t="s">
        <v>2466</v>
      </c>
      <c r="C3" s="4" t="s">
        <v>2467</v>
      </c>
      <c r="D3" s="4" t="s">
        <v>2469</v>
      </c>
      <c r="E3" s="3" t="str">
        <f ca="1">IFERROR(__xludf.DUMMYFUNCTION("GOOGLETRANSLATE(B3,""ja"",""vi"")"),"Nước hoa, hương thơm")</f>
        <v>Nước hoa, hương thơm</v>
      </c>
      <c r="F3" s="3" t="str">
        <f ca="1">IFERROR(__xludf.DUMMYFUNCTION("GOOGLETRANSLATE(C3,""ja"",""vi"")"),"Đấu giá&gt; làm đẹp, chăm sóc sức khỏe&gt; ​​nước hoa, hương thơm")</f>
        <v>Đấu giá&gt; làm đẹp, chăm sóc sức khỏe&gt; ​​nước hoa, hương thơm</v>
      </c>
      <c r="G3" s="229" t="str">
        <f t="shared" ref="G3:G64" ca="1" si="0">CONCATENATE(CHAR(34)&amp;"",A3,""&amp;CHAR(34)," : ", CHAR(34)&amp;"",E3,""&amp;CHAR(34),",")</f>
        <v>"42179" : "Nước hoa, hương thơm",</v>
      </c>
      <c r="H3" s="229" t="str">
        <f t="shared" ref="H3:H64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href="javascript:;"(click)="categoryEvent(42179)"&gt;{{"42179" | translate}}&lt;/a&gt;&lt;/li&gt;</v>
      </c>
    </row>
    <row r="4" spans="1:8" ht="14.25" customHeight="1">
      <c r="A4" s="5">
        <v>2084005298</v>
      </c>
      <c r="B4" s="5" t="s">
        <v>1677</v>
      </c>
      <c r="C4" s="5" t="s">
        <v>2474</v>
      </c>
      <c r="D4" s="5" t="s">
        <v>2476</v>
      </c>
      <c r="E4" s="3" t="str">
        <f ca="1">IFERROR(__xludf.DUMMYFUNCTION("GOOGLETRANSLATE(B4,""ja"",""vi"")"),"Chăm sóc móng tay")</f>
        <v>Chăm sóc móng tay</v>
      </c>
      <c r="F4" s="3" t="str">
        <f ca="1">IFERROR(__xludf.DUMMYFUNCTION("GOOGLETRANSLATE(C4,""ja"",""vi"")"),"Đấu giá&gt; làm đẹp, chăm sóc sức khỏe&gt; ​​Chăm sóc móng")</f>
        <v>Đấu giá&gt; làm đẹp, chăm sóc sức khỏe&gt; ​​Chăm sóc móng</v>
      </c>
      <c r="G4" s="229" t="str">
        <f t="shared" ca="1" si="0"/>
        <v>"2084005298" : "Chăm sóc móng tay",</v>
      </c>
      <c r="H4" s="229" t="str">
        <f t="shared" si="1"/>
        <v>&lt;li class="col-md-3"&gt;&lt;a class="text-cut" href="javascript:;"(click)="categoryEvent(2084005298)"&gt;{{"2084005298" | translate}}&lt;/a&gt;&lt;/li&gt;</v>
      </c>
    </row>
    <row r="5" spans="1:8" ht="14.25" customHeight="1">
      <c r="A5" s="8">
        <v>2084005297</v>
      </c>
      <c r="B5" s="8" t="s">
        <v>1696</v>
      </c>
      <c r="C5" s="8" t="s">
        <v>2482</v>
      </c>
      <c r="D5" s="8" t="s">
        <v>2484</v>
      </c>
      <c r="E5" s="3" t="str">
        <f ca="1">IFERROR(__xludf.DUMMYFUNCTION("GOOGLETRANSLATE(B5,""ja"",""vi"")"),"chăm sóc tóc")</f>
        <v>chăm sóc tóc</v>
      </c>
      <c r="F5" s="3" t="str">
        <f ca="1">IFERROR(__xludf.DUMMYFUNCTION("GOOGLETRANSLATE(C5,""ja"",""vi"")"),"Đấu giá&gt; làm đẹp, chăm sóc sức khỏe&gt; ​​Chăm sóc tóc")</f>
        <v>Đấu giá&gt; làm đẹp, chăm sóc sức khỏe&gt; ​​Chăm sóc tóc</v>
      </c>
      <c r="G5" s="229" t="str">
        <f t="shared" ca="1" si="0"/>
        <v>"2084005297" : "chăm sóc tóc",</v>
      </c>
      <c r="H5" s="229" t="str">
        <f t="shared" si="1"/>
        <v>&lt;li class="col-md-3"&gt;&lt;a class="text-cut" href="javascript:;"(click)="categoryEvent(2084005297)"&gt;{{"2084005297" | translate}}&lt;/a&gt;&lt;/li&gt;</v>
      </c>
    </row>
    <row r="6" spans="1:8" ht="14.25" customHeight="1">
      <c r="A6" s="6">
        <v>2084007425</v>
      </c>
      <c r="B6" s="6" t="s">
        <v>2485</v>
      </c>
      <c r="C6" s="6" t="s">
        <v>2487</v>
      </c>
      <c r="D6" s="6" t="s">
        <v>2490</v>
      </c>
      <c r="E6" s="3" t="str">
        <f ca="1">IFERROR(__xludf.DUMMYFUNCTION("GOOGLETRANSLATE(B6,""ja"",""vi"")"),"Chăm sóc cơ thể")</f>
        <v>Chăm sóc cơ thể</v>
      </c>
      <c r="F6" s="3" t="str">
        <f ca="1">IFERROR(__xludf.DUMMYFUNCTION("GOOGLETRANSLATE(C6,""ja"",""vi"")"),"Đấu giá&gt; làm đẹp, chăm sóc sức khỏe&gt; ​​Chăm sóc cơ thể")</f>
        <v>Đấu giá&gt; làm đẹp, chăm sóc sức khỏe&gt; ​​Chăm sóc cơ thể</v>
      </c>
      <c r="G6" s="229" t="str">
        <f t="shared" ca="1" si="0"/>
        <v>"2084007425" : "Chăm sóc cơ thể",</v>
      </c>
      <c r="H6" s="229" t="str">
        <f t="shared" si="1"/>
        <v>&lt;li class="col-md-3"&gt;&lt;a class="text-cut" href="javascript:;"(click)="categoryEvent(2084007425)"&gt;{{"2084007425" | translate}}&lt;/a&gt;&lt;/li&gt;</v>
      </c>
    </row>
    <row r="7" spans="1:8" ht="14.25" customHeight="1">
      <c r="A7" s="9">
        <v>2084055379</v>
      </c>
      <c r="B7" s="9" t="s">
        <v>2497</v>
      </c>
      <c r="C7" s="9" t="s">
        <v>2498</v>
      </c>
      <c r="D7" s="9" t="s">
        <v>2499</v>
      </c>
      <c r="E7" s="3" t="str">
        <f ca="1">IFERROR(__xludf.DUMMYFUNCTION("GOOGLETRANSLATE(B7,""ja"",""vi"")"),"Chăm sóc răng miệng")</f>
        <v>Chăm sóc răng miệng</v>
      </c>
      <c r="F7" s="3" t="str">
        <f ca="1">IFERROR(__xludf.DUMMYFUNCTION("GOOGLETRANSLATE(C7,""ja"",""vi"")"),"Đấu giá&gt; làm đẹp, chăm sóc sức khỏe&gt; ​​Chăm sóc răng miệng")</f>
        <v>Đấu giá&gt; làm đẹp, chăm sóc sức khỏe&gt; ​​Chăm sóc răng miệng</v>
      </c>
      <c r="G7" s="229" t="str">
        <f t="shared" ca="1" si="0"/>
        <v>"2084055379" : "Chăm sóc răng miệng",</v>
      </c>
      <c r="H7" s="229" t="str">
        <f t="shared" si="1"/>
        <v>&lt;li class="col-md-3"&gt;&lt;a class="text-cut" href="javascript:;"(click)="categoryEvent(2084055379)"&gt;{{"2084055379" | translate}}&lt;/a&gt;&lt;/li&gt;</v>
      </c>
    </row>
    <row r="8" spans="1:8" ht="14.25" customHeight="1">
      <c r="A8" s="7">
        <v>2084012478</v>
      </c>
      <c r="B8" s="7" t="s">
        <v>2503</v>
      </c>
      <c r="C8" s="7" t="s">
        <v>2506</v>
      </c>
      <c r="D8" s="7" t="s">
        <v>2507</v>
      </c>
      <c r="E8" s="3" t="str">
        <f ca="1">IFERROR(__xludf.DUMMYFUNCTION("GOOGLETRANSLATE(B8,""ja"",""vi"")"),"Kính, Danh bạ")</f>
        <v>Kính, Danh bạ</v>
      </c>
      <c r="F8" s="3" t="str">
        <f ca="1">IFERROR(__xludf.DUMMYFUNCTION("GOOGLETRANSLATE(C8,""ja"",""vi"")"),"Đấu giá&gt; làm đẹp, chăm sóc sức khỏe&gt; ​​kính, liên hệ")</f>
        <v>Đấu giá&gt; làm đẹp, chăm sóc sức khỏe&gt; ​​kính, liên hệ</v>
      </c>
      <c r="G8" s="229" t="str">
        <f t="shared" ca="1" si="0"/>
        <v>"2084012478" : "Kính, Danh bạ",</v>
      </c>
      <c r="H8" s="229" t="str">
        <f t="shared" si="1"/>
        <v>&lt;li class="col-md-3"&gt;&lt;a class="text-cut" href="javascript:;"(click)="categoryEvent(2084012478)"&gt;{{"2084012478" | translate}}&lt;/a&gt;&lt;/li&gt;</v>
      </c>
    </row>
    <row r="9" spans="1:8" ht="14.25" customHeight="1">
      <c r="A9" s="41">
        <v>2084042539</v>
      </c>
      <c r="B9" s="41" t="s">
        <v>2513</v>
      </c>
      <c r="C9" s="41" t="s">
        <v>2514</v>
      </c>
      <c r="D9" s="41" t="s">
        <v>2515</v>
      </c>
      <c r="E9" s="3" t="str">
        <f ca="1">IFERROR(__xludf.DUMMYFUNCTION("GOOGLETRANSLATE(B9,""ja"",""vi"")"),"Hàng thư giãn")</f>
        <v>Hàng thư giãn</v>
      </c>
      <c r="F9" s="3" t="str">
        <f ca="1">IFERROR(__xludf.DUMMYFUNCTION("GOOGLETRANSLATE(C9,""ja"",""vi"")"),"Đấu giá&gt; làm đẹp, chăm sóc sức khỏe&gt; ​​hàng thư giãn")</f>
        <v>Đấu giá&gt; làm đẹp, chăm sóc sức khỏe&gt; ​​hàng thư giãn</v>
      </c>
      <c r="G9" s="229" t="str">
        <f t="shared" ca="1" si="0"/>
        <v>"2084042539" : "Hàng thư giãn",</v>
      </c>
      <c r="H9" s="229" t="str">
        <f t="shared" si="1"/>
        <v>&lt;li class="col-md-3"&gt;&lt;a class="text-cut" href="javascript:;"(click)="categoryEvent(2084042539)"&gt;{{"2084042539" | translate}}&lt;/a&gt;&lt;/li&gt;</v>
      </c>
    </row>
    <row r="10" spans="1:8" ht="14.25" customHeight="1">
      <c r="A10" s="16">
        <v>26100</v>
      </c>
      <c r="B10" s="16" t="s">
        <v>2523</v>
      </c>
      <c r="C10" s="16" t="s">
        <v>2524</v>
      </c>
      <c r="D10" s="16" t="s">
        <v>2525</v>
      </c>
      <c r="E10" s="3" t="str">
        <f ca="1">IFERROR(__xludf.DUMMYFUNCTION("GOOGLETRANSLATE(B10,""ja"",""vi"")"),"Chế độ ăn uống")</f>
        <v>Chế độ ăn uống</v>
      </c>
      <c r="F10" s="3" t="str">
        <f ca="1">IFERROR(__xludf.DUMMYFUNCTION("GOOGLETRANSLATE(C10,""ja"",""vi"")"),"Đấu giá&gt; sắc đẹp, chăm sóc sức khỏe&gt; ​​Ăn kiêng")</f>
        <v>Đấu giá&gt; sắc đẹp, chăm sóc sức khỏe&gt; ​​Ăn kiêng</v>
      </c>
      <c r="G10" s="229" t="str">
        <f t="shared" ca="1" si="0"/>
        <v>"26100" : "Chế độ ăn uống",</v>
      </c>
      <c r="H10" s="229" t="str">
        <f t="shared" si="1"/>
        <v>&lt;li class="col-md-3"&gt;&lt;a class="text-cut" href="javascript:;"(click)="categoryEvent(26100)"&gt;{{"26100" | translate}}&lt;/a&gt;&lt;/li&gt;</v>
      </c>
    </row>
    <row r="11" spans="1:8" ht="14.25" customHeight="1">
      <c r="A11" s="43">
        <v>24054</v>
      </c>
      <c r="B11" s="43" t="s">
        <v>2134</v>
      </c>
      <c r="C11" s="43" t="s">
        <v>2532</v>
      </c>
      <c r="D11" s="43" t="s">
        <v>2533</v>
      </c>
      <c r="E11" s="3" t="str">
        <f ca="1">IFERROR(__xludf.DUMMYFUNCTION("GOOGLETRANSLATE(B11,""ja"",""vi"")"),"thực phẩm sức khỏe")</f>
        <v>thực phẩm sức khỏe</v>
      </c>
      <c r="F11" s="3" t="str">
        <f ca="1">IFERROR(__xludf.DUMMYFUNCTION("GOOGLETRANSLATE(C11,""ja"",""vi"")"),"Đấu giá&gt; làm đẹp, chăm sóc sức khỏe&gt; ​​thực phẩm lành mạnh")</f>
        <v>Đấu giá&gt; làm đẹp, chăm sóc sức khỏe&gt; ​​thực phẩm lành mạnh</v>
      </c>
      <c r="G11" s="229" t="str">
        <f t="shared" ca="1" si="0"/>
        <v>"24054" : "thực phẩm sức khỏe",</v>
      </c>
      <c r="H11" s="229" t="str">
        <f t="shared" si="1"/>
        <v>&lt;li class="col-md-3"&gt;&lt;a class="text-cut" href="javascript:;"(click)="categoryEvent(24054)"&gt;{{"24054" | translate}}&lt;/a&gt;&lt;/li&gt;</v>
      </c>
    </row>
    <row r="12" spans="1:8" ht="14.25" customHeight="1">
      <c r="A12" s="45">
        <v>2084042538</v>
      </c>
      <c r="B12" s="45" t="s">
        <v>2540</v>
      </c>
      <c r="C12" s="45" t="s">
        <v>2543</v>
      </c>
      <c r="D12" s="45" t="s">
        <v>2545</v>
      </c>
      <c r="E12" s="3" t="str">
        <f ca="1">IFERROR(__xludf.DUMMYFUNCTION("GOOGLETRANSLATE(B12,""ja"",""vi"")"),"Điều dưỡng, chăm sóc điều dưỡng")</f>
        <v>Điều dưỡng, chăm sóc điều dưỡng</v>
      </c>
      <c r="F12" s="3" t="str">
        <f ca="1">IFERROR(__xludf.DUMMYFUNCTION("GOOGLETRANSLATE(C12,""ja"",""vi"")"),"Đấu giá&gt; làm đẹp, chăm sóc sức khỏe&gt; ​​điều dưỡng, chăm sóc điều dưỡng")</f>
        <v>Đấu giá&gt; làm đẹp, chăm sóc sức khỏe&gt; ​​điều dưỡng, chăm sóc điều dưỡng</v>
      </c>
      <c r="G12" s="229" t="str">
        <f t="shared" ca="1" si="0"/>
        <v>"2084042538" : "Điều dưỡng, chăm sóc điều dưỡng",</v>
      </c>
      <c r="H12" s="229" t="str">
        <f t="shared" si="1"/>
        <v>&lt;li class="col-md-3"&gt;&lt;a class="text-cut" href="javascript:;"(click)="categoryEvent(2084042538)"&gt;{{"2084042538" | translate}}&lt;/a&gt;&lt;/li&gt;</v>
      </c>
    </row>
    <row r="13" spans="1:8" ht="14.25" customHeight="1">
      <c r="A13" s="48">
        <v>24854</v>
      </c>
      <c r="B13" s="48" t="s">
        <v>2550</v>
      </c>
      <c r="C13" s="48" t="s">
        <v>2552</v>
      </c>
      <c r="D13" s="48" t="s">
        <v>2553</v>
      </c>
      <c r="E13" s="3" t="str">
        <f ca="1">IFERROR(__xludf.DUMMYFUNCTION("GOOGLETRANSLATE(B13,""ja"",""vi"")"),"Sơ cứu ban đầu, các sản phẩm vệ sinh")</f>
        <v>Sơ cứu ban đầu, các sản phẩm vệ sinh</v>
      </c>
      <c r="F13" s="3" t="str">
        <f ca="1">IFERROR(__xludf.DUMMYFUNCTION("GOOGLETRANSLATE(C13,""ja"",""vi"")"),"Đấu giá&gt; làm đẹp, chăm sóc sức khỏe&gt; ​​cấp cứu, các sản phẩm vệ sinh")</f>
        <v>Đấu giá&gt; làm đẹp, chăm sóc sức khỏe&gt; ​​cấp cứu, các sản phẩm vệ sinh</v>
      </c>
      <c r="G13" s="229" t="str">
        <f t="shared" ca="1" si="0"/>
        <v>"24854" : "Sơ cứu ban đầu, các sản phẩm vệ sinh",</v>
      </c>
      <c r="H13" s="229" t="str">
        <f t="shared" si="1"/>
        <v>&lt;li class="col-md-3"&gt;&lt;a class="text-cut" href="javascript:;"(click)="categoryEvent(24854)"&gt;{{"24854" | translate}}&lt;/a&gt;&lt;/li&gt;</v>
      </c>
    </row>
    <row r="14" spans="1:8" ht="14.25" customHeight="1">
      <c r="A14" s="50">
        <v>2084042544</v>
      </c>
      <c r="B14" s="50" t="s">
        <v>2560</v>
      </c>
      <c r="C14" s="50" t="s">
        <v>2561</v>
      </c>
      <c r="D14" s="50" t="s">
        <v>2562</v>
      </c>
      <c r="E14" s="3" t="str">
        <f ca="1">IFERROR(__xludf.DUMMYFUNCTION("GOOGLETRANSLATE(B14,""ja"",""vi"")"),"nguồn cung cấp y tế, thiết bị y tế")</f>
        <v>nguồn cung cấp y tế, thiết bị y tế</v>
      </c>
      <c r="F14" s="3" t="str">
        <f ca="1">IFERROR(__xludf.DUMMYFUNCTION("GOOGLETRANSLATE(C14,""ja"",""vi"")"),"Đấu giá&gt; làm đẹp, chăm sóc sức khỏe&gt; ​​nguồn cung cấp sức khỏe, thiết bị y tế")</f>
        <v>Đấu giá&gt; làm đẹp, chăm sóc sức khỏe&gt; ​​nguồn cung cấp sức khỏe, thiết bị y tế</v>
      </c>
      <c r="G14" s="229" t="str">
        <f t="shared" ca="1" si="0"/>
        <v>"2084042544" : "nguồn cung cấp y tế, thiết bị y tế",</v>
      </c>
      <c r="H14" s="229" t="str">
        <f t="shared" si="1"/>
        <v>&lt;li class="col-md-3"&gt;&lt;a class="text-cut" href="javascript:;"(click)="categoryEvent(2084042544)"&gt;{{"2084042544" | translate}}&lt;/a&gt;&lt;/li&gt;</v>
      </c>
    </row>
    <row r="15" spans="1:8" ht="14.25" customHeight="1">
      <c r="A15" s="53">
        <v>2084007477</v>
      </c>
      <c r="B15" s="53" t="s">
        <v>2566</v>
      </c>
      <c r="C15" s="53" t="s">
        <v>2568</v>
      </c>
      <c r="D15" s="53" t="s">
        <v>2570</v>
      </c>
      <c r="E15" s="3" t="str">
        <f ca="1">IFERROR(__xludf.DUMMYFUNCTION("GOOGLETRANSLATE(B15,""ja"",""vi"")"),"Vẻ đẹp Thiết bị")</f>
        <v>Vẻ đẹp Thiết bị</v>
      </c>
      <c r="F15" s="3" t="str">
        <f ca="1">IFERROR(__xludf.DUMMYFUNCTION("GOOGLETRANSLATE(C15,""ja"",""vi"")"),"Đấu giá&gt; làm đẹp, chăm sóc sức khỏe&gt; ​​Làm đẹp Thiết bị")</f>
        <v>Đấu giá&gt; làm đẹp, chăm sóc sức khỏe&gt; ​​Làm đẹp Thiết bị</v>
      </c>
      <c r="G15" s="229" t="str">
        <f t="shared" ca="1" si="0"/>
        <v>"2084007477" : "Vẻ đẹp Thiết bị",</v>
      </c>
      <c r="H15" s="229" t="str">
        <f t="shared" si="1"/>
        <v>&lt;li class="col-md-3"&gt;&lt;a class="text-cut" href="javascript:;"(click)="categoryEvent(2084007477)"&gt;{{"2084007477" | translate}}&lt;/a&gt;&lt;/li&gt;</v>
      </c>
    </row>
    <row r="16" spans="1:8" ht="14.25" customHeight="1">
      <c r="A16" s="56">
        <v>2084005300</v>
      </c>
      <c r="B16" s="56" t="s">
        <v>16</v>
      </c>
      <c r="C16" s="56" t="s">
        <v>2574</v>
      </c>
      <c r="D16" s="56" t="s">
        <v>2575</v>
      </c>
      <c r="E16" s="3" t="str">
        <f ca="1">IFERROR(__xludf.DUMMYFUNCTION("GOOGLETRANSLATE(B16,""ja"",""vi"")"),"nếu không thì")</f>
        <v>nếu không thì</v>
      </c>
      <c r="F16" s="3" t="str">
        <f ca="1">IFERROR(__xludf.DUMMYFUNCTION("GOOGLETRANSLATE(C16,""ja"",""vi"")"),"Đấu giá&gt; làm đẹp, chăm sóc sức khỏe&gt; ​​Khác")</f>
        <v>Đấu giá&gt; làm đẹp, chăm sóc sức khỏe&gt; ​​Khác</v>
      </c>
      <c r="G16" s="229" t="str">
        <f t="shared" ca="1" si="0"/>
        <v>"2084005300" : "nếu không thì",</v>
      </c>
      <c r="H16" s="229" t="str">
        <f t="shared" si="1"/>
        <v>&lt;li class="col-md-3"&gt;&lt;a class="text-cut" href="javascript:;"(click)="categoryEvent(2084005300)"&gt;{{"2084005300" | translate}}&lt;/a&gt;&lt;/li&gt;</v>
      </c>
    </row>
    <row r="17" spans="1:8" ht="14.25" customHeight="1">
      <c r="E17" s="3"/>
      <c r="F17" s="3"/>
      <c r="G17" s="229"/>
      <c r="H17" s="229"/>
    </row>
    <row r="18" spans="1:8" ht="14.25" customHeight="1">
      <c r="A18" s="231">
        <v>42180</v>
      </c>
      <c r="B18" s="232"/>
      <c r="C18" s="232"/>
      <c r="D18" s="233"/>
      <c r="E18" s="3"/>
      <c r="F18" s="3"/>
      <c r="G18" s="229"/>
      <c r="H18" s="229"/>
    </row>
    <row r="19" spans="1:8" ht="14.25" customHeight="1">
      <c r="A19" s="2">
        <v>2084059207</v>
      </c>
      <c r="B19" s="2" t="s">
        <v>2586</v>
      </c>
      <c r="C19" s="2" t="s">
        <v>2589</v>
      </c>
      <c r="D19" s="2" t="s">
        <v>2591</v>
      </c>
      <c r="E19" s="3" t="str">
        <f ca="1">IFERROR(__xludf.DUMMYFUNCTION("GOOGLETRANSLATE(B19,""ja"",""vi"")"),"by Nhãn hiệu")</f>
        <v>by Nhãn hiệu</v>
      </c>
      <c r="F19" s="3" t="str">
        <f ca="1">IFERROR(__xludf.DUMMYFUNCTION("GOOGLETRANSLATE(C19,""ja"",""vi"")"),"Đấu giá&gt; làm đẹp, chăm sóc sức khỏe&gt; ​​mỹ phẩm, chăm sóc da&gt; By Nhãn hiệu")</f>
        <v>Đấu giá&gt; làm đẹp, chăm sóc sức khỏe&gt; ​​mỹ phẩm, chăm sóc da&gt; By Nhãn hiệu</v>
      </c>
      <c r="G19" s="229" t="str">
        <f t="shared" ca="1" si="0"/>
        <v>"2084059207" : "by Nhãn hiệu",</v>
      </c>
      <c r="H19" s="229" t="str">
        <f t="shared" si="1"/>
        <v>&lt;li class="col-md-3"&gt;&lt;a class="text-cut" href="javascript:;"(click)="categoryEvent(2084059207)"&gt;{{"2084059207" | translate}}&lt;/a&gt;&lt;/li&gt;</v>
      </c>
    </row>
    <row r="20" spans="1:8" ht="14.25" customHeight="1">
      <c r="A20" s="2">
        <v>2084243520</v>
      </c>
      <c r="B20" s="2" t="s">
        <v>2596</v>
      </c>
      <c r="C20" s="2" t="s">
        <v>2598</v>
      </c>
      <c r="D20" s="2" t="s">
        <v>2600</v>
      </c>
      <c r="E20" s="3" t="str">
        <f ca="1">IFERROR(__xludf.DUMMYFUNCTION("GOOGLETRANSLATE(B20,""ja"",""vi"")"),"Coffret, bộ thử nghiệm")</f>
        <v>Coffret, bộ thử nghiệm</v>
      </c>
      <c r="F20" s="3" t="str">
        <f ca="1">IFERROR(__xludf.DUMMYFUNCTION("GOOGLETRANSLATE(C20,""ja"",""vi"")"),"Đấu giá&gt; làm đẹp, chăm sóc sức khỏe&gt; ​​mỹ phẩm, chăm sóc da&gt; Coffret, bộ thử nghiệm")</f>
        <v>Đấu giá&gt; làm đẹp, chăm sóc sức khỏe&gt; ​​mỹ phẩm, chăm sóc da&gt; Coffret, bộ thử nghiệm</v>
      </c>
      <c r="G20" s="229" t="str">
        <f t="shared" ca="1" si="0"/>
        <v>"2084243520" : "Coffret, bộ thử nghiệm",</v>
      </c>
      <c r="H20" s="229" t="str">
        <f t="shared" si="1"/>
        <v>&lt;li class="col-md-3"&gt;&lt;a class="text-cut" href="javascript:;"(click)="categoryEvent(2084243520)"&gt;{{"2084243520" | translate}}&lt;/a&gt;&lt;/li&gt;</v>
      </c>
    </row>
    <row r="21" spans="1:8" ht="14.25" customHeight="1">
      <c r="A21" s="2">
        <v>2084059814</v>
      </c>
      <c r="B21" s="2" t="s">
        <v>2605</v>
      </c>
      <c r="C21" s="2" t="s">
        <v>2607</v>
      </c>
      <c r="D21" s="2" t="s">
        <v>2609</v>
      </c>
      <c r="E21" s="3" t="str">
        <f ca="1">IFERROR(__xludf.DUMMYFUNCTION("GOOGLETRANSLATE(B21,""ja"",""vi"")"),"bộ")</f>
        <v>bộ</v>
      </c>
      <c r="F21" s="3" t="str">
        <f ca="1">IFERROR(__xludf.DUMMYFUNCTION("GOOGLETRANSLATE(C21,""ja"",""vi"")"),"Đấu giá&gt; làm đẹp, chăm sóc sức khỏe&gt; ​​mỹ phẩm, chăm sóc da&gt; bộ")</f>
        <v>Đấu giá&gt; làm đẹp, chăm sóc sức khỏe&gt; ​​mỹ phẩm, chăm sóc da&gt; bộ</v>
      </c>
      <c r="G21" s="229" t="str">
        <f t="shared" ca="1" si="0"/>
        <v>"2084059814" : "bộ",</v>
      </c>
      <c r="H21" s="229" t="str">
        <f t="shared" si="1"/>
        <v>&lt;li class="col-md-3"&gt;&lt;a class="text-cut" href="javascript:;"(click)="categoryEvent(2084059814)"&gt;{{"2084059814" | translate}}&lt;/a&gt;&lt;/li&gt;</v>
      </c>
    </row>
    <row r="22" spans="1:8" ht="14.25" customHeight="1">
      <c r="A22" s="2">
        <v>42181</v>
      </c>
      <c r="B22" s="2" t="s">
        <v>2614</v>
      </c>
      <c r="C22" s="2" t="s">
        <v>2616</v>
      </c>
      <c r="D22" s="2" t="s">
        <v>2618</v>
      </c>
      <c r="E22" s="3" t="str">
        <f ca="1">IFERROR(__xludf.DUMMYFUNCTION("GOOGLETRANSLATE(B22,""ja"",""vi"")"),"mỹ phẩm cơ bản")</f>
        <v>mỹ phẩm cơ bản</v>
      </c>
      <c r="F22" s="3" t="str">
        <f ca="1">IFERROR(__xludf.DUMMYFUNCTION("GOOGLETRANSLATE(C22,""ja"",""vi"")"),"Đấu giá&gt; làm đẹp, chăm sóc sức khỏe&gt; ​​mỹ phẩm, chăm sóc da&gt; mỹ phẩm cơ bản")</f>
        <v>Đấu giá&gt; làm đẹp, chăm sóc sức khỏe&gt; ​​mỹ phẩm, chăm sóc da&gt; mỹ phẩm cơ bản</v>
      </c>
      <c r="G22" s="229" t="str">
        <f t="shared" ca="1" si="0"/>
        <v>"42181" : "mỹ phẩm cơ bản",</v>
      </c>
      <c r="H22" s="229" t="str">
        <f t="shared" si="1"/>
        <v>&lt;li class="col-md-3"&gt;&lt;a class="text-cut" href="javascript:;"(click)="categoryEvent(42181)"&gt;{{"42181" | translate}}&lt;/a&gt;&lt;/li&gt;</v>
      </c>
    </row>
    <row r="23" spans="1:8" ht="14.25" customHeight="1">
      <c r="A23" s="2">
        <v>2084005340</v>
      </c>
      <c r="B23" s="2" t="s">
        <v>2622</v>
      </c>
      <c r="C23" s="2" t="s">
        <v>2624</v>
      </c>
      <c r="D23" s="2" t="s">
        <v>2626</v>
      </c>
      <c r="E23" s="3" t="str">
        <f ca="1">IFERROR(__xludf.DUMMYFUNCTION("GOOGLETRANSLATE(B23,""ja"",""vi"")"),"Kem chống nắng")</f>
        <v>Kem chống nắng</v>
      </c>
      <c r="F23" s="3" t="str">
        <f ca="1">IFERROR(__xludf.DUMMYFUNCTION("GOOGLETRANSLATE(C23,""ja"",""vi"")"),"Đấu giá&gt; làm đẹp, chăm sóc sức khỏe&gt; ​​mỹ phẩm, chăm sóc da&gt; kem chống nắng")</f>
        <v>Đấu giá&gt; làm đẹp, chăm sóc sức khỏe&gt; ​​mỹ phẩm, chăm sóc da&gt; kem chống nắng</v>
      </c>
      <c r="G23" s="229" t="str">
        <f t="shared" ca="1" si="0"/>
        <v>"2084005340" : "Kem chống nắng",</v>
      </c>
      <c r="H23" s="229" t="str">
        <f t="shared" si="1"/>
        <v>&lt;li class="col-md-3"&gt;&lt;a class="text-cut" href="javascript:;"(click)="categoryEvent(2084005340)"&gt;{{"2084005340" | translate}}&lt;/a&gt;&lt;/li&gt;</v>
      </c>
    </row>
    <row r="24" spans="1:8" ht="14.25" customHeight="1">
      <c r="A24" s="2">
        <v>2084306764</v>
      </c>
      <c r="B24" s="2" t="s">
        <v>2631</v>
      </c>
      <c r="C24" s="2" t="s">
        <v>2633</v>
      </c>
      <c r="D24" s="2" t="s">
        <v>2636</v>
      </c>
      <c r="E24" s="3" t="str">
        <f ca="1">IFERROR(__xludf.DUMMYFUNCTION("GOOGLETRANSLATE(B24,""ja"",""vi"")"),"BB cream")</f>
        <v>BB cream</v>
      </c>
      <c r="F24" s="3" t="str">
        <f ca="1">IFERROR(__xludf.DUMMYFUNCTION("GOOGLETRANSLATE(C24,""ja"",""vi"")"),"Đấu giá&gt; làm đẹp, chăm sóc sức khỏe&gt; ​​mỹ phẩm, chăm sóc da&gt; BB cream")</f>
        <v>Đấu giá&gt; làm đẹp, chăm sóc sức khỏe&gt; ​​mỹ phẩm, chăm sóc da&gt; BB cream</v>
      </c>
      <c r="G24" s="229" t="str">
        <f t="shared" ca="1" si="0"/>
        <v>"2084306764" : "BB cream",</v>
      </c>
      <c r="H24" s="229" t="str">
        <f t="shared" si="1"/>
        <v>&lt;li class="col-md-3"&gt;&lt;a class="text-cut" href="javascript:;"(click)="categoryEvent(2084306764)"&gt;{{"2084306764" | translate}}&lt;/a&gt;&lt;/li&gt;</v>
      </c>
    </row>
    <row r="25" spans="1:8" ht="14.25" customHeight="1">
      <c r="A25" s="2">
        <v>2084048854</v>
      </c>
      <c r="B25" s="2" t="s">
        <v>2638</v>
      </c>
      <c r="C25" s="2" t="s">
        <v>2640</v>
      </c>
      <c r="D25" s="2" t="s">
        <v>2642</v>
      </c>
      <c r="E25" s="3" t="str">
        <f ca="1">IFERROR(__xludf.DUMMYFUNCTION("GOOGLETRANSLATE(B25,""ja"",""vi"")"),"cơ sở trang điểm, kem chống nắng cho da mặt")</f>
        <v>cơ sở trang điểm, kem chống nắng cho da mặt</v>
      </c>
      <c r="F25" s="3" t="str">
        <f ca="1">IFERROR(__xludf.DUMMYFUNCTION("GOOGLETRANSLATE(C25,""ja"",""vi"")"),"Đấu giá&gt; làm đẹp, chăm sóc sức khỏe&gt; ​​mỹ phẩm, chăm sóc da&gt; lót trang điểm, kem chống nắng cho da mặt")</f>
        <v>Đấu giá&gt; làm đẹp, chăm sóc sức khỏe&gt; ​​mỹ phẩm, chăm sóc da&gt; lót trang điểm, kem chống nắng cho da mặt</v>
      </c>
      <c r="G25" s="229" t="str">
        <f t="shared" ca="1" si="0"/>
        <v>"2084048854" : "cơ sở trang điểm, kem chống nắng cho da mặt",</v>
      </c>
      <c r="H25" s="229" t="str">
        <f t="shared" si="1"/>
        <v>&lt;li class="col-md-3"&gt;&lt;a class="text-cut" href="javascript:;"(click)="categoryEvent(2084048854)"&gt;{{"2084048854" | translate}}&lt;/a&gt;&lt;/li&gt;</v>
      </c>
    </row>
    <row r="26" spans="1:8" ht="14.25" customHeight="1">
      <c r="A26" s="2">
        <v>2084005318</v>
      </c>
      <c r="B26" s="2" t="s">
        <v>2651</v>
      </c>
      <c r="C26" s="2" t="s">
        <v>2654</v>
      </c>
      <c r="D26" s="2" t="s">
        <v>2655</v>
      </c>
      <c r="E26" s="3" t="str">
        <f ca="1">IFERROR(__xludf.DUMMYFUNCTION("GOOGLETRANSLATE(B26,""ja"",""vi"")"),"nền tảng")</f>
        <v>nền tảng</v>
      </c>
      <c r="F26" s="3" t="str">
        <f ca="1">IFERROR(__xludf.DUMMYFUNCTION("GOOGLETRANSLATE(C26,""ja"",""vi"")"),"Đấu giá&gt; làm đẹp, chăm sóc sức khỏe&gt; ​​mỹ phẩm, chăm sóc da&gt; nền tảng")</f>
        <v>Đấu giá&gt; làm đẹp, chăm sóc sức khỏe&gt; ​​mỹ phẩm, chăm sóc da&gt; nền tảng</v>
      </c>
      <c r="G26" s="229" t="str">
        <f t="shared" ca="1" si="0"/>
        <v>"2084005318" : "nền tảng",</v>
      </c>
      <c r="H26" s="229" t="str">
        <f t="shared" si="1"/>
        <v>&lt;li class="col-md-3"&gt;&lt;a class="text-cut" href="javascript:;"(click)="categoryEvent(2084005318)"&gt;{{"2084005318" | translate}}&lt;/a&gt;&lt;/li&gt;</v>
      </c>
    </row>
    <row r="27" spans="1:8" ht="14.25" customHeight="1">
      <c r="A27" s="2">
        <v>2084005315</v>
      </c>
      <c r="B27" s="2" t="s">
        <v>2659</v>
      </c>
      <c r="C27" s="2" t="s">
        <v>2661</v>
      </c>
      <c r="D27" s="2" t="s">
        <v>2663</v>
      </c>
      <c r="E27" s="3" t="str">
        <f ca="1">IFERROR(__xludf.DUMMYFUNCTION("GOOGLETRANSLATE(B27,""ja"",""vi"")"),"kem che khuyết điểm")</f>
        <v>kem che khuyết điểm</v>
      </c>
      <c r="F27" s="3" t="str">
        <f ca="1">IFERROR(__xludf.DUMMYFUNCTION("GOOGLETRANSLATE(C27,""ja"",""vi"")"),"Đấu giá&gt; làm đẹp, chăm sóc sức khỏe&gt; ​​mỹ phẩm, chăm sóc da&gt; Che Khuyết Điểm")</f>
        <v>Đấu giá&gt; làm đẹp, chăm sóc sức khỏe&gt; ​​mỹ phẩm, chăm sóc da&gt; Che Khuyết Điểm</v>
      </c>
      <c r="G27" s="229" t="str">
        <f t="shared" ca="1" si="0"/>
        <v>"2084005315" : "kem che khuyết điểm",</v>
      </c>
      <c r="H27" s="229" t="str">
        <f t="shared" si="1"/>
        <v>&lt;li class="col-md-3"&gt;&lt;a class="text-cut" href="javascript:;"(click)="categoryEvent(2084005315)"&gt;{{"2084005315" | translate}}&lt;/a&gt;&lt;/li&gt;</v>
      </c>
    </row>
    <row r="28" spans="1:8" ht="14.25" customHeight="1">
      <c r="A28" s="2">
        <v>2084007459</v>
      </c>
      <c r="B28" s="2" t="s">
        <v>2667</v>
      </c>
      <c r="C28" s="2" t="s">
        <v>2669</v>
      </c>
      <c r="D28" s="2" t="s">
        <v>2671</v>
      </c>
      <c r="E28" s="3" t="str">
        <f ca="1">IFERROR(__xludf.DUMMYFUNCTION("GOOGLETRANSLATE(B28,""ja"",""vi"")"),"màu kiểm soát")</f>
        <v>màu kiểm soát</v>
      </c>
      <c r="F28" s="3" t="str">
        <f ca="1">IFERROR(__xludf.DUMMYFUNCTION("GOOGLETRANSLATE(C28,""ja"",""vi"")"),"Đấu giá&gt; làm đẹp, chăm sóc sức khỏe&gt; ​​mỹ phẩm, chăm sóc da&gt; màu kiểm soát")</f>
        <v>Đấu giá&gt; làm đẹp, chăm sóc sức khỏe&gt; ​​mỹ phẩm, chăm sóc da&gt; màu kiểm soát</v>
      </c>
      <c r="G28" s="229" t="str">
        <f t="shared" ca="1" si="0"/>
        <v>"2084007459" : "màu kiểm soát",</v>
      </c>
      <c r="H28" s="229" t="str">
        <f t="shared" si="1"/>
        <v>&lt;li class="col-md-3"&gt;&lt;a class="text-cut" href="javascript:;"(click)="categoryEvent(2084007459)"&gt;{{"2084007459" | translate}}&lt;/a&gt;&lt;/li&gt;</v>
      </c>
    </row>
    <row r="29" spans="1:8" ht="14.25" customHeight="1">
      <c r="A29" s="2">
        <v>2084007460</v>
      </c>
      <c r="B29" s="2" t="s">
        <v>2672</v>
      </c>
      <c r="C29" s="2" t="s">
        <v>2676</v>
      </c>
      <c r="D29" s="2" t="s">
        <v>2677</v>
      </c>
      <c r="E29" s="3" t="str">
        <f ca="1">IFERROR(__xludf.DUMMYFUNCTION("GOOGLETRANSLATE(B29,""ja"",""vi"")"),"Má, Phấn Mắt")</f>
        <v>Má, Phấn Mắt</v>
      </c>
      <c r="F29" s="3" t="str">
        <f ca="1">IFERROR(__xludf.DUMMYFUNCTION("GOOGLETRANSLATE(C29,""ja"",""vi"")"),"Đấu giá&gt; làm đẹp, chăm sóc sức khỏe&gt; ​​mỹ phẩm, chăm sóc da&gt; tếch, Face Màu")</f>
        <v>Đấu giá&gt; làm đẹp, chăm sóc sức khỏe&gt; ​​mỹ phẩm, chăm sóc da&gt; tếch, Face Màu</v>
      </c>
      <c r="G29" s="229" t="str">
        <f t="shared" ca="1" si="0"/>
        <v>"2084007460" : "Má, Phấn Mắt",</v>
      </c>
      <c r="H29" s="229" t="str">
        <f t="shared" si="1"/>
        <v>&lt;li class="col-md-3"&gt;&lt;a class="text-cut" href="javascript:;"(click)="categoryEvent(2084007460)"&gt;{{"2084007460" | translate}}&lt;/a&gt;&lt;/li&gt;</v>
      </c>
    </row>
    <row r="30" spans="1:8" ht="14.25" customHeight="1">
      <c r="A30" s="2">
        <v>2084005324</v>
      </c>
      <c r="B30" s="2" t="s">
        <v>2682</v>
      </c>
      <c r="C30" s="2" t="s">
        <v>2684</v>
      </c>
      <c r="D30" s="2" t="s">
        <v>2687</v>
      </c>
      <c r="E30" s="3" t="str">
        <f ca="1">IFERROR(__xludf.DUMMYFUNCTION("GOOGLETRANSLATE(B30,""ja"",""vi"")"),"mặt Powder")</f>
        <v>mặt Powder</v>
      </c>
      <c r="F30" s="3" t="str">
        <f ca="1">IFERROR(__xludf.DUMMYFUNCTION("GOOGLETRANSLATE(C30,""ja"",""vi"")"),"Đấu giá&gt; làm đẹp, chăm sóc sức khỏe&gt; ​​mỹ phẩm, chăm sóc da&gt; bột mặt")</f>
        <v>Đấu giá&gt; làm đẹp, chăm sóc sức khỏe&gt; ​​mỹ phẩm, chăm sóc da&gt; bột mặt</v>
      </c>
      <c r="G30" s="229" t="str">
        <f t="shared" ca="1" si="0"/>
        <v>"2084005324" : "mặt Powder",</v>
      </c>
      <c r="H30" s="229" t="str">
        <f t="shared" si="1"/>
        <v>&lt;li class="col-md-3"&gt;&lt;a class="text-cut" href="javascript:;"(click)="categoryEvent(2084005324)"&gt;{{"2084005324" | translate}}&lt;/a&gt;&lt;/li&gt;</v>
      </c>
    </row>
    <row r="31" spans="1:8" ht="14.25" customHeight="1">
      <c r="A31" s="2">
        <v>2084005317</v>
      </c>
      <c r="B31" s="2" t="s">
        <v>2693</v>
      </c>
      <c r="C31" s="2" t="s">
        <v>2696</v>
      </c>
      <c r="D31" s="2" t="s">
        <v>2698</v>
      </c>
      <c r="E31" s="3" t="str">
        <f ca="1">IFERROR(__xludf.DUMMYFUNCTION("GOOGLETRANSLATE(B31,""ja"",""vi"")"),"lông mày")</f>
        <v>lông mày</v>
      </c>
      <c r="F31" s="3" t="str">
        <f ca="1">IFERROR(__xludf.DUMMYFUNCTION("GOOGLETRANSLATE(C31,""ja"",""vi"")"),"Đấu giá&gt; làm đẹp, chăm sóc sức khỏe&gt; ​​mỹ phẩm, chăm sóc da&gt; Lông mày")</f>
        <v>Đấu giá&gt; làm đẹp, chăm sóc sức khỏe&gt; ​​mỹ phẩm, chăm sóc da&gt; Lông mày</v>
      </c>
      <c r="G31" s="229" t="str">
        <f t="shared" ca="1" si="0"/>
        <v>"2084005317" : "lông mày",</v>
      </c>
      <c r="H31" s="229" t="str">
        <f t="shared" si="1"/>
        <v>&lt;li class="col-md-3"&gt;&lt;a class="text-cut" href="javascript:;"(click)="categoryEvent(2084005317)"&gt;{{"2084005317" | translate}}&lt;/a&gt;&lt;/li&gt;</v>
      </c>
    </row>
    <row r="32" spans="1:8" ht="14.25" customHeight="1">
      <c r="A32" s="2">
        <v>44380</v>
      </c>
      <c r="B32" s="2" t="s">
        <v>2700</v>
      </c>
      <c r="C32" s="2" t="s">
        <v>2703</v>
      </c>
      <c r="D32" s="2" t="s">
        <v>2706</v>
      </c>
      <c r="E32" s="3" t="str">
        <f ca="1">IFERROR(__xludf.DUMMYFUNCTION("GOOGLETRANSLATE(B32,""ja"",""vi"")"),"eye shadow")</f>
        <v>eye shadow</v>
      </c>
      <c r="F32" s="3" t="str">
        <f ca="1">IFERROR(__xludf.DUMMYFUNCTION("GOOGLETRANSLATE(C32,""ja"",""vi"")"),"Đấu giá&gt; làm đẹp, chăm sóc sức khỏe&gt; ​​mỹ phẩm, chăm sóc da&gt; eye shadow")</f>
        <v>Đấu giá&gt; làm đẹp, chăm sóc sức khỏe&gt; ​​mỹ phẩm, chăm sóc da&gt; eye shadow</v>
      </c>
      <c r="G32" s="229" t="str">
        <f t="shared" ca="1" si="0"/>
        <v>"44380" : "eye shadow",</v>
      </c>
      <c r="H32" s="229" t="str">
        <f t="shared" si="1"/>
        <v>&lt;li class="col-md-3"&gt;&lt;a class="text-cut" href="javascript:;"(click)="categoryEvent(44380)"&gt;{{"44380" | translate}}&lt;/a&gt;&lt;/li&gt;</v>
      </c>
    </row>
    <row r="33" spans="1:8" ht="14.25" customHeight="1">
      <c r="A33" s="2">
        <v>2084005316</v>
      </c>
      <c r="B33" s="2" t="s">
        <v>2708</v>
      </c>
      <c r="C33" s="2" t="s">
        <v>2709</v>
      </c>
      <c r="D33" s="2" t="s">
        <v>2710</v>
      </c>
      <c r="E33" s="3" t="str">
        <f ca="1">IFERROR(__xludf.DUMMYFUNCTION("GOOGLETRANSLATE(B33,""ja"",""vi"")"),"Eyeliner")</f>
        <v>Eyeliner</v>
      </c>
      <c r="F33" s="3" t="str">
        <f ca="1">IFERROR(__xludf.DUMMYFUNCTION("GOOGLETRANSLATE(C33,""ja"",""vi"")"),"Đấu giá&gt; làm đẹp, chăm sóc sức khỏe&gt; ​​mỹ phẩm, chăm sóc da&gt; Eyeliner")</f>
        <v>Đấu giá&gt; làm đẹp, chăm sóc sức khỏe&gt; ​​mỹ phẩm, chăm sóc da&gt; Eyeliner</v>
      </c>
      <c r="G33" s="229" t="str">
        <f t="shared" ca="1" si="0"/>
        <v>"2084005316" : "Eyeliner",</v>
      </c>
      <c r="H33" s="229" t="str">
        <f t="shared" si="1"/>
        <v>&lt;li class="col-md-3"&gt;&lt;a class="text-cut" href="javascript:;"(click)="categoryEvent(2084005316)"&gt;{{"2084005316" | translate}}&lt;/a&gt;&lt;/li&gt;</v>
      </c>
    </row>
    <row r="34" spans="1:8" ht="14.25" customHeight="1">
      <c r="A34" s="2">
        <v>2084005323</v>
      </c>
      <c r="B34" s="2" t="s">
        <v>2715</v>
      </c>
      <c r="C34" s="2" t="s">
        <v>2717</v>
      </c>
      <c r="D34" s="2" t="s">
        <v>2718</v>
      </c>
      <c r="E34" s="3" t="str">
        <f ca="1">IFERROR(__xludf.DUMMYFUNCTION("GOOGLETRANSLATE(B34,""ja"",""vi"")"),"Mascara, vật lông mi")</f>
        <v>Mascara, vật lông mi</v>
      </c>
      <c r="F34" s="3" t="str">
        <f ca="1">IFERROR(__xludf.DUMMYFUNCTION("GOOGLETRANSLATE(C34,""ja"",""vi"")"),"Đấu giá&gt; làm đẹp, chăm sóc sức khỏe&gt; ​​mỹ phẩm, chăm sóc da&gt; mascara, vật lông mi")</f>
        <v>Đấu giá&gt; làm đẹp, chăm sóc sức khỏe&gt; ​​mỹ phẩm, chăm sóc da&gt; mascara, vật lông mi</v>
      </c>
      <c r="G34" s="229" t="str">
        <f t="shared" ca="1" si="0"/>
        <v>"2084005323" : "Mascara, vật lông mi",</v>
      </c>
      <c r="H34" s="229" t="str">
        <f t="shared" si="1"/>
        <v>&lt;li class="col-md-3"&gt;&lt;a class="text-cut" href="javascript:;"(click)="categoryEvent(2084005323)"&gt;{{"2084005323" | translate}}&lt;/a&gt;&lt;/li&gt;</v>
      </c>
    </row>
    <row r="35" spans="1:8" ht="14.25" customHeight="1">
      <c r="A35" s="2">
        <v>44381</v>
      </c>
      <c r="B35" s="2" t="s">
        <v>2721</v>
      </c>
      <c r="C35" s="2" t="s">
        <v>2723</v>
      </c>
      <c r="D35" s="2" t="s">
        <v>2724</v>
      </c>
      <c r="E35" s="3" t="str">
        <f ca="1">IFERROR(__xludf.DUMMYFUNCTION("GOOGLETRANSLATE(B35,""ja"",""vi"")"),"Son môi, bóng, chăm sóc môi")</f>
        <v>Son môi, bóng, chăm sóc môi</v>
      </c>
      <c r="F35" s="3" t="str">
        <f ca="1">IFERROR(__xludf.DUMMYFUNCTION("GOOGLETRANSLATE(C35,""ja"",""vi"")"),"Đấu giá&gt; làm đẹp, chăm sóc sức khỏe&gt; ​​mỹ phẩm, chăm sóc da&gt; son môi, bóng, chăm sóc môi")</f>
        <v>Đấu giá&gt; làm đẹp, chăm sóc sức khỏe&gt; ​​mỹ phẩm, chăm sóc da&gt; son môi, bóng, chăm sóc môi</v>
      </c>
      <c r="G35" s="229" t="str">
        <f t="shared" ca="1" si="0"/>
        <v>"44381" : "Son môi, bóng, chăm sóc môi",</v>
      </c>
      <c r="H35" s="229" t="str">
        <f t="shared" si="1"/>
        <v>&lt;li class="col-md-3"&gt;&lt;a class="text-cut" href="javascript:;"(click)="categoryEvent(44381)"&gt;{{"44381" | translate}}&lt;/a&gt;&lt;/li&gt;</v>
      </c>
    </row>
    <row r="36" spans="1:8" ht="14.25" customHeight="1">
      <c r="A36" s="2">
        <v>2084005320</v>
      </c>
      <c r="B36" s="2" t="s">
        <v>2728</v>
      </c>
      <c r="C36" s="2" t="s">
        <v>2729</v>
      </c>
      <c r="D36" s="2" t="s">
        <v>2730</v>
      </c>
      <c r="E36" s="3" t="str">
        <f ca="1">IFERROR(__xludf.DUMMYFUNCTION("GOOGLETRANSLATE(B36,""ja"",""vi"")"),"son bóng")</f>
        <v>son bóng</v>
      </c>
      <c r="F36" s="3" t="str">
        <f ca="1">IFERROR(__xludf.DUMMYFUNCTION("GOOGLETRANSLATE(C36,""ja"",""vi"")"),"Đấu giá&gt; làm đẹp, chăm sóc sức khỏe&gt; ​​mỹ phẩm, chăm sóc da&gt; son bóng")</f>
        <v>Đấu giá&gt; làm đẹp, chăm sóc sức khỏe&gt; ​​mỹ phẩm, chăm sóc da&gt; son bóng</v>
      </c>
      <c r="G36" s="229" t="str">
        <f t="shared" ca="1" si="0"/>
        <v>"2084005320" : "son bóng",</v>
      </c>
      <c r="H36" s="229" t="str">
        <f t="shared" si="1"/>
        <v>&lt;li class="col-md-3"&gt;&lt;a class="text-cut" href="javascript:;"(click)="categoryEvent(2084005320)"&gt;{{"2084005320" | translate}}&lt;/a&gt;&lt;/li&gt;</v>
      </c>
    </row>
    <row r="37" spans="1:8" ht="14.25" customHeight="1">
      <c r="A37" s="2">
        <v>2084005321</v>
      </c>
      <c r="B37" s="2" t="s">
        <v>2734</v>
      </c>
      <c r="C37" s="2" t="s">
        <v>2736</v>
      </c>
      <c r="D37" s="2" t="s">
        <v>2738</v>
      </c>
      <c r="E37" s="3" t="str">
        <f ca="1">IFERROR(__xludf.DUMMYFUNCTION("GOOGLETRANSLATE(B37,""ja"",""vi"")"),"liner môi")</f>
        <v>liner môi</v>
      </c>
      <c r="F37" s="3" t="str">
        <f ca="1">IFERROR(__xludf.DUMMYFUNCTION("GOOGLETRANSLATE(C37,""ja"",""vi"")"),"Đấu giá&gt; làm đẹp, chăm sóc sức khỏe&gt; ​​mỹ phẩm, chăm sóc da&gt; lót môi")</f>
        <v>Đấu giá&gt; làm đẹp, chăm sóc sức khỏe&gt; ​​mỹ phẩm, chăm sóc da&gt; lót môi</v>
      </c>
      <c r="G37" s="229" t="str">
        <f t="shared" ca="1" si="0"/>
        <v>"2084005321" : "liner môi",</v>
      </c>
      <c r="H37" s="229" t="str">
        <f t="shared" si="1"/>
        <v>&lt;li class="col-md-3"&gt;&lt;a class="text-cut" href="javascript:;"(click)="categoryEvent(2084005321)"&gt;{{"2084005321" | translate}}&lt;/a&gt;&lt;/li&gt;</v>
      </c>
    </row>
    <row r="38" spans="1:8" ht="14.25" customHeight="1">
      <c r="A38" s="2">
        <v>2084005325</v>
      </c>
      <c r="B38" s="2" t="s">
        <v>2740</v>
      </c>
      <c r="C38" s="2" t="s">
        <v>2742</v>
      </c>
      <c r="D38" s="2" t="s">
        <v>2744</v>
      </c>
      <c r="E38" s="3" t="str">
        <f ca="1">IFERROR(__xludf.DUMMYFUNCTION("GOOGLETRANSLATE(B38,""ja"",""vi"")"),"các công cụ trang điểm, phụ kiện trang điểm")</f>
        <v>các công cụ trang điểm, phụ kiện trang điểm</v>
      </c>
      <c r="F38" s="3" t="str">
        <f ca="1">IFERROR(__xludf.DUMMYFUNCTION("GOOGLETRANSLATE(C38,""ja"",""vi"")"),"Đấu giá&gt; làm đẹp, chăm sóc sức khỏe&gt; ​​mỹ phẩm, chăm sóc da&gt; công cụ trang điểm, phụ kiện trang điểm")</f>
        <v>Đấu giá&gt; làm đẹp, chăm sóc sức khỏe&gt; ​​mỹ phẩm, chăm sóc da&gt; công cụ trang điểm, phụ kiện trang điểm</v>
      </c>
      <c r="G38" s="229" t="str">
        <f t="shared" ca="1" si="0"/>
        <v>"2084005325" : "các công cụ trang điểm, phụ kiện trang điểm",</v>
      </c>
      <c r="H38" s="229" t="str">
        <f t="shared" si="1"/>
        <v>&lt;li class="col-md-3"&gt;&lt;a class="text-cut" href="javascript:;"(click)="categoryEvent(2084005325)"&gt;{{"2084005325" | translate}}&lt;/a&gt;&lt;/li&gt;</v>
      </c>
    </row>
    <row r="39" spans="1:8" ht="14.25" customHeight="1">
      <c r="A39" s="2">
        <v>2084290039</v>
      </c>
      <c r="B39" s="2" t="s">
        <v>2748</v>
      </c>
      <c r="C39" s="2" t="s">
        <v>2749</v>
      </c>
      <c r="D39" s="2" t="s">
        <v>2750</v>
      </c>
      <c r="E39" s="3" t="str">
        <f ca="1">IFERROR(__xludf.DUMMYFUNCTION("GOOGLETRANSLATE(B39,""ja"",""vi"")"),"sản phẩm mặt, lăn trên khuôn mặt")</f>
        <v>sản phẩm mặt, lăn trên khuôn mặt</v>
      </c>
      <c r="F39" s="3" t="str">
        <f ca="1">IFERROR(__xludf.DUMMYFUNCTION("GOOGLETRANSLATE(C39,""ja"",""vi"")"),"Đấu giá&gt; làm đẹp, chăm sóc sức khỏe&gt; ​​mỹ phẩm, chăm sóc da&gt; sản phẩm trên khuôn mặt, lăn trên khuôn mặt")</f>
        <v>Đấu giá&gt; làm đẹp, chăm sóc sức khỏe&gt; ​​mỹ phẩm, chăm sóc da&gt; sản phẩm trên khuôn mặt, lăn trên khuôn mặt</v>
      </c>
      <c r="G39" s="229" t="str">
        <f t="shared" ca="1" si="0"/>
        <v>"2084290039" : "sản phẩm mặt, lăn trên khuôn mặt",</v>
      </c>
      <c r="H39" s="229" t="str">
        <f t="shared" si="1"/>
        <v>&lt;li class="col-md-3"&gt;&lt;a class="text-cut" href="javascript:;"(click)="categoryEvent(2084290039)"&gt;{{"2084290039" | translate}}&lt;/a&gt;&lt;/li&gt;</v>
      </c>
    </row>
    <row r="40" spans="1:8" ht="14.25" customHeight="1">
      <c r="A40" s="2">
        <v>2084007482</v>
      </c>
      <c r="B40" s="2" t="s">
        <v>2755</v>
      </c>
      <c r="C40" s="2" t="s">
        <v>2757</v>
      </c>
      <c r="D40" s="2" t="s">
        <v>2759</v>
      </c>
      <c r="E40" s="3" t="str">
        <f ca="1">IFERROR(__xludf.DUMMYFUNCTION("GOOGLETRANSLATE(B40,""ja"",""vi"")"),"túi")</f>
        <v>túi</v>
      </c>
      <c r="F40" s="3" t="str">
        <f ca="1">IFERROR(__xludf.DUMMYFUNCTION("GOOGLETRANSLATE(C40,""ja"",""vi"")"),"Đấu giá&gt; làm đẹp, chăm sóc sức khỏe&gt; ​​mỹ phẩm, chăm sóc da&gt; túi")</f>
        <v>Đấu giá&gt; làm đẹp, chăm sóc sức khỏe&gt; ​​mỹ phẩm, chăm sóc da&gt; túi</v>
      </c>
      <c r="G40" s="229" t="str">
        <f t="shared" ca="1" si="0"/>
        <v>"2084007482" : "túi",</v>
      </c>
      <c r="H40" s="229" t="str">
        <f t="shared" si="1"/>
        <v>&lt;li class="col-md-3"&gt;&lt;a class="text-cut" href="javascript:;"(click)="categoryEvent(2084007482)"&gt;{{"2084007482" | translate}}&lt;/a&gt;&lt;/li&gt;</v>
      </c>
    </row>
    <row r="41" spans="1:8" ht="14.25" customHeight="1">
      <c r="A41" s="2">
        <v>2084007455</v>
      </c>
      <c r="B41" s="2" t="s">
        <v>2762</v>
      </c>
      <c r="C41" s="2" t="s">
        <v>2764</v>
      </c>
      <c r="D41" s="2" t="s">
        <v>2765</v>
      </c>
      <c r="E41" s="3" t="str">
        <f ca="1">IFERROR(__xludf.DUMMYFUNCTION("GOOGLETRANSLATE(B41,""ja"",""vi"")"),"Nail màu")</f>
        <v>Nail màu</v>
      </c>
      <c r="F41" s="3" t="str">
        <f ca="1">IFERROR(__xludf.DUMMYFUNCTION("GOOGLETRANSLATE(C41,""ja"",""vi"")"),"Đấu giá&gt; làm đẹp, chăm sóc sức khỏe&gt; ​​mỹ phẩm, chăm sóc da&gt; màu móng tay")</f>
        <v>Đấu giá&gt; làm đẹp, chăm sóc sức khỏe&gt; ​​mỹ phẩm, chăm sóc da&gt; màu móng tay</v>
      </c>
      <c r="G41" s="229" t="str">
        <f t="shared" ca="1" si="0"/>
        <v>"2084007455" : "Nail màu",</v>
      </c>
      <c r="H41" s="229" t="str">
        <f t="shared" si="1"/>
        <v>&lt;li class="col-md-3"&gt;&lt;a class="text-cut" href="javascript:;"(click)="categoryEvent(2084007455)"&gt;{{"2084007455" | translate}}&lt;/a&gt;&lt;/li&gt;</v>
      </c>
    </row>
    <row r="42" spans="1:8" ht="14.25" customHeight="1">
      <c r="A42" s="2">
        <v>44379</v>
      </c>
      <c r="B42" s="2" t="s">
        <v>16</v>
      </c>
      <c r="C42" s="2" t="s">
        <v>2769</v>
      </c>
      <c r="D42" s="2" t="s">
        <v>2771</v>
      </c>
      <c r="E42" s="3" t="str">
        <f ca="1">IFERROR(__xludf.DUMMYFUNCTION("GOOGLETRANSLATE(B42,""ja"",""vi"")"),"nếu không thì")</f>
        <v>nếu không thì</v>
      </c>
      <c r="F42" s="3" t="str">
        <f ca="1">IFERROR(__xludf.DUMMYFUNCTION("GOOGLETRANSLATE(C42,""ja"",""vi"")"),"Đấu giá&gt; làm đẹp, chăm sóc sức khỏe&gt; ​​mỹ phẩm, chăm sóc da&gt; Khác")</f>
        <v>Đấu giá&gt; làm đẹp, chăm sóc sức khỏe&gt; ​​mỹ phẩm, chăm sóc da&gt; Khác</v>
      </c>
      <c r="G42" s="229" t="str">
        <f t="shared" ca="1" si="0"/>
        <v>"44379" : "nếu không thì",</v>
      </c>
      <c r="H42" s="229" t="str">
        <f t="shared" si="1"/>
        <v>&lt;li class="col-md-3"&gt;&lt;a class="text-cut" href="javascript:;"(click)="categoryEvent(44379)"&gt;{{"44379" | translate}}&lt;/a&gt;&lt;/li&gt;</v>
      </c>
    </row>
    <row r="43" spans="1:8" ht="14.25" customHeight="1">
      <c r="E43" s="3"/>
      <c r="F43" s="3"/>
      <c r="G43" s="229"/>
      <c r="H43" s="229"/>
    </row>
    <row r="44" spans="1:8" ht="14.25" customHeight="1">
      <c r="A44" s="239">
        <v>42179</v>
      </c>
      <c r="B44" s="232"/>
      <c r="C44" s="232"/>
      <c r="D44" s="233"/>
      <c r="E44" s="3"/>
      <c r="F44" s="3"/>
      <c r="G44" s="229"/>
      <c r="H44" s="229"/>
    </row>
    <row r="45" spans="1:8" ht="14.25" customHeight="1">
      <c r="A45" s="2">
        <v>2084005302</v>
      </c>
      <c r="B45" s="2" t="s">
        <v>2266</v>
      </c>
      <c r="C45" s="2" t="s">
        <v>2779</v>
      </c>
      <c r="D45" s="2" t="s">
        <v>2780</v>
      </c>
      <c r="E45" s="3" t="str">
        <f ca="1">IFERROR(__xludf.DUMMYFUNCTION("GOOGLETRANSLATE(B45,""ja"",""vi"")"),"Đối với phụ nữ")</f>
        <v>Đối với phụ nữ</v>
      </c>
      <c r="F45" s="3" t="str">
        <f ca="1">IFERROR(__xludf.DUMMYFUNCTION("GOOGLETRANSLATE(C45,""ja"",""vi"")"),"Đấu giá&gt; làm đẹp, chăm sóc sức khỏe&gt; ​​nước hoa, hương thơm&gt; cho phụ nữ")</f>
        <v>Đấu giá&gt; làm đẹp, chăm sóc sức khỏe&gt; ​​nước hoa, hương thơm&gt; cho phụ nữ</v>
      </c>
      <c r="G45" s="229" t="str">
        <f t="shared" ca="1" si="0"/>
        <v>"2084005302" : "Đối với phụ nữ",</v>
      </c>
      <c r="H45" s="229" t="str">
        <f t="shared" si="1"/>
        <v>&lt;li class="col-md-3"&gt;&lt;a class="text-cut" href="javascript:;"(click)="categoryEvent(2084005302)"&gt;{{"2084005302" | translate}}&lt;/a&gt;&lt;/li&gt;</v>
      </c>
    </row>
    <row r="46" spans="1:8" ht="14.25" customHeight="1">
      <c r="A46" s="2">
        <v>2084005301</v>
      </c>
      <c r="B46" s="2" t="s">
        <v>570</v>
      </c>
      <c r="C46" s="2" t="s">
        <v>2785</v>
      </c>
      <c r="D46" s="2" t="s">
        <v>2788</v>
      </c>
      <c r="E46" s="3" t="str">
        <f ca="1">IFERROR(__xludf.DUMMYFUNCTION("GOOGLETRANSLATE(B46,""ja"",""vi"")"),"Đối với nam giới")</f>
        <v>Đối với nam giới</v>
      </c>
      <c r="F46" s="3" t="str">
        <f ca="1">IFERROR(__xludf.DUMMYFUNCTION("GOOGLETRANSLATE(C46,""ja"",""vi"")"),"Đấu giá&gt; làm đẹp, chăm sóc sức khỏe&gt; ​​nước hoa, hương thơm&gt; dành cho nam giới")</f>
        <v>Đấu giá&gt; làm đẹp, chăm sóc sức khỏe&gt; ​​nước hoa, hương thơm&gt; dành cho nam giới</v>
      </c>
      <c r="G46" s="229" t="str">
        <f t="shared" ca="1" si="0"/>
        <v>"2084005301" : "Đối với nam giới",</v>
      </c>
      <c r="H46" s="229" t="str">
        <f t="shared" si="1"/>
        <v>&lt;li class="col-md-3"&gt;&lt;a class="text-cut" href="javascript:;"(click)="categoryEvent(2084005301)"&gt;{{"2084005301" | translate}}&lt;/a&gt;&lt;/li&gt;</v>
      </c>
    </row>
    <row r="47" spans="1:8" ht="14.25" customHeight="1">
      <c r="A47" s="2">
        <v>2084005303</v>
      </c>
      <c r="B47" s="2" t="s">
        <v>2789</v>
      </c>
      <c r="C47" s="2" t="s">
        <v>2792</v>
      </c>
      <c r="D47" s="2" t="s">
        <v>2795</v>
      </c>
      <c r="E47" s="3" t="str">
        <f ca="1">IFERROR(__xludf.DUMMYFUNCTION("GOOGLETRANSLATE(B47,""ja"",""vi"")"),"unisex")</f>
        <v>unisex</v>
      </c>
      <c r="F47" s="3" t="str">
        <f ca="1">IFERROR(__xludf.DUMMYFUNCTION("GOOGLETRANSLATE(C47,""ja"",""vi"")"),"Đấu giá&gt; làm đẹp, chăm sóc sức khỏe&gt; ​​nước hoa, hương thơm&gt; unisex")</f>
        <v>Đấu giá&gt; làm đẹp, chăm sóc sức khỏe&gt; ​​nước hoa, hương thơm&gt; unisex</v>
      </c>
      <c r="G47" s="229" t="str">
        <f t="shared" ca="1" si="0"/>
        <v>"2084005303" : "unisex",</v>
      </c>
      <c r="H47" s="229" t="str">
        <f t="shared" si="1"/>
        <v>&lt;li class="col-md-3"&gt;&lt;a class="text-cut" href="javascript:;"(click)="categoryEvent(2084005303)"&gt;{{"2084005303" | translate}}&lt;/a&gt;&lt;/li&gt;</v>
      </c>
    </row>
    <row r="48" spans="1:8" ht="14.25" customHeight="1">
      <c r="A48" s="2">
        <v>2084059595</v>
      </c>
      <c r="B48" s="2" t="s">
        <v>2586</v>
      </c>
      <c r="C48" s="2" t="s">
        <v>2803</v>
      </c>
      <c r="D48" s="2" t="s">
        <v>2805</v>
      </c>
      <c r="E48" s="3" t="str">
        <f ca="1">IFERROR(__xludf.DUMMYFUNCTION("GOOGLETRANSLATE(B48,""ja"",""vi"")"),"by Nhãn hiệu")</f>
        <v>by Nhãn hiệu</v>
      </c>
      <c r="F48" s="3" t="str">
        <f ca="1">IFERROR(__xludf.DUMMYFUNCTION("GOOGLETRANSLATE(C48,""ja"",""vi"")"),"Đấu giá&gt; làm đẹp, chăm sóc sức khỏe&gt; ​​nước hoa, hương thơm&gt; By Nhãn hiệu")</f>
        <v>Đấu giá&gt; làm đẹp, chăm sóc sức khỏe&gt; ​​nước hoa, hương thơm&gt; By Nhãn hiệu</v>
      </c>
      <c r="G48" s="229" t="str">
        <f t="shared" ca="1" si="0"/>
        <v>"2084059595" : "by Nhãn hiệu",</v>
      </c>
      <c r="H48" s="229" t="str">
        <f t="shared" si="1"/>
        <v>&lt;li class="col-md-3"&gt;&lt;a class="text-cut" href="javascript:;"(click)="categoryEvent(2084059595)"&gt;{{"2084059595" | translate}}&lt;/a&gt;&lt;/li&gt;</v>
      </c>
    </row>
    <row r="49" spans="1:8" ht="14.25" customHeight="1">
      <c r="A49" s="2">
        <v>2084024424</v>
      </c>
      <c r="B49" s="2" t="s">
        <v>2809</v>
      </c>
      <c r="C49" s="2" t="s">
        <v>2812</v>
      </c>
      <c r="D49" s="2" t="s">
        <v>2814</v>
      </c>
      <c r="E49" s="3" t="str">
        <f ca="1">IFERROR(__xludf.DUMMYFUNCTION("GOOGLETRANSLATE(B49,""ja"",""vi"")"),"Hương, lư hương")</f>
        <v>Hương, lư hương</v>
      </c>
      <c r="F49" s="3" t="str">
        <f ca="1">IFERROR(__xludf.DUMMYFUNCTION("GOOGLETRANSLATE(C49,""ja"",""vi"")"),"Đấu giá&gt; làm đẹp, chăm sóc sức khỏe&gt; ​​nước hoa, hương thơm&gt; hương, lư hương")</f>
        <v>Đấu giá&gt; làm đẹp, chăm sóc sức khỏe&gt; ​​nước hoa, hương thơm&gt; hương, lư hương</v>
      </c>
      <c r="G49" s="229" t="str">
        <f t="shared" ca="1" si="0"/>
        <v>"2084024424" : "Hương, lư hương",</v>
      </c>
      <c r="H49" s="229" t="str">
        <f t="shared" si="1"/>
        <v>&lt;li class="col-md-3"&gt;&lt;a class="text-cut" href="javascript:;"(click)="categoryEvent(2084024424)"&gt;{{"2084024424" | translate}}&lt;/a&gt;&lt;/li&gt;</v>
      </c>
    </row>
    <row r="50" spans="1:8" ht="14.25" customHeight="1">
      <c r="A50" s="2">
        <v>2084024423</v>
      </c>
      <c r="B50" s="2" t="s">
        <v>2295</v>
      </c>
      <c r="C50" s="2" t="s">
        <v>2818</v>
      </c>
      <c r="D50" s="2" t="s">
        <v>2821</v>
      </c>
      <c r="E50" s="3" t="str">
        <f ca="1">IFERROR(__xludf.DUMMYFUNCTION("GOOGLETRANSLATE(B50,""ja"",""vi"")"),"nến")</f>
        <v>nến</v>
      </c>
      <c r="F50" s="3" t="str">
        <f ca="1">IFERROR(__xludf.DUMMYFUNCTION("GOOGLETRANSLATE(C50,""ja"",""vi"")"),"Đấu giá&gt; làm đẹp, chăm sóc sức khỏe&gt; ​​nước hoa, hương thơm&gt; nến")</f>
        <v>Đấu giá&gt; làm đẹp, chăm sóc sức khỏe&gt; ​​nước hoa, hương thơm&gt; nến</v>
      </c>
      <c r="G50" s="229" t="str">
        <f t="shared" ca="1" si="0"/>
        <v>"2084024423" : "nến",</v>
      </c>
      <c r="H50" s="229" t="str">
        <f t="shared" si="1"/>
        <v>&lt;li class="col-md-3"&gt;&lt;a class="text-cut" href="javascript:;"(click)="categoryEvent(2084024423)"&gt;{{"2084024423" | translate}}&lt;/a&gt;&lt;/li&gt;</v>
      </c>
    </row>
    <row r="51" spans="1:8" ht="14.25" customHeight="1">
      <c r="A51" s="2">
        <v>2084061895</v>
      </c>
      <c r="B51" s="2" t="s">
        <v>2823</v>
      </c>
      <c r="C51" s="2" t="s">
        <v>2824</v>
      </c>
      <c r="D51" s="2" t="s">
        <v>2825</v>
      </c>
      <c r="E51" s="3" t="str">
        <f ca="1">IFERROR(__xludf.DUMMYFUNCTION("GOOGLETRANSLATE(B51,""ja"",""vi"")"),"bình xịt thuốc")</f>
        <v>bình xịt thuốc</v>
      </c>
      <c r="F51" s="3" t="str">
        <f ca="1">IFERROR(__xludf.DUMMYFUNCTION("GOOGLETRANSLATE(C51,""ja"",""vi"")"),"Đấu giá&gt; làm đẹp, chăm sóc sức khỏe&gt; ​​nước hoa, hương thơm&gt; phun")</f>
        <v>Đấu giá&gt; làm đẹp, chăm sóc sức khỏe&gt; ​​nước hoa, hương thơm&gt; phun</v>
      </c>
      <c r="G51" s="229" t="str">
        <f t="shared" ca="1" si="0"/>
        <v>"2084061895" : "bình xịt thuốc",</v>
      </c>
      <c r="H51" s="229" t="str">
        <f t="shared" si="1"/>
        <v>&lt;li class="col-md-3"&gt;&lt;a class="text-cut" href="javascript:;"(click)="categoryEvent(2084061895)"&gt;{{"2084061895" | translate}}&lt;/a&gt;&lt;/li&gt;</v>
      </c>
    </row>
    <row r="52" spans="1:8" ht="14.25" customHeight="1">
      <c r="A52" s="2">
        <v>2084005304</v>
      </c>
      <c r="B52" s="2" t="s">
        <v>16</v>
      </c>
      <c r="C52" s="2" t="s">
        <v>2832</v>
      </c>
      <c r="D52" s="2" t="s">
        <v>2833</v>
      </c>
      <c r="E52" s="3" t="str">
        <f ca="1">IFERROR(__xludf.DUMMYFUNCTION("GOOGLETRANSLATE(B52,""ja"",""vi"")"),"nếu không thì")</f>
        <v>nếu không thì</v>
      </c>
      <c r="F52" s="3" t="str">
        <f ca="1">IFERROR(__xludf.DUMMYFUNCTION("GOOGLETRANSLATE(C52,""ja"",""vi"")"),"Đấu giá&gt; làm đẹp, chăm sóc sức khỏe&gt; ​​nước hoa, hương thơm&gt; Khác")</f>
        <v>Đấu giá&gt; làm đẹp, chăm sóc sức khỏe&gt; ​​nước hoa, hương thơm&gt; Khác</v>
      </c>
      <c r="G52" s="229" t="str">
        <f t="shared" ca="1" si="0"/>
        <v>"2084005304" : "nếu không thì",</v>
      </c>
      <c r="H52" s="229" t="str">
        <f t="shared" si="1"/>
        <v>&lt;li class="col-md-3"&gt;&lt;a class="text-cut" href="javascript:;"(click)="categoryEvent(2084005304)"&gt;{{"2084005304" | translate}}&lt;/a&gt;&lt;/li&gt;</v>
      </c>
    </row>
    <row r="53" spans="1:8" ht="14.25" customHeight="1">
      <c r="E53" s="3"/>
      <c r="F53" s="3"/>
      <c r="G53" s="229"/>
      <c r="H53" s="229"/>
    </row>
    <row r="54" spans="1:8" ht="14.25" customHeight="1">
      <c r="A54" s="240">
        <v>2084005298</v>
      </c>
      <c r="B54" s="232"/>
      <c r="C54" s="232"/>
      <c r="D54" s="233"/>
      <c r="E54" s="3"/>
      <c r="F54" s="3"/>
      <c r="G54" s="229"/>
      <c r="H54" s="229"/>
    </row>
    <row r="55" spans="1:8" ht="14.25" customHeight="1">
      <c r="A55" s="2">
        <v>2084049738</v>
      </c>
      <c r="B55" s="2" t="s">
        <v>2844</v>
      </c>
      <c r="C55" s="2" t="s">
        <v>2846</v>
      </c>
      <c r="D55" s="2" t="s">
        <v>2848</v>
      </c>
      <c r="E55" s="3" t="str">
        <f ca="1">IFERROR(__xludf.DUMMYFUNCTION("GOOGLETRANSLATE(B55,""ja"",""vi"")"),"áo choàng ngoài")</f>
        <v>áo choàng ngoài</v>
      </c>
      <c r="F55" s="3" t="str">
        <f ca="1">IFERROR(__xludf.DUMMYFUNCTION("GOOGLETRANSLATE(C55,""ja"",""vi"")"),"Đấu giá&gt; làm đẹp, chăm sóc sức khỏe&gt; ​​Chăm sóc móng tay&gt; lớp phủ")</f>
        <v>Đấu giá&gt; làm đẹp, chăm sóc sức khỏe&gt; ​​Chăm sóc móng tay&gt; lớp phủ</v>
      </c>
      <c r="G55" s="229" t="str">
        <f t="shared" ca="1" si="0"/>
        <v>"2084049738" : "áo choàng ngoài",</v>
      </c>
      <c r="H55" s="229" t="str">
        <f t="shared" si="1"/>
        <v>&lt;li class="col-md-3"&gt;&lt;a class="text-cut" href="javascript:;"(click)="categoryEvent(2084049738)"&gt;{{"2084049738" | translate}}&lt;/a&gt;&lt;/li&gt;</v>
      </c>
    </row>
    <row r="56" spans="1:8" ht="14.25" customHeight="1">
      <c r="A56" s="2">
        <v>2084049741</v>
      </c>
      <c r="B56" s="2" t="s">
        <v>2850</v>
      </c>
      <c r="C56" s="2" t="s">
        <v>2851</v>
      </c>
      <c r="D56" s="2" t="s">
        <v>2852</v>
      </c>
      <c r="E56" s="3" t="str">
        <f ca="1">IFERROR(__xludf.DUMMYFUNCTION("GOOGLETRANSLATE(B56,""ja"",""vi"")"),"Tx Nail Art")</f>
        <v>Tx Nail Art</v>
      </c>
      <c r="F56" s="3" t="str">
        <f ca="1">IFERROR(__xludf.DUMMYFUNCTION("GOOGLETRANSLATE(C56,""ja"",""vi"")"),"Đấu giá&gt; làm đẹp, chăm sóc sức khỏe&gt; ​​Chăm sóc móng tay&gt; Tx Nail Art")</f>
        <v>Đấu giá&gt; làm đẹp, chăm sóc sức khỏe&gt; ​​Chăm sóc móng tay&gt; Tx Nail Art</v>
      </c>
      <c r="G56" s="229" t="str">
        <f t="shared" ca="1" si="0"/>
        <v>"2084049741" : "Tx Nail Art",</v>
      </c>
      <c r="H56" s="229" t="str">
        <f t="shared" si="1"/>
        <v>&lt;li class="col-md-3"&gt;&lt;a class="text-cut" href="javascript:;"(click)="categoryEvent(2084049741)"&gt;{{"2084049741" | translate}}&lt;/a&gt;&lt;/li&gt;</v>
      </c>
    </row>
    <row r="57" spans="1:8" ht="14.25" customHeight="1">
      <c r="A57" s="2">
        <v>2084007455</v>
      </c>
      <c r="B57" s="2" t="s">
        <v>2762</v>
      </c>
      <c r="C57" s="2" t="s">
        <v>2857</v>
      </c>
      <c r="D57" s="2" t="s">
        <v>2858</v>
      </c>
      <c r="E57" s="3" t="str">
        <f ca="1">IFERROR(__xludf.DUMMYFUNCTION("GOOGLETRANSLATE(B57,""ja"",""vi"")"),"Nail màu")</f>
        <v>Nail màu</v>
      </c>
      <c r="F57" s="3" t="str">
        <f ca="1">IFERROR(__xludf.DUMMYFUNCTION("GOOGLETRANSLATE(C57,""ja"",""vi"")"),"Đấu giá&gt; làm đẹp, chăm sóc sức khỏe&gt; ​​Chăm sóc móng tay&gt; màu móng tay")</f>
        <v>Đấu giá&gt; làm đẹp, chăm sóc sức khỏe&gt; ​​Chăm sóc móng tay&gt; màu móng tay</v>
      </c>
      <c r="G57" s="229" t="str">
        <f t="shared" ca="1" si="0"/>
        <v>"2084007455" : "Nail màu",</v>
      </c>
      <c r="H57" s="229" t="str">
        <f t="shared" si="1"/>
        <v>&lt;li class="col-md-3"&gt;&lt;a class="text-cut" href="javascript:;"(click)="categoryEvent(2084007455)"&gt;{{"2084007455" | translate}}&lt;/a&gt;&lt;/li&gt;</v>
      </c>
    </row>
    <row r="58" spans="1:8" ht="14.25" customHeight="1">
      <c r="A58" s="2">
        <v>2084007456</v>
      </c>
      <c r="B58" s="2" t="s">
        <v>2859</v>
      </c>
      <c r="C58" s="2" t="s">
        <v>2861</v>
      </c>
      <c r="D58" s="2" t="s">
        <v>2864</v>
      </c>
      <c r="E58" s="3" t="str">
        <f ca="1">IFERROR(__xludf.DUMMYFUNCTION("GOOGLETRANSLATE(B58,""ja"",""vi"")"),"Nail tip, móng tay")</f>
        <v>Nail tip, móng tay</v>
      </c>
      <c r="F58" s="3" t="str">
        <f ca="1">IFERROR(__xludf.DUMMYFUNCTION("GOOGLETRANSLATE(C58,""ja"",""vi"")"),"Đấu giá&gt; làm đẹp, chăm sóc sức khỏe&gt; ​​Chăm sóc móng tay&gt; đầu móng tay, móng tay")</f>
        <v>Đấu giá&gt; làm đẹp, chăm sóc sức khỏe&gt; ​​Chăm sóc móng tay&gt; đầu móng tay, móng tay</v>
      </c>
      <c r="G58" s="229" t="str">
        <f t="shared" ca="1" si="0"/>
        <v>"2084007456" : "Nail tip, móng tay",</v>
      </c>
      <c r="H58" s="229" t="str">
        <f t="shared" si="1"/>
        <v>&lt;li class="col-md-3"&gt;&lt;a class="text-cut" href="javascript:;"(click)="categoryEvent(2084007456)"&gt;{{"2084007456" | translate}}&lt;/a&gt;&lt;/li&gt;</v>
      </c>
    </row>
    <row r="59" spans="1:8" ht="14.25" customHeight="1">
      <c r="A59" s="2">
        <v>2084049740</v>
      </c>
      <c r="B59" s="2" t="s">
        <v>2868</v>
      </c>
      <c r="C59" s="2" t="s">
        <v>2869</v>
      </c>
      <c r="D59" s="2" t="s">
        <v>2870</v>
      </c>
      <c r="E59" s="3" t="str">
        <f ca="1">IFERROR(__xludf.DUMMYFUNCTION("GOOGLETRANSLATE(B59,""ja"",""vi"")"),"xử lý móng tay")</f>
        <v>xử lý móng tay</v>
      </c>
      <c r="F59" s="3" t="str">
        <f ca="1">IFERROR(__xludf.DUMMYFUNCTION("GOOGLETRANSLATE(C59,""ja"",""vi"")"),"Đấu giá&gt; làm đẹp, chăm sóc sức khỏe&gt; ​​Chăm sóc móng tay&gt; Nail điều trị")</f>
        <v>Đấu giá&gt; làm đẹp, chăm sóc sức khỏe&gt; ​​Chăm sóc móng tay&gt; Nail điều trị</v>
      </c>
      <c r="G59" s="229" t="str">
        <f t="shared" ca="1" si="0"/>
        <v>"2084049740" : "xử lý móng tay",</v>
      </c>
      <c r="H59" s="229" t="str">
        <f t="shared" si="1"/>
        <v>&lt;li class="col-md-3"&gt;&lt;a class="text-cut" href="javascript:;"(click)="categoryEvent(2084049740)"&gt;{{"2084049740" | translate}}&lt;/a&gt;&lt;/li&gt;</v>
      </c>
    </row>
    <row r="60" spans="1:8" ht="14.25" customHeight="1">
      <c r="A60" s="2">
        <v>2084049739</v>
      </c>
      <c r="B60" s="2" t="s">
        <v>2881</v>
      </c>
      <c r="C60" s="2" t="s">
        <v>2883</v>
      </c>
      <c r="D60" s="2" t="s">
        <v>2884</v>
      </c>
      <c r="E60" s="3" t="str">
        <f ca="1">IFERROR(__xludf.DUMMYFUNCTION("GOOGLETRANSLATE(B60,""ja"",""vi"")"),"lớp phủ nền")</f>
        <v>lớp phủ nền</v>
      </c>
      <c r="F60" s="3" t="str">
        <f ca="1">IFERROR(__xludf.DUMMYFUNCTION("GOOGLETRANSLATE(C60,""ja"",""vi"")"),"Đấu giá&gt; làm đẹp, chăm sóc sức khỏe&gt; ​​Chăm sóc móng tay&gt; lớp phủ nền")</f>
        <v>Đấu giá&gt; làm đẹp, chăm sóc sức khỏe&gt; ​​Chăm sóc móng tay&gt; lớp phủ nền</v>
      </c>
      <c r="G60" s="229" t="str">
        <f t="shared" ca="1" si="0"/>
        <v>"2084049739" : "lớp phủ nền",</v>
      </c>
      <c r="H60" s="229" t="str">
        <f t="shared" si="1"/>
        <v>&lt;li class="col-md-3"&gt;&lt;a class="text-cut" href="javascript:;"(click)="categoryEvent(2084049739)"&gt;{{"2084049739" | translate}}&lt;/a&gt;&lt;/li&gt;</v>
      </c>
    </row>
    <row r="61" spans="1:8" ht="14.25" customHeight="1">
      <c r="A61" s="2">
        <v>2084049737</v>
      </c>
      <c r="B61" s="2" t="s">
        <v>2889</v>
      </c>
      <c r="C61" s="2" t="s">
        <v>2891</v>
      </c>
      <c r="D61" s="2" t="s">
        <v>2892</v>
      </c>
      <c r="E61" s="3" t="str">
        <f ca="1">IFERROR(__xludf.DUMMYFUNCTION("GOOGLETRANSLATE(B61,""ja"",""vi"")"),"làm sạch Công cụ")</f>
        <v>làm sạch Công cụ</v>
      </c>
      <c r="F61" s="3" t="str">
        <f ca="1">IFERROR(__xludf.DUMMYFUNCTION("GOOGLETRANSLATE(C61,""ja"",""vi"")"),"Đấu giá&gt; làm đẹp, chăm sóc sức khỏe&gt; ​​Chăm sóc móng tay&gt; Công cụ làm sạch")</f>
        <v>Đấu giá&gt; làm đẹp, chăm sóc sức khỏe&gt; ​​Chăm sóc móng tay&gt; Công cụ làm sạch</v>
      </c>
      <c r="G61" s="229" t="str">
        <f t="shared" ca="1" si="0"/>
        <v>"2084049737" : "làm sạch Công cụ",</v>
      </c>
      <c r="H61" s="229" t="str">
        <f t="shared" si="1"/>
        <v>&lt;li class="col-md-3"&gt;&lt;a class="text-cut" href="javascript:;"(click)="categoryEvent(2084049737)"&gt;{{"2084049737" | translate}}&lt;/a&gt;&lt;/li&gt;</v>
      </c>
    </row>
    <row r="62" spans="1:8" ht="14.25" customHeight="1">
      <c r="A62" s="2">
        <v>2084049736</v>
      </c>
      <c r="B62" s="2" t="s">
        <v>2898</v>
      </c>
      <c r="C62" s="2" t="s">
        <v>2899</v>
      </c>
      <c r="D62" s="2" t="s">
        <v>2901</v>
      </c>
      <c r="E62" s="3" t="str">
        <f ca="1">IFERROR(__xludf.DUMMYFUNCTION("GOOGLETRANSLATE(B62,""ja"",""vi"")"),"Johikarieki")</f>
        <v>Johikarieki</v>
      </c>
      <c r="F62" s="3" t="str">
        <f ca="1">IFERROR(__xludf.DUMMYFUNCTION("GOOGLETRANSLATE(C62,""ja"",""vi"")"),"Đấu giá&gt; làm đẹp, chăm sóc sức khỏe&gt; ​​Chăm sóc móng tay&gt; Johikarieki")</f>
        <v>Đấu giá&gt; làm đẹp, chăm sóc sức khỏe&gt; ​​Chăm sóc móng tay&gt; Johikarieki</v>
      </c>
      <c r="G62" s="229" t="str">
        <f t="shared" ca="1" si="0"/>
        <v>"2084049736" : "Johikarieki",</v>
      </c>
      <c r="H62" s="229" t="str">
        <f t="shared" si="1"/>
        <v>&lt;li class="col-md-3"&gt;&lt;a class="text-cut" href="javascript:;"(click)="categoryEvent(2084049736)"&gt;{{"2084049736" | translate}}&lt;/a&gt;&lt;/li&gt;</v>
      </c>
    </row>
    <row r="63" spans="1:8" ht="14.25" customHeight="1">
      <c r="A63" s="2">
        <v>2084227185</v>
      </c>
      <c r="B63" s="2" t="s">
        <v>2904</v>
      </c>
      <c r="C63" s="2" t="s">
        <v>2906</v>
      </c>
      <c r="D63" s="2" t="s">
        <v>2908</v>
      </c>
      <c r="E63" s="3" t="str">
        <f ca="1">IFERROR(__xludf.DUMMYFUNCTION("GOOGLETRANSLATE(B63,""ja"",""vi"")"),"cắt móng tay")</f>
        <v>cắt móng tay</v>
      </c>
      <c r="F63" s="3" t="str">
        <f ca="1">IFERROR(__xludf.DUMMYFUNCTION("GOOGLETRANSLATE(C63,""ja"",""vi"")"),"Đấu giá&gt; làm đẹp, chăm sóc sức khỏe&gt; ​​Chăm sóc móng tay&gt; cắt móng tay")</f>
        <v>Đấu giá&gt; làm đẹp, chăm sóc sức khỏe&gt; ​​Chăm sóc móng tay&gt; cắt móng tay</v>
      </c>
      <c r="G63" s="229" t="str">
        <f t="shared" ca="1" si="0"/>
        <v>"2084227185" : "cắt móng tay",</v>
      </c>
      <c r="H63" s="229" t="str">
        <f t="shared" si="1"/>
        <v>&lt;li class="col-md-3"&gt;&lt;a class="text-cut" href="javascript:;"(click)="categoryEvent(2084227185)"&gt;{{"2084227185" | translate}}&lt;/a&gt;&lt;/li&gt;</v>
      </c>
    </row>
    <row r="64" spans="1:8" ht="14.25" customHeight="1">
      <c r="A64" s="2">
        <v>2084007457</v>
      </c>
      <c r="B64" s="2" t="s">
        <v>16</v>
      </c>
      <c r="C64" s="2" t="s">
        <v>2914</v>
      </c>
      <c r="D64" s="2" t="s">
        <v>2916</v>
      </c>
      <c r="E64" s="3" t="str">
        <f ca="1">IFERROR(__xludf.DUMMYFUNCTION("GOOGLETRANSLATE(B64,""ja"",""vi"")"),"nếu không thì")</f>
        <v>nếu không thì</v>
      </c>
      <c r="F64" s="3" t="str">
        <f ca="1">IFERROR(__xludf.DUMMYFUNCTION("GOOGLETRANSLATE(C64,""ja"",""vi"")"),"Đấu giá&gt; làm đẹp, chăm sóc sức khỏe&gt; ​​Chăm sóc móng tay&gt; Khác")</f>
        <v>Đấu giá&gt; làm đẹp, chăm sóc sức khỏe&gt; ​​Chăm sóc móng tay&gt; Khác</v>
      </c>
      <c r="G64" s="229" t="str">
        <f t="shared" ca="1" si="0"/>
        <v>"2084007457" : "nếu không thì",</v>
      </c>
      <c r="H64" s="229" t="str">
        <f t="shared" si="1"/>
        <v>&lt;li class="col-md-3"&gt;&lt;a class="text-cut" href="javascript:;"(click)="categoryEvent(2084007457)"&gt;{{"2084007457" | translate}}&lt;/a&gt;&lt;/li&gt;</v>
      </c>
    </row>
    <row r="65" spans="1:8" ht="14.25" customHeight="1">
      <c r="E65" s="3"/>
      <c r="F65" s="3"/>
      <c r="G65" s="229"/>
      <c r="H65" s="229"/>
    </row>
    <row r="66" spans="1:8" ht="14.25" customHeight="1">
      <c r="A66" s="237">
        <v>2084005297</v>
      </c>
      <c r="B66" s="232"/>
      <c r="C66" s="232"/>
      <c r="D66" s="233"/>
      <c r="E66" s="3"/>
      <c r="F66" s="3"/>
      <c r="G66" s="229"/>
      <c r="H66" s="229"/>
    </row>
    <row r="67" spans="1:8" ht="14.25" customHeight="1">
      <c r="A67" s="2">
        <v>2084007432</v>
      </c>
      <c r="B67" s="2" t="s">
        <v>2926</v>
      </c>
      <c r="C67" s="2" t="s">
        <v>2927</v>
      </c>
      <c r="D67" s="2" t="s">
        <v>2928</v>
      </c>
      <c r="E67" s="3" t="str">
        <f ca="1">IFERROR(__xludf.DUMMYFUNCTION("GOOGLETRANSLATE(B67,""ja"",""vi"")"),"dầu gội đầu")</f>
        <v>dầu gội đầu</v>
      </c>
      <c r="F67" s="3" t="str">
        <f ca="1">IFERROR(__xludf.DUMMYFUNCTION("GOOGLETRANSLATE(C67,""ja"",""vi"")"),"Đấu giá&gt; làm đẹp, chăm sóc sức khỏe&gt; ​​Chăm sóc tóc&gt; dầu gội đầu")</f>
        <v>Đấu giá&gt; làm đẹp, chăm sóc sức khỏe&gt; ​​Chăm sóc tóc&gt; dầu gội đầu</v>
      </c>
      <c r="G67" s="229" t="str">
        <f t="shared" ref="G67:G130" ca="1" si="2">CONCATENATE(CHAR(34)&amp;"",A67,""&amp;CHAR(34)," : ", CHAR(34)&amp;"",E67,""&amp;CHAR(34),",")</f>
        <v>"2084007432" : "dầu gội đầu",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href="javascript:;"(click)="categoryEvent(2084007432)"&gt;{{"2084007432" | translate}}&lt;/a&gt;&lt;/li&gt;</v>
      </c>
    </row>
    <row r="68" spans="1:8" ht="14.25" customHeight="1">
      <c r="A68" s="2">
        <v>2084007433</v>
      </c>
      <c r="B68" s="2" t="s">
        <v>2934</v>
      </c>
      <c r="C68" s="2" t="s">
        <v>2936</v>
      </c>
      <c r="D68" s="2" t="s">
        <v>2937</v>
      </c>
      <c r="E68" s="3" t="str">
        <f ca="1">IFERROR(__xludf.DUMMYFUNCTION("GOOGLETRANSLATE(B68,""ja"",""vi"")"),"rửa")</f>
        <v>rửa</v>
      </c>
      <c r="F68" s="3" t="str">
        <f ca="1">IFERROR(__xludf.DUMMYFUNCTION("GOOGLETRANSLATE(C68,""ja"",""vi"")"),"Đấu giá&gt; làm đẹp, chăm sóc sức khỏe&gt; ​​Chăm sóc tóc&gt; rửa")</f>
        <v>Đấu giá&gt; làm đẹp, chăm sóc sức khỏe&gt; ​​Chăm sóc tóc&gt; rửa</v>
      </c>
      <c r="G68" s="229" t="str">
        <f t="shared" ca="1" si="2"/>
        <v>"2084007433" : "rửa",</v>
      </c>
      <c r="H68" s="229" t="str">
        <f t="shared" si="3"/>
        <v>&lt;li class="col-md-3"&gt;&lt;a class="text-cut" href="javascript:;"(click)="categoryEvent(2084007433)"&gt;{{"2084007433" | translate}}&lt;/a&gt;&lt;/li&gt;</v>
      </c>
    </row>
    <row r="69" spans="1:8" ht="14.25" customHeight="1">
      <c r="A69" s="2">
        <v>2084007434</v>
      </c>
      <c r="B69" s="2" t="s">
        <v>2940</v>
      </c>
      <c r="C69" s="2" t="s">
        <v>2942</v>
      </c>
      <c r="D69" s="2" t="s">
        <v>2944</v>
      </c>
      <c r="E69" s="3" t="str">
        <f ca="1">IFERROR(__xludf.DUMMYFUNCTION("GOOGLETRANSLATE(B69,""ja"",""vi"")"),"Điều trị, Essence")</f>
        <v>Điều trị, Essence</v>
      </c>
      <c r="F69" s="3" t="str">
        <f ca="1">IFERROR(__xludf.DUMMYFUNCTION("GOOGLETRANSLATE(C69,""ja"",""vi"")"),"Đấu giá&gt; làm đẹp, chăm sóc sức khỏe&gt; ​​Chăm sóc tóc&gt; điều trị, bản chất")</f>
        <v>Đấu giá&gt; làm đẹp, chăm sóc sức khỏe&gt; ​​Chăm sóc tóc&gt; điều trị, bản chất</v>
      </c>
      <c r="G69" s="229" t="str">
        <f t="shared" ca="1" si="2"/>
        <v>"2084007434" : "Điều trị, Essence",</v>
      </c>
      <c r="H69" s="229" t="str">
        <f t="shared" si="3"/>
        <v>&lt;li class="col-md-3"&gt;&lt;a class="text-cut" href="javascript:;"(click)="categoryEvent(2084007434)"&gt;{{"2084007434" | translate}}&lt;/a&gt;&lt;/li&gt;</v>
      </c>
    </row>
    <row r="70" spans="1:8" ht="14.25" customHeight="1">
      <c r="A70" s="2">
        <v>2084007436</v>
      </c>
      <c r="B70" s="2" t="s">
        <v>2947</v>
      </c>
      <c r="C70" s="2" t="s">
        <v>2948</v>
      </c>
      <c r="D70" s="2" t="s">
        <v>2949</v>
      </c>
      <c r="E70" s="3" t="str">
        <f ca="1">IFERROR(__xludf.DUMMYFUNCTION("GOOGLETRANSLATE(B70,""ja"",""vi"")"),"đại lý màu")</f>
        <v>đại lý màu</v>
      </c>
      <c r="F70" s="3" t="str">
        <f ca="1">IFERROR(__xludf.DUMMYFUNCTION("GOOGLETRANSLATE(C70,""ja"",""vi"")"),"Đấu giá&gt; làm đẹp, chăm sóc sức khỏe&gt; ​​Chăm sóc tóc&gt; đại lý màu")</f>
        <v>Đấu giá&gt; làm đẹp, chăm sóc sức khỏe&gt; ​​Chăm sóc tóc&gt; đại lý màu</v>
      </c>
      <c r="G70" s="229" t="str">
        <f t="shared" ca="1" si="2"/>
        <v>"2084007436" : "đại lý màu",</v>
      </c>
      <c r="H70" s="229" t="str">
        <f t="shared" si="3"/>
        <v>&lt;li class="col-md-3"&gt;&lt;a class="text-cut" href="javascript:;"(click)="categoryEvent(2084007436)"&gt;{{"2084007436" | translate}}&lt;/a&gt;&lt;/li&gt;</v>
      </c>
    </row>
    <row r="71" spans="1:8" ht="14.25" customHeight="1">
      <c r="A71" s="2">
        <v>2084007435</v>
      </c>
      <c r="B71" s="2" t="s">
        <v>2952</v>
      </c>
      <c r="C71" s="2" t="s">
        <v>2954</v>
      </c>
      <c r="D71" s="2" t="s">
        <v>2956</v>
      </c>
      <c r="E71" s="3" t="str">
        <f ca="1">IFERROR(__xludf.DUMMYFUNCTION("GOOGLETRANSLATE(B71,""ja"",""vi"")"),"phong cách")</f>
        <v>phong cách</v>
      </c>
      <c r="F71" s="3" t="str">
        <f ca="1">IFERROR(__xludf.DUMMYFUNCTION("GOOGLETRANSLATE(C71,""ja"",""vi"")"),"Đấu giá&gt; làm đẹp, chăm sóc sức khỏe&gt; ​​Chăm sóc tóc&gt; Styling")</f>
        <v>Đấu giá&gt; làm đẹp, chăm sóc sức khỏe&gt; ​​Chăm sóc tóc&gt; Styling</v>
      </c>
      <c r="G71" s="229" t="str">
        <f t="shared" ca="1" si="2"/>
        <v>"2084007435" : "phong cách",</v>
      </c>
      <c r="H71" s="229" t="str">
        <f t="shared" si="3"/>
        <v>&lt;li class="col-md-3"&gt;&lt;a class="text-cut" href="javascript:;"(click)="categoryEvent(2084007435)"&gt;{{"2084007435" | translate}}&lt;/a&gt;&lt;/li&gt;</v>
      </c>
    </row>
    <row r="72" spans="1:8" ht="14.25" customHeight="1">
      <c r="A72" s="2">
        <v>2084007481</v>
      </c>
      <c r="B72" s="2" t="s">
        <v>2957</v>
      </c>
      <c r="C72" s="2" t="s">
        <v>2958</v>
      </c>
      <c r="D72" s="2" t="s">
        <v>2959</v>
      </c>
      <c r="E72" s="3" t="str">
        <f ca="1">IFERROR(__xludf.DUMMYFUNCTION("GOOGLETRANSLATE(B72,""ja"",""vi"")"),"Bàn chải, lược")</f>
        <v>Bàn chải, lược</v>
      </c>
      <c r="F72" s="3" t="str">
        <f ca="1">IFERROR(__xludf.DUMMYFUNCTION("GOOGLETRANSLATE(C72,""ja"",""vi"")"),"Đấu giá&gt; vẻ đẹp, chăm sóc sức khỏe&gt; ​​Chăm sóc tóc&gt; bàn chải, lược")</f>
        <v>Đấu giá&gt; vẻ đẹp, chăm sóc sức khỏe&gt; ​​Chăm sóc tóc&gt; bàn chải, lược</v>
      </c>
      <c r="G72" s="229" t="str">
        <f t="shared" ca="1" si="2"/>
        <v>"2084007481" : "Bàn chải, lược",</v>
      </c>
      <c r="H72" s="229" t="str">
        <f t="shared" si="3"/>
        <v>&lt;li class="col-md-3"&gt;&lt;a class="text-cut" href="javascript:;"(click)="categoryEvent(2084007481)"&gt;{{"2084007481" | translate}}&lt;/a&gt;&lt;/li&gt;</v>
      </c>
    </row>
    <row r="73" spans="1:8" ht="14.25" customHeight="1">
      <c r="A73" s="2">
        <v>2084044961</v>
      </c>
      <c r="B73" s="2" t="s">
        <v>2962</v>
      </c>
      <c r="C73" s="2" t="s">
        <v>2963</v>
      </c>
      <c r="D73" s="2" t="s">
        <v>2964</v>
      </c>
      <c r="E73" s="3" t="str">
        <f ca="1">IFERROR(__xludf.DUMMYFUNCTION("GOOGLETRANSLATE(B73,""ja"",""vi"")"),"sắt uốn")</f>
        <v>sắt uốn</v>
      </c>
      <c r="F73" s="3" t="str">
        <f ca="1">IFERROR(__xludf.DUMMYFUNCTION("GOOGLETRANSLATE(C73,""ja"",""vi"")"),"Đấu giá&gt; làm đẹp, chăm sóc sức khỏe&gt; ​​Chăm sóc tóc&gt; bàn cong")</f>
        <v>Đấu giá&gt; làm đẹp, chăm sóc sức khỏe&gt; ​​Chăm sóc tóc&gt; bàn cong</v>
      </c>
      <c r="G73" s="229" t="str">
        <f t="shared" ca="1" si="2"/>
        <v>"2084044961" : "sắt uốn",</v>
      </c>
      <c r="H73" s="229" t="str">
        <f t="shared" si="3"/>
        <v>&lt;li class="col-md-3"&gt;&lt;a class="text-cut" href="javascript:;"(click)="categoryEvent(2084044961)"&gt;{{"2084044961" | translate}}&lt;/a&gt;&lt;/li&gt;</v>
      </c>
    </row>
    <row r="74" spans="1:8" ht="14.25" customHeight="1">
      <c r="A74" s="2">
        <v>2084236841</v>
      </c>
      <c r="B74" s="2" t="s">
        <v>2967</v>
      </c>
      <c r="C74" s="2" t="s">
        <v>2968</v>
      </c>
      <c r="D74" s="2" t="s">
        <v>2969</v>
      </c>
      <c r="E74" s="3" t="str">
        <f ca="1">IFERROR(__xludf.DUMMYFUNCTION("GOOGLETRANSLATE(B74,""ja"",""vi"")"),"nối tóc")</f>
        <v>nối tóc</v>
      </c>
      <c r="F74" s="3" t="str">
        <f ca="1">IFERROR(__xludf.DUMMYFUNCTION("GOOGLETRANSLATE(C74,""ja"",""vi"")"),"Đấu giá&gt; làm đẹp, chăm sóc sức khỏe&gt; ​​Chăm sóc tóc&gt; phần mở rộng tóc")</f>
        <v>Đấu giá&gt; làm đẹp, chăm sóc sức khỏe&gt; ​​Chăm sóc tóc&gt; phần mở rộng tóc</v>
      </c>
      <c r="G74" s="229" t="str">
        <f t="shared" ca="1" si="2"/>
        <v>"2084236841" : "nối tóc",</v>
      </c>
      <c r="H74" s="229" t="str">
        <f t="shared" si="3"/>
        <v>&lt;li class="col-md-3"&gt;&lt;a class="text-cut" href="javascript:;"(click)="categoryEvent(2084236841)"&gt;{{"2084236841" | translate}}&lt;/a&gt;&lt;/li&gt;</v>
      </c>
    </row>
    <row r="75" spans="1:8" ht="14.25" customHeight="1">
      <c r="A75" s="2">
        <v>2084044960</v>
      </c>
      <c r="B75" s="2" t="s">
        <v>2970</v>
      </c>
      <c r="C75" s="2" t="s">
        <v>2971</v>
      </c>
      <c r="D75" s="2" t="s">
        <v>2972</v>
      </c>
      <c r="E75" s="3" t="str">
        <f ca="1">IFERROR(__xludf.DUMMYFUNCTION("GOOGLETRANSLATE(B75,""ja"",""vi"")"),"máy sấy tóc")</f>
        <v>máy sấy tóc</v>
      </c>
      <c r="F75" s="3" t="str">
        <f ca="1">IFERROR(__xludf.DUMMYFUNCTION("GOOGLETRANSLATE(C75,""ja"",""vi"")"),"Đấu giá&gt; làm đẹp, chăm sóc sức khỏe&gt; ​​Chăm sóc tóc&gt; Máy sấy tóc")</f>
        <v>Đấu giá&gt; làm đẹp, chăm sóc sức khỏe&gt; ​​Chăm sóc tóc&gt; Máy sấy tóc</v>
      </c>
      <c r="G75" s="229" t="str">
        <f t="shared" ca="1" si="2"/>
        <v>"2084044960" : "máy sấy tóc",</v>
      </c>
      <c r="H75" s="229" t="str">
        <f t="shared" si="3"/>
        <v>&lt;li class="col-md-3"&gt;&lt;a class="text-cut" href="javascript:;"(click)="categoryEvent(2084044960)"&gt;{{"2084044960" | translate}}&lt;/a&gt;&lt;/li&gt;</v>
      </c>
    </row>
    <row r="76" spans="1:8" ht="14.25" customHeight="1">
      <c r="A76" s="2">
        <v>2084044962</v>
      </c>
      <c r="B76" s="2" t="s">
        <v>2973</v>
      </c>
      <c r="C76" s="2" t="s">
        <v>2974</v>
      </c>
      <c r="D76" s="2" t="s">
        <v>2975</v>
      </c>
      <c r="E76" s="3" t="str">
        <f ca="1">IFERROR(__xludf.DUMMYFUNCTION("GOOGLETRANSLATE(B76,""ja"",""vi"")"),"curler nóng")</f>
        <v>curler nóng</v>
      </c>
      <c r="F76" s="3" t="str">
        <f ca="1">IFERROR(__xludf.DUMMYFUNCTION("GOOGLETRANSLATE(C76,""ja"",""vi"")"),"Đấu giá&gt; làm đẹp, chăm sóc sức khỏe&gt; ​​Chăm sóc tóc&gt; curler nóng")</f>
        <v>Đấu giá&gt; làm đẹp, chăm sóc sức khỏe&gt; ​​Chăm sóc tóc&gt; curler nóng</v>
      </c>
      <c r="G76" s="229" t="str">
        <f t="shared" ca="1" si="2"/>
        <v>"2084044962" : "curler nóng",</v>
      </c>
      <c r="H76" s="229" t="str">
        <f t="shared" si="3"/>
        <v>&lt;li class="col-md-3"&gt;&lt;a class="text-cut" href="javascript:;"(click)="categoryEvent(2084044962)"&gt;{{"2084044962" | translate}}&lt;/a&gt;&lt;/li&gt;</v>
      </c>
    </row>
    <row r="77" spans="1:8" ht="14.25" customHeight="1">
      <c r="A77" s="2">
        <v>2084048852</v>
      </c>
      <c r="B77" s="2" t="s">
        <v>2976</v>
      </c>
      <c r="C77" s="2" t="s">
        <v>2978</v>
      </c>
      <c r="D77" s="2" t="s">
        <v>2979</v>
      </c>
      <c r="E77" s="3" t="str">
        <f ca="1">IFERROR(__xludf.DUMMYFUNCTION("GOOGLETRANSLATE(B77,""ja"",""vi"")"),"tốc độ tăng trưởng tóc, đại lý phát triển của tóc")</f>
        <v>tốc độ tăng trưởng tóc, đại lý phát triển của tóc</v>
      </c>
      <c r="F77" s="3" t="str">
        <f ca="1">IFERROR(__xludf.DUMMYFUNCTION("GOOGLETRANSLATE(C77,""ja"",""vi"")"),"Đấu giá&gt; làm đẹp, chăm sóc sức khỏe&gt; ​​Chăm sóc tóc&gt; tốc độ tăng trưởng tóc, đại lý phát triển của tóc")</f>
        <v>Đấu giá&gt; làm đẹp, chăm sóc sức khỏe&gt; ​​Chăm sóc tóc&gt; tốc độ tăng trưởng tóc, đại lý phát triển của tóc</v>
      </c>
      <c r="G77" s="229" t="str">
        <f t="shared" ca="1" si="2"/>
        <v>"2084048852" : "tốc độ tăng trưởng tóc, đại lý phát triển của tóc",</v>
      </c>
      <c r="H77" s="229" t="str">
        <f t="shared" si="3"/>
        <v>&lt;li class="col-md-3"&gt;&lt;a class="text-cut" href="javascript:;"(click)="categoryEvent(2084048852)"&gt;{{"2084048852" | translate}}&lt;/a&gt;&lt;/li&gt;</v>
      </c>
    </row>
    <row r="78" spans="1:8" ht="14.25" customHeight="1">
      <c r="A78" s="2">
        <v>2084007441</v>
      </c>
      <c r="B78" s="2" t="s">
        <v>2984</v>
      </c>
      <c r="C78" s="2" t="s">
        <v>2986</v>
      </c>
      <c r="D78" s="2" t="s">
        <v>2987</v>
      </c>
      <c r="E78" s="3" t="str">
        <f ca="1">IFERROR(__xludf.DUMMYFUNCTION("GOOGLETRANSLATE(B78,""ja"",""vi"")"),"tóc giả")</f>
        <v>tóc giả</v>
      </c>
      <c r="F78" s="3" t="str">
        <f ca="1">IFERROR(__xludf.DUMMYFUNCTION("GOOGLETRANSLATE(C78,""ja"",""vi"")"),"Đấu giá&gt; làm đẹp, chăm sóc sức khỏe&gt; ​​Chăm sóc tóc&gt; tóc giả")</f>
        <v>Đấu giá&gt; làm đẹp, chăm sóc sức khỏe&gt; ​​Chăm sóc tóc&gt; tóc giả</v>
      </c>
      <c r="G78" s="229" t="str">
        <f t="shared" ca="1" si="2"/>
        <v>"2084007441" : "tóc giả",</v>
      </c>
      <c r="H78" s="229" t="str">
        <f t="shared" si="3"/>
        <v>&lt;li class="col-md-3"&gt;&lt;a class="text-cut" href="javascript:;"(click)="categoryEvent(2084007441)"&gt;{{"2084007441" | translate}}&lt;/a&gt;&lt;/li&gt;</v>
      </c>
    </row>
    <row r="79" spans="1:8" ht="14.25" customHeight="1">
      <c r="A79" s="2">
        <v>2084007438</v>
      </c>
      <c r="B79" s="2" t="s">
        <v>2990</v>
      </c>
      <c r="C79" s="2" t="s">
        <v>2993</v>
      </c>
      <c r="D79" s="2" t="s">
        <v>2994</v>
      </c>
      <c r="E79" s="3" t="str">
        <f ca="1">IFERROR(__xludf.DUMMYFUNCTION("GOOGLETRANSLATE(B79,""ja"",""vi"")"),"thời trang Tóc")</f>
        <v>thời trang Tóc</v>
      </c>
      <c r="F79" s="3" t="str">
        <f ca="1">IFERROR(__xludf.DUMMYFUNCTION("GOOGLETRANSLATE(C79,""ja"",""vi"")"),"Đấu giá&gt; làm đẹp, chăm sóc sức khỏe&gt; ​​Chăm sóc tóc&gt; Tóc giả thời trang")</f>
        <v>Đấu giá&gt; làm đẹp, chăm sóc sức khỏe&gt; ​​Chăm sóc tóc&gt; Tóc giả thời trang</v>
      </c>
      <c r="G79" s="229" t="str">
        <f t="shared" ca="1" si="2"/>
        <v>"2084007438" : "thời trang Tóc",</v>
      </c>
      <c r="H79" s="229" t="str">
        <f t="shared" si="3"/>
        <v>&lt;li class="col-md-3"&gt;&lt;a class="text-cut" href="javascript:;"(click)="categoryEvent(2084007438)"&gt;{{"2084007438" | translate}}&lt;/a&gt;&lt;/li&gt;</v>
      </c>
    </row>
    <row r="80" spans="1:8" ht="14.25" customHeight="1">
      <c r="A80" s="2">
        <v>2084007437</v>
      </c>
      <c r="B80" s="2" t="s">
        <v>16</v>
      </c>
      <c r="C80" s="2" t="s">
        <v>2997</v>
      </c>
      <c r="D80" s="2" t="s">
        <v>2998</v>
      </c>
      <c r="E80" s="3" t="str">
        <f ca="1">IFERROR(__xludf.DUMMYFUNCTION("GOOGLETRANSLATE(B80,""ja"",""vi"")"),"nếu không thì")</f>
        <v>nếu không thì</v>
      </c>
      <c r="F80" s="3" t="str">
        <f ca="1">IFERROR(__xludf.DUMMYFUNCTION("GOOGLETRANSLATE(C80,""ja"",""vi"")"),"Đấu giá&gt; làm đẹp, chăm sóc sức khỏe&gt; ​​Chăm sóc tóc&gt; Khác")</f>
        <v>Đấu giá&gt; làm đẹp, chăm sóc sức khỏe&gt; ​​Chăm sóc tóc&gt; Khác</v>
      </c>
      <c r="G80" s="229" t="str">
        <f t="shared" ca="1" si="2"/>
        <v>"2084007437" : "nếu không thì",</v>
      </c>
      <c r="H80" s="229" t="str">
        <f t="shared" si="3"/>
        <v>&lt;li class="col-md-3"&gt;&lt;a class="text-cut" href="javascript:;"(click)="categoryEvent(2084007437)"&gt;{{"2084007437" | translate}}&lt;/a&gt;&lt;/li&gt;</v>
      </c>
    </row>
    <row r="81" spans="1:8" ht="14.25" customHeight="1">
      <c r="E81" s="3"/>
      <c r="F81" s="3"/>
      <c r="G81" s="229"/>
      <c r="H81" s="229"/>
    </row>
    <row r="82" spans="1:8" ht="14.25" customHeight="1">
      <c r="A82" s="241">
        <v>2084007425</v>
      </c>
      <c r="B82" s="232"/>
      <c r="C82" s="232"/>
      <c r="D82" s="233"/>
      <c r="E82" s="3"/>
      <c r="F82" s="3"/>
      <c r="G82" s="229"/>
      <c r="H82" s="229"/>
    </row>
    <row r="83" spans="1:8" ht="14.25" customHeight="1">
      <c r="A83" s="2">
        <v>2084024453</v>
      </c>
      <c r="B83" s="2" t="s">
        <v>3005</v>
      </c>
      <c r="C83" s="2" t="s">
        <v>3006</v>
      </c>
      <c r="D83" s="2" t="s">
        <v>3007</v>
      </c>
      <c r="E83" s="3" t="str">
        <f ca="1">IFERROR(__xludf.DUMMYFUNCTION("GOOGLETRANSLATE(B83,""ja"",""vi"")"),"Xà phòng, xà phòng")</f>
        <v>Xà phòng, xà phòng</v>
      </c>
      <c r="F83" s="3" t="str">
        <f ca="1">IFERROR(__xludf.DUMMYFUNCTION("GOOGLETRANSLATE(C83,""ja"",""vi"")"),"Đấu giá&gt; làm đẹp, chăm sóc sức khỏe&gt; ​​Chăm sóc cơ thể&gt; xà phòng, xà phòng")</f>
        <v>Đấu giá&gt; làm đẹp, chăm sóc sức khỏe&gt; ​​Chăm sóc cơ thể&gt; xà phòng, xà phòng</v>
      </c>
      <c r="G83" s="229" t="str">
        <f t="shared" ca="1" si="2"/>
        <v>"2084024453" : "Xà phòng, xà phòng",</v>
      </c>
      <c r="H83" s="229" t="str">
        <f t="shared" si="3"/>
        <v>&lt;li class="col-md-3"&gt;&lt;a class="text-cut" href="javascript:;"(click)="categoryEvent(2084024453)"&gt;{{"2084024453" | translate}}&lt;/a&gt;&lt;/li&gt;</v>
      </c>
    </row>
    <row r="84" spans="1:8" ht="14.25" customHeight="1">
      <c r="A84" s="2">
        <v>2084005332</v>
      </c>
      <c r="B84" s="2" t="s">
        <v>3013</v>
      </c>
      <c r="C84" s="2" t="s">
        <v>3014</v>
      </c>
      <c r="D84" s="2" t="s">
        <v>3015</v>
      </c>
      <c r="E84" s="3" t="str">
        <f ca="1">IFERROR(__xludf.DUMMYFUNCTION("GOOGLETRANSLATE(B84,""ja"",""vi"")"),"Dầu, kem")</f>
        <v>Dầu, kem</v>
      </c>
      <c r="F84" s="3" t="str">
        <f ca="1">IFERROR(__xludf.DUMMYFUNCTION("GOOGLETRANSLATE(C84,""ja"",""vi"")"),"Đấu giá&gt; làm đẹp, chăm sóc sức khỏe&gt; ​​Chăm sóc cơ thể&gt; dầu, kem")</f>
        <v>Đấu giá&gt; làm đẹp, chăm sóc sức khỏe&gt; ​​Chăm sóc cơ thể&gt; dầu, kem</v>
      </c>
      <c r="G84" s="229" t="str">
        <f t="shared" ca="1" si="2"/>
        <v>"2084005332" : "Dầu, kem",</v>
      </c>
      <c r="H84" s="229" t="str">
        <f t="shared" si="3"/>
        <v>&lt;li class="col-md-3"&gt;&lt;a class="text-cut" href="javascript:;"(click)="categoryEvent(2084005332)"&gt;{{"2084005332" | translate}}&lt;/a&gt;&lt;/li&gt;</v>
      </c>
    </row>
    <row r="85" spans="1:8" ht="14.25" customHeight="1">
      <c r="A85" s="2">
        <v>2084005326</v>
      </c>
      <c r="B85" s="2" t="s">
        <v>3016</v>
      </c>
      <c r="C85" s="2" t="s">
        <v>3017</v>
      </c>
      <c r="D85" s="2" t="s">
        <v>3018</v>
      </c>
      <c r="E85" s="3" t="str">
        <f ca="1">IFERROR(__xludf.DUMMYFUNCTION("GOOGLETRANSLATE(B85,""ja"",""vi"")"),"phấn")</f>
        <v>phấn</v>
      </c>
      <c r="F85" s="3" t="str">
        <f ca="1">IFERROR(__xludf.DUMMYFUNCTION("GOOGLETRANSLATE(C85,""ja"",""vi"")"),"Đấu giá&gt; làm đẹp, chăm sóc sức khỏe&gt; ​​Chăm sóc cơ thể&gt; Bột")</f>
        <v>Đấu giá&gt; làm đẹp, chăm sóc sức khỏe&gt; ​​Chăm sóc cơ thể&gt; Bột</v>
      </c>
      <c r="G85" s="229" t="str">
        <f t="shared" ca="1" si="2"/>
        <v>"2084005326" : "phấn",</v>
      </c>
      <c r="H85" s="229" t="str">
        <f t="shared" si="3"/>
        <v>&lt;li class="col-md-3"&gt;&lt;a class="text-cut" href="javascript:;"(click)="categoryEvent(2084005326)"&gt;{{"2084005326" | translate}}&lt;/a&gt;&lt;/li&gt;</v>
      </c>
    </row>
    <row r="86" spans="1:8" ht="14.25" customHeight="1">
      <c r="A86" s="2">
        <v>2084005330</v>
      </c>
      <c r="B86" s="2" t="s">
        <v>3022</v>
      </c>
      <c r="C86" s="2" t="s">
        <v>3023</v>
      </c>
      <c r="D86" s="2" t="s">
        <v>3025</v>
      </c>
      <c r="E86" s="3" t="str">
        <f ca="1">IFERROR(__xludf.DUMMYFUNCTION("GOOGLETRANSLATE(B86,""ja"",""vi"")"),"lotion")</f>
        <v>lotion</v>
      </c>
      <c r="F86" s="3" t="str">
        <f ca="1">IFERROR(__xludf.DUMMYFUNCTION("GOOGLETRANSLATE(C86,""ja"",""vi"")"),"Đấu giá&gt; làm đẹp, chăm sóc sức khỏe&gt; ​​Chăm sóc cơ thể&gt; lotion")</f>
        <v>Đấu giá&gt; làm đẹp, chăm sóc sức khỏe&gt; ​​Chăm sóc cơ thể&gt; lotion</v>
      </c>
      <c r="G86" s="229" t="str">
        <f t="shared" ca="1" si="2"/>
        <v>"2084005330" : "lotion",</v>
      </c>
      <c r="H86" s="229" t="str">
        <f t="shared" si="3"/>
        <v>&lt;li class="col-md-3"&gt;&lt;a class="text-cut" href="javascript:;"(click)="categoryEvent(2084005330)"&gt;{{"2084005330" | translate}}&lt;/a&gt;&lt;/li&gt;</v>
      </c>
    </row>
    <row r="87" spans="1:8" ht="14.25" customHeight="1">
      <c r="A87" s="2">
        <v>2084049742</v>
      </c>
      <c r="B87" s="2" t="s">
        <v>3027</v>
      </c>
      <c r="C87" s="2" t="s">
        <v>3029</v>
      </c>
      <c r="D87" s="2" t="s">
        <v>3030</v>
      </c>
      <c r="E87" s="3" t="str">
        <f ca="1">IFERROR(__xludf.DUMMYFUNCTION("GOOGLETRANSLATE(B87,""ja"",""vi"")"),"Chất chống mồ hôi, khử mùi")</f>
        <v>Chất chống mồ hôi, khử mùi</v>
      </c>
      <c r="F87" s="3" t="str">
        <f ca="1">IFERROR(__xludf.DUMMYFUNCTION("GOOGLETRANSLATE(C87,""ja"",""vi"")"),"Đấu giá&gt; làm đẹp, chăm sóc sức khỏe&gt; ​​Chăm sóc cơ thể&gt; chất chống mồ hôi, khử mùi")</f>
        <v>Đấu giá&gt; làm đẹp, chăm sóc sức khỏe&gt; ​​Chăm sóc cơ thể&gt; chất chống mồ hôi, khử mùi</v>
      </c>
      <c r="G87" s="229" t="str">
        <f t="shared" ca="1" si="2"/>
        <v>"2084049742" : "Chất chống mồ hôi, khử mùi",</v>
      </c>
      <c r="H87" s="229" t="str">
        <f t="shared" si="3"/>
        <v>&lt;li class="col-md-3"&gt;&lt;a class="text-cut" href="javascript:;"(click)="categoryEvent(2084049742)"&gt;{{"2084049742" | translate}}&lt;/a&gt;&lt;/li&gt;</v>
      </c>
    </row>
    <row r="88" spans="1:8" ht="14.25" customHeight="1">
      <c r="A88" s="2">
        <v>2084049743</v>
      </c>
      <c r="B88" s="2" t="s">
        <v>3033</v>
      </c>
      <c r="C88" s="2" t="s">
        <v>3034</v>
      </c>
      <c r="D88" s="2" t="s">
        <v>3035</v>
      </c>
      <c r="E88" s="3" t="str">
        <f ca="1">IFERROR(__xludf.DUMMYFUNCTION("GOOGLETRANSLATE(B88,""ja"",""vi"")"),"tẩy lông")</f>
        <v>tẩy lông</v>
      </c>
      <c r="F88" s="3" t="str">
        <f ca="1">IFERROR(__xludf.DUMMYFUNCTION("GOOGLETRANSLATE(C88,""ja"",""vi"")"),"Đấu giá&gt; làm đẹp, chăm sóc sức khỏe&gt; ​​Chăm sóc cơ thể&gt; Hair Removal")</f>
        <v>Đấu giá&gt; làm đẹp, chăm sóc sức khỏe&gt; ​​Chăm sóc cơ thể&gt; Hair Removal</v>
      </c>
      <c r="G88" s="229" t="str">
        <f t="shared" ca="1" si="2"/>
        <v>"2084049743" : "tẩy lông",</v>
      </c>
      <c r="H88" s="229" t="str">
        <f t="shared" si="3"/>
        <v>&lt;li class="col-md-3"&gt;&lt;a class="text-cut" href="javascript:;"(click)="categoryEvent(2084049743)"&gt;{{"2084049743" | translate}}&lt;/a&gt;&lt;/li&gt;</v>
      </c>
    </row>
    <row r="89" spans="1:8" ht="14.25" customHeight="1">
      <c r="A89" s="2">
        <v>2084005340</v>
      </c>
      <c r="B89" s="2" t="s">
        <v>3040</v>
      </c>
      <c r="C89" s="2" t="s">
        <v>3041</v>
      </c>
      <c r="D89" s="2" t="s">
        <v>3043</v>
      </c>
      <c r="E89" s="3" t="str">
        <f ca="1">IFERROR(__xludf.DUMMYFUNCTION("GOOGLETRANSLATE(B89,""ja"",""vi"")"),"Kem chống nắng, dầu nắng")</f>
        <v>Kem chống nắng, dầu nắng</v>
      </c>
      <c r="F89" s="3" t="str">
        <f ca="1">IFERROR(__xludf.DUMMYFUNCTION("GOOGLETRANSLATE(C89,""ja"",""vi"")"),"Đấu giá&gt; làm đẹp, chăm sóc sức khỏe&gt; ​​Chăm sóc cơ thể&gt; chống nắng, dầu nắng")</f>
        <v>Đấu giá&gt; làm đẹp, chăm sóc sức khỏe&gt; ​​Chăm sóc cơ thể&gt; chống nắng, dầu nắng</v>
      </c>
      <c r="G89" s="229" t="str">
        <f t="shared" ca="1" si="2"/>
        <v>"2084005340" : "Kem chống nắng, dầu nắng",</v>
      </c>
      <c r="H89" s="229" t="str">
        <f t="shared" si="3"/>
        <v>&lt;li class="col-md-3"&gt;&lt;a class="text-cut" href="javascript:;"(click)="categoryEvent(2084005340)"&gt;{{"2084005340" | translate}}&lt;/a&gt;&lt;/li&gt;</v>
      </c>
    </row>
    <row r="90" spans="1:8" ht="14.25" customHeight="1">
      <c r="A90" s="2">
        <v>2084007454</v>
      </c>
      <c r="B90" s="2" t="s">
        <v>3045</v>
      </c>
      <c r="C90" s="2" t="s">
        <v>3046</v>
      </c>
      <c r="D90" s="2" t="s">
        <v>3048</v>
      </c>
      <c r="E90" s="3" t="str">
        <f ca="1">IFERROR(__xludf.DUMMYFUNCTION("GOOGLETRANSLATE(B90,""ja"",""vi"")"),"muối tắm")</f>
        <v>muối tắm</v>
      </c>
      <c r="F90" s="3" t="str">
        <f ca="1">IFERROR(__xludf.DUMMYFUNCTION("GOOGLETRANSLATE(C90,""ja"",""vi"")"),"Đấu giá&gt; làm đẹp, chăm sóc sức khỏe&gt; ​​Chăm sóc cơ thể&gt; Muối tắm")</f>
        <v>Đấu giá&gt; làm đẹp, chăm sóc sức khỏe&gt; ​​Chăm sóc cơ thể&gt; Muối tắm</v>
      </c>
      <c r="G90" s="229" t="str">
        <f t="shared" ca="1" si="2"/>
        <v>"2084007454" : "muối tắm",</v>
      </c>
      <c r="H90" s="229" t="str">
        <f t="shared" si="3"/>
        <v>&lt;li class="col-md-3"&gt;&lt;a class="text-cut" href="javascript:;"(click)="categoryEvent(2084007454)"&gt;{{"2084007454" | translate}}&lt;/a&gt;&lt;/li&gt;</v>
      </c>
    </row>
    <row r="91" spans="1:8" ht="14.25" customHeight="1">
      <c r="A91" s="2">
        <v>2084053143</v>
      </c>
      <c r="B91" s="2" t="s">
        <v>3051</v>
      </c>
      <c r="C91" s="2" t="s">
        <v>3053</v>
      </c>
      <c r="D91" s="2" t="s">
        <v>3055</v>
      </c>
      <c r="E91" s="3" t="str">
        <f ca="1">IFERROR(__xludf.DUMMYFUNCTION("GOOGLETRANSLATE(B91,""ja"",""vi"")"),"Correction cho Inner Mang")</f>
        <v>Correction cho Inner Mang</v>
      </c>
      <c r="F91" s="3" t="str">
        <f ca="1">IFERROR(__xludf.DUMMYFUNCTION("GOOGLETRANSLATE(C91,""ja"",""vi"")"),"Đấu giá&gt; làm đẹp, chăm sóc sức khỏe&gt; ​​Chăm sóc cơ thể&gt; chỉnh mặc bên trong")</f>
        <v>Đấu giá&gt; làm đẹp, chăm sóc sức khỏe&gt; ​​Chăm sóc cơ thể&gt; chỉnh mặc bên trong</v>
      </c>
      <c r="G91" s="229" t="str">
        <f t="shared" ca="1" si="2"/>
        <v>"2084053143" : "Correction cho Inner Mang",</v>
      </c>
      <c r="H91" s="229" t="str">
        <f t="shared" si="3"/>
        <v>&lt;li class="col-md-3"&gt;&lt;a class="text-cut" href="javascript:;"(click)="categoryEvent(2084053143)"&gt;{{"2084053143" | translate}}&lt;/a&gt;&lt;/li&gt;</v>
      </c>
    </row>
    <row r="92" spans="1:8" ht="14.25" customHeight="1">
      <c r="A92" s="2">
        <v>2084007430</v>
      </c>
      <c r="B92" s="2" t="s">
        <v>3056</v>
      </c>
      <c r="C92" s="2" t="s">
        <v>3058</v>
      </c>
      <c r="D92" s="2" t="s">
        <v>3060</v>
      </c>
      <c r="E92" s="3" t="str">
        <f ca="1">IFERROR(__xludf.DUMMYFUNCTION("GOOGLETRANSLATE(B92,""ja"",""vi"")"),"kem bôi tay")</f>
        <v>kem bôi tay</v>
      </c>
      <c r="F92" s="3" t="str">
        <f ca="1">IFERROR(__xludf.DUMMYFUNCTION("GOOGLETRANSLATE(C92,""ja"",""vi"")"),"Đấu giá&gt; làm đẹp, chăm sóc sức khỏe&gt; ​​Chăm sóc cơ thể&gt; Kem tay")</f>
        <v>Đấu giá&gt; làm đẹp, chăm sóc sức khỏe&gt; ​​Chăm sóc cơ thể&gt; Kem tay</v>
      </c>
      <c r="G92" s="229" t="str">
        <f t="shared" ca="1" si="2"/>
        <v>"2084007430" : "kem bôi tay",</v>
      </c>
      <c r="H92" s="229" t="str">
        <f t="shared" si="3"/>
        <v>&lt;li class="col-md-3"&gt;&lt;a class="text-cut" href="javascript:;"(click)="categoryEvent(2084007430)"&gt;{{"2084007430" | translate}}&lt;/a&gt;&lt;/li&gt;</v>
      </c>
    </row>
    <row r="93" spans="1:8" ht="14.25" customHeight="1">
      <c r="A93" s="2">
        <v>2084005299</v>
      </c>
      <c r="B93" s="2" t="s">
        <v>3064</v>
      </c>
      <c r="C93" s="2" t="s">
        <v>3066</v>
      </c>
      <c r="D93" s="2" t="s">
        <v>3067</v>
      </c>
      <c r="E93" s="3" t="str">
        <f ca="1">IFERROR(__xludf.DUMMYFUNCTION("GOOGLETRANSLATE(B93,""ja"",""vi"")"),"Chăm sóc chân")</f>
        <v>Chăm sóc chân</v>
      </c>
      <c r="F93" s="3" t="str">
        <f ca="1">IFERROR(__xludf.DUMMYFUNCTION("GOOGLETRANSLATE(C93,""ja"",""vi"")"),"Đấu giá&gt; làm đẹp, chăm sóc sức khỏe&gt; ​​Chăm sóc cơ thể&gt; Chăm sóc chân")</f>
        <v>Đấu giá&gt; làm đẹp, chăm sóc sức khỏe&gt; ​​Chăm sóc cơ thể&gt; Chăm sóc chân</v>
      </c>
      <c r="G93" s="229" t="str">
        <f t="shared" ca="1" si="2"/>
        <v>"2084005299" : "Chăm sóc chân",</v>
      </c>
      <c r="H93" s="229" t="str">
        <f t="shared" si="3"/>
        <v>&lt;li class="col-md-3"&gt;&lt;a class="text-cut" href="javascript:;"(click)="categoryEvent(2084005299)"&gt;{{"2084005299" | translate}}&lt;/a&gt;&lt;/li&gt;</v>
      </c>
    </row>
    <row r="94" spans="1:8" ht="14.25" customHeight="1">
      <c r="A94" s="2">
        <v>2084007431</v>
      </c>
      <c r="B94" s="2" t="s">
        <v>16</v>
      </c>
      <c r="C94" s="2" t="s">
        <v>3072</v>
      </c>
      <c r="D94" s="2" t="s">
        <v>3073</v>
      </c>
      <c r="E94" s="3" t="str">
        <f ca="1">IFERROR(__xludf.DUMMYFUNCTION("GOOGLETRANSLATE(B94,""ja"",""vi"")"),"nếu không thì")</f>
        <v>nếu không thì</v>
      </c>
      <c r="F94" s="3" t="str">
        <f ca="1">IFERROR(__xludf.DUMMYFUNCTION("GOOGLETRANSLATE(C94,""ja"",""vi"")"),"Đấu giá&gt; làm đẹp, chăm sóc sức khỏe&gt; ​​Chăm sóc cơ thể&gt; Khác")</f>
        <v>Đấu giá&gt; làm đẹp, chăm sóc sức khỏe&gt; ​​Chăm sóc cơ thể&gt; Khác</v>
      </c>
      <c r="G94" s="229" t="str">
        <f t="shared" ca="1" si="2"/>
        <v>"2084007431" : "nếu không thì",</v>
      </c>
      <c r="H94" s="229" t="str">
        <f t="shared" si="3"/>
        <v>&lt;li class="col-md-3"&gt;&lt;a class="text-cut" href="javascript:;"(click)="categoryEvent(2084007431)"&gt;{{"2084007431" | translate}}&lt;/a&gt;&lt;/li&gt;</v>
      </c>
    </row>
    <row r="95" spans="1:8" ht="14.25" customHeight="1">
      <c r="E95" s="3"/>
      <c r="F95" s="3"/>
      <c r="G95" s="229"/>
      <c r="H95" s="229"/>
    </row>
    <row r="96" spans="1:8" ht="14.25" customHeight="1">
      <c r="A96" s="242">
        <v>2084055379</v>
      </c>
      <c r="B96" s="232"/>
      <c r="C96" s="232"/>
      <c r="D96" s="233"/>
      <c r="E96" s="3"/>
      <c r="F96" s="3"/>
      <c r="G96" s="229"/>
      <c r="H96" s="229"/>
    </row>
    <row r="97" spans="1:8" ht="14.25" customHeight="1">
      <c r="A97" s="2">
        <v>2084063365</v>
      </c>
      <c r="B97" s="2" t="s">
        <v>3079</v>
      </c>
      <c r="C97" s="87" t="s">
        <v>3081</v>
      </c>
      <c r="D97" s="2" t="s">
        <v>3091</v>
      </c>
      <c r="E97" s="3" t="str">
        <f ca="1">IFERROR(__xludf.DUMMYFUNCTION("GOOGLETRANSLATE(B97,""ja"",""vi"")"),"ngăn ngừa hơi thở hôi, vật tư nghi thức")</f>
        <v>ngăn ngừa hơi thở hôi, vật tư nghi thức</v>
      </c>
      <c r="F97" s="3" t="str">
        <f ca="1">IFERROR(__xludf.DUMMYFUNCTION("GOOGLETRANSLATE(C97,""ja"",""vi"")"),"Đấu giá&gt; làm đẹp, chăm sóc sức khỏe&gt; ​​Chăm sóc răng miệng&gt; ngăn ngừa hơi thở hôi, vật tư nghi thức")</f>
        <v>Đấu giá&gt; làm đẹp, chăm sóc sức khỏe&gt; ​​Chăm sóc răng miệng&gt; ngăn ngừa hơi thở hôi, vật tư nghi thức</v>
      </c>
      <c r="G97" s="229" t="str">
        <f t="shared" ca="1" si="2"/>
        <v>"2084063365" : "ngăn ngừa hơi thở hôi, vật tư nghi thức",</v>
      </c>
      <c r="H97" s="229" t="str">
        <f t="shared" si="3"/>
        <v>&lt;li class="col-md-3"&gt;&lt;a class="text-cut" href="javascript:;"(click)="categoryEvent(2084063365)"&gt;{{"2084063365" | translate}}&lt;/a&gt;&lt;/li&gt;</v>
      </c>
    </row>
    <row r="98" spans="1:8" ht="14.25" customHeight="1">
      <c r="A98" s="2">
        <v>2084063361</v>
      </c>
      <c r="B98" s="2" t="s">
        <v>3096</v>
      </c>
      <c r="C98" s="87" t="s">
        <v>3098</v>
      </c>
      <c r="D98" s="2" t="s">
        <v>3100</v>
      </c>
      <c r="E98" s="3" t="str">
        <f ca="1">IFERROR(__xludf.DUMMYFUNCTION("GOOGLETRANSLATE(B98,""ja"",""vi"")"),"bàn chải đánh răng")</f>
        <v>bàn chải đánh răng</v>
      </c>
      <c r="F98" s="3" t="str">
        <f ca="1">IFERROR(__xludf.DUMMYFUNCTION("GOOGLETRANSLATE(C98,""ja"",""vi"")"),"Đấu giá&gt; làm đẹp, chăm sóc sức khỏe&gt; ​​Chăm sóc răng miệng&gt; Bàn chải đánh răng")</f>
        <v>Đấu giá&gt; làm đẹp, chăm sóc sức khỏe&gt; ​​Chăm sóc răng miệng&gt; Bàn chải đánh răng</v>
      </c>
      <c r="G98" s="229" t="str">
        <f t="shared" ca="1" si="2"/>
        <v>"2084063361" : "bàn chải đánh răng",</v>
      </c>
      <c r="H98" s="229" t="str">
        <f t="shared" si="3"/>
        <v>&lt;li class="col-md-3"&gt;&lt;a class="text-cut" href="javascript:;"(click)="categoryEvent(2084063361)"&gt;{{"2084063361" | translate}}&lt;/a&gt;&lt;/li&gt;</v>
      </c>
    </row>
    <row r="99" spans="1:8" ht="14.25" customHeight="1">
      <c r="A99" s="2">
        <v>2084063364</v>
      </c>
      <c r="B99" s="2" t="s">
        <v>3104</v>
      </c>
      <c r="C99" s="87" t="s">
        <v>3106</v>
      </c>
      <c r="D99" s="2" t="s">
        <v>3107</v>
      </c>
      <c r="E99" s="3" t="str">
        <f ca="1">IFERROR(__xludf.DUMMYFUNCTION("GOOGLETRANSLATE(B99,""ja"",""vi"")"),"kem đánh răng")</f>
        <v>kem đánh răng</v>
      </c>
      <c r="F99" s="3" t="str">
        <f ca="1">IFERROR(__xludf.DUMMYFUNCTION("GOOGLETRANSLATE(C99,""ja"",""vi"")"),"Đấu giá&gt; làm đẹp, chăm sóc sức khỏe&gt; ​​Chăm sóc răng miệng&gt; Kem đánh răng")</f>
        <v>Đấu giá&gt; làm đẹp, chăm sóc sức khỏe&gt; ​​Chăm sóc răng miệng&gt; Kem đánh răng</v>
      </c>
      <c r="G99" s="229" t="str">
        <f t="shared" ca="1" si="2"/>
        <v>"2084063364" : "kem đánh răng",</v>
      </c>
      <c r="H99" s="229" t="str">
        <f t="shared" si="3"/>
        <v>&lt;li class="col-md-3"&gt;&lt;a class="text-cut" href="javascript:;"(click)="categoryEvent(2084063364)"&gt;{{"2084063364" | translate}}&lt;/a&gt;&lt;/li&gt;</v>
      </c>
    </row>
    <row r="100" spans="1:8" ht="14.25" customHeight="1">
      <c r="A100" s="2">
        <v>2084063366</v>
      </c>
      <c r="B100" s="2" t="s">
        <v>16</v>
      </c>
      <c r="C100" s="87" t="s">
        <v>3111</v>
      </c>
      <c r="D100" s="2" t="s">
        <v>3113</v>
      </c>
      <c r="E100" s="3" t="str">
        <f ca="1">IFERROR(__xludf.DUMMYFUNCTION("GOOGLETRANSLATE(B100,""ja"",""vi"")"),"nếu không thì")</f>
        <v>nếu không thì</v>
      </c>
      <c r="F100" s="3" t="str">
        <f ca="1">IFERROR(__xludf.DUMMYFUNCTION("GOOGLETRANSLATE(C100,""ja"",""vi"")"),"Đấu giá&gt; làm đẹp, chăm sóc sức khỏe&gt; ​​Chăm sóc răng miệng&gt; Khác")</f>
        <v>Đấu giá&gt; làm đẹp, chăm sóc sức khỏe&gt; ​​Chăm sóc răng miệng&gt; Khác</v>
      </c>
      <c r="G100" s="229" t="str">
        <f t="shared" ca="1" si="2"/>
        <v>"2084063366" : "nếu không thì",</v>
      </c>
      <c r="H100" s="229" t="str">
        <f t="shared" si="3"/>
        <v>&lt;li class="col-md-3"&gt;&lt;a class="text-cut" href="javascript:;"(click)="categoryEvent(2084063366)"&gt;{{"2084063366" | translate}}&lt;/a&gt;&lt;/li&gt;</v>
      </c>
    </row>
    <row r="101" spans="1:8" ht="14.25" customHeight="1">
      <c r="E101" s="3"/>
      <c r="F101" s="3"/>
      <c r="G101" s="229"/>
      <c r="H101" s="229"/>
    </row>
    <row r="102" spans="1:8" ht="14.25" customHeight="1">
      <c r="A102" s="238">
        <v>2084012478</v>
      </c>
      <c r="B102" s="232"/>
      <c r="C102" s="232"/>
      <c r="D102" s="233"/>
      <c r="E102" s="3"/>
      <c r="F102" s="3"/>
      <c r="G102" s="229"/>
      <c r="H102" s="229"/>
    </row>
    <row r="103" spans="1:8" ht="14.25" customHeight="1">
      <c r="A103" s="2">
        <v>2084042532</v>
      </c>
      <c r="B103" s="2" t="s">
        <v>3122</v>
      </c>
      <c r="C103" s="2" t="s">
        <v>3123</v>
      </c>
      <c r="D103" s="2" t="s">
        <v>3124</v>
      </c>
      <c r="E103" s="3" t="str">
        <f ca="1">IFERROR(__xludf.DUMMYFUNCTION("GOOGLETRANSLATE(B103,""ja"",""vi"")"),"kính")</f>
        <v>kính</v>
      </c>
      <c r="F103" s="3" t="str">
        <f ca="1">IFERROR(__xludf.DUMMYFUNCTION("GOOGLETRANSLATE(C103,""ja"",""vi"")"),"Đấu giá&gt; làm đẹp, chăm sóc sức khỏe&gt; ​​Kính, xúc&gt; Kính")</f>
        <v>Đấu giá&gt; làm đẹp, chăm sóc sức khỏe&gt; ​​Kính, xúc&gt; Kính</v>
      </c>
      <c r="G103" s="229" t="str">
        <f t="shared" ca="1" si="2"/>
        <v>"2084042532" : "kính",</v>
      </c>
      <c r="H103" s="229" t="str">
        <f t="shared" si="3"/>
        <v>&lt;li class="col-md-3"&gt;&lt;a class="text-cut" href="javascript:;"(click)="categoryEvent(2084042532)"&gt;{{"2084042532" | translate}}&lt;/a&gt;&lt;/li&gt;</v>
      </c>
    </row>
    <row r="104" spans="1:8" ht="14.25" customHeight="1">
      <c r="A104" s="2">
        <v>2084042534</v>
      </c>
      <c r="B104" s="2" t="s">
        <v>3128</v>
      </c>
      <c r="C104" s="2" t="s">
        <v>3130</v>
      </c>
      <c r="D104" s="2" t="s">
        <v>3132</v>
      </c>
      <c r="E104" s="3" t="str">
        <f ca="1">IFERROR(__xludf.DUMMYFUNCTION("GOOGLETRANSLATE(B104,""ja"",""vi"")"),"trường hợp kính")</f>
        <v>trường hợp kính</v>
      </c>
      <c r="F104" s="3" t="str">
        <f ca="1">IFERROR(__xludf.DUMMYFUNCTION("GOOGLETRANSLATE(C104,""ja"",""vi"")"),"Đấu giá&gt; làm đẹp, chăm sóc sức khỏe&gt; ​​kính, liên lạc&gt; Số trường hợp kính")</f>
        <v>Đấu giá&gt; làm đẹp, chăm sóc sức khỏe&gt; ​​kính, liên lạc&gt; Số trường hợp kính</v>
      </c>
      <c r="G104" s="229" t="str">
        <f t="shared" ca="1" si="2"/>
        <v>"2084042534" : "trường hợp kính",</v>
      </c>
      <c r="H104" s="229" t="str">
        <f t="shared" si="3"/>
        <v>&lt;li class="col-md-3"&gt;&lt;a class="text-cut" href="javascript:;"(click)="categoryEvent(2084042534)"&gt;{{"2084042534" | translate}}&lt;/a&gt;&lt;/li&gt;</v>
      </c>
    </row>
    <row r="105" spans="1:8" ht="14.25" customHeight="1">
      <c r="A105" s="2">
        <v>2084042533</v>
      </c>
      <c r="B105" s="2" t="s">
        <v>3137</v>
      </c>
      <c r="C105" s="2" t="s">
        <v>3138</v>
      </c>
      <c r="D105" s="2" t="s">
        <v>3139</v>
      </c>
      <c r="E105" s="3" t="str">
        <f ca="1">IFERROR(__xludf.DUMMYFUNCTION("GOOGLETRANSLATE(B105,""ja"",""vi"")"),"đọc kính")</f>
        <v>đọc kính</v>
      </c>
      <c r="F105" s="3" t="str">
        <f ca="1">IFERROR(__xludf.DUMMYFUNCTION("GOOGLETRANSLATE(C105,""ja"",""vi"")"),"Đấu giá&gt; làm đẹp, chăm sóc sức khỏe&gt; ​​kính, Liên hệ&gt; kính đọc sách")</f>
        <v>Đấu giá&gt; làm đẹp, chăm sóc sức khỏe&gt; ​​kính, Liên hệ&gt; kính đọc sách</v>
      </c>
      <c r="G105" s="229" t="str">
        <f t="shared" ca="1" si="2"/>
        <v>"2084042533" : "đọc kính",</v>
      </c>
      <c r="H105" s="229" t="str">
        <f t="shared" si="3"/>
        <v>&lt;li class="col-md-3"&gt;&lt;a class="text-cut" href="javascript:;"(click)="categoryEvent(2084042533)"&gt;{{"2084042533" | translate}}&lt;/a&gt;&lt;/li&gt;</v>
      </c>
    </row>
    <row r="106" spans="1:8" ht="14.25" customHeight="1">
      <c r="A106" s="2">
        <v>2084226969</v>
      </c>
      <c r="B106" s="2" t="s">
        <v>3145</v>
      </c>
      <c r="C106" s="2" t="s">
        <v>3146</v>
      </c>
      <c r="D106" s="2" t="s">
        <v>3149</v>
      </c>
      <c r="E106" s="3" t="str">
        <f ca="1">IFERROR(__xludf.DUMMYFUNCTION("GOOGLETRANSLATE(B106,""ja"",""vi"")"),"kính sát tròng")</f>
        <v>kính sát tròng</v>
      </c>
      <c r="F106" s="3" t="str">
        <f ca="1">IFERROR(__xludf.DUMMYFUNCTION("GOOGLETRANSLATE(C106,""ja"",""vi"")"),"Đấu giá&gt; làm đẹp, chăm sóc sức khỏe&gt; ​​kính, Liên hệ&gt; kính áp tròng")</f>
        <v>Đấu giá&gt; làm đẹp, chăm sóc sức khỏe&gt; ​​kính, Liên hệ&gt; kính áp tròng</v>
      </c>
      <c r="G106" s="229" t="str">
        <f t="shared" ca="1" si="2"/>
        <v>"2084226969" : "kính sát tròng",</v>
      </c>
      <c r="H106" s="229" t="str">
        <f t="shared" si="3"/>
        <v>&lt;li class="col-md-3"&gt;&lt;a class="text-cut" href="javascript:;"(click)="categoryEvent(2084226969)"&gt;{{"2084226969" | translate}}&lt;/a&gt;&lt;/li&gt;</v>
      </c>
    </row>
    <row r="107" spans="1:8" ht="14.25" customHeight="1">
      <c r="A107" s="2">
        <v>2084042535</v>
      </c>
      <c r="B107" s="2" t="s">
        <v>3154</v>
      </c>
      <c r="C107" s="2" t="s">
        <v>3155</v>
      </c>
      <c r="D107" s="2" t="s">
        <v>3156</v>
      </c>
      <c r="E107" s="3" t="str">
        <f ca="1">IFERROR(__xludf.DUMMYFUNCTION("GOOGLETRANSLATE(B107,""ja"",""vi"")"),"Liên hệ cung cấp")</f>
        <v>Liên hệ cung cấp</v>
      </c>
      <c r="F107" s="3" t="str">
        <f ca="1">IFERROR(__xludf.DUMMYFUNCTION("GOOGLETRANSLATE(C107,""ja"",""vi"")"),"Đấu giá&gt; làm đẹp, chăm sóc sức khỏe&gt; ​​kính, Liên hệ&gt; nguồn cung cấp tiếp xúc")</f>
        <v>Đấu giá&gt; làm đẹp, chăm sóc sức khỏe&gt; ​​kính, Liên hệ&gt; nguồn cung cấp tiếp xúc</v>
      </c>
      <c r="G107" s="229" t="str">
        <f t="shared" ca="1" si="2"/>
        <v>"2084042535" : "Liên hệ cung cấp",</v>
      </c>
      <c r="H107" s="229" t="str">
        <f t="shared" si="3"/>
        <v>&lt;li class="col-md-3"&gt;&lt;a class="text-cut" href="javascript:;"(click)="categoryEvent(2084042535)"&gt;{{"2084042535" | translate}}&lt;/a&gt;&lt;/li&gt;</v>
      </c>
    </row>
    <row r="108" spans="1:8" ht="14.25" customHeight="1">
      <c r="A108" s="2">
        <v>2084063603</v>
      </c>
      <c r="B108" s="2" t="s">
        <v>3160</v>
      </c>
      <c r="C108" s="2" t="s">
        <v>3163</v>
      </c>
      <c r="D108" s="2" t="s">
        <v>3164</v>
      </c>
      <c r="E108" s="3" t="str">
        <f ca="1">IFERROR(__xludf.DUMMYFUNCTION("GOOGLETRANSLATE(B108,""ja"",""vi"")"),"Goggles cho bệnh sốt mùa hè")</f>
        <v>Goggles cho bệnh sốt mùa hè</v>
      </c>
      <c r="F108" s="3" t="str">
        <f ca="1">IFERROR(__xludf.DUMMYFUNCTION("GOOGLETRANSLATE(C108,""ja"",""vi"")"),"Đấu giá&gt; làm đẹp, chăm sóc sức khỏe&gt; ​​kính, Liên hệ&gt; goggle cho bệnh sốt mùa hè")</f>
        <v>Đấu giá&gt; làm đẹp, chăm sóc sức khỏe&gt; ​​kính, Liên hệ&gt; goggle cho bệnh sốt mùa hè</v>
      </c>
      <c r="G108" s="229" t="str">
        <f t="shared" ca="1" si="2"/>
        <v>"2084063603" : "Goggles cho bệnh sốt mùa hè",</v>
      </c>
      <c r="H108" s="229" t="str">
        <f t="shared" si="3"/>
        <v>&lt;li class="col-md-3"&gt;&lt;a class="text-cut" href="javascript:;"(click)="categoryEvent(2084063603)"&gt;{{"2084063603" | translate}}&lt;/a&gt;&lt;/li&gt;</v>
      </c>
    </row>
    <row r="109" spans="1:8" ht="14.25" customHeight="1">
      <c r="A109" s="2">
        <v>2084042536</v>
      </c>
      <c r="B109" s="2" t="s">
        <v>3170</v>
      </c>
      <c r="C109" s="2" t="s">
        <v>3172</v>
      </c>
      <c r="D109" s="2" t="s">
        <v>3175</v>
      </c>
      <c r="E109" s="3" t="str">
        <f ca="1">IFERROR(__xludf.DUMMYFUNCTION("GOOGLETRANSLATE(B109,""ja"",""vi"")"),"lúp kính")</f>
        <v>lúp kính</v>
      </c>
      <c r="F109" s="3" t="str">
        <f ca="1">IFERROR(__xludf.DUMMYFUNCTION("GOOGLETRANSLATE(C109,""ja"",""vi"")"),"Đấu giá&gt; làm đẹp, chăm sóc sức khỏe&gt; ​​kính, Liên hệ&gt; kính lúp")</f>
        <v>Đấu giá&gt; làm đẹp, chăm sóc sức khỏe&gt; ​​kính, Liên hệ&gt; kính lúp</v>
      </c>
      <c r="G109" s="229" t="str">
        <f t="shared" ca="1" si="2"/>
        <v>"2084042536" : "lúp kính",</v>
      </c>
      <c r="H109" s="229" t="str">
        <f t="shared" si="3"/>
        <v>&lt;li class="col-md-3"&gt;&lt;a class="text-cut" href="javascript:;"(click)="categoryEvent(2084042536)"&gt;{{"2084042536" | translate}}&lt;/a&gt;&lt;/li&gt;</v>
      </c>
    </row>
    <row r="110" spans="1:8" ht="14.25" customHeight="1">
      <c r="A110" s="2">
        <v>42542</v>
      </c>
      <c r="B110" s="2" t="s">
        <v>3182</v>
      </c>
      <c r="C110" s="2" t="s">
        <v>3183</v>
      </c>
      <c r="D110" s="2" t="s">
        <v>3184</v>
      </c>
      <c r="E110" s="3" t="str">
        <f ca="1">IFERROR(__xludf.DUMMYFUNCTION("GOOGLETRANSLATE(B110,""ja"",""vi"")"),"kính mát")</f>
        <v>kính mát</v>
      </c>
      <c r="F110" s="3" t="str">
        <f ca="1">IFERROR(__xludf.DUMMYFUNCTION("GOOGLETRANSLATE(C110,""ja"",""vi"")"),"Đấu giá&gt; làm đẹp, chăm sóc sức khỏe&gt; ​​kính, Liên hệ&gt; kính mát")</f>
        <v>Đấu giá&gt; làm đẹp, chăm sóc sức khỏe&gt; ​​kính, Liên hệ&gt; kính mát</v>
      </c>
      <c r="G110" s="229" t="str">
        <f t="shared" ca="1" si="2"/>
        <v>"42542" : "kính mát",</v>
      </c>
      <c r="H110" s="229" t="str">
        <f t="shared" si="3"/>
        <v>&lt;li class="col-md-3"&gt;&lt;a class="text-cut" href="javascript:;"(click)="categoryEvent(42542)"&gt;{{"42542" | translate}}&lt;/a&gt;&lt;/li&gt;</v>
      </c>
    </row>
    <row r="111" spans="1:8" ht="14.25" customHeight="1">
      <c r="A111" s="2">
        <v>2084042537</v>
      </c>
      <c r="B111" s="2" t="s">
        <v>16</v>
      </c>
      <c r="C111" s="2" t="s">
        <v>3191</v>
      </c>
      <c r="D111" s="2" t="s">
        <v>3193</v>
      </c>
      <c r="E111" s="3" t="str">
        <f ca="1">IFERROR(__xludf.DUMMYFUNCTION("GOOGLETRANSLATE(B111,""ja"",""vi"")"),"nếu không thì")</f>
        <v>nếu không thì</v>
      </c>
      <c r="F111" s="3" t="str">
        <f ca="1">IFERROR(__xludf.DUMMYFUNCTION("GOOGLETRANSLATE(C111,""ja"",""vi"")"),"Đấu giá&gt; làm đẹp, chăm sóc sức khỏe&gt; ​​kính, Liên hệ&gt; Khác")</f>
        <v>Đấu giá&gt; làm đẹp, chăm sóc sức khỏe&gt; ​​kính, Liên hệ&gt; Khác</v>
      </c>
      <c r="G111" s="229" t="str">
        <f t="shared" ca="1" si="2"/>
        <v>"2084042537" : "nếu không thì",</v>
      </c>
      <c r="H111" s="229" t="str">
        <f t="shared" si="3"/>
        <v>&lt;li class="col-md-3"&gt;&lt;a class="text-cut" href="javascript:;"(click)="categoryEvent(2084042537)"&gt;{{"2084042537" | translate}}&lt;/a&gt;&lt;/li&gt;</v>
      </c>
    </row>
    <row r="112" spans="1:8" ht="14.25" customHeight="1">
      <c r="E112" s="3"/>
      <c r="F112" s="3"/>
      <c r="G112" s="229"/>
      <c r="H112" s="229"/>
    </row>
    <row r="113" spans="1:8" ht="14.25" customHeight="1">
      <c r="A113" s="256">
        <v>2084042539</v>
      </c>
      <c r="B113" s="232"/>
      <c r="C113" s="232"/>
      <c r="D113" s="233"/>
      <c r="E113" s="3"/>
      <c r="F113" s="3"/>
      <c r="G113" s="229"/>
      <c r="H113" s="229"/>
    </row>
    <row r="114" spans="1:8" ht="14.25" customHeight="1">
      <c r="A114" s="2">
        <v>2084047753</v>
      </c>
      <c r="B114" s="2" t="s">
        <v>3210</v>
      </c>
      <c r="C114" s="2" t="s">
        <v>3212</v>
      </c>
      <c r="D114" s="2" t="s">
        <v>3214</v>
      </c>
      <c r="E114" s="3" t="str">
        <f ca="1">IFERROR(__xludf.DUMMYFUNCTION("GOOGLETRANSLATE(B114,""ja"",""vi"")"),"dầu nguyên chất")</f>
        <v>dầu nguyên chất</v>
      </c>
      <c r="F114" s="3" t="str">
        <f ca="1">IFERROR(__xludf.DUMMYFUNCTION("GOOGLETRANSLATE(C114,""ja"",""vi"")"),"Đấu giá&gt; làm đẹp, chăm sóc sức khỏe&gt; ​​hàng thư giãn&gt; tinh dầu")</f>
        <v>Đấu giá&gt; làm đẹp, chăm sóc sức khỏe&gt; ​​hàng thư giãn&gt; tinh dầu</v>
      </c>
      <c r="G114" s="229" t="str">
        <f t="shared" ca="1" si="2"/>
        <v>"2084047753" : "dầu nguyên chất",</v>
      </c>
      <c r="H114" s="229" t="str">
        <f t="shared" si="3"/>
        <v>&lt;li class="col-md-3"&gt;&lt;a class="text-cut" href="javascript:;"(click)="categoryEvent(2084047753)"&gt;{{"2084047753" | translate}}&lt;/a&gt;&lt;/li&gt;</v>
      </c>
    </row>
    <row r="115" spans="1:8" ht="14.25" customHeight="1">
      <c r="A115" s="2">
        <v>2084213838</v>
      </c>
      <c r="B115" s="2" t="s">
        <v>3218</v>
      </c>
      <c r="C115" s="2" t="s">
        <v>3220</v>
      </c>
      <c r="D115" s="2" t="s">
        <v>3222</v>
      </c>
      <c r="E115" s="3" t="str">
        <f ca="1">IFERROR(__xludf.DUMMYFUNCTION("GOOGLETRANSLATE(B115,""ja"",""vi"")"),"dầu Carrier")</f>
        <v>dầu Carrier</v>
      </c>
      <c r="F115" s="3" t="str">
        <f ca="1">IFERROR(__xludf.DUMMYFUNCTION("GOOGLETRANSLATE(C115,""ja"",""vi"")"),"Đấu giá&gt; làm đẹp, chăm sóc sức khỏe&gt; ​​hàng thư giãn&gt; dầu hãng")</f>
        <v>Đấu giá&gt; làm đẹp, chăm sóc sức khỏe&gt; ​​hàng thư giãn&gt; dầu hãng</v>
      </c>
      <c r="G115" s="229" t="str">
        <f t="shared" ca="1" si="2"/>
        <v>"2084213838" : "dầu Carrier",</v>
      </c>
      <c r="H115" s="229" t="str">
        <f t="shared" si="3"/>
        <v>&lt;li class="col-md-3"&gt;&lt;a class="text-cut" href="javascript:;"(click)="categoryEvent(2084213838)"&gt;{{"2084213838" | translate}}&lt;/a&gt;&lt;/li&gt;</v>
      </c>
    </row>
    <row r="116" spans="1:8" ht="14.25" customHeight="1">
      <c r="A116" s="2">
        <v>2084213840</v>
      </c>
      <c r="B116" s="2" t="s">
        <v>3224</v>
      </c>
      <c r="C116" s="2" t="s">
        <v>3225</v>
      </c>
      <c r="D116" s="2" t="s">
        <v>3226</v>
      </c>
      <c r="E116" s="3" t="str">
        <f ca="1">IFERROR(__xludf.DUMMYFUNCTION("GOOGLETRANSLATE(B116,""ja"",""vi"")"),"đơn vị thơm")</f>
        <v>đơn vị thơm</v>
      </c>
      <c r="F116" s="3" t="str">
        <f ca="1">IFERROR(__xludf.DUMMYFUNCTION("GOOGLETRANSLATE(C116,""ja"",""vi"")"),"Đấu giá&gt; làm đẹp, chăm sóc sức khỏe&gt; ​​hàng thư giãn&gt; đơn vị thơm")</f>
        <v>Đấu giá&gt; làm đẹp, chăm sóc sức khỏe&gt; ​​hàng thư giãn&gt; đơn vị thơm</v>
      </c>
      <c r="G116" s="229" t="str">
        <f t="shared" ca="1" si="2"/>
        <v>"2084213840" : "đơn vị thơm",</v>
      </c>
      <c r="H116" s="229" t="str">
        <f t="shared" si="3"/>
        <v>&lt;li class="col-md-3"&gt;&lt;a class="text-cut" href="javascript:;"(click)="categoryEvent(2084213840)"&gt;{{"2084213840" | translate}}&lt;/a&gt;&lt;/li&gt;</v>
      </c>
    </row>
    <row r="117" spans="1:8" ht="14.25" customHeight="1">
      <c r="A117" s="2">
        <v>2084024424</v>
      </c>
      <c r="B117" s="2" t="s">
        <v>2809</v>
      </c>
      <c r="C117" s="2" t="s">
        <v>3233</v>
      </c>
      <c r="D117" s="2" t="s">
        <v>3234</v>
      </c>
      <c r="E117" s="3" t="str">
        <f ca="1">IFERROR(__xludf.DUMMYFUNCTION("GOOGLETRANSLATE(B117,""ja"",""vi"")"),"Hương, lư hương")</f>
        <v>Hương, lư hương</v>
      </c>
      <c r="F117" s="3" t="str">
        <f ca="1">IFERROR(__xludf.DUMMYFUNCTION("GOOGLETRANSLATE(C117,""ja"",""vi"")"),"Đấu giá&gt; làm đẹp, chăm sóc sức khỏe&gt; ​​hàng thư giãn&gt; hương, lư hương")</f>
        <v>Đấu giá&gt; làm đẹp, chăm sóc sức khỏe&gt; ​​hàng thư giãn&gt; hương, lư hương</v>
      </c>
      <c r="G117" s="229" t="str">
        <f t="shared" ca="1" si="2"/>
        <v>"2084024424" : "Hương, lư hương",</v>
      </c>
      <c r="H117" s="229" t="str">
        <f t="shared" si="3"/>
        <v>&lt;li class="col-md-3"&gt;&lt;a class="text-cut" href="javascript:;"(click)="categoryEvent(2084024424)"&gt;{{"2084024424" | translate}}&lt;/a&gt;&lt;/li&gt;</v>
      </c>
    </row>
    <row r="118" spans="1:8" ht="14.25" customHeight="1">
      <c r="A118" s="2">
        <v>2084024423</v>
      </c>
      <c r="B118" s="2" t="s">
        <v>2295</v>
      </c>
      <c r="C118" s="2" t="s">
        <v>3241</v>
      </c>
      <c r="D118" s="2" t="s">
        <v>3242</v>
      </c>
      <c r="E118" s="3" t="str">
        <f ca="1">IFERROR(__xludf.DUMMYFUNCTION("GOOGLETRANSLATE(B118,""ja"",""vi"")"),"nến")</f>
        <v>nến</v>
      </c>
      <c r="F118" s="3" t="str">
        <f ca="1">IFERROR(__xludf.DUMMYFUNCTION("GOOGLETRANSLATE(C118,""ja"",""vi"")"),"Đấu giá&gt; làm đẹp, chăm sóc sức khỏe&gt; ​​hàng thư giãn&gt; nến")</f>
        <v>Đấu giá&gt; làm đẹp, chăm sóc sức khỏe&gt; ​​hàng thư giãn&gt; nến</v>
      </c>
      <c r="G118" s="229" t="str">
        <f t="shared" ca="1" si="2"/>
        <v>"2084024423" : "nến",</v>
      </c>
      <c r="H118" s="229" t="str">
        <f t="shared" si="3"/>
        <v>&lt;li class="col-md-3"&gt;&lt;a class="text-cut" href="javascript:;"(click)="categoryEvent(2084024423)"&gt;{{"2084024423" | translate}}&lt;/a&gt;&lt;/li&gt;</v>
      </c>
    </row>
    <row r="119" spans="1:8" ht="14.25" customHeight="1">
      <c r="A119" s="2">
        <v>2084302015</v>
      </c>
      <c r="B119" s="2" t="s">
        <v>3246</v>
      </c>
      <c r="C119" s="2" t="s">
        <v>3247</v>
      </c>
      <c r="D119" s="2" t="s">
        <v>3248</v>
      </c>
      <c r="E119" s="3" t="str">
        <f ca="1">IFERROR(__xludf.DUMMYFUNCTION("GOOGLETRANSLATE(B119,""ja"",""vi"")"),"đồ giử đèn cầy")</f>
        <v>đồ giử đèn cầy</v>
      </c>
      <c r="F119" s="3" t="str">
        <f ca="1">IFERROR(__xludf.DUMMYFUNCTION("GOOGLETRANSLATE(C119,""ja"",""vi"")"),"Đấu giá&gt; làm đẹp, chăm sóc sức khỏe&gt; ​​hàng thư giãn&gt; người giữ ngọn nến")</f>
        <v>Đấu giá&gt; làm đẹp, chăm sóc sức khỏe&gt; ​​hàng thư giãn&gt; người giữ ngọn nến</v>
      </c>
      <c r="G119" s="229" t="str">
        <f t="shared" ca="1" si="2"/>
        <v>"2084302015" : "đồ giử đèn cầy",</v>
      </c>
      <c r="H119" s="229" t="str">
        <f t="shared" si="3"/>
        <v>&lt;li class="col-md-3"&gt;&lt;a class="text-cut" href="javascript:;"(click)="categoryEvent(2084302015)"&gt;{{"2084302015" | translate}}&lt;/a&gt;&lt;/li&gt;</v>
      </c>
    </row>
    <row r="120" spans="1:8" ht="14.25" customHeight="1">
      <c r="A120" s="2">
        <v>2084302016</v>
      </c>
      <c r="B120" s="2" t="s">
        <v>3252</v>
      </c>
      <c r="C120" s="2" t="s">
        <v>3255</v>
      </c>
      <c r="D120" s="2" t="s">
        <v>3257</v>
      </c>
      <c r="E120" s="3" t="str">
        <f ca="1">IFERROR(__xludf.DUMMYFUNCTION("GOOGLETRANSLATE(B120,""ja"",""vi"")"),"Gói, gói")</f>
        <v>Gói, gói</v>
      </c>
      <c r="F120" s="3" t="str">
        <f ca="1">IFERROR(__xludf.DUMMYFUNCTION("GOOGLETRANSLATE(C120,""ja"",""vi"")"),"Đấu giá&gt; làm đẹp, chăm sóc sức khỏe&gt; ​​hàng thư giãn&gt; gói, gói")</f>
        <v>Đấu giá&gt; làm đẹp, chăm sóc sức khỏe&gt; ​​hàng thư giãn&gt; gói, gói</v>
      </c>
      <c r="G120" s="229" t="str">
        <f t="shared" ca="1" si="2"/>
        <v>"2084302016" : "Gói, gói",</v>
      </c>
      <c r="H120" s="229" t="str">
        <f t="shared" si="3"/>
        <v>&lt;li class="col-md-3"&gt;&lt;a class="text-cut" href="javascript:;"(click)="categoryEvent(2084302016)"&gt;{{"2084302016" | translate}}&lt;/a&gt;&lt;/li&gt;</v>
      </c>
    </row>
    <row r="121" spans="1:8" ht="14.25" customHeight="1">
      <c r="A121" s="2">
        <v>2084047755</v>
      </c>
      <c r="B121" s="2" t="s">
        <v>1855</v>
      </c>
      <c r="C121" s="2" t="s">
        <v>3262</v>
      </c>
      <c r="D121" s="2" t="s">
        <v>3265</v>
      </c>
      <c r="E121" s="3" t="str">
        <f ca="1">IFERROR(__xludf.DUMMYFUNCTION("GOOGLETRANSLATE(B121,""ja"",""vi"")"),"potpourri")</f>
        <v>potpourri</v>
      </c>
      <c r="F121" s="3" t="str">
        <f ca="1">IFERROR(__xludf.DUMMYFUNCTION("GOOGLETRANSLATE(C121,""ja"",""vi"")"),"Đấu giá&gt; làm đẹp, chăm sóc sức khỏe&gt; ​​hàng thư giãn&gt; Potpourri")</f>
        <v>Đấu giá&gt; làm đẹp, chăm sóc sức khỏe&gt; ​​hàng thư giãn&gt; Potpourri</v>
      </c>
      <c r="G121" s="229" t="str">
        <f t="shared" ca="1" si="2"/>
        <v>"2084047755" : "potpourri",</v>
      </c>
      <c r="H121" s="229" t="str">
        <f t="shared" si="3"/>
        <v>&lt;li class="col-md-3"&gt;&lt;a class="text-cut" href="javascript:;"(click)="categoryEvent(2084047755)"&gt;{{"2084047755" | translate}}&lt;/a&gt;&lt;/li&gt;</v>
      </c>
    </row>
    <row r="122" spans="1:8" ht="14.25" customHeight="1">
      <c r="A122" s="2">
        <v>2084047754</v>
      </c>
      <c r="B122" s="2" t="s">
        <v>3271</v>
      </c>
      <c r="C122" s="2" t="s">
        <v>3273</v>
      </c>
      <c r="D122" s="2" t="s">
        <v>3275</v>
      </c>
      <c r="E122" s="3" t="str">
        <f ca="1">IFERROR(__xludf.DUMMYFUNCTION("GOOGLETRANSLATE(B122,""ja"",""vi"")"),"gối mắt")</f>
        <v>gối mắt</v>
      </c>
      <c r="F122" s="3" t="str">
        <f ca="1">IFERROR(__xludf.DUMMYFUNCTION("GOOGLETRANSLATE(C122,""ja"",""vi"")"),"Đấu giá&gt; làm đẹp, chăm sóc sức khỏe&gt; ​​hàng thư giãn&gt; gối mắt")</f>
        <v>Đấu giá&gt; làm đẹp, chăm sóc sức khỏe&gt; ​​hàng thư giãn&gt; gối mắt</v>
      </c>
      <c r="G122" s="229" t="str">
        <f t="shared" ca="1" si="2"/>
        <v>"2084047754" : "gối mắt",</v>
      </c>
      <c r="H122" s="229" t="str">
        <f t="shared" si="3"/>
        <v>&lt;li class="col-md-3"&gt;&lt;a class="text-cut" href="javascript:;"(click)="categoryEvent(2084047754)"&gt;{{"2084047754" | translate}}&lt;/a&gt;&lt;/li&gt;</v>
      </c>
    </row>
    <row r="123" spans="1:8" ht="14.25" customHeight="1">
      <c r="A123" s="2">
        <v>2084006905</v>
      </c>
      <c r="B123" s="2" t="s">
        <v>3284</v>
      </c>
      <c r="C123" s="2" t="s">
        <v>3285</v>
      </c>
      <c r="D123" s="2" t="s">
        <v>3286</v>
      </c>
      <c r="E123" s="3" t="str">
        <f ca="1">IFERROR(__xludf.DUMMYFUNCTION("GOOGLETRANSLATE(B123,""ja"",""vi"")"),"máy massage")</f>
        <v>máy massage</v>
      </c>
      <c r="F123" s="3" t="str">
        <f ca="1">IFERROR(__xludf.DUMMYFUNCTION("GOOGLETRANSLATE(C123,""ja"",""vi"")"),"Đấu giá&gt; làm đẹp, chăm sóc sức khỏe&gt; ​​hàng thư giãn&gt; Máy massage")</f>
        <v>Đấu giá&gt; làm đẹp, chăm sóc sức khỏe&gt; ​​hàng thư giãn&gt; Máy massage</v>
      </c>
      <c r="G123" s="229" t="str">
        <f t="shared" ca="1" si="2"/>
        <v>"2084006905" : "máy massage",</v>
      </c>
      <c r="H123" s="229" t="str">
        <f t="shared" si="3"/>
        <v>&lt;li class="col-md-3"&gt;&lt;a class="text-cut" href="javascript:;"(click)="categoryEvent(2084006905)"&gt;{{"2084006905" | translate}}&lt;/a&gt;&lt;/li&gt;</v>
      </c>
    </row>
    <row r="124" spans="1:8" ht="14.25" customHeight="1">
      <c r="A124" s="2">
        <v>2084007454</v>
      </c>
      <c r="B124" s="2" t="s">
        <v>3045</v>
      </c>
      <c r="C124" s="2" t="s">
        <v>3293</v>
      </c>
      <c r="D124" s="2" t="s">
        <v>3294</v>
      </c>
      <c r="E124" s="3" t="str">
        <f ca="1">IFERROR(__xludf.DUMMYFUNCTION("GOOGLETRANSLATE(B124,""ja"",""vi"")"),"muối tắm")</f>
        <v>muối tắm</v>
      </c>
      <c r="F124" s="3" t="str">
        <f ca="1">IFERROR(__xludf.DUMMYFUNCTION("GOOGLETRANSLATE(C124,""ja"",""vi"")"),"Đấu giá&gt; làm đẹp, chăm sóc sức khỏe&gt; ​​hàng thư giãn&gt; muối tắm")</f>
        <v>Đấu giá&gt; làm đẹp, chăm sóc sức khỏe&gt; ​​hàng thư giãn&gt; muối tắm</v>
      </c>
      <c r="G124" s="229" t="str">
        <f t="shared" ca="1" si="2"/>
        <v>"2084007454" : "muối tắm",</v>
      </c>
      <c r="H124" s="229" t="str">
        <f t="shared" si="3"/>
        <v>&lt;li class="col-md-3"&gt;&lt;a class="text-cut" href="javascript:;"(click)="categoryEvent(2084007454)"&gt;{{"2084007454" | translate}}&lt;/a&gt;&lt;/li&gt;</v>
      </c>
    </row>
    <row r="125" spans="1:8" ht="14.25" customHeight="1">
      <c r="A125" s="2">
        <v>2084042540</v>
      </c>
      <c r="B125" s="2" t="s">
        <v>16</v>
      </c>
      <c r="C125" s="2" t="s">
        <v>3301</v>
      </c>
      <c r="D125" s="2" t="s">
        <v>3302</v>
      </c>
      <c r="E125" s="3" t="str">
        <f ca="1">IFERROR(__xludf.DUMMYFUNCTION("GOOGLETRANSLATE(B125,""ja"",""vi"")"),"nếu không thì")</f>
        <v>nếu không thì</v>
      </c>
      <c r="F125" s="3" t="str">
        <f ca="1">IFERROR(__xludf.DUMMYFUNCTION("GOOGLETRANSLATE(C125,""ja"",""vi"")"),"Đấu giá&gt; làm đẹp, chăm sóc sức khỏe&gt; ​​hàng thư giãn&gt; Khác")</f>
        <v>Đấu giá&gt; làm đẹp, chăm sóc sức khỏe&gt; ​​hàng thư giãn&gt; Khác</v>
      </c>
      <c r="G125" s="229" t="str">
        <f t="shared" ca="1" si="2"/>
        <v>"2084042540" : "nếu không thì",</v>
      </c>
      <c r="H125" s="229" t="str">
        <f t="shared" si="3"/>
        <v>&lt;li class="col-md-3"&gt;&lt;a class="text-cut" href="javascript:;"(click)="categoryEvent(2084042540)"&gt;{{"2084042540" | translate}}&lt;/a&gt;&lt;/li&gt;</v>
      </c>
    </row>
    <row r="126" spans="1:8" ht="14.25" customHeight="1">
      <c r="E126" s="3"/>
      <c r="F126" s="3"/>
      <c r="G126" s="229"/>
      <c r="H126" s="229"/>
    </row>
    <row r="127" spans="1:8" ht="14.25" customHeight="1">
      <c r="E127" s="3"/>
      <c r="F127" s="3"/>
      <c r="G127" s="229"/>
      <c r="H127" s="229"/>
    </row>
    <row r="128" spans="1:8" ht="14.25" customHeight="1">
      <c r="A128" s="252">
        <v>26100</v>
      </c>
      <c r="B128" s="232"/>
      <c r="C128" s="232"/>
      <c r="D128" s="233"/>
      <c r="E128" s="3"/>
      <c r="F128" s="3"/>
      <c r="G128" s="229"/>
      <c r="H128" s="229"/>
    </row>
    <row r="129" spans="1:8" ht="14.25" customHeight="1">
      <c r="A129" s="2">
        <v>25154</v>
      </c>
      <c r="B129" s="2" t="s">
        <v>3316</v>
      </c>
      <c r="C129" s="2" t="s">
        <v>3318</v>
      </c>
      <c r="D129" s="2" t="s">
        <v>3319</v>
      </c>
      <c r="E129" s="3" t="str">
        <f ca="1">IFERROR(__xludf.DUMMYFUNCTION("GOOGLETRANSLATE(B129,""ja"",""vi"")"),"tập thể dục Thiết bị")</f>
        <v>tập thể dục Thiết bị</v>
      </c>
      <c r="F129" s="3" t="str">
        <f ca="1">IFERROR(__xludf.DUMMYFUNCTION("GOOGLETRANSLATE(C129,""ja"",""vi"")"),"Đấu giá&gt; làm đẹp, chăm sóc sức khỏe&gt; ​​chế độ ăn uống&gt; nguồn cung cấp tập thể dục")</f>
        <v>Đấu giá&gt; làm đẹp, chăm sóc sức khỏe&gt; ​​chế độ ăn uống&gt; nguồn cung cấp tập thể dục</v>
      </c>
      <c r="G129" s="229" t="str">
        <f t="shared" ca="1" si="2"/>
        <v>"25154" : "tập thể dục Thiết bị",</v>
      </c>
      <c r="H129" s="229" t="str">
        <f t="shared" si="3"/>
        <v>&lt;li class="col-md-3"&gt;&lt;a class="text-cut" href="javascript:;"(click)="categoryEvent(25154)"&gt;{{"25154" | translate}}&lt;/a&gt;&lt;/li&gt;</v>
      </c>
    </row>
    <row r="130" spans="1:8" ht="14.25" customHeight="1">
      <c r="A130" s="2">
        <v>2084006888</v>
      </c>
      <c r="B130" s="2" t="s">
        <v>2141</v>
      </c>
      <c r="C130" s="2" t="s">
        <v>3325</v>
      </c>
      <c r="D130" s="2" t="s">
        <v>3326</v>
      </c>
      <c r="E130" s="3" t="str">
        <f ca="1">IFERROR(__xludf.DUMMYFUNCTION("GOOGLETRANSLATE(B130,""ja"",""vi"")"),"thực phẩm chế độ ăn uống")</f>
        <v>thực phẩm chế độ ăn uống</v>
      </c>
      <c r="F130" s="3" t="str">
        <f ca="1">IFERROR(__xludf.DUMMYFUNCTION("GOOGLETRANSLATE(C130,""ja"",""vi"")"),"Đấu giá&gt; làm đẹp, chăm sóc sức khỏe&gt; ​​chế độ ăn uống&gt; thực phẩm chế độ ăn uống")</f>
        <v>Đấu giá&gt; làm đẹp, chăm sóc sức khỏe&gt; ​​chế độ ăn uống&gt; thực phẩm chế độ ăn uống</v>
      </c>
      <c r="G130" s="229" t="str">
        <f t="shared" ca="1" si="2"/>
        <v>"2084006888" : "thực phẩm chế độ ăn uống",</v>
      </c>
      <c r="H130" s="229" t="str">
        <f t="shared" si="3"/>
        <v>&lt;li class="col-md-3"&gt;&lt;a class="text-cut" href="javascript:;"(click)="categoryEvent(2084006888)"&gt;{{"2084006888" | translate}}&lt;/a&gt;&lt;/li&gt;</v>
      </c>
    </row>
    <row r="131" spans="1:8" ht="14.25" customHeight="1">
      <c r="A131" s="2">
        <v>2084006921</v>
      </c>
      <c r="B131" s="2" t="s">
        <v>3333</v>
      </c>
      <c r="C131" s="2" t="s">
        <v>3334</v>
      </c>
      <c r="D131" s="2" t="s">
        <v>3336</v>
      </c>
      <c r="E131" s="3" t="str">
        <f ca="1">IFERROR(__xludf.DUMMYFUNCTION("GOOGLETRANSLATE(B131,""ja"",""vi"")"),"mét mỡ cơ thể")</f>
        <v>mét mỡ cơ thể</v>
      </c>
      <c r="F131" s="3" t="str">
        <f ca="1">IFERROR(__xludf.DUMMYFUNCTION("GOOGLETRANSLATE(C131,""ja"",""vi"")"),"Đấu giá&gt; làm đẹp, chăm sóc sức khỏe&gt; ​​chế độ ăn uống&gt; mét mỡ cơ thể")</f>
        <v>Đấu giá&gt; làm đẹp, chăm sóc sức khỏe&gt; ​​chế độ ăn uống&gt; mét mỡ cơ thể</v>
      </c>
      <c r="G131" s="229" t="str">
        <f t="shared" ref="G131:G192" ca="1" si="4">CONCATENATE(CHAR(34)&amp;"",A131,""&amp;CHAR(34)," : ", CHAR(34)&amp;"",E131,""&amp;CHAR(34),",")</f>
        <v>"2084006921" : "mét mỡ cơ thể",</v>
      </c>
      <c r="H131" s="229" t="str">
        <f t="shared" ref="H131:H192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href="javascript:;"(click)="categoryEvent(2084006921)"&gt;{{"2084006921" | translate}}&lt;/a&gt;&lt;/li&gt;</v>
      </c>
    </row>
    <row r="132" spans="1:8" ht="14.25" customHeight="1">
      <c r="A132" s="2">
        <v>2084006922</v>
      </c>
      <c r="B132" s="2" t="s">
        <v>3342</v>
      </c>
      <c r="C132" s="2" t="s">
        <v>3344</v>
      </c>
      <c r="D132" s="2" t="s">
        <v>3346</v>
      </c>
      <c r="E132" s="3" t="str">
        <f ca="1">IFERROR(__xludf.DUMMYFUNCTION("GOOGLETRANSLATE(B132,""ja"",""vi"")"),"quy mô nặng")</f>
        <v>quy mô nặng</v>
      </c>
      <c r="F132" s="3" t="str">
        <f ca="1">IFERROR(__xludf.DUMMYFUNCTION("GOOGLETRANSLATE(C132,""ja"",""vi"")"),"Đấu giá&gt; làm đẹp, chăm sóc sức khỏe&gt; ​​chế độ ăn uống&gt; vảy")</f>
        <v>Đấu giá&gt; làm đẹp, chăm sóc sức khỏe&gt; ​​chế độ ăn uống&gt; vảy</v>
      </c>
      <c r="G132" s="229" t="str">
        <f t="shared" ca="1" si="4"/>
        <v>"2084006922" : "quy mô nặng",</v>
      </c>
      <c r="H132" s="229" t="str">
        <f t="shared" si="5"/>
        <v>&lt;li class="col-md-3"&gt;&lt;a class="text-cut" href="javascript:;"(click)="categoryEvent(2084006922)"&gt;{{"2084006922" | translate}}&lt;/a&gt;&lt;/li&gt;</v>
      </c>
    </row>
    <row r="133" spans="1:8" ht="14.25" customHeight="1">
      <c r="A133" s="2">
        <v>2084216601</v>
      </c>
      <c r="B133" s="2" t="s">
        <v>3351</v>
      </c>
      <c r="C133" s="2" t="s">
        <v>3354</v>
      </c>
      <c r="D133" s="2" t="s">
        <v>3356</v>
      </c>
      <c r="E133" s="3" t="str">
        <f ca="1">IFERROR(__xludf.DUMMYFUNCTION("GOOGLETRANSLATE(B133,""ja"",""vi"")"),"tập thể dục DVD")</f>
        <v>tập thể dục DVD</v>
      </c>
      <c r="F133" s="3" t="str">
        <f ca="1">IFERROR(__xludf.DUMMYFUNCTION("GOOGLETRANSLATE(C133,""ja"",""vi"")"),"Đấu giá&gt; làm đẹp, chăm sóc sức khỏe&gt; ​​chế độ ăn uống&gt; Tập thể dục DVD")</f>
        <v>Đấu giá&gt; làm đẹp, chăm sóc sức khỏe&gt; ​​chế độ ăn uống&gt; Tập thể dục DVD</v>
      </c>
      <c r="G133" s="229" t="str">
        <f t="shared" ca="1" si="4"/>
        <v>"2084216601" : "tập thể dục DVD",</v>
      </c>
      <c r="H133" s="229" t="str">
        <f t="shared" si="5"/>
        <v>&lt;li class="col-md-3"&gt;&lt;a class="text-cut" href="javascript:;"(click)="categoryEvent(2084216601)"&gt;{{"2084216601" | translate}}&lt;/a&gt;&lt;/li&gt;</v>
      </c>
    </row>
    <row r="134" spans="1:8" ht="14.25" customHeight="1">
      <c r="A134" s="2">
        <v>2084009009</v>
      </c>
      <c r="B134" s="2" t="s">
        <v>3362</v>
      </c>
      <c r="C134" s="2" t="s">
        <v>3364</v>
      </c>
      <c r="D134" s="2" t="s">
        <v>3366</v>
      </c>
      <c r="E134" s="3" t="str">
        <f ca="1">IFERROR(__xludf.DUMMYFUNCTION("GOOGLETRANSLATE(B134,""ja"",""vi"")"),"Chế độ ăn uống Sách")</f>
        <v>Chế độ ăn uống Sách</v>
      </c>
      <c r="F134" s="3" t="str">
        <f ca="1">IFERROR(__xludf.DUMMYFUNCTION("GOOGLETRANSLATE(C134,""ja"",""vi"")"),"Đấu giá&gt; làm đẹp, chăm sóc sức khỏe&gt; ​​Chế độ ăn uống&gt; Ăn kiêng Sách")</f>
        <v>Đấu giá&gt; làm đẹp, chăm sóc sức khỏe&gt; ​​Chế độ ăn uống&gt; Ăn kiêng Sách</v>
      </c>
      <c r="G134" s="229" t="str">
        <f t="shared" ca="1" si="4"/>
        <v>"2084009009" : "Chế độ ăn uống Sách",</v>
      </c>
      <c r="H134" s="229" t="str">
        <f t="shared" si="5"/>
        <v>&lt;li class="col-md-3"&gt;&lt;a class="text-cut" href="javascript:;"(click)="categoryEvent(2084009009)"&gt;{{"2084009009" | translate}}&lt;/a&gt;&lt;/li&gt;</v>
      </c>
    </row>
    <row r="135" spans="1:8" ht="14.25" customHeight="1">
      <c r="A135" s="2">
        <v>44384</v>
      </c>
      <c r="B135" s="2" t="s">
        <v>16</v>
      </c>
      <c r="C135" s="2" t="s">
        <v>3371</v>
      </c>
      <c r="D135" s="2" t="s">
        <v>3373</v>
      </c>
      <c r="E135" s="3" t="str">
        <f ca="1">IFERROR(__xludf.DUMMYFUNCTION("GOOGLETRANSLATE(B135,""ja"",""vi"")"),"nếu không thì")</f>
        <v>nếu không thì</v>
      </c>
      <c r="F135" s="3" t="str">
        <f ca="1">IFERROR(__xludf.DUMMYFUNCTION("GOOGLETRANSLATE(C135,""ja"",""vi"")"),"Đấu giá&gt; làm đẹp, chăm sóc sức khỏe&gt; ​​Chế độ ăn uống&gt; Khác")</f>
        <v>Đấu giá&gt; làm đẹp, chăm sóc sức khỏe&gt; ​​Chế độ ăn uống&gt; Khác</v>
      </c>
      <c r="G135" s="229" t="str">
        <f t="shared" ca="1" si="4"/>
        <v>"44384" : "nếu không thì",</v>
      </c>
      <c r="H135" s="229" t="str">
        <f t="shared" si="5"/>
        <v>&lt;li class="col-md-3"&gt;&lt;a class="text-cut" href="javascript:;"(click)="categoryEvent(44384)"&gt;{{"44384" | translate}}&lt;/a&gt;&lt;/li&gt;</v>
      </c>
    </row>
    <row r="136" spans="1:8" ht="14.25" customHeight="1">
      <c r="E136" s="3"/>
      <c r="F136" s="3"/>
      <c r="G136" s="229"/>
      <c r="H136" s="229"/>
    </row>
    <row r="137" spans="1:8" ht="14.25" customHeight="1">
      <c r="A137" s="261">
        <v>24054</v>
      </c>
      <c r="B137" s="232"/>
      <c r="C137" s="232"/>
      <c r="D137" s="233"/>
      <c r="E137" s="3"/>
      <c r="F137" s="3"/>
      <c r="G137" s="229"/>
      <c r="H137" s="229"/>
    </row>
    <row r="138" spans="1:8" ht="14.25" customHeight="1">
      <c r="A138" s="2">
        <v>2084226956</v>
      </c>
      <c r="B138" s="2" t="s">
        <v>2578</v>
      </c>
      <c r="C138" s="2" t="s">
        <v>2579</v>
      </c>
      <c r="D138" s="2" t="s">
        <v>2582</v>
      </c>
      <c r="E138" s="3" t="str">
        <f ca="1">IFERROR(__xludf.DUMMYFUNCTION("GOOGLETRANSLATE(B138,""ja"",""vi"")"),"Agaricus")</f>
        <v>Agaricus</v>
      </c>
      <c r="F138" s="3" t="str">
        <f ca="1">IFERROR(__xludf.DUMMYFUNCTION("GOOGLETRANSLATE(C138,""ja"",""vi"")"),"Đấu giá&gt; thực phẩm, đồ uống&gt; thực phẩm sức khỏe&gt; ​​Agaricus")</f>
        <v>Đấu giá&gt; thực phẩm, đồ uống&gt; thực phẩm sức khỏe&gt; ​​Agaricus</v>
      </c>
      <c r="G138" s="229" t="str">
        <f t="shared" ca="1" si="4"/>
        <v>"2084226956" : "Agaricus",</v>
      </c>
      <c r="H138" s="229" t="str">
        <f t="shared" si="5"/>
        <v>&lt;li class="col-md-3"&gt;&lt;a class="text-cut" href="javascript:;"(click)="categoryEvent(2084226956)"&gt;{{"2084226956" | translate}}&lt;/a&gt;&lt;/li&gt;</v>
      </c>
    </row>
    <row r="139" spans="1:8" ht="14.25" customHeight="1">
      <c r="A139" s="2">
        <v>2084289283</v>
      </c>
      <c r="B139" s="2" t="s">
        <v>2584</v>
      </c>
      <c r="C139" s="2" t="s">
        <v>2587</v>
      </c>
      <c r="D139" s="2" t="s">
        <v>2590</v>
      </c>
      <c r="E139" s="3" t="str">
        <f ca="1">IFERROR(__xludf.DUMMYFUNCTION("GOOGLETRANSLATE(B139,""ja"",""vi"")"),"astaxanthin")</f>
        <v>astaxanthin</v>
      </c>
      <c r="F139" s="3" t="str">
        <f ca="1">IFERROR(__xludf.DUMMYFUNCTION("GOOGLETRANSLATE(C139,""ja"",""vi"")"),"Đấu giá&gt; thực phẩm, đồ uống&gt; thực phẩm sức khỏe&gt; ​​astaxanthin")</f>
        <v>Đấu giá&gt; thực phẩm, đồ uống&gt; thực phẩm sức khỏe&gt; ​​astaxanthin</v>
      </c>
      <c r="G139" s="229" t="str">
        <f t="shared" ca="1" si="4"/>
        <v>"2084289283" : "astaxanthin",</v>
      </c>
      <c r="H139" s="229" t="str">
        <f t="shared" si="5"/>
        <v>&lt;li class="col-md-3"&gt;&lt;a class="text-cut" href="javascript:;"(click)="categoryEvent(2084289283)"&gt;{{"2084289283" | translate}}&lt;/a&gt;&lt;/li&gt;</v>
      </c>
    </row>
    <row r="140" spans="1:8" ht="14.25" customHeight="1">
      <c r="A140" s="2">
        <v>2084048887</v>
      </c>
      <c r="B140" s="2" t="s">
        <v>2595</v>
      </c>
      <c r="C140" s="2" t="s">
        <v>2597</v>
      </c>
      <c r="D140" s="2" t="s">
        <v>2599</v>
      </c>
      <c r="E140" s="3" t="str">
        <f ca="1">IFERROR(__xludf.DUMMYFUNCTION("GOOGLETRANSLATE(B140,""ja"",""vi"")"),"amino axit")</f>
        <v>amino axit</v>
      </c>
      <c r="F140" s="3" t="str">
        <f ca="1">IFERROR(__xludf.DUMMYFUNCTION("GOOGLETRANSLATE(C140,""ja"",""vi"")"),"Đấu giá&gt; thực phẩm, đồ uống&gt; thực phẩm sức khỏe&gt; ​​amino axit")</f>
        <v>Đấu giá&gt; thực phẩm, đồ uống&gt; thực phẩm sức khỏe&gt; ​​amino axit</v>
      </c>
      <c r="G140" s="229" t="str">
        <f t="shared" ca="1" si="4"/>
        <v>"2084048887" : "amino axit",</v>
      </c>
      <c r="H140" s="229" t="str">
        <f t="shared" si="5"/>
        <v>&lt;li class="col-md-3"&gt;&lt;a class="text-cut" href="javascript:;"(click)="categoryEvent(2084048887)"&gt;{{"2084048887" | translate}}&lt;/a&gt;&lt;/li&gt;</v>
      </c>
    </row>
    <row r="141" spans="1:8" ht="14.25" customHeight="1">
      <c r="A141" s="2">
        <v>2084226959</v>
      </c>
      <c r="B141" s="2" t="s">
        <v>2604</v>
      </c>
      <c r="C141" s="2" t="s">
        <v>2606</v>
      </c>
      <c r="D141" s="2" t="s">
        <v>2608</v>
      </c>
      <c r="E141" s="3" t="str">
        <f ca="1">IFERROR(__xludf.DUMMYFUNCTION("GOOGLETRANSLATE(B141,""ja"",""vi"")"),"alpha-lipoic acid")</f>
        <v>alpha-lipoic acid</v>
      </c>
      <c r="F141" s="3" t="str">
        <f ca="1">IFERROR(__xludf.DUMMYFUNCTION("GOOGLETRANSLATE(C141,""ja"",""vi"")"),"Đấu giá&gt; thực phẩm, đồ uống&gt; thực phẩm sức khỏe&gt; ​​alpha lipoic acid")</f>
        <v>Đấu giá&gt; thực phẩm, đồ uống&gt; thực phẩm sức khỏe&gt; ​​alpha lipoic acid</v>
      </c>
      <c r="G141" s="229" t="str">
        <f t="shared" ca="1" si="4"/>
        <v>"2084226959" : "alpha-lipoic acid",</v>
      </c>
      <c r="H141" s="229" t="str">
        <f t="shared" si="5"/>
        <v>&lt;li class="col-md-3"&gt;&lt;a class="text-cut" href="javascript:;"(click)="categoryEvent(2084226959)"&gt;{{"2084226959" | translate}}&lt;/a&gt;&lt;/li&gt;</v>
      </c>
    </row>
    <row r="142" spans="1:8" ht="14.25" customHeight="1">
      <c r="A142" s="2">
        <v>2084226947</v>
      </c>
      <c r="B142" s="2" t="s">
        <v>2613</v>
      </c>
      <c r="C142" s="2" t="s">
        <v>2615</v>
      </c>
      <c r="D142" s="2" t="s">
        <v>2617</v>
      </c>
      <c r="E142" s="3" t="str">
        <f ca="1">IFERROR(__xludf.DUMMYFUNCTION("GOOGLETRANSLATE(B142,""ja"",""vi"")"),"nghệ")</f>
        <v>nghệ</v>
      </c>
      <c r="F142" s="3" t="str">
        <f ca="1">IFERROR(__xludf.DUMMYFUNCTION("GOOGLETRANSLATE(C142,""ja"",""vi"")"),"Đấu giá&gt; thực phẩm, đồ uống&gt; thực phẩm sức khỏe&gt; ​​nghệ")</f>
        <v>Đấu giá&gt; thực phẩm, đồ uống&gt; thực phẩm sức khỏe&gt; ​​nghệ</v>
      </c>
      <c r="G142" s="229" t="str">
        <f t="shared" ca="1" si="4"/>
        <v>"2084226947" : "nghệ",</v>
      </c>
      <c r="H142" s="229" t="str">
        <f t="shared" si="5"/>
        <v>&lt;li class="col-md-3"&gt;&lt;a class="text-cut" href="javascript:;"(click)="categoryEvent(2084226947)"&gt;{{"2084226947" | translate}}&lt;/a&gt;&lt;/li&gt;</v>
      </c>
    </row>
    <row r="143" spans="1:8" ht="14.25" customHeight="1">
      <c r="A143" s="2">
        <v>2084289285</v>
      </c>
      <c r="B143" s="2" t="s">
        <v>2621</v>
      </c>
      <c r="C143" s="2" t="s">
        <v>2623</v>
      </c>
      <c r="D143" s="2" t="s">
        <v>2625</v>
      </c>
      <c r="E143" s="3" t="str">
        <f ca="1">IFERROR(__xludf.DUMMYFUNCTION("GOOGLETRANSLATE(B143,""ja"",""vi"")"),"oligosaccharides")</f>
        <v>oligosaccharides</v>
      </c>
      <c r="F143" s="3" t="str">
        <f ca="1">IFERROR(__xludf.DUMMYFUNCTION("GOOGLETRANSLATE(C143,""ja"",""vi"")"),"Đấu giá&gt; thực phẩm, đồ uống&gt; thực phẩm sức khỏe&gt; ​​oligosaccharides")</f>
        <v>Đấu giá&gt; thực phẩm, đồ uống&gt; thực phẩm sức khỏe&gt; ​​oligosaccharides</v>
      </c>
      <c r="G143" s="229" t="str">
        <f t="shared" ca="1" si="4"/>
        <v>"2084289285" : "oligosaccharides",</v>
      </c>
      <c r="H143" s="229" t="str">
        <f t="shared" si="5"/>
        <v>&lt;li class="col-md-3"&gt;&lt;a class="text-cut" href="javascript:;"(click)="categoryEvent(2084289285)"&gt;{{"2084289285" | translate}}&lt;/a&gt;&lt;/li&gt;</v>
      </c>
    </row>
    <row r="144" spans="1:8" ht="14.25" customHeight="1">
      <c r="A144" s="2">
        <v>2084226961</v>
      </c>
      <c r="B144" s="2" t="s">
        <v>2630</v>
      </c>
      <c r="C144" s="2" t="s">
        <v>2632</v>
      </c>
      <c r="D144" s="2" t="s">
        <v>2634</v>
      </c>
      <c r="E144" s="3" t="str">
        <f ca="1">IFERROR(__xludf.DUMMYFUNCTION("GOOGLETRANSLATE(B144,""ja"",""vi"")"),"Ornithine")</f>
        <v>Ornithine</v>
      </c>
      <c r="F144" s="3" t="str">
        <f ca="1">IFERROR(__xludf.DUMMYFUNCTION("GOOGLETRANSLATE(C144,""ja"",""vi"")"),"Đấu giá&gt; thực phẩm, đồ uống&gt; thực phẩm sức khỏe&gt; ​​ornithine")</f>
        <v>Đấu giá&gt; thực phẩm, đồ uống&gt; thực phẩm sức khỏe&gt; ​​ornithine</v>
      </c>
      <c r="G144" s="229" t="str">
        <f t="shared" ca="1" si="4"/>
        <v>"2084226961" : "Ornithine",</v>
      </c>
      <c r="H144" s="229" t="str">
        <f t="shared" si="5"/>
        <v>&lt;li class="col-md-3"&gt;&lt;a class="text-cut" href="javascript:;"(click)="categoryEvent(2084226961)"&gt;{{"2084226961" | translate}}&lt;/a&gt;&lt;/li&gt;</v>
      </c>
    </row>
    <row r="145" spans="1:8" ht="14.25" customHeight="1">
      <c r="A145" s="2">
        <v>2084289281</v>
      </c>
      <c r="B145" s="2" t="s">
        <v>2641</v>
      </c>
      <c r="C145" s="2" t="s">
        <v>2644</v>
      </c>
      <c r="D145" s="2" t="s">
        <v>2646</v>
      </c>
      <c r="E145" s="3" t="str">
        <f ca="1">IFERROR(__xludf.DUMMYFUNCTION("GOOGLETRANSLATE(B145,""ja"",""vi"")"),"kẽm")</f>
        <v>kẽm</v>
      </c>
      <c r="F145" s="3" t="str">
        <f ca="1">IFERROR(__xludf.DUMMYFUNCTION("GOOGLETRANSLATE(C145,""ja"",""vi"")"),"Đấu giá&gt; thực phẩm, đồ uống&gt; thực phẩm sức khỏe&gt; ​​kẽm")</f>
        <v>Đấu giá&gt; thực phẩm, đồ uống&gt; thực phẩm sức khỏe&gt; ​​kẽm</v>
      </c>
      <c r="G145" s="229" t="str">
        <f t="shared" ca="1" si="4"/>
        <v>"2084289281" : "kẽm",</v>
      </c>
      <c r="H145" s="229" t="str">
        <f t="shared" si="5"/>
        <v>&lt;li class="col-md-3"&gt;&lt;a class="text-cut" href="javascript:;"(click)="categoryEvent(2084289281)"&gt;{{"2084289281" | translate}}&lt;/a&gt;&lt;/li&gt;</v>
      </c>
    </row>
    <row r="146" spans="1:8" ht="14.25" customHeight="1">
      <c r="A146" s="2">
        <v>2084289282</v>
      </c>
      <c r="B146" s="2" t="s">
        <v>2649</v>
      </c>
      <c r="C146" s="2" t="s">
        <v>2652</v>
      </c>
      <c r="D146" s="2" t="s">
        <v>2653</v>
      </c>
      <c r="E146" s="3" t="str">
        <f ca="1">IFERROR(__xludf.DUMMYFUNCTION("GOOGLETRANSLATE(B146,""ja"",""vi"")"),"nước trái cây xanh, thực phẩm chế biến cải xoăn")</f>
        <v>nước trái cây xanh, thực phẩm chế biến cải xoăn</v>
      </c>
      <c r="F146" s="3" t="str">
        <f ca="1">IFERROR(__xludf.DUMMYFUNCTION("GOOGLETRANSLATE(C146,""ja"",""vi"")"),"Đấu giá&gt; thực phẩm, đồ uống&gt; thực phẩm sức khỏe&gt; ​​nước trái cây xanh, thực phẩm chế biến cải xoăn")</f>
        <v>Đấu giá&gt; thực phẩm, đồ uống&gt; thực phẩm sức khỏe&gt; ​​nước trái cây xanh, thực phẩm chế biến cải xoăn</v>
      </c>
      <c r="G146" s="229" t="str">
        <f t="shared" ca="1" si="4"/>
        <v>"2084289282" : "nước trái cây xanh, thực phẩm chế biến cải xoăn",</v>
      </c>
      <c r="H146" s="229" t="str">
        <f t="shared" si="5"/>
        <v>&lt;li class="col-md-3"&gt;&lt;a class="text-cut" href="javascript:;"(click)="categoryEvent(2084289282)"&gt;{{"2084289282" | translate}}&lt;/a&gt;&lt;/li&gt;</v>
      </c>
    </row>
    <row r="147" spans="1:8" ht="14.25" customHeight="1">
      <c r="A147" s="2">
        <v>2084289284</v>
      </c>
      <c r="B147" s="2" t="s">
        <v>2658</v>
      </c>
      <c r="C147" s="2" t="s">
        <v>2660</v>
      </c>
      <c r="D147" s="2" t="s">
        <v>2662</v>
      </c>
      <c r="E147" s="3" t="str">
        <f ca="1">IFERROR(__xludf.DUMMYFUNCTION("GOOGLETRANSLATE(B147,""ja"",""vi"")"),"thức uống dinh dưỡng")</f>
        <v>thức uống dinh dưỡng</v>
      </c>
      <c r="F147" s="3" t="str">
        <f ca="1">IFERROR(__xludf.DUMMYFUNCTION("GOOGLETRANSLATE(C147,""ja"",""vi"")"),"Đấu giá&gt; thực phẩm, đồ uống&gt; thực phẩm sức khỏe&gt; ​​đồ uống năng lượng")</f>
        <v>Đấu giá&gt; thực phẩm, đồ uống&gt; thực phẩm sức khỏe&gt; ​​đồ uống năng lượng</v>
      </c>
      <c r="G147" s="229" t="str">
        <f t="shared" ca="1" si="4"/>
        <v>"2084289284" : "thức uống dinh dưỡng",</v>
      </c>
      <c r="H147" s="229" t="str">
        <f t="shared" si="5"/>
        <v>&lt;li class="col-md-3"&gt;&lt;a class="text-cut" href="javascript:;"(click)="categoryEvent(2084289284)"&gt;{{"2084289284" | translate}}&lt;/a&gt;&lt;/li&gt;</v>
      </c>
    </row>
    <row r="148" spans="1:8" ht="14.25" customHeight="1">
      <c r="A148" s="2">
        <v>2084050411</v>
      </c>
      <c r="B148" s="2" t="s">
        <v>2666</v>
      </c>
      <c r="C148" s="2" t="s">
        <v>2668</v>
      </c>
      <c r="D148" s="2" t="s">
        <v>2670</v>
      </c>
      <c r="E148" s="3" t="str">
        <f ca="1">IFERROR(__xludf.DUMMYFUNCTION("GOOGLETRANSLATE(B148,""ja"",""vi"")"),"đồ uống thể thao")</f>
        <v>đồ uống thể thao</v>
      </c>
      <c r="F148" s="3" t="str">
        <f ca="1">IFERROR(__xludf.DUMMYFUNCTION("GOOGLETRANSLATE(C148,""ja"",""vi"")"),"Đấu giá&gt; thực phẩm, đồ uống&gt; thực phẩm sức khỏe&gt; ​​đồ uống thể thao")</f>
        <v>Đấu giá&gt; thực phẩm, đồ uống&gt; thực phẩm sức khỏe&gt; ​​đồ uống thể thao</v>
      </c>
      <c r="G148" s="229" t="str">
        <f t="shared" ca="1" si="4"/>
        <v>"2084050411" : "đồ uống thể thao",</v>
      </c>
      <c r="H148" s="229" t="str">
        <f t="shared" si="5"/>
        <v>&lt;li class="col-md-3"&gt;&lt;a class="text-cut" href="javascript:;"(click)="categoryEvent(2084050411)"&gt;{{"2084050411" | translate}}&lt;/a&gt;&lt;/li&gt;</v>
      </c>
    </row>
    <row r="149" spans="1:8" ht="14.25" customHeight="1">
      <c r="A149" s="2">
        <v>2084006881</v>
      </c>
      <c r="B149" s="2" t="s">
        <v>2673</v>
      </c>
      <c r="C149" s="2" t="s">
        <v>2674</v>
      </c>
      <c r="D149" s="2" t="s">
        <v>2675</v>
      </c>
      <c r="E149" s="3" t="str">
        <f ca="1">IFERROR(__xludf.DUMMYFUNCTION("GOOGLETRANSLATE(B149,""ja"",""vi"")"),"canxi")</f>
        <v>canxi</v>
      </c>
      <c r="F149" s="3" t="str">
        <f ca="1">IFERROR(__xludf.DUMMYFUNCTION("GOOGLETRANSLATE(C149,""ja"",""vi"")"),"Đấu giá&gt; thực phẩm, đồ uống&gt; thực phẩm sức khỏe&gt; ​​canxi")</f>
        <v>Đấu giá&gt; thực phẩm, đồ uống&gt; thực phẩm sức khỏe&gt; ​​canxi</v>
      </c>
      <c r="G149" s="229" t="str">
        <f t="shared" ca="1" si="4"/>
        <v>"2084006881" : "canxi",</v>
      </c>
      <c r="H149" s="229" t="str">
        <f t="shared" si="5"/>
        <v>&lt;li class="col-md-3"&gt;&lt;a class="text-cut" href="javascript:;"(click)="categoryEvent(2084006881)"&gt;{{"2084006881" | translate}}&lt;/a&gt;&lt;/li&gt;</v>
      </c>
    </row>
    <row r="150" spans="1:8" ht="14.25" customHeight="1">
      <c r="A150" s="2">
        <v>2084226960</v>
      </c>
      <c r="B150" s="2" t="s">
        <v>2681</v>
      </c>
      <c r="C150" s="2" t="s">
        <v>2683</v>
      </c>
      <c r="D150" s="2" t="s">
        <v>2685</v>
      </c>
      <c r="E150" s="3" t="str">
        <f ca="1">IFERROR(__xludf.DUMMYFUNCTION("GOOGLETRANSLATE(B150,""ja"",""vi"")"),"carnitine")</f>
        <v>carnitine</v>
      </c>
      <c r="F150" s="3" t="str">
        <f ca="1">IFERROR(__xludf.DUMMYFUNCTION("GOOGLETRANSLATE(C150,""ja"",""vi"")"),"Đấu giá&gt; thực phẩm, đồ uống&gt; thực phẩm sức khỏe&gt; ​​carnitine")</f>
        <v>Đấu giá&gt; thực phẩm, đồ uống&gt; thực phẩm sức khỏe&gt; ​​carnitine</v>
      </c>
      <c r="G150" s="229" t="str">
        <f t="shared" ca="1" si="4"/>
        <v>"2084226960" : "carnitine",</v>
      </c>
      <c r="H150" s="229" t="str">
        <f t="shared" si="5"/>
        <v>&lt;li class="col-md-3"&gt;&lt;a class="text-cut" href="javascript:;"(click)="categoryEvent(2084226960)"&gt;{{"2084226960" | translate}}&lt;/a&gt;&lt;/li&gt;</v>
      </c>
    </row>
    <row r="151" spans="1:8" ht="14.25" customHeight="1">
      <c r="A151" s="2">
        <v>2084006882</v>
      </c>
      <c r="B151" s="2" t="s">
        <v>2690</v>
      </c>
      <c r="C151" s="2" t="s">
        <v>2692</v>
      </c>
      <c r="D151" s="2" t="s">
        <v>2695</v>
      </c>
      <c r="E151" s="3" t="str">
        <f ca="1">IFERROR(__xludf.DUMMYFUNCTION("GOOGLETRANSLATE(B151,""ja"",""vi"")"),"chitosan")</f>
        <v>chitosan</v>
      </c>
      <c r="F151" s="3" t="str">
        <f ca="1">IFERROR(__xludf.DUMMYFUNCTION("GOOGLETRANSLATE(C151,""ja"",""vi"")"),"Đấu giá&gt; thực phẩm, đồ uống&gt; thực phẩm sức khỏe&gt; ​​chitosan")</f>
        <v>Đấu giá&gt; thực phẩm, đồ uống&gt; thực phẩm sức khỏe&gt; ​​chitosan</v>
      </c>
      <c r="G151" s="229" t="str">
        <f t="shared" ca="1" si="4"/>
        <v>"2084006882" : "chitosan",</v>
      </c>
      <c r="H151" s="229" t="str">
        <f t="shared" si="5"/>
        <v>&lt;li class="col-md-3"&gt;&lt;a class="text-cut" href="javascript:;"(click)="categoryEvent(2084006882)"&gt;{{"2084006882" | translate}}&lt;/a&gt;&lt;/li&gt;</v>
      </c>
    </row>
    <row r="152" spans="1:8" ht="14.25" customHeight="1">
      <c r="A152" s="2">
        <v>2084226953</v>
      </c>
      <c r="B152" s="2" t="s">
        <v>2701</v>
      </c>
      <c r="C152" s="2" t="s">
        <v>2705</v>
      </c>
      <c r="D152" s="2" t="s">
        <v>2707</v>
      </c>
      <c r="E152" s="3" t="str">
        <f ca="1">IFERROR(__xludf.DUMMYFUNCTION("GOOGLETRANSLATE(B152,""ja"",""vi"")"),"Loại gia vị Ấn Độ")</f>
        <v>Loại gia vị Ấn Độ</v>
      </c>
      <c r="F152" s="3" t="str">
        <f ca="1">IFERROR(__xludf.DUMMYFUNCTION("GOOGLETRANSLATE(C152,""ja"",""vi"")"),"Đấu giá&gt; thực phẩm, đồ uống&gt; thực phẩm sức khỏe&gt; ​​Gymnema")</f>
        <v>Đấu giá&gt; thực phẩm, đồ uống&gt; thực phẩm sức khỏe&gt; ​​Gymnema</v>
      </c>
      <c r="G152" s="229" t="str">
        <f t="shared" ca="1" si="4"/>
        <v>"2084226953" : "Loại gia vị Ấn Độ",</v>
      </c>
      <c r="H152" s="229" t="str">
        <f t="shared" si="5"/>
        <v>&lt;li class="col-md-3"&gt;&lt;a class="text-cut" href="javascript:;"(click)="categoryEvent(2084226953)"&gt;{{"2084226953" | translate}}&lt;/a&gt;&lt;/li&gt;</v>
      </c>
    </row>
    <row r="153" spans="1:8" ht="14.25" customHeight="1">
      <c r="A153" s="2">
        <v>2084289286</v>
      </c>
      <c r="B153" s="2" t="s">
        <v>2712</v>
      </c>
      <c r="C153" s="2" t="s">
        <v>2714</v>
      </c>
      <c r="D153" s="2" t="s">
        <v>2716</v>
      </c>
      <c r="E153" s="3" t="str">
        <f ca="1">IFERROR(__xludf.DUMMYFUNCTION("GOOGLETRANSLATE(B153,""ja"",""vi"")"),"GABA thức ăn hỗn hợp")</f>
        <v>GABA thức ăn hỗn hợp</v>
      </c>
      <c r="F153" s="3" t="str">
        <f ca="1">IFERROR(__xludf.DUMMYFUNCTION("GOOGLETRANSLATE(C153,""ja"",""vi"")"),"Đấu giá&gt; thực phẩm, đồ uống&gt; thực phẩm sức khỏe&gt; ​​GABA thức ăn hỗn hợp")</f>
        <v>Đấu giá&gt; thực phẩm, đồ uống&gt; thực phẩm sức khỏe&gt; ​​GABA thức ăn hỗn hợp</v>
      </c>
      <c r="G153" s="229" t="str">
        <f t="shared" ca="1" si="4"/>
        <v>"2084289286" : "GABA thức ăn hỗn hợp",</v>
      </c>
      <c r="H153" s="229" t="str">
        <f t="shared" si="5"/>
        <v>&lt;li class="col-md-3"&gt;&lt;a class="text-cut" href="javascript:;"(click)="categoryEvent(2084289286)"&gt;{{"2084289286" | translate}}&lt;/a&gt;&lt;/li&gt;</v>
      </c>
    </row>
    <row r="154" spans="1:8" ht="14.25" customHeight="1">
      <c r="A154" s="2">
        <v>2084289287</v>
      </c>
      <c r="B154" s="2" t="s">
        <v>2725</v>
      </c>
      <c r="C154" s="2" t="s">
        <v>2726</v>
      </c>
      <c r="D154" s="2" t="s">
        <v>2727</v>
      </c>
      <c r="E154" s="3" t="str">
        <f ca="1">IFERROR(__xludf.DUMMYFUNCTION("GOOGLETRANSLATE(B154,""ja"",""vi"")"),"axit citric")</f>
        <v>axit citric</v>
      </c>
      <c r="F154" s="3" t="str">
        <f ca="1">IFERROR(__xludf.DUMMYFUNCTION("GOOGLETRANSLATE(C154,""ja"",""vi"")"),"Đấu giá&gt; thực phẩm, đồ uống&gt; thực phẩm sức khỏe&gt; ​​axit citric")</f>
        <v>Đấu giá&gt; thực phẩm, đồ uống&gt; thực phẩm sức khỏe&gt; ​​axit citric</v>
      </c>
      <c r="G154" s="229" t="str">
        <f t="shared" ca="1" si="4"/>
        <v>"2084289287" : "axit citric",</v>
      </c>
      <c r="H154" s="229" t="str">
        <f t="shared" si="5"/>
        <v>&lt;li class="col-md-3"&gt;&lt;a class="text-cut" href="javascript:;"(click)="categoryEvent(2084289287)"&gt;{{"2084289287" | translate}}&lt;/a&gt;&lt;/li&gt;</v>
      </c>
    </row>
    <row r="155" spans="1:8" ht="14.25" customHeight="1">
      <c r="A155" s="2">
        <v>2084226952</v>
      </c>
      <c r="B155" s="2" t="s">
        <v>2733</v>
      </c>
      <c r="C155" s="2" t="s">
        <v>2735</v>
      </c>
      <c r="D155" s="2" t="s">
        <v>2737</v>
      </c>
      <c r="E155" s="3" t="str">
        <f ca="1">IFERROR(__xludf.DUMMYFUNCTION("GOOGLETRANSLATE(B155,""ja"",""vi"")"),"Chlorella")</f>
        <v>Chlorella</v>
      </c>
      <c r="F155" s="3" t="str">
        <f ca="1">IFERROR(__xludf.DUMMYFUNCTION("GOOGLETRANSLATE(C155,""ja"",""vi"")"),"Đấu giá&gt; thực phẩm, đồ uống&gt; thực phẩm sức khỏe&gt; ​​Chlorella")</f>
        <v>Đấu giá&gt; thực phẩm, đồ uống&gt; thực phẩm sức khỏe&gt; ​​Chlorella</v>
      </c>
      <c r="G155" s="229" t="str">
        <f t="shared" ca="1" si="4"/>
        <v>"2084226952" : "Chlorella",</v>
      </c>
      <c r="H155" s="229" t="str">
        <f t="shared" si="5"/>
        <v>&lt;li class="col-md-3"&gt;&lt;a class="text-cut" href="javascript:;"(click)="categoryEvent(2084226952)"&gt;{{"2084226952" | translate}}&lt;/a&gt;&lt;/li&gt;</v>
      </c>
    </row>
    <row r="156" spans="1:8" ht="14.25" customHeight="1">
      <c r="A156" s="2">
        <v>2084226957</v>
      </c>
      <c r="B156" s="2" t="s">
        <v>2745</v>
      </c>
      <c r="C156" s="2" t="s">
        <v>2746</v>
      </c>
      <c r="D156" s="2" t="s">
        <v>2747</v>
      </c>
      <c r="E156" s="3" t="str">
        <f ca="1">IFERROR(__xludf.DUMMYFUNCTION("GOOGLETRANSLATE(B156,""ja"",""vi"")"),"Glucosamine")</f>
        <v>Glucosamine</v>
      </c>
      <c r="F156" s="3" t="str">
        <f ca="1">IFERROR(__xludf.DUMMYFUNCTION("GOOGLETRANSLATE(C156,""ja"",""vi"")"),"Đấu giá&gt; thực phẩm, đồ uống&gt; thực phẩm sức khỏe&gt; ​​Glucosamine")</f>
        <v>Đấu giá&gt; thực phẩm, đồ uống&gt; thực phẩm sức khỏe&gt; ​​Glucosamine</v>
      </c>
      <c r="G156" s="229" t="str">
        <f t="shared" ca="1" si="4"/>
        <v>"2084226957" : "Glucosamine",</v>
      </c>
      <c r="H156" s="229" t="str">
        <f t="shared" si="5"/>
        <v>&lt;li class="col-md-3"&gt;&lt;a class="text-cut" href="javascript:;"(click)="categoryEvent(2084226957)"&gt;{{"2084226957" | translate}}&lt;/a&gt;&lt;/li&gt;</v>
      </c>
    </row>
    <row r="157" spans="1:8" ht="14.25" customHeight="1">
      <c r="A157" s="2">
        <v>2084226948</v>
      </c>
      <c r="B157" s="2" t="s">
        <v>2754</v>
      </c>
      <c r="C157" s="2" t="s">
        <v>2756</v>
      </c>
      <c r="D157" s="2" t="s">
        <v>2758</v>
      </c>
      <c r="E157" s="3" t="str">
        <f ca="1">IFERROR(__xludf.DUMMYFUNCTION("GOOGLETRANSLATE(B157,""ja"",""vi"")"),"coenzyme Q10")</f>
        <v>coenzyme Q10</v>
      </c>
      <c r="F157" s="3" t="str">
        <f ca="1">IFERROR(__xludf.DUMMYFUNCTION("GOOGLETRANSLATE(C157,""ja"",""vi"")"),"Đấu giá&gt; thực phẩm, đồ uống&gt; thực phẩm sức khỏe&gt; ​​Coenzyme Q10")</f>
        <v>Đấu giá&gt; thực phẩm, đồ uống&gt; thực phẩm sức khỏe&gt; ​​Coenzyme Q10</v>
      </c>
      <c r="G157" s="229" t="str">
        <f t="shared" ca="1" si="4"/>
        <v>"2084226948" : "coenzyme Q10",</v>
      </c>
      <c r="H157" s="229" t="str">
        <f t="shared" si="5"/>
        <v>&lt;li class="col-md-3"&gt;&lt;a class="text-cut" href="javascript:;"(click)="categoryEvent(2084226948)"&gt;{{"2084226948" | translate}}&lt;/a&gt;&lt;/li&gt;</v>
      </c>
    </row>
    <row r="158" spans="1:8" ht="14.25" customHeight="1">
      <c r="A158" s="2">
        <v>2084226950</v>
      </c>
      <c r="B158" s="2" t="s">
        <v>2766</v>
      </c>
      <c r="C158" s="2" t="s">
        <v>2767</v>
      </c>
      <c r="D158" s="2" t="s">
        <v>2768</v>
      </c>
      <c r="E158" s="3" t="str">
        <f ca="1">IFERROR(__xludf.DUMMYFUNCTION("GOOGLETRANSLATE(B158,""ja"",""vi"")"),"collagen")</f>
        <v>collagen</v>
      </c>
      <c r="F158" s="3" t="str">
        <f ca="1">IFERROR(__xludf.DUMMYFUNCTION("GOOGLETRANSLATE(C158,""ja"",""vi"")"),"Đấu giá&gt; thực phẩm, đồ uống&gt; thực phẩm sức khỏe&gt; ​​collagen")</f>
        <v>Đấu giá&gt; thực phẩm, đồ uống&gt; thực phẩm sức khỏe&gt; ​​collagen</v>
      </c>
      <c r="G158" s="229" t="str">
        <f t="shared" ca="1" si="4"/>
        <v>"2084226950" : "collagen",</v>
      </c>
      <c r="H158" s="229" t="str">
        <f t="shared" si="5"/>
        <v>&lt;li class="col-md-3"&gt;&lt;a class="text-cut" href="javascript:;"(click)="categoryEvent(2084226950)"&gt;{{"2084226950" | translate}}&lt;/a&gt;&lt;/li&gt;</v>
      </c>
    </row>
    <row r="159" spans="1:8" ht="14.25" customHeight="1">
      <c r="A159" s="2">
        <v>2084289290</v>
      </c>
      <c r="B159" s="2" t="s">
        <v>2773</v>
      </c>
      <c r="C159" s="2" t="s">
        <v>2774</v>
      </c>
      <c r="D159" s="2" t="s">
        <v>2775</v>
      </c>
      <c r="E159" s="3" t="str">
        <f ca="1">IFERROR(__xludf.DUMMYFUNCTION("GOOGLETRANSLATE(B159,""ja"",""vi"")"),"chondroitin")</f>
        <v>chondroitin</v>
      </c>
      <c r="F159" s="3" t="str">
        <f ca="1">IFERROR(__xludf.DUMMYFUNCTION("GOOGLETRANSLATE(C159,""ja"",""vi"")"),"Đấu giá&gt; thực phẩm, đồ uống&gt; thực phẩm sức khỏe&gt; ​​chondroitin")</f>
        <v>Đấu giá&gt; thực phẩm, đồ uống&gt; thực phẩm sức khỏe&gt; ​​chondroitin</v>
      </c>
      <c r="G159" s="229" t="str">
        <f t="shared" ca="1" si="4"/>
        <v>"2084289290" : "chondroitin",</v>
      </c>
      <c r="H159" s="229" t="str">
        <f t="shared" si="5"/>
        <v>&lt;li class="col-md-3"&gt;&lt;a class="text-cut" href="javascript:;"(click)="categoryEvent(2084289290)"&gt;{{"2084289290" | translate}}&lt;/a&gt;&lt;/li&gt;</v>
      </c>
    </row>
    <row r="160" spans="1:8" ht="14.25" customHeight="1">
      <c r="A160" s="2">
        <v>2084289289</v>
      </c>
      <c r="B160" s="2" t="s">
        <v>2776</v>
      </c>
      <c r="C160" s="2" t="s">
        <v>2777</v>
      </c>
      <c r="D160" s="2" t="s">
        <v>2778</v>
      </c>
      <c r="E160" s="3" t="str">
        <f ca="1">IFERROR(__xludf.DUMMYFUNCTION("GOOGLETRANSLATE(B160,""ja"",""vi"")"),"trà sức khỏe")</f>
        <v>trà sức khỏe</v>
      </c>
      <c r="F160" s="3" t="str">
        <f ca="1">IFERROR(__xludf.DUMMYFUNCTION("GOOGLETRANSLATE(C160,""ja"",""vi"")"),"Đấu giá&gt; thực phẩm, đồ uống&gt; thực phẩm sức khỏe&gt; ​​trà sức khỏe")</f>
        <v>Đấu giá&gt; thực phẩm, đồ uống&gt; thực phẩm sức khỏe&gt; ​​trà sức khỏe</v>
      </c>
      <c r="G160" s="229" t="str">
        <f t="shared" ca="1" si="4"/>
        <v>"2084289289" : "trà sức khỏe",</v>
      </c>
      <c r="H160" s="229" t="str">
        <f t="shared" si="5"/>
        <v>&lt;li class="col-md-3"&gt;&lt;a class="text-cut" href="javascript:;"(click)="categoryEvent(2084289289)"&gt;{{"2084289289" | translate}}&lt;/a&gt;&lt;/li&gt;</v>
      </c>
    </row>
    <row r="161" spans="1:8" ht="14.25" customHeight="1">
      <c r="A161" s="2">
        <v>2084289288</v>
      </c>
      <c r="B161" s="2" t="s">
        <v>2782</v>
      </c>
      <c r="C161" s="2" t="s">
        <v>2784</v>
      </c>
      <c r="D161" s="2" t="s">
        <v>2787</v>
      </c>
      <c r="E161" s="3" t="str">
        <f ca="1">IFERROR(__xludf.DUMMYFUNCTION("GOOGLETRANSLATE(B161,""ja"",""vi"")"),"Sức khỏe giấm, uống giấm")</f>
        <v>Sức khỏe giấm, uống giấm</v>
      </c>
      <c r="F161" s="3" t="str">
        <f ca="1">IFERROR(__xludf.DUMMYFUNCTION("GOOGLETRANSLATE(C161,""ja"",""vi"")"),"Đấu giá&gt; thực phẩm, đồ uống&gt; thực phẩm sức khỏe&gt; ​​giấm sức khỏe, đồ uống giấm")</f>
        <v>Đấu giá&gt; thực phẩm, đồ uống&gt; thực phẩm sức khỏe&gt; ​​giấm sức khỏe, đồ uống giấm</v>
      </c>
      <c r="G161" s="229" t="str">
        <f t="shared" ca="1" si="4"/>
        <v>"2084289288" : "Sức khỏe giấm, uống giấm",</v>
      </c>
      <c r="H161" s="229" t="str">
        <f t="shared" si="5"/>
        <v>&lt;li class="col-md-3"&gt;&lt;a class="text-cut" href="javascript:;"(click)="categoryEvent(2084289288)"&gt;{{"2084289288" | translate}}&lt;/a&gt;&lt;/li&gt;</v>
      </c>
    </row>
    <row r="162" spans="1:8" ht="14.25" customHeight="1">
      <c r="A162" s="2">
        <v>2084050386</v>
      </c>
      <c r="B162" s="2" t="s">
        <v>2791</v>
      </c>
      <c r="C162" s="2" t="s">
        <v>2794</v>
      </c>
      <c r="D162" s="2" t="s">
        <v>2797</v>
      </c>
      <c r="E162" s="3" t="str">
        <f ca="1">IFERROR(__xludf.DUMMYFUNCTION("GOOGLETRANSLATE(B162,""ja"",""vi"")"),"giấm")</f>
        <v>giấm</v>
      </c>
      <c r="F162" s="3" t="str">
        <f ca="1">IFERROR(__xludf.DUMMYFUNCTION("GOOGLETRANSLATE(C162,""ja"",""vi"")"),"Đấu giá&gt; thực phẩm, đồ uống&gt; thực phẩm sức khỏe&gt; ​​Giấm")</f>
        <v>Đấu giá&gt; thực phẩm, đồ uống&gt; thực phẩm sức khỏe&gt; ​​Giấm</v>
      </c>
      <c r="G162" s="229" t="str">
        <f t="shared" ca="1" si="4"/>
        <v>"2084050386" : "giấm",</v>
      </c>
      <c r="H162" s="229" t="str">
        <f t="shared" si="5"/>
        <v>&lt;li class="col-md-3"&gt;&lt;a class="text-cut" href="javascript:;"(click)="categoryEvent(2084050386)"&gt;{{"2084050386" | translate}}&lt;/a&gt;&lt;/li&gt;</v>
      </c>
    </row>
    <row r="163" spans="1:8" ht="14.25" customHeight="1">
      <c r="A163" s="2">
        <v>2084062737</v>
      </c>
      <c r="B163" s="2" t="s">
        <v>2799</v>
      </c>
      <c r="C163" s="2" t="s">
        <v>2802</v>
      </c>
      <c r="D163" s="2" t="s">
        <v>2804</v>
      </c>
      <c r="E163" s="3" t="str">
        <f ca="1">IFERROR(__xludf.DUMMYFUNCTION("GOOGLETRANSLATE(B163,""ja"",""vi"")"),"bổ sung thể thao")</f>
        <v>bổ sung thể thao</v>
      </c>
      <c r="F163" s="3" t="str">
        <f ca="1">IFERROR(__xludf.DUMMYFUNCTION("GOOGLETRANSLATE(C163,""ja"",""vi"")"),"Đấu giá&gt; thực phẩm, đồ uống&gt; thực phẩm sức khỏe&gt; ​​bổ sung thể thao")</f>
        <v>Đấu giá&gt; thực phẩm, đồ uống&gt; thực phẩm sức khỏe&gt; ​​bổ sung thể thao</v>
      </c>
      <c r="G163" s="229" t="str">
        <f t="shared" ca="1" si="4"/>
        <v>"2084062737" : "bổ sung thể thao",</v>
      </c>
      <c r="H163" s="229" t="str">
        <f t="shared" si="5"/>
        <v>&lt;li class="col-md-3"&gt;&lt;a class="text-cut" href="javascript:;"(click)="categoryEvent(2084062737)"&gt;{{"2084062737" | translate}}&lt;/a&gt;&lt;/li&gt;</v>
      </c>
    </row>
    <row r="164" spans="1:8" ht="14.25" customHeight="1">
      <c r="A164" s="2">
        <v>2084289291</v>
      </c>
      <c r="B164" s="2" t="s">
        <v>2808</v>
      </c>
      <c r="C164" s="2" t="s">
        <v>2811</v>
      </c>
      <c r="D164" s="2" t="s">
        <v>2813</v>
      </c>
      <c r="E164" s="3" t="str">
        <f ca="1">IFERROR(__xludf.DUMMYFUNCTION("GOOGLETRANSLATE(B164,""ja"",""vi"")"),"chất xơ")</f>
        <v>chất xơ</v>
      </c>
      <c r="F164" s="3" t="str">
        <f ca="1">IFERROR(__xludf.DUMMYFUNCTION("GOOGLETRANSLATE(C164,""ja"",""vi"")"),"Đấu giá&gt; thực phẩm, đồ uống&gt; thực phẩm sức khỏe&gt; ​​chất xơ")</f>
        <v>Đấu giá&gt; thực phẩm, đồ uống&gt; thực phẩm sức khỏe&gt; ​​chất xơ</v>
      </c>
      <c r="G164" s="229" t="str">
        <f t="shared" ca="1" si="4"/>
        <v>"2084289291" : "chất xơ",</v>
      </c>
      <c r="H164" s="229" t="str">
        <f t="shared" si="5"/>
        <v>&lt;li class="col-md-3"&gt;&lt;a class="text-cut" href="javascript:;"(click)="categoryEvent(2084289291)"&gt;{{"2084289291" | translate}}&lt;/a&gt;&lt;/li&gt;</v>
      </c>
    </row>
    <row r="165" spans="1:8" ht="14.25" customHeight="1">
      <c r="A165" s="2">
        <v>2084226955</v>
      </c>
      <c r="B165" s="2" t="s">
        <v>2816</v>
      </c>
      <c r="C165" s="2" t="s">
        <v>2819</v>
      </c>
      <c r="D165" s="2" t="s">
        <v>2822</v>
      </c>
      <c r="E165" s="3" t="str">
        <f ca="1">IFERROR(__xludf.DUMMYFUNCTION("GOOGLETRANSLATE(B165,""ja"",""vi"")"),"DHA")</f>
        <v>DHA</v>
      </c>
      <c r="F165" s="3" t="str">
        <f ca="1">IFERROR(__xludf.DUMMYFUNCTION("GOOGLETRANSLATE(C165,""ja"",""vi"")"),"Đấu giá&gt; thực phẩm, đồ uống&gt; thực phẩm sức khỏe&gt; ​​DHA")</f>
        <v>Đấu giá&gt; thực phẩm, đồ uống&gt; thực phẩm sức khỏe&gt; ​​DHA</v>
      </c>
      <c r="G165" s="229" t="str">
        <f t="shared" ca="1" si="4"/>
        <v>"2084226955" : "DHA",</v>
      </c>
      <c r="H165" s="229" t="str">
        <f t="shared" si="5"/>
        <v>&lt;li class="col-md-3"&gt;&lt;a class="text-cut" href="javascript:;"(click)="categoryEvent(2084226955)"&gt;{{"2084226955" | translate}}&lt;/a&gt;&lt;/li&gt;</v>
      </c>
    </row>
    <row r="166" spans="1:8" ht="14.25" customHeight="1">
      <c r="A166" s="2">
        <v>2084289296</v>
      </c>
      <c r="B166" s="2" t="s">
        <v>2828</v>
      </c>
      <c r="C166" s="2" t="s">
        <v>2830</v>
      </c>
      <c r="D166" s="2" t="s">
        <v>2831</v>
      </c>
      <c r="E166" s="3" t="str">
        <f ca="1">IFERROR(__xludf.DUMMYFUNCTION("GOOGLETRANSLATE(B166,""ja"",""vi"")"),"ủi")</f>
        <v>ủi</v>
      </c>
      <c r="F166" s="3" t="str">
        <f ca="1">IFERROR(__xludf.DUMMYFUNCTION("GOOGLETRANSLATE(C166,""ja"",""vi"")"),"Đấu giá&gt; thực phẩm, đồ uống&gt; thực phẩm sức khỏe&gt; ​​sắt")</f>
        <v>Đấu giá&gt; thực phẩm, đồ uống&gt; thực phẩm sức khỏe&gt; ​​sắt</v>
      </c>
      <c r="G166" s="229" t="str">
        <f t="shared" ca="1" si="4"/>
        <v>"2084289296" : "ủi",</v>
      </c>
      <c r="H166" s="229" t="str">
        <f t="shared" si="5"/>
        <v>&lt;li class="col-md-3"&gt;&lt;a class="text-cut" href="javascript:;"(click)="categoryEvent(2084289296)"&gt;{{"2084289296" | translate}}&lt;/a&gt;&lt;/li&gt;</v>
      </c>
    </row>
    <row r="167" spans="1:8" ht="14.25" customHeight="1">
      <c r="A167" s="2">
        <v>2084289293</v>
      </c>
      <c r="B167" s="2" t="s">
        <v>2837</v>
      </c>
      <c r="C167" s="2" t="s">
        <v>2838</v>
      </c>
      <c r="D167" s="2" t="s">
        <v>2839</v>
      </c>
      <c r="E167" s="3" t="str">
        <f ca="1">IFERROR(__xludf.DUMMYFUNCTION("GOOGLETRANSLATE(B167,""ja"",""vi"")"),"Tỏi chiết xuất thức ăn hỗn hợp")</f>
        <v>Tỏi chiết xuất thức ăn hỗn hợp</v>
      </c>
      <c r="F167" s="3" t="str">
        <f ca="1">IFERROR(__xludf.DUMMYFUNCTION("GOOGLETRANSLATE(C167,""ja"",""vi"")"),"Đấu giá&gt; thực phẩm, đồ uống&gt; thực phẩm sức khỏe&gt; ​​chiết xuất tỏi thức ăn hỗn hợp")</f>
        <v>Đấu giá&gt; thực phẩm, đồ uống&gt; thực phẩm sức khỏe&gt; ​​chiết xuất tỏi thức ăn hỗn hợp</v>
      </c>
      <c r="G167" s="229" t="str">
        <f t="shared" ca="1" si="4"/>
        <v>"2084289293" : "Tỏi chiết xuất thức ăn hỗn hợp",</v>
      </c>
      <c r="H167" s="229" t="str">
        <f t="shared" si="5"/>
        <v>&lt;li class="col-md-3"&gt;&lt;a class="text-cut" href="javascript:;"(click)="categoryEvent(2084289293)"&gt;{{"2084289293" | translate}}&lt;/a&gt;&lt;/li&gt;</v>
      </c>
    </row>
    <row r="168" spans="1:8" ht="14.25" customHeight="1">
      <c r="A168" s="2">
        <v>2084289292</v>
      </c>
      <c r="B168" s="2" t="s">
        <v>2843</v>
      </c>
      <c r="C168" s="2" t="s">
        <v>2845</v>
      </c>
      <c r="D168" s="2" t="s">
        <v>2847</v>
      </c>
      <c r="E168" s="3" t="str">
        <f ca="1">IFERROR(__xludf.DUMMYFUNCTION("GOOGLETRANSLATE(B168,""ja"",""vi"")"),"nattokinase")</f>
        <v>nattokinase</v>
      </c>
      <c r="F168" s="3" t="str">
        <f ca="1">IFERROR(__xludf.DUMMYFUNCTION("GOOGLETRANSLATE(C168,""ja"",""vi"")"),"Đấu giá&gt; thực phẩm, đồ uống&gt; thực phẩm sức khỏe&gt; ​​nattokinase")</f>
        <v>Đấu giá&gt; thực phẩm, đồ uống&gt; thực phẩm sức khỏe&gt; ​​nattokinase</v>
      </c>
      <c r="G168" s="229" t="str">
        <f t="shared" ca="1" si="4"/>
        <v>"2084289292" : "nattokinase",</v>
      </c>
      <c r="H168" s="229" t="str">
        <f t="shared" si="5"/>
        <v>&lt;li class="col-md-3"&gt;&lt;a class="text-cut" href="javascript:;"(click)="categoryEvent(2084289292)"&gt;{{"2084289292" | translate}}&lt;/a&gt;&lt;/li&gt;</v>
      </c>
    </row>
    <row r="169" spans="1:8" ht="14.25" customHeight="1">
      <c r="A169" s="2">
        <v>2084226949</v>
      </c>
      <c r="B169" s="2" t="s">
        <v>2853</v>
      </c>
      <c r="C169" s="2" t="s">
        <v>2854</v>
      </c>
      <c r="D169" s="2" t="s">
        <v>2856</v>
      </c>
      <c r="E169" s="3" t="str">
        <f ca="1">IFERROR(__xludf.DUMMYFUNCTION("GOOGLETRANSLATE(B169,""ja"",""vi"")"),"hyaluronic acid")</f>
        <v>hyaluronic acid</v>
      </c>
      <c r="F169" s="3" t="str">
        <f ca="1">IFERROR(__xludf.DUMMYFUNCTION("GOOGLETRANSLATE(C169,""ja"",""vi"")"),"Đấu giá&gt; thực phẩm, đồ uống&gt; thực phẩm sức khỏe&gt; ​​axit hyaluronic")</f>
        <v>Đấu giá&gt; thực phẩm, đồ uống&gt; thực phẩm sức khỏe&gt; ​​axit hyaluronic</v>
      </c>
      <c r="G169" s="229" t="str">
        <f t="shared" ca="1" si="4"/>
        <v>"2084226949" : "hyaluronic acid",</v>
      </c>
      <c r="H169" s="229" t="str">
        <f t="shared" si="5"/>
        <v>&lt;li class="col-md-3"&gt;&lt;a class="text-cut" href="javascript:;"(click)="categoryEvent(2084226949)"&gt;{{"2084226949" | translate}}&lt;/a&gt;&lt;/li&gt;</v>
      </c>
    </row>
    <row r="170" spans="1:8" ht="14.25" customHeight="1">
      <c r="A170" s="2">
        <v>2084289294</v>
      </c>
      <c r="B170" s="2" t="s">
        <v>2862</v>
      </c>
      <c r="C170" s="2" t="s">
        <v>2865</v>
      </c>
      <c r="D170" s="2" t="s">
        <v>2867</v>
      </c>
      <c r="E170" s="3" t="str">
        <f ca="1">IFERROR(__xludf.DUMMYFUNCTION("GOOGLETRANSLATE(B170,""ja"",""vi"")"),"Men bia")</f>
        <v>Men bia</v>
      </c>
      <c r="F170" s="3" t="str">
        <f ca="1">IFERROR(__xludf.DUMMYFUNCTION("GOOGLETRANSLATE(C170,""ja"",""vi"")"),"Đấu giá&gt; thực phẩm, đồ uống&gt; thực phẩm sức khỏe&gt; ​​men bia")</f>
        <v>Đấu giá&gt; thực phẩm, đồ uống&gt; thực phẩm sức khỏe&gt; ​​men bia</v>
      </c>
      <c r="G170" s="229" t="str">
        <f t="shared" ca="1" si="4"/>
        <v>"2084289294" : "Men bia",</v>
      </c>
      <c r="H170" s="229" t="str">
        <f t="shared" si="5"/>
        <v>&lt;li class="col-md-3"&gt;&lt;a class="text-cut" href="javascript:;"(click)="categoryEvent(2084289294)"&gt;{{"2084289294" | translate}}&lt;/a&gt;&lt;/li&gt;</v>
      </c>
    </row>
    <row r="171" spans="1:8" ht="14.25" customHeight="1">
      <c r="A171" s="2">
        <v>24066</v>
      </c>
      <c r="B171" s="2" t="s">
        <v>2872</v>
      </c>
      <c r="C171" s="2" t="s">
        <v>2875</v>
      </c>
      <c r="D171" s="2" t="s">
        <v>2876</v>
      </c>
      <c r="E171" s="3" t="str">
        <f ca="1">IFERROR(__xludf.DUMMYFUNCTION("GOOGLETRANSLATE(B171,""ja"",""vi"")"),"vitamin")</f>
        <v>vitamin</v>
      </c>
      <c r="F171" s="3" t="str">
        <f ca="1">IFERROR(__xludf.DUMMYFUNCTION("GOOGLETRANSLATE(C171,""ja"",""vi"")"),"Đấu giá&gt; thực phẩm, đồ uống&gt; thực phẩm sức khỏe&gt; ​​vitamin")</f>
        <v>Đấu giá&gt; thực phẩm, đồ uống&gt; thực phẩm sức khỏe&gt; ​​vitamin</v>
      </c>
      <c r="G171" s="229" t="str">
        <f t="shared" ca="1" si="4"/>
        <v>"24066" : "vitamin",</v>
      </c>
      <c r="H171" s="229" t="str">
        <f t="shared" si="5"/>
        <v>&lt;li class="col-md-3"&gt;&lt;a class="text-cut" href="javascript:;"(click)="categoryEvent(24066)"&gt;{{"24066" | translate}}&lt;/a&gt;&lt;/li&gt;</v>
      </c>
    </row>
    <row r="172" spans="1:8" ht="14.25" customHeight="1">
      <c r="A172" s="2">
        <v>2084289295</v>
      </c>
      <c r="B172" s="2" t="s">
        <v>2880</v>
      </c>
      <c r="C172" s="2" t="s">
        <v>2882</v>
      </c>
      <c r="D172" s="2" t="s">
        <v>2885</v>
      </c>
      <c r="E172" s="3" t="str">
        <f ca="1">IFERROR(__xludf.DUMMYFUNCTION("GOOGLETRANSLATE(B172,""ja"",""vi"")"),"thức ăn hỗn hợp Blueberry")</f>
        <v>thức ăn hỗn hợp Blueberry</v>
      </c>
      <c r="F172" s="3" t="str">
        <f ca="1">IFERROR(__xludf.DUMMYFUNCTION("GOOGLETRANSLATE(C172,""ja"",""vi"")"),"Đấu giá&gt; thực phẩm, đồ uống&gt; thực phẩm sức khỏe&gt; ​​quả việt quất thực phẩm pha trộn")</f>
        <v>Đấu giá&gt; thực phẩm, đồ uống&gt; thực phẩm sức khỏe&gt; ​​quả việt quất thực phẩm pha trộn</v>
      </c>
      <c r="G172" s="229" t="str">
        <f t="shared" ca="1" si="4"/>
        <v>"2084289295" : "thức ăn hỗn hợp Blueberry",</v>
      </c>
      <c r="H172" s="229" t="str">
        <f t="shared" si="5"/>
        <v>&lt;li class="col-md-3"&gt;&lt;a class="text-cut" href="javascript:;"(click)="categoryEvent(2084289295)"&gt;{{"2084289295" | translate}}&lt;/a&gt;&lt;/li&gt;</v>
      </c>
    </row>
    <row r="173" spans="1:8" ht="14.25" customHeight="1">
      <c r="A173" s="2">
        <v>2084226951</v>
      </c>
      <c r="B173" s="2" t="s">
        <v>2890</v>
      </c>
      <c r="C173" s="2" t="s">
        <v>2893</v>
      </c>
      <c r="D173" s="2" t="s">
        <v>2894</v>
      </c>
      <c r="E173" s="3" t="str">
        <f ca="1">IFERROR(__xludf.DUMMYFUNCTION("GOOGLETRANSLATE(B173,""ja"",""vi"")"),"Placenta")</f>
        <v>Placenta</v>
      </c>
      <c r="F173" s="3" t="str">
        <f ca="1">IFERROR(__xludf.DUMMYFUNCTION("GOOGLETRANSLATE(C173,""ja"",""vi"")"),"Đấu giá&gt; thực phẩm, đồ uống&gt; thực phẩm sức khỏe&gt; ​​Placenta")</f>
        <v>Đấu giá&gt; thực phẩm, đồ uống&gt; thực phẩm sức khỏe&gt; ​​Placenta</v>
      </c>
      <c r="G173" s="229" t="str">
        <f t="shared" ca="1" si="4"/>
        <v>"2084226951" : "Placenta",</v>
      </c>
      <c r="H173" s="229" t="str">
        <f t="shared" si="5"/>
        <v>&lt;li class="col-md-3"&gt;&lt;a class="text-cut" href="javascript:;"(click)="categoryEvent(2084226951)"&gt;{{"2084226951" | translate}}&lt;/a&gt;&lt;/li&gt;</v>
      </c>
    </row>
    <row r="174" spans="1:8" ht="14.25" customHeight="1">
      <c r="A174" s="2">
        <v>2084006884</v>
      </c>
      <c r="B174" s="2" t="s">
        <v>2900</v>
      </c>
      <c r="C174" s="2" t="s">
        <v>2902</v>
      </c>
      <c r="D174" s="2" t="s">
        <v>2903</v>
      </c>
      <c r="E174" s="3" t="str">
        <f ca="1">IFERROR(__xludf.DUMMYFUNCTION("GOOGLETRANSLATE(B174,""ja"",""vi"")"),"protein")</f>
        <v>protein</v>
      </c>
      <c r="F174" s="3" t="str">
        <f ca="1">IFERROR(__xludf.DUMMYFUNCTION("GOOGLETRANSLATE(C174,""ja"",""vi"")"),"Đấu giá&gt; thực phẩm, đồ uống&gt; thực phẩm sức khỏe&gt; ​​protein")</f>
        <v>Đấu giá&gt; thực phẩm, đồ uống&gt; thực phẩm sức khỏe&gt; ​​protein</v>
      </c>
      <c r="G174" s="229" t="str">
        <f t="shared" ca="1" si="4"/>
        <v>"2084006884" : "protein",</v>
      </c>
      <c r="H174" s="229" t="str">
        <f t="shared" si="5"/>
        <v>&lt;li class="col-md-3"&gt;&lt;a class="text-cut" href="javascript:;"(click)="categoryEvent(2084006884)"&gt;{{"2084006884" | translate}}&lt;/a&gt;&lt;/li&gt;</v>
      </c>
    </row>
    <row r="175" spans="1:8" ht="14.25" customHeight="1">
      <c r="A175" s="2">
        <v>2084006883</v>
      </c>
      <c r="B175" s="2" t="s">
        <v>2909</v>
      </c>
      <c r="C175" s="2" t="s">
        <v>2910</v>
      </c>
      <c r="D175" s="2" t="s">
        <v>2911</v>
      </c>
      <c r="E175" s="3" t="str">
        <f ca="1">IFERROR(__xludf.DUMMYFUNCTION("GOOGLETRANSLATE(B175,""ja"",""vi"")"),"sáp ong")</f>
        <v>sáp ong</v>
      </c>
      <c r="F175" s="3" t="str">
        <f ca="1">IFERROR(__xludf.DUMMYFUNCTION("GOOGLETRANSLATE(C175,""ja"",""vi"")"),"Đấu giá&gt; thực phẩm, đồ uống&gt; thực phẩm sức khỏe&gt; ​​keo ong")</f>
        <v>Đấu giá&gt; thực phẩm, đồ uống&gt; thực phẩm sức khỏe&gt; ​​keo ong</v>
      </c>
      <c r="G175" s="229" t="str">
        <f t="shared" ca="1" si="4"/>
        <v>"2084006883" : "sáp ong",</v>
      </c>
      <c r="H175" s="229" t="str">
        <f t="shared" si="5"/>
        <v>&lt;li class="col-md-3"&gt;&lt;a class="text-cut" href="javascript:;"(click)="categoryEvent(2084006883)"&gt;{{"2084006883" | translate}}&lt;/a&gt;&lt;/li&gt;</v>
      </c>
    </row>
    <row r="176" spans="1:8" ht="14.25" customHeight="1">
      <c r="A176" s="2">
        <v>2084226958</v>
      </c>
      <c r="B176" s="2" t="s">
        <v>2917</v>
      </c>
      <c r="C176" s="2" t="s">
        <v>2918</v>
      </c>
      <c r="D176" s="2" t="s">
        <v>2919</v>
      </c>
      <c r="E176" s="3" t="str">
        <f ca="1">IFERROR(__xludf.DUMMYFUNCTION("GOOGLETRANSLATE(B176,""ja"",""vi"")"),"Maca")</f>
        <v>Maca</v>
      </c>
      <c r="F176" s="3" t="str">
        <f ca="1">IFERROR(__xludf.DUMMYFUNCTION("GOOGLETRANSLATE(C176,""ja"",""vi"")"),"Đấu giá&gt; thực phẩm, đồ uống&gt; thực phẩm sức khỏe&gt; ​​Maca")</f>
        <v>Đấu giá&gt; thực phẩm, đồ uống&gt; thực phẩm sức khỏe&gt; ​​Maca</v>
      </c>
      <c r="G176" s="229" t="str">
        <f t="shared" ca="1" si="4"/>
        <v>"2084226958" : "Maca",</v>
      </c>
      <c r="H176" s="229" t="str">
        <f t="shared" si="5"/>
        <v>&lt;li class="col-md-3"&gt;&lt;a class="text-cut" href="javascript:;"(click)="categoryEvent(2084226958)"&gt;{{"2084226958" | translate}}&lt;/a&gt;&lt;/li&gt;</v>
      </c>
    </row>
    <row r="177" spans="1:8" ht="14.25" customHeight="1">
      <c r="A177" s="2">
        <v>2084006886</v>
      </c>
      <c r="B177" s="2" t="s">
        <v>2923</v>
      </c>
      <c r="C177" s="2" t="s">
        <v>2924</v>
      </c>
      <c r="D177" s="2" t="s">
        <v>2925</v>
      </c>
      <c r="E177" s="3" t="str">
        <f ca="1">IFERROR(__xludf.DUMMYFUNCTION("GOOGLETRANSLATE(B177,""ja"",""vi"")"),"Ganoderma lucidum, Ganoderma lucidum")</f>
        <v>Ganoderma lucidum, Ganoderma lucidum</v>
      </c>
      <c r="F177" s="3" t="str">
        <f ca="1">IFERROR(__xludf.DUMMYFUNCTION("GOOGLETRANSLATE(C177,""ja"",""vi"")"),"Đấu giá&gt; thực phẩm, đồ uống&gt; thực phẩm sức khỏe&gt; ​​Ganoderma lucidum, Ganoderma lucidum")</f>
        <v>Đấu giá&gt; thực phẩm, đồ uống&gt; thực phẩm sức khỏe&gt; ​​Ganoderma lucidum, Ganoderma lucidum</v>
      </c>
      <c r="G177" s="229" t="str">
        <f t="shared" ca="1" si="4"/>
        <v>"2084006886" : "Ganoderma lucidum, Ganoderma lucidum",</v>
      </c>
      <c r="H177" s="229" t="str">
        <f t="shared" si="5"/>
        <v>&lt;li class="col-md-3"&gt;&lt;a class="text-cut" href="javascript:;"(click)="categoryEvent(2084006886)"&gt;{{"2084006886" | translate}}&lt;/a&gt;&lt;/li&gt;</v>
      </c>
    </row>
    <row r="178" spans="1:8" ht="14.25" customHeight="1">
      <c r="A178" s="2">
        <v>2084226954</v>
      </c>
      <c r="B178" s="2" t="s">
        <v>2931</v>
      </c>
      <c r="C178" s="2" t="s">
        <v>2933</v>
      </c>
      <c r="D178" s="2" t="s">
        <v>2935</v>
      </c>
      <c r="E178" s="3" t="str">
        <f ca="1">IFERROR(__xludf.DUMMYFUNCTION("GOOGLETRANSLATE(B178,""ja"",""vi"")"),"khoáng vật")</f>
        <v>khoáng vật</v>
      </c>
      <c r="F178" s="3" t="str">
        <f ca="1">IFERROR(__xludf.DUMMYFUNCTION("GOOGLETRANSLATE(C178,""ja"",""vi"")"),"Đấu giá&gt; thực phẩm, đồ uống&gt; thực phẩm sức khỏe&gt; ​​khoáng sản")</f>
        <v>Đấu giá&gt; thực phẩm, đồ uống&gt; thực phẩm sức khỏe&gt; ​​khoáng sản</v>
      </c>
      <c r="G178" s="229" t="str">
        <f t="shared" ca="1" si="4"/>
        <v>"2084226954" : "khoáng vật",</v>
      </c>
      <c r="H178" s="229" t="str">
        <f t="shared" si="5"/>
        <v>&lt;li class="col-md-3"&gt;&lt;a class="text-cut" href="javascript:;"(click)="categoryEvent(2084226954)"&gt;{{"2084226954" | translate}}&lt;/a&gt;&lt;/li&gt;</v>
      </c>
    </row>
    <row r="179" spans="1:8" ht="14.25" customHeight="1">
      <c r="A179" s="2">
        <v>2084006885</v>
      </c>
      <c r="B179" s="2" t="s">
        <v>2939</v>
      </c>
      <c r="C179" s="2" t="s">
        <v>2943</v>
      </c>
      <c r="D179" s="2" t="s">
        <v>2946</v>
      </c>
      <c r="E179" s="3" t="str">
        <f ca="1">IFERROR(__xludf.DUMMYFUNCTION("GOOGLETRANSLATE(B179,""ja"",""vi"")"),"Sữa ong chúa")</f>
        <v>Sữa ong chúa</v>
      </c>
      <c r="F179" s="3" t="str">
        <f ca="1">IFERROR(__xludf.DUMMYFUNCTION("GOOGLETRANSLATE(C179,""ja"",""vi"")"),"Đấu giá&gt; thực phẩm, đồ uống&gt; thực phẩm sức khỏe&gt; ​​sữa ong chúa")</f>
        <v>Đấu giá&gt; thực phẩm, đồ uống&gt; thực phẩm sức khỏe&gt; ​​sữa ong chúa</v>
      </c>
      <c r="G179" s="229" t="str">
        <f t="shared" ca="1" si="4"/>
        <v>"2084006885" : "Sữa ong chúa",</v>
      </c>
      <c r="H179" s="229" t="str">
        <f t="shared" si="5"/>
        <v>&lt;li class="col-md-3"&gt;&lt;a class="text-cut" href="javascript:;"(click)="categoryEvent(2084006885)"&gt;{{"2084006885" | translate}}&lt;/a&gt;&lt;/li&gt;</v>
      </c>
    </row>
    <row r="180" spans="1:8" ht="14.25" customHeight="1">
      <c r="A180" s="2">
        <v>2084006888</v>
      </c>
      <c r="B180" s="2" t="s">
        <v>2141</v>
      </c>
      <c r="C180" s="2" t="s">
        <v>2953</v>
      </c>
      <c r="D180" s="2" t="s">
        <v>2955</v>
      </c>
      <c r="E180" s="3" t="str">
        <f ca="1">IFERROR(__xludf.DUMMYFUNCTION("GOOGLETRANSLATE(B180,""ja"",""vi"")"),"thực phẩm chế độ ăn uống")</f>
        <v>thực phẩm chế độ ăn uống</v>
      </c>
      <c r="F180" s="3" t="str">
        <f ca="1">IFERROR(__xludf.DUMMYFUNCTION("GOOGLETRANSLATE(C180,""ja"",""vi"")"),"Đấu giá&gt; thực phẩm, đồ uống&gt; thực phẩm sức khỏe&gt; ​​thực phẩm chế độ ăn uống")</f>
        <v>Đấu giá&gt; thực phẩm, đồ uống&gt; thực phẩm sức khỏe&gt; ​​thực phẩm chế độ ăn uống</v>
      </c>
      <c r="G180" s="229" t="str">
        <f t="shared" ca="1" si="4"/>
        <v>"2084006888" : "thực phẩm chế độ ăn uống",</v>
      </c>
      <c r="H180" s="229" t="str">
        <f t="shared" si="5"/>
        <v>&lt;li class="col-md-3"&gt;&lt;a class="text-cut" href="javascript:;"(click)="categoryEvent(2084006888)"&gt;{{"2084006888" | translate}}&lt;/a&gt;&lt;/li&gt;</v>
      </c>
    </row>
    <row r="181" spans="1:8" ht="14.25" customHeight="1">
      <c r="A181" s="2">
        <v>2084006887</v>
      </c>
      <c r="B181" s="2" t="s">
        <v>16</v>
      </c>
      <c r="C181" s="2" t="s">
        <v>2965</v>
      </c>
      <c r="D181" s="2" t="s">
        <v>2966</v>
      </c>
      <c r="E181" s="3" t="str">
        <f ca="1">IFERROR(__xludf.DUMMYFUNCTION("GOOGLETRANSLATE(B181,""ja"",""vi"")"),"nếu không thì")</f>
        <v>nếu không thì</v>
      </c>
      <c r="F181" s="3" t="str">
        <f ca="1">IFERROR(__xludf.DUMMYFUNCTION("GOOGLETRANSLATE(C181,""ja"",""vi"")"),"Đấu giá&gt; thực phẩm, đồ uống&gt; thực phẩm sức khỏe&gt; ​​Khác")</f>
        <v>Đấu giá&gt; thực phẩm, đồ uống&gt; thực phẩm sức khỏe&gt; ​​Khác</v>
      </c>
      <c r="G181" s="229" t="str">
        <f t="shared" ca="1" si="4"/>
        <v>"2084006887" : "nếu không thì",</v>
      </c>
      <c r="H181" s="229" t="str">
        <f t="shared" si="5"/>
        <v>&lt;li class="col-md-3"&gt;&lt;a class="text-cut" href="javascript:;"(click)="categoryEvent(2084006887)"&gt;{{"2084006887" | translate}}&lt;/a&gt;&lt;/li&gt;</v>
      </c>
    </row>
    <row r="182" spans="1:8" ht="14.25" customHeight="1">
      <c r="E182" s="3"/>
      <c r="F182" s="3"/>
      <c r="G182" s="229"/>
      <c r="H182" s="229"/>
    </row>
    <row r="183" spans="1:8" ht="25.5" customHeight="1">
      <c r="A183" s="253">
        <v>2084042538</v>
      </c>
      <c r="B183" s="232"/>
      <c r="C183" s="232"/>
      <c r="D183" s="233"/>
      <c r="E183" s="3"/>
      <c r="F183" s="3"/>
      <c r="G183" s="229"/>
      <c r="H183" s="229"/>
    </row>
    <row r="184" spans="1:8" ht="14.25" customHeight="1">
      <c r="A184" s="2">
        <v>2084049564</v>
      </c>
      <c r="B184" s="2" t="s">
        <v>3541</v>
      </c>
      <c r="C184" s="2" t="s">
        <v>3543</v>
      </c>
      <c r="D184" s="2" t="s">
        <v>3546</v>
      </c>
      <c r="E184" s="3" t="str">
        <f ca="1">IFERROR(__xludf.DUMMYFUNCTION("GOOGLETRANSLATE(B184,""ja"",""vi"")"),"nguồn cung cấp Phục hồi chức năng")</f>
        <v>nguồn cung cấp Phục hồi chức năng</v>
      </c>
      <c r="F184" s="3" t="str">
        <f ca="1">IFERROR(__xludf.DUMMYFUNCTION("GOOGLETRANSLATE(C184,""ja"",""vi"")"),"Đấu giá&gt; làm đẹp, chăm sóc sức khỏe&gt; ​​cho con bú, các sản phẩm chăm sóc điều dưỡng&gt; nguồn cung cấp phục hồi chức năng")</f>
        <v>Đấu giá&gt; làm đẹp, chăm sóc sức khỏe&gt; ​​cho con bú, các sản phẩm chăm sóc điều dưỡng&gt; nguồn cung cấp phục hồi chức năng</v>
      </c>
      <c r="G184" s="229" t="str">
        <f t="shared" ca="1" si="4"/>
        <v>"2084049564" : "nguồn cung cấp Phục hồi chức năng",</v>
      </c>
      <c r="H184" s="229" t="str">
        <f t="shared" si="5"/>
        <v>&lt;li class="col-md-3"&gt;&lt;a class="text-cut" href="javascript:;"(click)="categoryEvent(2084049564)"&gt;{{"2084049564" | translate}}&lt;/a&gt;&lt;/li&gt;</v>
      </c>
    </row>
    <row r="185" spans="1:8" ht="14.25" customHeight="1">
      <c r="A185" s="2">
        <v>2084048487</v>
      </c>
      <c r="B185" s="2" t="s">
        <v>3550</v>
      </c>
      <c r="C185" s="2" t="s">
        <v>3551</v>
      </c>
      <c r="D185" s="2" t="s">
        <v>3554</v>
      </c>
      <c r="E185" s="3" t="str">
        <f ca="1">IFERROR(__xludf.DUMMYFUNCTION("GOOGLETRANSLATE(B185,""ja"",""vi"")"),"giường cho con bú, bộ đồ giường")</f>
        <v>giường cho con bú, bộ đồ giường</v>
      </c>
      <c r="F185" s="3" t="str">
        <f ca="1">IFERROR(__xludf.DUMMYFUNCTION("GOOGLETRANSLATE(C185,""ja"",""vi"")"),"Đấu giá&gt; làm đẹp, chăm sóc sức khỏe&gt; ​​điều dưỡng, chăm sóc điều dưỡng&gt; giường cho con bú, bộ đồ giường")</f>
        <v>Đấu giá&gt; làm đẹp, chăm sóc sức khỏe&gt; ​​điều dưỡng, chăm sóc điều dưỡng&gt; giường cho con bú, bộ đồ giường</v>
      </c>
      <c r="G185" s="229" t="str">
        <f t="shared" ca="1" si="4"/>
        <v>"2084048487" : "giường cho con bú, bộ đồ giường",</v>
      </c>
      <c r="H185" s="229" t="str">
        <f t="shared" si="5"/>
        <v>&lt;li class="col-md-3"&gt;&lt;a class="text-cut" href="javascript:;"(click)="categoryEvent(2084048487)"&gt;{{"2084048487" | translate}}&lt;/a&gt;&lt;/li&gt;</v>
      </c>
    </row>
    <row r="186" spans="1:8" ht="14.25" customHeight="1">
      <c r="A186" s="2">
        <v>2084048485</v>
      </c>
      <c r="B186" s="2" t="s">
        <v>3560</v>
      </c>
      <c r="C186" s="2" t="s">
        <v>3562</v>
      </c>
      <c r="D186" s="2" t="s">
        <v>3564</v>
      </c>
      <c r="E186" s="3" t="str">
        <f ca="1">IFERROR(__xludf.DUMMYFUNCTION("GOOGLETRANSLATE(B186,""ja"",""vi"")"),"quần áo cho con bú")</f>
        <v>quần áo cho con bú</v>
      </c>
      <c r="F186" s="3" t="str">
        <f ca="1">IFERROR(__xludf.DUMMYFUNCTION("GOOGLETRANSLATE(C186,""ja"",""vi"")"),"Đấu giá&gt; làm đẹp, chăm sóc sức khỏe&gt; ​​điều dưỡng, chăm sóc điều dưỡng&gt; quần áo cho con bú")</f>
        <v>Đấu giá&gt; làm đẹp, chăm sóc sức khỏe&gt; ​​điều dưỡng, chăm sóc điều dưỡng&gt; quần áo cho con bú</v>
      </c>
      <c r="G186" s="229" t="str">
        <f t="shared" ca="1" si="4"/>
        <v>"2084048485" : "quần áo cho con bú",</v>
      </c>
      <c r="H186" s="229" t="str">
        <f t="shared" si="5"/>
        <v>&lt;li class="col-md-3"&gt;&lt;a class="text-cut" href="javascript:;"(click)="categoryEvent(2084048485)"&gt;{{"2084048485" | translate}}&lt;/a&gt;&lt;/li&gt;</v>
      </c>
    </row>
    <row r="187" spans="1:8" ht="14.25" customHeight="1">
      <c r="A187" s="2">
        <v>2084048486</v>
      </c>
      <c r="B187" s="2" t="s">
        <v>3568</v>
      </c>
      <c r="C187" s="2" t="s">
        <v>3569</v>
      </c>
      <c r="D187" s="2" t="s">
        <v>3570</v>
      </c>
      <c r="E187" s="3" t="str">
        <f ca="1">IFERROR(__xludf.DUMMYFUNCTION("GOOGLETRANSLATE(B187,""ja"",""vi"")"),"Xe lăn, xe điện")</f>
        <v>Xe lăn, xe điện</v>
      </c>
      <c r="F187" s="3" t="str">
        <f ca="1">IFERROR(__xludf.DUMMYFUNCTION("GOOGLETRANSLATE(C187,""ja"",""vi"")"),"Đấu giá&gt; làm đẹp, chăm sóc sức khỏe&gt; ​​cho con bú, các sản phẩm chăm sóc điều dưỡng&gt; xe lăn, xe điện")</f>
        <v>Đấu giá&gt; làm đẹp, chăm sóc sức khỏe&gt; ​​cho con bú, các sản phẩm chăm sóc điều dưỡng&gt; xe lăn, xe điện</v>
      </c>
      <c r="G187" s="229" t="str">
        <f t="shared" ca="1" si="4"/>
        <v>"2084048486" : "Xe lăn, xe điện",</v>
      </c>
      <c r="H187" s="229" t="str">
        <f t="shared" si="5"/>
        <v>&lt;li class="col-md-3"&gt;&lt;a class="text-cut" href="javascript:;"(click)="categoryEvent(2084048486)"&gt;{{"2084048486" | translate}}&lt;/a&gt;&lt;/li&gt;</v>
      </c>
    </row>
    <row r="188" spans="1:8" ht="14.25" customHeight="1">
      <c r="A188" s="2">
        <v>2084049563</v>
      </c>
      <c r="B188" s="2" t="s">
        <v>3577</v>
      </c>
      <c r="C188" s="2" t="s">
        <v>3579</v>
      </c>
      <c r="D188" s="2" t="s">
        <v>3581</v>
      </c>
      <c r="E188" s="3" t="str">
        <f ca="1">IFERROR(__xludf.DUMMYFUNCTION("GOOGLETRANSLATE(B188,""ja"",""vi"")"),"tắm phụ trợ")</f>
        <v>tắm phụ trợ</v>
      </c>
      <c r="F188" s="3" t="str">
        <f ca="1">IFERROR(__xludf.DUMMYFUNCTION("GOOGLETRANSLATE(C188,""ja"",""vi"")"),"Đấu giá&gt; làm đẹp, chăm sóc sức khỏe&gt; ​​cho con bú, các sản phẩm chăm sóc điều dưỡng&gt; viện trợ tắm")</f>
        <v>Đấu giá&gt; làm đẹp, chăm sóc sức khỏe&gt; ​​cho con bú, các sản phẩm chăm sóc điều dưỡng&gt; viện trợ tắm</v>
      </c>
      <c r="G188" s="229" t="str">
        <f t="shared" ca="1" si="4"/>
        <v>"2084049563" : "tắm phụ trợ",</v>
      </c>
      <c r="H188" s="229" t="str">
        <f t="shared" si="5"/>
        <v>&lt;li class="col-md-3"&gt;&lt;a class="text-cut" href="javascript:;"(click)="categoryEvent(2084049563)"&gt;{{"2084049563" | translate}}&lt;/a&gt;&lt;/li&gt;</v>
      </c>
    </row>
    <row r="189" spans="1:8" ht="14.25" customHeight="1">
      <c r="A189" s="2">
        <v>2084049562</v>
      </c>
      <c r="B189" s="2" t="s">
        <v>3589</v>
      </c>
      <c r="C189" s="2" t="s">
        <v>3590</v>
      </c>
      <c r="D189" s="2" t="s">
        <v>3591</v>
      </c>
      <c r="E189" s="3" t="str">
        <f ca="1">IFERROR(__xludf.DUMMYFUNCTION("GOOGLETRANSLATE(B189,""ja"",""vi"")"),"bài tiết phụ trợ")</f>
        <v>bài tiết phụ trợ</v>
      </c>
      <c r="F189" s="3" t="str">
        <f ca="1">IFERROR(__xludf.DUMMYFUNCTION("GOOGLETRANSLATE(C189,""ja"",""vi"")"),"Đấu giá&gt; làm đẹp, chăm sóc sức khỏe&gt; ​​cho con bú, các sản phẩm chăm sóc điều dưỡng&gt; hỗ trợ bài tiết")</f>
        <v>Đấu giá&gt; làm đẹp, chăm sóc sức khỏe&gt; ​​cho con bú, các sản phẩm chăm sóc điều dưỡng&gt; hỗ trợ bài tiết</v>
      </c>
      <c r="G189" s="229" t="str">
        <f t="shared" ca="1" si="4"/>
        <v>"2084049562" : "bài tiết phụ trợ",</v>
      </c>
      <c r="H189" s="229" t="str">
        <f t="shared" si="5"/>
        <v>&lt;li class="col-md-3"&gt;&lt;a class="text-cut" href="javascript:;"(click)="categoryEvent(2084049562)"&gt;{{"2084049562" | translate}}&lt;/a&gt;&lt;/li&gt;</v>
      </c>
    </row>
    <row r="190" spans="1:8" ht="14.25" customHeight="1">
      <c r="A190" s="2">
        <v>2084063455</v>
      </c>
      <c r="B190" s="2" t="s">
        <v>3595</v>
      </c>
      <c r="C190" s="2" t="s">
        <v>3598</v>
      </c>
      <c r="D190" s="2" t="s">
        <v>3601</v>
      </c>
      <c r="E190" s="3" t="str">
        <f ca="1">IFERROR(__xludf.DUMMYFUNCTION("GOOGLETRANSLATE(B190,""ja"",""vi"")"),"hỗ trợ đi bộ")</f>
        <v>hỗ trợ đi bộ</v>
      </c>
      <c r="F190" s="3" t="str">
        <f ca="1">IFERROR(__xludf.DUMMYFUNCTION("GOOGLETRANSLATE(C190,""ja"",""vi"")"),"Đấu giá&gt; làm đẹp, chăm sóc sức khỏe&gt; ​​cho con bú, các sản phẩm chăm sóc điều dưỡng&gt; hỗ trợ đi bộ")</f>
        <v>Đấu giá&gt; làm đẹp, chăm sóc sức khỏe&gt; ​​cho con bú, các sản phẩm chăm sóc điều dưỡng&gt; hỗ trợ đi bộ</v>
      </c>
      <c r="G190" s="229" t="str">
        <f t="shared" ca="1" si="4"/>
        <v>"2084063455" : "hỗ trợ đi bộ",</v>
      </c>
      <c r="H190" s="229" t="str">
        <f t="shared" si="5"/>
        <v>&lt;li class="col-md-3"&gt;&lt;a class="text-cut" href="javascript:;"(click)="categoryEvent(2084063455)"&gt;{{"2084063455" | translate}}&lt;/a&gt;&lt;/li&gt;</v>
      </c>
    </row>
    <row r="191" spans="1:8" ht="14.25" customHeight="1">
      <c r="A191" s="2">
        <v>2084048488</v>
      </c>
      <c r="B191" s="2" t="s">
        <v>3605</v>
      </c>
      <c r="C191" s="2" t="s">
        <v>3606</v>
      </c>
      <c r="D191" s="2" t="s">
        <v>3607</v>
      </c>
      <c r="E191" s="3" t="str">
        <f ca="1">IFERROR(__xludf.DUMMYFUNCTION("GOOGLETRANSLATE(B191,""ja"",""vi"")"),"nơi chữa bịnh điếc")</f>
        <v>nơi chữa bịnh điếc</v>
      </c>
      <c r="F191" s="3" t="str">
        <f ca="1">IFERROR(__xludf.DUMMYFUNCTION("GOOGLETRANSLATE(C191,""ja"",""vi"")"),"Đấu giá&gt; làm đẹp, chăm sóc sức khỏe&gt; ​​điều dưỡng, chăm sóc điều dưỡng&gt; Máy trợ thính")</f>
        <v>Đấu giá&gt; làm đẹp, chăm sóc sức khỏe&gt; ​​điều dưỡng, chăm sóc điều dưỡng&gt; Máy trợ thính</v>
      </c>
      <c r="G191" s="229" t="str">
        <f t="shared" ca="1" si="4"/>
        <v>"2084048488" : "nơi chữa bịnh điếc",</v>
      </c>
      <c r="H191" s="229" t="str">
        <f t="shared" si="5"/>
        <v>&lt;li class="col-md-3"&gt;&lt;a class="text-cut" href="javascript:;"(click)="categoryEvent(2084048488)"&gt;{{"2084048488" | translate}}&lt;/a&gt;&lt;/li&gt;</v>
      </c>
    </row>
    <row r="192" spans="1:8" ht="14.25" customHeight="1">
      <c r="A192" s="2">
        <v>2084048489</v>
      </c>
      <c r="B192" s="2" t="s">
        <v>16</v>
      </c>
      <c r="C192" s="2" t="s">
        <v>3612</v>
      </c>
      <c r="D192" s="2" t="s">
        <v>3613</v>
      </c>
      <c r="E192" s="3" t="str">
        <f ca="1">IFERROR(__xludf.DUMMYFUNCTION("GOOGLETRANSLATE(B192,""ja"",""vi"")"),"nếu không thì")</f>
        <v>nếu không thì</v>
      </c>
      <c r="F192" s="3" t="str">
        <f ca="1">IFERROR(__xludf.DUMMYFUNCTION("GOOGLETRANSLATE(C192,""ja"",""vi"")"),"Đấu giá&gt; làm đẹp, chăm sóc sức khỏe&gt; ​​điều dưỡng, chăm sóc điều dưỡng&gt; Khác")</f>
        <v>Đấu giá&gt; làm đẹp, chăm sóc sức khỏe&gt; ​​điều dưỡng, chăm sóc điều dưỡng&gt; Khác</v>
      </c>
      <c r="G192" s="229" t="str">
        <f t="shared" ca="1" si="4"/>
        <v>"2084048489" : "nếu không thì",</v>
      </c>
      <c r="H192" s="229" t="str">
        <f t="shared" si="5"/>
        <v>&lt;li class="col-md-3"&gt;&lt;a class="text-cut" href="javascript:;"(click)="categoryEvent(2084048489)"&gt;{{"2084048489" | translate}}&lt;/a&gt;&lt;/li&gt;</v>
      </c>
    </row>
    <row r="193" spans="1:8" ht="14.25" customHeight="1">
      <c r="E193" s="3"/>
      <c r="F193" s="3"/>
      <c r="G193" s="229"/>
      <c r="H193" s="229"/>
    </row>
    <row r="194" spans="1:8" ht="25.5" customHeight="1">
      <c r="A194" s="264">
        <v>24854</v>
      </c>
      <c r="B194" s="232"/>
      <c r="C194" s="232"/>
      <c r="D194" s="233"/>
      <c r="E194" s="3"/>
      <c r="F194" s="3"/>
      <c r="G194" s="229"/>
      <c r="H194" s="229"/>
    </row>
    <row r="195" spans="1:8" ht="14.25" customHeight="1">
      <c r="A195" s="2">
        <v>2084227181</v>
      </c>
      <c r="B195" s="2" t="s">
        <v>3623</v>
      </c>
      <c r="C195" s="2" t="s">
        <v>3625</v>
      </c>
      <c r="D195" s="2" t="s">
        <v>3627</v>
      </c>
      <c r="E195" s="3" t="str">
        <f ca="1">IFERROR(__xludf.DUMMYFUNCTION("GOOGLETRANSLATE(B195,""ja"",""vi"")"),"mô ướt")</f>
        <v>mô ướt</v>
      </c>
      <c r="F195" s="3" t="str">
        <f ca="1">IFERROR(__xludf.DUMMYFUNCTION("GOOGLETRANSLATE(C195,""ja"",""vi"")"),"Đấu giá&gt; làm đẹp, chăm sóc sức khỏe&gt; ​​cấp cứu, vật tư vệ sinh&gt; mô ướt")</f>
        <v>Đấu giá&gt; làm đẹp, chăm sóc sức khỏe&gt; ​​cấp cứu, vật tư vệ sinh&gt; mô ướt</v>
      </c>
      <c r="G195" s="229" t="str">
        <f t="shared" ref="G195:G224" ca="1" si="6">CONCATENATE(CHAR(34)&amp;"",A195,""&amp;CHAR(34)," : ", CHAR(34)&amp;"",E195,""&amp;CHAR(34),",")</f>
        <v>"2084227181" : "mô ướt",</v>
      </c>
      <c r="H195" s="229" t="str">
        <f t="shared" ref="H195:H224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href="javascript:;"(click)="categoryEvent(2084227181)"&gt;{{"2084227181" | translate}}&lt;/a&gt;&lt;/li&gt;</v>
      </c>
    </row>
    <row r="196" spans="1:8" ht="14.25" customHeight="1">
      <c r="A196" s="2">
        <v>2084227186</v>
      </c>
      <c r="B196" s="2" t="s">
        <v>3631</v>
      </c>
      <c r="C196" s="2" t="s">
        <v>3633</v>
      </c>
      <c r="D196" s="2" t="s">
        <v>3635</v>
      </c>
      <c r="E196" s="3" t="str">
        <f ca="1">IFERROR(__xludf.DUMMYFUNCTION("GOOGLETRANSLATE(B196,""ja"",""vi"")"),"Bông, gạc")</f>
        <v>Bông, gạc</v>
      </c>
      <c r="F196" s="3" t="str">
        <f ca="1">IFERROR(__xludf.DUMMYFUNCTION("GOOGLETRANSLATE(C196,""ja"",""vi"")"),"Đấu giá&gt; làm đẹp, chăm sóc sức khỏe&gt; ​​cấp cứu, vật tư vệ sinh&gt; bông, gạc")</f>
        <v>Đấu giá&gt; làm đẹp, chăm sóc sức khỏe&gt; ​​cấp cứu, vật tư vệ sinh&gt; bông, gạc</v>
      </c>
      <c r="G196" s="229" t="str">
        <f t="shared" ca="1" si="6"/>
        <v>"2084227186" : "Bông, gạc",</v>
      </c>
      <c r="H196" s="229" t="str">
        <f t="shared" si="7"/>
        <v>&lt;li class="col-md-3"&gt;&lt;a class="text-cut" href="javascript:;"(click)="categoryEvent(2084227186)"&gt;{{"2084227186" | translate}}&lt;/a&gt;&lt;/li&gt;</v>
      </c>
    </row>
    <row r="197" spans="1:8" ht="14.25" customHeight="1">
      <c r="A197" s="2">
        <v>2084227184</v>
      </c>
      <c r="B197" s="2" t="s">
        <v>3640</v>
      </c>
      <c r="C197" s="2" t="s">
        <v>3641</v>
      </c>
      <c r="D197" s="2" t="s">
        <v>3642</v>
      </c>
      <c r="E197" s="3" t="str">
        <f ca="1">IFERROR(__xludf.DUMMYFUNCTION("GOOGLETRANSLATE(B197,""ja"",""vi"")"),"mặt nạ")</f>
        <v>mặt nạ</v>
      </c>
      <c r="F197" s="3" t="str">
        <f ca="1">IFERROR(__xludf.DUMMYFUNCTION("GOOGLETRANSLATE(C197,""ja"",""vi"")"),"Đấu giá&gt; làm đẹp, chăm sóc sức khỏe&gt; ​​cấp cứu, vật tư vệ sinh&gt; mặt nạ")</f>
        <v>Đấu giá&gt; làm đẹp, chăm sóc sức khỏe&gt; ​​cấp cứu, vật tư vệ sinh&gt; mặt nạ</v>
      </c>
      <c r="G197" s="229" t="str">
        <f t="shared" ca="1" si="6"/>
        <v>"2084227184" : "mặt nạ",</v>
      </c>
      <c r="H197" s="229" t="str">
        <f t="shared" si="7"/>
        <v>&lt;li class="col-md-3"&gt;&lt;a class="text-cut" href="javascript:;"(click)="categoryEvent(2084227184)"&gt;{{"2084227184" | translate}}&lt;/a&gt;&lt;/li&gt;</v>
      </c>
    </row>
    <row r="198" spans="1:8" ht="14.25" customHeight="1">
      <c r="A198" s="2">
        <v>2084227190</v>
      </c>
      <c r="B198" s="2" t="s">
        <v>3649</v>
      </c>
      <c r="C198" s="2" t="s">
        <v>3650</v>
      </c>
      <c r="D198" s="2" t="s">
        <v>3651</v>
      </c>
      <c r="E198" s="3" t="str">
        <f ca="1">IFERROR(__xludf.DUMMYFUNCTION("GOOGLETRANSLATE(B198,""ja"",""vi"")"),"Một hộp cứu thương")</f>
        <v>Một hộp cứu thương</v>
      </c>
      <c r="F198" s="3" t="str">
        <f ca="1">IFERROR(__xludf.DUMMYFUNCTION("GOOGLETRANSLATE(C198,""ja"",""vi"")"),"Đấu giá&gt; làm đẹp, chăm sóc sức khỏe&gt; ​​cấp cứu, vật tư vệ sinh&gt; túi thuốc cấp cứu")</f>
        <v>Đấu giá&gt; làm đẹp, chăm sóc sức khỏe&gt; ​​cấp cứu, vật tư vệ sinh&gt; túi thuốc cấp cứu</v>
      </c>
      <c r="G198" s="229" t="str">
        <f t="shared" ca="1" si="6"/>
        <v>"2084227190" : "Một hộp cứu thương",</v>
      </c>
      <c r="H198" s="229" t="str">
        <f t="shared" si="7"/>
        <v>&lt;li class="col-md-3"&gt;&lt;a class="text-cut" href="javascript:;"(click)="categoryEvent(2084227190)"&gt;{{"2084227190" | translate}}&lt;/a&gt;&lt;/li&gt;</v>
      </c>
    </row>
    <row r="199" spans="1:8" ht="14.25" customHeight="1">
      <c r="A199" s="2">
        <v>2084227183</v>
      </c>
      <c r="B199" s="2" t="s">
        <v>3658</v>
      </c>
      <c r="C199" s="2" t="s">
        <v>3659</v>
      </c>
      <c r="D199" s="2" t="s">
        <v>3660</v>
      </c>
      <c r="E199" s="3" t="str">
        <f ca="1">IFERROR(__xludf.DUMMYFUNCTION("GOOGLETRANSLATE(B199,""ja"",""vi"")"),"nguồn cung cấp làm sạch tai")</f>
        <v>nguồn cung cấp làm sạch tai</v>
      </c>
      <c r="F199" s="3" t="str">
        <f ca="1">IFERROR(__xludf.DUMMYFUNCTION("GOOGLETRANSLATE(C199,""ja"",""vi"")"),"Đấu giá&gt; làm đẹp, chăm sóc sức khỏe&gt; ​​cấp cứu, vật tư vệ sinh&gt; làm sạch tai nguồn cung cấp")</f>
        <v>Đấu giá&gt; làm đẹp, chăm sóc sức khỏe&gt; ​​cấp cứu, vật tư vệ sinh&gt; làm sạch tai nguồn cung cấp</v>
      </c>
      <c r="G199" s="229" t="str">
        <f t="shared" ca="1" si="6"/>
        <v>"2084227183" : "nguồn cung cấp làm sạch tai",</v>
      </c>
      <c r="H199" s="229" t="str">
        <f t="shared" si="7"/>
        <v>&lt;li class="col-md-3"&gt;&lt;a class="text-cut" href="javascript:;"(click)="categoryEvent(2084227183)"&gt;{{"2084227183" | translate}}&lt;/a&gt;&lt;/li&gt;</v>
      </c>
    </row>
    <row r="200" spans="1:8" ht="14.25" customHeight="1">
      <c r="A200" s="2">
        <v>2084227182</v>
      </c>
      <c r="B200" s="2" t="s">
        <v>3665</v>
      </c>
      <c r="C200" s="2" t="s">
        <v>3667</v>
      </c>
      <c r="D200" s="2" t="s">
        <v>3671</v>
      </c>
      <c r="E200" s="3" t="str">
        <f ca="1">IFERROR(__xludf.DUMMYFUNCTION("GOOGLETRANSLATE(B200,""ja"",""vi"")"),"băng vệ sinh")</f>
        <v>băng vệ sinh</v>
      </c>
      <c r="F200" s="3" t="str">
        <f ca="1">IFERROR(__xludf.DUMMYFUNCTION("GOOGLETRANSLATE(C200,""ja"",""vi"")"),"Đấu giá&gt; làm đẹp, chăm sóc sức khỏe&gt; ​​cấp cứu, các sản phẩm vệ sinh&gt; băng vệ sinh")</f>
        <v>Đấu giá&gt; làm đẹp, chăm sóc sức khỏe&gt; ​​cấp cứu, các sản phẩm vệ sinh&gt; băng vệ sinh</v>
      </c>
      <c r="G200" s="229" t="str">
        <f t="shared" ca="1" si="6"/>
        <v>"2084227182" : "băng vệ sinh",</v>
      </c>
      <c r="H200" s="229" t="str">
        <f t="shared" si="7"/>
        <v>&lt;li class="col-md-3"&gt;&lt;a class="text-cut" href="javascript:;"(click)="categoryEvent(2084227182)"&gt;{{"2084227182" | translate}}&lt;/a&gt;&lt;/li&gt;</v>
      </c>
    </row>
    <row r="201" spans="1:8" ht="14.25" customHeight="1">
      <c r="A201" s="2">
        <v>2084227185</v>
      </c>
      <c r="B201" s="2" t="s">
        <v>2904</v>
      </c>
      <c r="C201" s="2" t="s">
        <v>3673</v>
      </c>
      <c r="D201" s="2" t="s">
        <v>3675</v>
      </c>
      <c r="E201" s="3" t="str">
        <f ca="1">IFERROR(__xludf.DUMMYFUNCTION("GOOGLETRANSLATE(B201,""ja"",""vi"")"),"cắt móng tay")</f>
        <v>cắt móng tay</v>
      </c>
      <c r="F201" s="3" t="str">
        <f ca="1">IFERROR(__xludf.DUMMYFUNCTION("GOOGLETRANSLATE(C201,""ja"",""vi"")"),"Đấu giá&gt; làm đẹp, chăm sóc sức khỏe&gt; ​​cấp cứu, vật tư vệ sinh&gt; cắt móng tay")</f>
        <v>Đấu giá&gt; làm đẹp, chăm sóc sức khỏe&gt; ​​cấp cứu, vật tư vệ sinh&gt; cắt móng tay</v>
      </c>
      <c r="G201" s="229" t="str">
        <f t="shared" ca="1" si="6"/>
        <v>"2084227185" : "cắt móng tay",</v>
      </c>
      <c r="H201" s="229" t="str">
        <f t="shared" si="7"/>
        <v>&lt;li class="col-md-3"&gt;&lt;a class="text-cut" href="javascript:;"(click)="categoryEvent(2084227185)"&gt;{{"2084227185" | translate}}&lt;/a&gt;&lt;/li&gt;</v>
      </c>
    </row>
    <row r="202" spans="1:8" ht="14.25" customHeight="1">
      <c r="A202" s="2">
        <v>2084227187</v>
      </c>
      <c r="B202" s="2" t="s">
        <v>3681</v>
      </c>
      <c r="C202" s="2" t="s">
        <v>3682</v>
      </c>
      <c r="D202" s="2" t="s">
        <v>3683</v>
      </c>
      <c r="E202" s="3" t="str">
        <f ca="1">IFERROR(__xludf.DUMMYFUNCTION("GOOGLETRANSLATE(B202,""ja"",""vi"")"),"băng cứu thương")</f>
        <v>băng cứu thương</v>
      </c>
      <c r="F202" s="3" t="str">
        <f ca="1">IFERROR(__xludf.DUMMYFUNCTION("GOOGLETRANSLATE(C202,""ja"",""vi"")"),"Đấu giá&gt; làm đẹp, chăm sóc sức khỏe&gt; ​​cấp cứu, vật tư vệ sinh&gt; băng")</f>
        <v>Đấu giá&gt; làm đẹp, chăm sóc sức khỏe&gt; ​​cấp cứu, vật tư vệ sinh&gt; băng</v>
      </c>
      <c r="G202" s="229" t="str">
        <f t="shared" ca="1" si="6"/>
        <v>"2084227187" : "băng cứu thương",</v>
      </c>
      <c r="H202" s="229" t="str">
        <f t="shared" si="7"/>
        <v>&lt;li class="col-md-3"&gt;&lt;a class="text-cut" href="javascript:;"(click)="categoryEvent(2084227187)"&gt;{{"2084227187" | translate}}&lt;/a&gt;&lt;/li&gt;</v>
      </c>
    </row>
    <row r="203" spans="1:8" ht="14.25" customHeight="1">
      <c r="A203" s="2">
        <v>2084227189</v>
      </c>
      <c r="B203" s="2" t="s">
        <v>3687</v>
      </c>
      <c r="C203" s="2" t="s">
        <v>3688</v>
      </c>
      <c r="D203" s="2" t="s">
        <v>3690</v>
      </c>
      <c r="E203" s="3" t="str">
        <f ca="1">IFERROR(__xludf.DUMMYFUNCTION("GOOGLETRANSLATE(B203,""ja"",""vi"")"),"cảm giác lạnh và tấm ấm áp")</f>
        <v>cảm giác lạnh và tấm ấm áp</v>
      </c>
      <c r="F203" s="3" t="str">
        <f ca="1">IFERROR(__xludf.DUMMYFUNCTION("GOOGLETRANSLATE(C203,""ja"",""vi"")"),"Đấu giá&gt; làm đẹp, chăm sóc sức khỏe&gt; ​​cấp cứu, vật tư vệ sinh&gt; cảm giác lạnh và tấm ấm áp")</f>
        <v>Đấu giá&gt; làm đẹp, chăm sóc sức khỏe&gt; ​​cấp cứu, vật tư vệ sinh&gt; cảm giác lạnh và tấm ấm áp</v>
      </c>
      <c r="G203" s="229" t="str">
        <f t="shared" ca="1" si="6"/>
        <v>"2084227189" : "cảm giác lạnh và tấm ấm áp",</v>
      </c>
      <c r="H203" s="229" t="str">
        <f t="shared" si="7"/>
        <v>&lt;li class="col-md-3"&gt;&lt;a class="text-cut" href="javascript:;"(click)="categoryEvent(2084227189)"&gt;{{"2084227189" | translate}}&lt;/a&gt;&lt;/li&gt;</v>
      </c>
    </row>
    <row r="204" spans="1:8" ht="14.25" customHeight="1">
      <c r="A204" s="2">
        <v>2084227188</v>
      </c>
      <c r="B204" s="2" t="s">
        <v>3695</v>
      </c>
      <c r="C204" s="2" t="s">
        <v>3696</v>
      </c>
      <c r="D204" s="2" t="s">
        <v>3698</v>
      </c>
      <c r="E204" s="3" t="str">
        <f ca="1">IFERROR(__xludf.DUMMYFUNCTION("GOOGLETRANSLATE(B204,""ja"",""vi"")"),"thuốc cao dán")</f>
        <v>thuốc cao dán</v>
      </c>
      <c r="F204" s="3" t="str">
        <f ca="1">IFERROR(__xludf.DUMMYFUNCTION("GOOGLETRANSLATE(C204,""ja"",""vi"")"),"Đấu giá&gt; làm đẹp, chăm sóc sức khỏe&gt; ​​cấp cứu, vật tư vệ sinh&gt; băng")</f>
        <v>Đấu giá&gt; làm đẹp, chăm sóc sức khỏe&gt; ​​cấp cứu, vật tư vệ sinh&gt; băng</v>
      </c>
      <c r="G204" s="229" t="str">
        <f t="shared" ca="1" si="6"/>
        <v>"2084227188" : "thuốc cao dán",</v>
      </c>
      <c r="H204" s="229" t="str">
        <f t="shared" si="7"/>
        <v>&lt;li class="col-md-3"&gt;&lt;a class="text-cut" href="javascript:;"(click)="categoryEvent(2084227188)"&gt;{{"2084227188" | translate}}&lt;/a&gt;&lt;/li&gt;</v>
      </c>
    </row>
    <row r="205" spans="1:8" ht="14.25" customHeight="1">
      <c r="A205" s="2">
        <v>2084227191</v>
      </c>
      <c r="B205" s="2" t="s">
        <v>16</v>
      </c>
      <c r="C205" s="2" t="s">
        <v>3702</v>
      </c>
      <c r="D205" s="2" t="s">
        <v>3703</v>
      </c>
      <c r="E205" s="3" t="str">
        <f ca="1">IFERROR(__xludf.DUMMYFUNCTION("GOOGLETRANSLATE(B205,""ja"",""vi"")"),"nếu không thì")</f>
        <v>nếu không thì</v>
      </c>
      <c r="F205" s="3" t="str">
        <f ca="1">IFERROR(__xludf.DUMMYFUNCTION("GOOGLETRANSLATE(C205,""ja"",""vi"")"),"Đấu giá&gt; làm đẹp, chăm sóc sức khỏe&gt; ​​cấp cứu, vật tư vệ sinh&gt; Khác")</f>
        <v>Đấu giá&gt; làm đẹp, chăm sóc sức khỏe&gt; ​​cấp cứu, vật tư vệ sinh&gt; Khác</v>
      </c>
      <c r="G205" s="229" t="str">
        <f t="shared" ca="1" si="6"/>
        <v>"2084227191" : "nếu không thì",</v>
      </c>
      <c r="H205" s="229" t="str">
        <f t="shared" si="7"/>
        <v>&lt;li class="col-md-3"&gt;&lt;a class="text-cut" href="javascript:;"(click)="categoryEvent(2084227191)"&gt;{{"2084227191" | translate}}&lt;/a&gt;&lt;/li&gt;</v>
      </c>
    </row>
    <row r="206" spans="1:8" ht="14.25" customHeight="1">
      <c r="E206" s="3"/>
      <c r="F206" s="3"/>
      <c r="G206" s="229"/>
      <c r="H206" s="229"/>
    </row>
    <row r="207" spans="1:8" ht="25.5" customHeight="1">
      <c r="A207" s="254">
        <v>2084042544</v>
      </c>
      <c r="B207" s="232"/>
      <c r="C207" s="232"/>
      <c r="D207" s="233"/>
      <c r="E207" s="3"/>
      <c r="F207" s="3"/>
      <c r="G207" s="229"/>
      <c r="H207" s="229"/>
    </row>
    <row r="208" spans="1:8" ht="14.25" customHeight="1">
      <c r="A208" s="2">
        <v>2084007441</v>
      </c>
      <c r="B208" s="2" t="s">
        <v>2984</v>
      </c>
      <c r="C208" s="2" t="s">
        <v>3713</v>
      </c>
      <c r="D208" s="2" t="s">
        <v>3714</v>
      </c>
      <c r="E208" s="3" t="str">
        <f ca="1">IFERROR(__xludf.DUMMYFUNCTION("GOOGLETRANSLATE(B208,""ja"",""vi"")"),"tóc giả")</f>
        <v>tóc giả</v>
      </c>
      <c r="F208" s="3" t="str">
        <f ca="1">IFERROR(__xludf.DUMMYFUNCTION("GOOGLETRANSLATE(C208,""ja"",""vi"")"),"Đấu giá&gt; làm đẹp, chăm sóc sức khỏe&gt; ​​nguồn cung cấp sức khỏe, thiết bị y tế&gt; tóc giả")</f>
        <v>Đấu giá&gt; làm đẹp, chăm sóc sức khỏe&gt; ​​nguồn cung cấp sức khỏe, thiết bị y tế&gt; tóc giả</v>
      </c>
      <c r="G208" s="229" t="str">
        <f t="shared" ca="1" si="6"/>
        <v>"2084007441" : "tóc giả",</v>
      </c>
      <c r="H208" s="229" t="str">
        <f t="shared" si="7"/>
        <v>&lt;li class="col-md-3"&gt;&lt;a class="text-cut" href="javascript:;"(click)="categoryEvent(2084007441)"&gt;{{"2084007441" | translate}}&lt;/a&gt;&lt;/li&gt;</v>
      </c>
    </row>
    <row r="209" spans="1:8" ht="14.25" customHeight="1">
      <c r="A209" s="2">
        <v>2084216481</v>
      </c>
      <c r="B209" s="2" t="s">
        <v>3720</v>
      </c>
      <c r="C209" s="2" t="s">
        <v>3721</v>
      </c>
      <c r="D209" s="2" t="s">
        <v>3722</v>
      </c>
      <c r="E209" s="3" t="str">
        <f ca="1">IFERROR(__xludf.DUMMYFUNCTION("GOOGLETRANSLATE(B209,""ja"",""vi"")"),"người ủng hộ")</f>
        <v>người ủng hộ</v>
      </c>
      <c r="F209" s="3" t="str">
        <f ca="1">IFERROR(__xludf.DUMMYFUNCTION("GOOGLETRANSLATE(C209,""ja"",""vi"")"),"Đấu giá&gt; làm đẹp, chăm sóc sức khỏe&gt; ​​nguồn cung cấp sức khỏe, thiết bị y tế&gt; ủng hộ")</f>
        <v>Đấu giá&gt; làm đẹp, chăm sóc sức khỏe&gt; ​​nguồn cung cấp sức khỏe, thiết bị y tế&gt; ủng hộ</v>
      </c>
      <c r="G209" s="229" t="str">
        <f t="shared" ca="1" si="6"/>
        <v>"2084216481" : "người ủng hộ",</v>
      </c>
      <c r="H209" s="229" t="str">
        <f t="shared" si="7"/>
        <v>&lt;li class="col-md-3"&gt;&lt;a class="text-cut" href="javascript:;"(click)="categoryEvent(2084216481)"&gt;{{"2084216481" | translate}}&lt;/a&gt;&lt;/li&gt;</v>
      </c>
    </row>
    <row r="210" spans="1:8" ht="14.25" customHeight="1">
      <c r="A210" s="2">
        <v>2084006900</v>
      </c>
      <c r="B210" s="2" t="s">
        <v>3723</v>
      </c>
      <c r="C210" s="2" t="s">
        <v>3725</v>
      </c>
      <c r="D210" s="2" t="s">
        <v>3727</v>
      </c>
      <c r="E210" s="3" t="str">
        <f ca="1">IFERROR(__xludf.DUMMYFUNCTION("GOOGLETRANSLATE(B210,""ja"",""vi"")"),"Kiểm tra, dụng cụ đo lường")</f>
        <v>Kiểm tra, dụng cụ đo lường</v>
      </c>
      <c r="F210" s="3" t="str">
        <f ca="1">IFERROR(__xludf.DUMMYFUNCTION("GOOGLETRANSLATE(C210,""ja"",""vi"")"),"Đấu giá&gt; cụ làm đẹp, chăm sóc sức khỏe&gt; ​​nguồn cung cấp sức khỏe, thiết bị y tế&gt; kiểm tra, đo lường")</f>
        <v>Đấu giá&gt; cụ làm đẹp, chăm sóc sức khỏe&gt; ​​nguồn cung cấp sức khỏe, thiết bị y tế&gt; kiểm tra, đo lường</v>
      </c>
      <c r="G210" s="229" t="str">
        <f t="shared" ca="1" si="6"/>
        <v>"2084006900" : "Kiểm tra, dụng cụ đo lường",</v>
      </c>
      <c r="H210" s="229" t="str">
        <f t="shared" si="7"/>
        <v>&lt;li class="col-md-3"&gt;&lt;a class="text-cut" href="javascript:;"(click)="categoryEvent(2084006900)"&gt;{{"2084006900" | translate}}&lt;/a&gt;&lt;/li&gt;</v>
      </c>
    </row>
    <row r="211" spans="1:8" ht="14.25" customHeight="1">
      <c r="A211" s="2">
        <v>2084006916</v>
      </c>
      <c r="B211" s="2" t="s">
        <v>3733</v>
      </c>
      <c r="C211" s="2" t="s">
        <v>3735</v>
      </c>
      <c r="D211" s="2" t="s">
        <v>3737</v>
      </c>
      <c r="E211" s="3" t="str">
        <f ca="1">IFERROR(__xludf.DUMMYFUNCTION("GOOGLETRANSLATE(B211,""ja"",""vi"")"),"phụ kiện Magnetic")</f>
        <v>phụ kiện Magnetic</v>
      </c>
      <c r="F211" s="3" t="str">
        <f ca="1">IFERROR(__xludf.DUMMYFUNCTION("GOOGLETRANSLATE(C211,""ja"",""vi"")"),"Đấu giá&gt; làm đẹp, chăm sóc sức khỏe&gt; ​​nguồn cung cấp sức khỏe, thiết bị y tế&gt; phụ kiện từ")</f>
        <v>Đấu giá&gt; làm đẹp, chăm sóc sức khỏe&gt; ​​nguồn cung cấp sức khỏe, thiết bị y tế&gt; phụ kiện từ</v>
      </c>
      <c r="G211" s="229" t="str">
        <f t="shared" ca="1" si="6"/>
        <v>"2084006916" : "phụ kiện Magnetic",</v>
      </c>
      <c r="H211" s="229" t="str">
        <f t="shared" si="7"/>
        <v>&lt;li class="col-md-3"&gt;&lt;a class="text-cut" href="javascript:;"(click)="categoryEvent(2084006916)"&gt;{{"2084006916" | translate}}&lt;/a&gt;&lt;/li&gt;</v>
      </c>
    </row>
    <row r="212" spans="1:8" ht="14.25" customHeight="1">
      <c r="A212" s="2">
        <v>2084012480</v>
      </c>
      <c r="B212" s="2" t="s">
        <v>3742</v>
      </c>
      <c r="C212" s="2" t="s">
        <v>3744</v>
      </c>
      <c r="D212" s="2" t="s">
        <v>3746</v>
      </c>
      <c r="E212" s="3" t="str">
        <f ca="1">IFERROR(__xludf.DUMMYFUNCTION("GOOGLETRANSLATE(B212,""ja"",""vi"")"),"Mía, mía")</f>
        <v>Mía, mía</v>
      </c>
      <c r="F212" s="3" t="str">
        <f ca="1">IFERROR(__xludf.DUMMYFUNCTION("GOOGLETRANSLATE(C212,""ja"",""vi"")"),"Đấu giá&gt; làm đẹp, chăm sóc sức khỏe&gt; ​​nguồn cung cấp sức khỏe, thiết bị y tế&gt; mía, mía")</f>
        <v>Đấu giá&gt; làm đẹp, chăm sóc sức khỏe&gt; ​​nguồn cung cấp sức khỏe, thiết bị y tế&gt; mía, mía</v>
      </c>
      <c r="G212" s="229" t="str">
        <f t="shared" ca="1" si="6"/>
        <v>"2084012480" : "Mía, mía",</v>
      </c>
      <c r="H212" s="229" t="str">
        <f t="shared" si="7"/>
        <v>&lt;li class="col-md-3"&gt;&lt;a class="text-cut" href="javascript:;"(click)="categoryEvent(2084012480)"&gt;{{"2084012480" | translate}}&lt;/a&gt;&lt;/li&gt;</v>
      </c>
    </row>
    <row r="213" spans="1:8" ht="14.25" customHeight="1">
      <c r="A213" s="2">
        <v>2084042545</v>
      </c>
      <c r="B213" s="2" t="s">
        <v>16</v>
      </c>
      <c r="C213" s="2" t="s">
        <v>3750</v>
      </c>
      <c r="D213" s="2" t="s">
        <v>3752</v>
      </c>
      <c r="E213" s="3" t="str">
        <f ca="1">IFERROR(__xludf.DUMMYFUNCTION("GOOGLETRANSLATE(B213,""ja"",""vi"")"),"nếu không thì")</f>
        <v>nếu không thì</v>
      </c>
      <c r="F213" s="3" t="str">
        <f ca="1">IFERROR(__xludf.DUMMYFUNCTION("GOOGLETRANSLATE(C213,""ja"",""vi"")"),"Đấu giá&gt; Làm đẹp, chăm sóc sức khỏe&gt; ​​nguồn cung cấp sức khỏe, thiết bị y tế&gt; Khác")</f>
        <v>Đấu giá&gt; Làm đẹp, chăm sóc sức khỏe&gt; ​​nguồn cung cấp sức khỏe, thiết bị y tế&gt; Khác</v>
      </c>
      <c r="G213" s="229" t="str">
        <f t="shared" ca="1" si="6"/>
        <v>"2084042545" : "nếu không thì",</v>
      </c>
      <c r="H213" s="229" t="str">
        <f t="shared" si="7"/>
        <v>&lt;li class="col-md-3"&gt;&lt;a class="text-cut" href="javascript:;"(click)="categoryEvent(2084042545)"&gt;{{"2084042545" | translate}}&lt;/a&gt;&lt;/li&gt;</v>
      </c>
    </row>
    <row r="214" spans="1:8" ht="14.25" customHeight="1">
      <c r="E214" s="3"/>
      <c r="F214" s="3"/>
      <c r="G214" s="229"/>
      <c r="H214" s="229"/>
    </row>
    <row r="215" spans="1:8" ht="14.25" customHeight="1">
      <c r="A215" s="249">
        <v>2084007477</v>
      </c>
      <c r="B215" s="232"/>
      <c r="C215" s="232"/>
      <c r="D215" s="233"/>
      <c r="E215" s="3"/>
      <c r="F215" s="3"/>
      <c r="G215" s="229"/>
      <c r="H215" s="229"/>
    </row>
    <row r="216" spans="1:8" ht="14.25" customHeight="1">
      <c r="A216" s="2">
        <v>2084055371</v>
      </c>
      <c r="B216" s="2" t="s">
        <v>1677</v>
      </c>
      <c r="C216" s="2" t="s">
        <v>3760</v>
      </c>
      <c r="D216" s="2" t="s">
        <v>3762</v>
      </c>
      <c r="E216" s="3" t="str">
        <f ca="1">IFERROR(__xludf.DUMMYFUNCTION("GOOGLETRANSLATE(B216,""ja"",""vi"")"),"Chăm sóc móng tay")</f>
        <v>Chăm sóc móng tay</v>
      </c>
      <c r="F216" s="3" t="str">
        <f ca="1">IFERROR(__xludf.DUMMYFUNCTION("GOOGLETRANSLATE(C216,""ja"",""vi"")"),"Đấu giá&gt; thiết bị điện tử tiêu dùng, AV, camera&gt; vẻ đẹp, sức khỏe&gt; ​​Thiết bị vẻ đẹp&gt; Chăm sóc móng")</f>
        <v>Đấu giá&gt; thiết bị điện tử tiêu dùng, AV, camera&gt; vẻ đẹp, sức khỏe&gt; ​​Thiết bị vẻ đẹp&gt; Chăm sóc móng</v>
      </c>
      <c r="G216" s="229" t="str">
        <f t="shared" ca="1" si="6"/>
        <v>"2084055371" : "Chăm sóc móng tay",</v>
      </c>
      <c r="H216" s="229" t="str">
        <f t="shared" si="7"/>
        <v>&lt;li class="col-md-3"&gt;&lt;a class="text-cut" href="javascript:;"(click)="categoryEvent(2084055371)"&gt;{{"2084055371" | translate}}&lt;/a&gt;&lt;/li&gt;</v>
      </c>
    </row>
    <row r="217" spans="1:8" ht="14.25" customHeight="1">
      <c r="A217" s="2">
        <v>2084055372</v>
      </c>
      <c r="B217" s="2" t="s">
        <v>3763</v>
      </c>
      <c r="C217" s="2" t="s">
        <v>3764</v>
      </c>
      <c r="D217" s="2" t="s">
        <v>3766</v>
      </c>
      <c r="E217" s="3" t="str">
        <f ca="1">IFERROR(__xludf.DUMMYFUNCTION("GOOGLETRANSLATE(B217,""ja"",""vi"")"),"Chăm sóc mặt")</f>
        <v>Chăm sóc mặt</v>
      </c>
      <c r="F217" s="3" t="str">
        <f ca="1">IFERROR(__xludf.DUMMYFUNCTION("GOOGLETRANSLATE(C217,""ja"",""vi"")"),"Đấu giá&gt; thiết bị điện tử tiêu dùng, AV, camera&gt; vẻ đẹp, sức khỏe&gt; ​​Thiết bị vẻ đẹp&gt; Chăm sóc mặt")</f>
        <v>Đấu giá&gt; thiết bị điện tử tiêu dùng, AV, camera&gt; vẻ đẹp, sức khỏe&gt; ​​Thiết bị vẻ đẹp&gt; Chăm sóc mặt</v>
      </c>
      <c r="G217" s="229" t="str">
        <f t="shared" ca="1" si="6"/>
        <v>"2084055372" : "Chăm sóc mặt",</v>
      </c>
      <c r="H217" s="229" t="str">
        <f t="shared" si="7"/>
        <v>&lt;li class="col-md-3"&gt;&lt;a class="text-cut" href="javascript:;"(click)="categoryEvent(2084055372)"&gt;{{"2084055372" | translate}}&lt;/a&gt;&lt;/li&gt;</v>
      </c>
    </row>
    <row r="218" spans="1:8" ht="14.25" customHeight="1">
      <c r="A218" s="2">
        <v>2084055373</v>
      </c>
      <c r="B218" s="2" t="s">
        <v>1696</v>
      </c>
      <c r="C218" s="2" t="s">
        <v>3769</v>
      </c>
      <c r="D218" s="2" t="s">
        <v>3770</v>
      </c>
      <c r="E218" s="3" t="str">
        <f ca="1">IFERROR(__xludf.DUMMYFUNCTION("GOOGLETRANSLATE(B218,""ja"",""vi"")"),"chăm sóc tóc")</f>
        <v>chăm sóc tóc</v>
      </c>
      <c r="F218" s="3" t="str">
        <f ca="1">IFERROR(__xludf.DUMMYFUNCTION("GOOGLETRANSLATE(C218,""ja"",""vi"")"),"Đấu giá&gt; thiết bị điện tử tiêu dùng, AV, camera&gt; vẻ đẹp, sức khỏe&gt; ​​Thiết bị vẻ đẹp&gt; Chăm sóc tóc")</f>
        <v>Đấu giá&gt; thiết bị điện tử tiêu dùng, AV, camera&gt; vẻ đẹp, sức khỏe&gt; ​​Thiết bị vẻ đẹp&gt; Chăm sóc tóc</v>
      </c>
      <c r="G218" s="229" t="str">
        <f t="shared" ca="1" si="6"/>
        <v>"2084055373" : "chăm sóc tóc",</v>
      </c>
      <c r="H218" s="229" t="str">
        <f t="shared" si="7"/>
        <v>&lt;li class="col-md-3"&gt;&lt;a class="text-cut" href="javascript:;"(click)="categoryEvent(2084055373)"&gt;{{"2084055373" | translate}}&lt;/a&gt;&lt;/li&gt;</v>
      </c>
    </row>
    <row r="219" spans="1:8" ht="14.25" customHeight="1">
      <c r="A219" s="2">
        <v>2084055374</v>
      </c>
      <c r="B219" s="2" t="s">
        <v>2485</v>
      </c>
      <c r="C219" s="2" t="s">
        <v>3774</v>
      </c>
      <c r="D219" s="2" t="s">
        <v>3775</v>
      </c>
      <c r="E219" s="3" t="str">
        <f ca="1">IFERROR(__xludf.DUMMYFUNCTION("GOOGLETRANSLATE(B219,""ja"",""vi"")"),"Chăm sóc cơ thể")</f>
        <v>Chăm sóc cơ thể</v>
      </c>
      <c r="F219" s="3" t="str">
        <f ca="1">IFERROR(__xludf.DUMMYFUNCTION("GOOGLETRANSLATE(C219,""ja"",""vi"")"),"Đấu giá&gt; thiết bị điện tử tiêu dùng, AV, camera&gt; vẻ đẹp, sức khỏe&gt; ​​Thiết bị vẻ đẹp&gt; Chăm sóc cơ thể")</f>
        <v>Đấu giá&gt; thiết bị điện tử tiêu dùng, AV, camera&gt; vẻ đẹp, sức khỏe&gt; ​​Thiết bị vẻ đẹp&gt; Chăm sóc cơ thể</v>
      </c>
      <c r="G219" s="229" t="str">
        <f t="shared" ca="1" si="6"/>
        <v>"2084055374" : "Chăm sóc cơ thể",</v>
      </c>
      <c r="H219" s="229" t="str">
        <f t="shared" si="7"/>
        <v>&lt;li class="col-md-3"&gt;&lt;a class="text-cut" href="javascript:;"(click)="categoryEvent(2084055374)"&gt;{{"2084055374" | translate}}&lt;/a&gt;&lt;/li&gt;</v>
      </c>
    </row>
    <row r="220" spans="1:8" ht="14.25" customHeight="1">
      <c r="A220" s="2">
        <v>2084006921</v>
      </c>
      <c r="B220" s="2" t="s">
        <v>3333</v>
      </c>
      <c r="C220" s="2" t="s">
        <v>3779</v>
      </c>
      <c r="D220" s="2" t="s">
        <v>3780</v>
      </c>
      <c r="E220" s="3" t="str">
        <f ca="1">IFERROR(__xludf.DUMMYFUNCTION("GOOGLETRANSLATE(B220,""ja"",""vi"")"),"mét mỡ cơ thể")</f>
        <v>mét mỡ cơ thể</v>
      </c>
      <c r="F220" s="3" t="str">
        <f ca="1">IFERROR(__xludf.DUMMYFUNCTION("GOOGLETRANSLATE(C220,""ja"",""vi"")"),"Đấu giá&gt; thiết bị điện tử tiêu dùng, AV, camera&gt; vẻ đẹp, sức khỏe&gt; ​​Thiết bị vẻ đẹp&gt; mét mỡ cơ thể")</f>
        <v>Đấu giá&gt; thiết bị điện tử tiêu dùng, AV, camera&gt; vẻ đẹp, sức khỏe&gt; ​​Thiết bị vẻ đẹp&gt; mét mỡ cơ thể</v>
      </c>
      <c r="G220" s="229" t="str">
        <f t="shared" ca="1" si="6"/>
        <v>"2084006921" : "mét mỡ cơ thể",</v>
      </c>
      <c r="H220" s="229" t="str">
        <f t="shared" si="7"/>
        <v>&lt;li class="col-md-3"&gt;&lt;a class="text-cut" href="javascript:;"(click)="categoryEvent(2084006921)"&gt;{{"2084006921" | translate}}&lt;/a&gt;&lt;/li&gt;</v>
      </c>
    </row>
    <row r="221" spans="1:8" ht="14.25" customHeight="1">
      <c r="A221" s="2">
        <v>2084006922</v>
      </c>
      <c r="B221" s="2" t="s">
        <v>3342</v>
      </c>
      <c r="C221" s="2" t="s">
        <v>3784</v>
      </c>
      <c r="D221" s="2" t="s">
        <v>3785</v>
      </c>
      <c r="E221" s="3" t="str">
        <f ca="1">IFERROR(__xludf.DUMMYFUNCTION("GOOGLETRANSLATE(B221,""ja"",""vi"")"),"quy mô nặng")</f>
        <v>quy mô nặng</v>
      </c>
      <c r="F221" s="3" t="str">
        <f ca="1">IFERROR(__xludf.DUMMYFUNCTION("GOOGLETRANSLATE(C221,""ja"",""vi"")"),"Đấu giá&gt; thiết bị điện tử tiêu dùng, AV, camera&gt; vẻ đẹp, sức khỏe&gt; ​​Thiết bị vẻ đẹp&gt; vảy")</f>
        <v>Đấu giá&gt; thiết bị điện tử tiêu dùng, AV, camera&gt; vẻ đẹp, sức khỏe&gt; ​​Thiết bị vẻ đẹp&gt; vảy</v>
      </c>
      <c r="G221" s="229" t="str">
        <f t="shared" ca="1" si="6"/>
        <v>"2084006922" : "quy mô nặng",</v>
      </c>
      <c r="H221" s="229" t="str">
        <f t="shared" si="7"/>
        <v>&lt;li class="col-md-3"&gt;&lt;a class="text-cut" href="javascript:;"(click)="categoryEvent(2084006922)"&gt;{{"2084006922" | translate}}&lt;/a&gt;&lt;/li&gt;</v>
      </c>
    </row>
    <row r="222" spans="1:8" ht="14.25" customHeight="1">
      <c r="A222" s="2">
        <v>2084055370</v>
      </c>
      <c r="B222" s="2" t="s">
        <v>3790</v>
      </c>
      <c r="C222" s="2" t="s">
        <v>3792</v>
      </c>
      <c r="D222" s="2" t="s">
        <v>3794</v>
      </c>
      <c r="E222" s="3" t="str">
        <f ca="1">IFERROR(__xludf.DUMMYFUNCTION("GOOGLETRANSLATE(B222,""ja"",""vi"")"),"tẩy lông, tẩy lông")</f>
        <v>tẩy lông, tẩy lông</v>
      </c>
      <c r="F222" s="3" t="str">
        <f ca="1">IFERROR(__xludf.DUMMYFUNCTION("GOOGLETRANSLATE(C222,""ja"",""vi"")"),"Đấu giá&gt; thiết bị điện tử tiêu dùng, AV, camera&gt; vẻ đẹp, sức khỏe&gt; ​​Thiết bị sắc đẹp&gt; tẩy lông, tẩy lông")</f>
        <v>Đấu giá&gt; thiết bị điện tử tiêu dùng, AV, camera&gt; vẻ đẹp, sức khỏe&gt; ​​Thiết bị sắc đẹp&gt; tẩy lông, tẩy lông</v>
      </c>
      <c r="G222" s="229" t="str">
        <f t="shared" ca="1" si="6"/>
        <v>"2084055370" : "tẩy lông, tẩy lông",</v>
      </c>
      <c r="H222" s="229" t="str">
        <f t="shared" si="7"/>
        <v>&lt;li class="col-md-3"&gt;&lt;a class="text-cut" href="javascript:;"(click)="categoryEvent(2084055370)"&gt;{{"2084055370" | translate}}&lt;/a&gt;&lt;/li&gt;</v>
      </c>
    </row>
    <row r="223" spans="1:8" ht="14.25" customHeight="1">
      <c r="A223" s="2">
        <v>2084044972</v>
      </c>
      <c r="B223" s="2" t="s">
        <v>3798</v>
      </c>
      <c r="C223" s="2" t="s">
        <v>3799</v>
      </c>
      <c r="D223" s="2" t="s">
        <v>3801</v>
      </c>
      <c r="E223" s="3" t="str">
        <f ca="1">IFERROR(__xludf.DUMMYFUNCTION("GOOGLETRANSLATE(B223,""ja"",""vi"")"),"bàn chải đánh răng điện")</f>
        <v>bàn chải đánh răng điện</v>
      </c>
      <c r="F223" s="3" t="str">
        <f ca="1">IFERROR(__xludf.DUMMYFUNCTION("GOOGLETRANSLATE(C223,""ja"",""vi"")"),"Đấu giá&gt; thiết bị điện tử tiêu dùng, AV, camera&gt; vẻ đẹp, sức khỏe&gt; ​​Thiết bị vẻ đẹp&gt; bàn chải đánh răng điện")</f>
        <v>Đấu giá&gt; thiết bị điện tử tiêu dùng, AV, camera&gt; vẻ đẹp, sức khỏe&gt; ​​Thiết bị vẻ đẹp&gt; bàn chải đánh răng điện</v>
      </c>
      <c r="G223" s="229" t="str">
        <f t="shared" ca="1" si="6"/>
        <v>"2084044972" : "bàn chải đánh răng điện",</v>
      </c>
      <c r="H223" s="229" t="str">
        <f t="shared" si="7"/>
        <v>&lt;li class="col-md-3"&gt;&lt;a class="text-cut" href="javascript:;"(click)="categoryEvent(2084044972)"&gt;{{"2084044972" | translate}}&lt;/a&gt;&lt;/li&gt;</v>
      </c>
    </row>
    <row r="224" spans="1:8" ht="14.25" customHeight="1">
      <c r="A224" s="2">
        <v>2084055375</v>
      </c>
      <c r="B224" s="2" t="s">
        <v>16</v>
      </c>
      <c r="C224" s="2" t="s">
        <v>3807</v>
      </c>
      <c r="D224" s="2" t="s">
        <v>3808</v>
      </c>
      <c r="E224" s="3" t="str">
        <f ca="1">IFERROR(__xludf.DUMMYFUNCTION("GOOGLETRANSLATE(B224,""ja"",""vi"")"),"nếu không thì")</f>
        <v>nếu không thì</v>
      </c>
      <c r="F224" s="3" t="str">
        <f ca="1">IFERROR(__xludf.DUMMYFUNCTION("GOOGLETRANSLATE(C224,""ja"",""vi"")"),"Đấu giá&gt; thiết bị điện tử tiêu dùng, AV, camera&gt; vẻ đẹp, sức khỏe&gt; ​​Thiết bị vẻ đẹp&gt; Khác")</f>
        <v>Đấu giá&gt; thiết bị điện tử tiêu dùng, AV, camera&gt; vẻ đẹp, sức khỏe&gt; ​​Thiết bị vẻ đẹp&gt; Khác</v>
      </c>
      <c r="G224" s="229" t="str">
        <f t="shared" ca="1" si="6"/>
        <v>"2084055375" : "nếu không thì",</v>
      </c>
      <c r="H224" s="229" t="str">
        <f t="shared" si="7"/>
        <v>&lt;li class="col-md-3"&gt;&lt;a class="text-cut" href="javascript:;"(click)="categoryEvent(2084055375)"&gt;{{"2084055375" | translate}}&lt;/a&gt;&lt;/li&gt;</v>
      </c>
    </row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D18"/>
    <mergeCell ref="A44:D44"/>
    <mergeCell ref="A54:D54"/>
    <mergeCell ref="A66:D66"/>
    <mergeCell ref="A207:D207"/>
    <mergeCell ref="A82:D82"/>
    <mergeCell ref="A215:D215"/>
    <mergeCell ref="A96:D96"/>
    <mergeCell ref="A102:D102"/>
    <mergeCell ref="A113:D113"/>
    <mergeCell ref="A128:D128"/>
    <mergeCell ref="A183:D183"/>
    <mergeCell ref="A194:D194"/>
    <mergeCell ref="A137:D137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4.69921875" customWidth="1"/>
    <col min="2" max="2" width="14.19921875" customWidth="1"/>
    <col min="3" max="3" width="12.8984375" customWidth="1"/>
    <col min="4" max="4" width="14.69921875" customWidth="1"/>
    <col min="5" max="5" width="13.19921875" customWidth="1"/>
    <col min="6" max="6" width="45" customWidth="1"/>
    <col min="7" max="7" width="27.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2084052553</v>
      </c>
      <c r="B2" s="2" t="s">
        <v>3523</v>
      </c>
      <c r="C2" s="2" t="s">
        <v>3524</v>
      </c>
      <c r="D2" s="2" t="s">
        <v>3525</v>
      </c>
      <c r="E2" s="3" t="str">
        <f ca="1">IFERROR(__xludf.DUMMYFUNCTION("GOOGLETRANSLATE(B2,""ja"",""vi"")"),"phụ kiện thương hiệu")</f>
        <v>phụ kiện thương hiệu</v>
      </c>
      <c r="F2" s="3" t="str">
        <f ca="1">IFERROR(__xludf.DUMMYFUNCTION("GOOGLETRANSLATE(C2,""ja"",""vi"")"),"Đấu giá&gt; phụ kiện, đồng hồ&gt; phụ kiện thương hiệu")</f>
        <v>Đấu giá&gt; phụ kiện, đồng hồ&gt; phụ kiện thương hiệu</v>
      </c>
      <c r="G2" s="229" t="str">
        <f ca="1">CONCATENATE(CHAR(34)&amp;"",A2,""&amp;CHAR(34)," : ", CHAR(34)&amp;"",E2,""&amp;CHAR(34),",")</f>
        <v>"2084052553" : "phụ kiện thương hiệu",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href="javascript:;"(click)="categoryEvent(2084052553)"&gt;{{"2084052553" | translate}}&lt;/a&gt;&lt;/li&gt;</v>
      </c>
    </row>
    <row r="3" spans="1:8" ht="14.25" customHeight="1">
      <c r="A3" s="4">
        <v>2084005359</v>
      </c>
      <c r="B3" s="4" t="s">
        <v>3529</v>
      </c>
      <c r="C3" s="4" t="s">
        <v>3530</v>
      </c>
      <c r="D3" s="4" t="s">
        <v>3531</v>
      </c>
      <c r="E3" s="3" t="str">
        <f ca="1">IFERROR(__xludf.DUMMYFUNCTION("GOOGLETRANSLATE(B3,""ja"",""vi"")"),"dùng cho phụ nữ")</f>
        <v>dùng cho phụ nữ</v>
      </c>
      <c r="F3" s="3" t="str">
        <f ca="1">IFERROR(__xludf.DUMMYFUNCTION("GOOGLETRANSLATE(C3,""ja"",""vi"")"),"Đấu giá&gt; Accessories, Đồng hồ&gt; dùng cho phụ nữ")</f>
        <v>Đấu giá&gt; Accessories, Đồng hồ&gt; dùng cho phụ nữ</v>
      </c>
      <c r="G3" s="229" t="str">
        <f t="shared" ref="G3:G66" ca="1" si="0">CONCATENATE(CHAR(34)&amp;"",A3,""&amp;CHAR(34)," : ", CHAR(34)&amp;"",E3,""&amp;CHAR(34),",")</f>
        <v>"2084005359" : "dùng cho phụ nữ",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href="javascript:;"(click)="categoryEvent(2084005359)"&gt;{{"2084005359" | translate}}&lt;/a&gt;&lt;/li&gt;</v>
      </c>
    </row>
    <row r="4" spans="1:8" ht="14.25" customHeight="1">
      <c r="A4" s="8">
        <v>2084005358</v>
      </c>
      <c r="B4" s="8" t="s">
        <v>3532</v>
      </c>
      <c r="C4" s="8" t="s">
        <v>3534</v>
      </c>
      <c r="D4" s="8" t="s">
        <v>3535</v>
      </c>
      <c r="E4" s="3" t="str">
        <f ca="1">IFERROR(__xludf.DUMMYFUNCTION("GOOGLETRANSLATE(B4,""ja"",""vi"")"),"Phụ kiện nam")</f>
        <v>Phụ kiện nam</v>
      </c>
      <c r="F4" s="3" t="str">
        <f ca="1">IFERROR(__xludf.DUMMYFUNCTION("GOOGLETRANSLATE(C4,""ja"",""vi"")"),"Đấu giá&gt; Accessories, Đồng hồ&gt; Phụ kiện nam")</f>
        <v>Đấu giá&gt; Accessories, Đồng hồ&gt; Phụ kiện nam</v>
      </c>
      <c r="G4" s="229" t="str">
        <f t="shared" ca="1" si="0"/>
        <v>"2084005358" : "Phụ kiện nam",</v>
      </c>
      <c r="H4" s="229" t="str">
        <f t="shared" si="1"/>
        <v>&lt;li class="col-md-3"&gt;&lt;a class="text-cut" href="javascript:;"(click)="categoryEvent(2084005358)"&gt;{{"2084005358" | translate}}&lt;/a&gt;&lt;/li&gt;</v>
      </c>
    </row>
    <row r="5" spans="1:8" ht="14.25" customHeight="1">
      <c r="A5" s="6">
        <v>2084006476</v>
      </c>
      <c r="B5" s="6" t="s">
        <v>3538</v>
      </c>
      <c r="C5" s="6" t="s">
        <v>3539</v>
      </c>
      <c r="D5" s="6" t="s">
        <v>3540</v>
      </c>
      <c r="E5" s="3" t="str">
        <f ca="1">IFERROR(__xludf.DUMMYFUNCTION("GOOGLETRANSLATE(B5,""ja"",""vi"")"),"Phụ kiện cho trẻ em")</f>
        <v>Phụ kiện cho trẻ em</v>
      </c>
      <c r="F5" s="3" t="str">
        <f ca="1">IFERROR(__xludf.DUMMYFUNCTION("GOOGLETRANSLATE(C5,""ja"",""vi"")"),"Đấu giá&gt; phụ kiện, đồng hồ&gt; phụ kiện dành cho trẻ em")</f>
        <v>Đấu giá&gt; phụ kiện, đồng hồ&gt; phụ kiện dành cho trẻ em</v>
      </c>
      <c r="G5" s="229" t="str">
        <f t="shared" ca="1" si="0"/>
        <v>"2084006476" : "Phụ kiện cho trẻ em",</v>
      </c>
      <c r="H5" s="229" t="str">
        <f t="shared" si="1"/>
        <v>&lt;li class="col-md-3"&gt;&lt;a class="text-cut" href="javascript:;"(click)="categoryEvent(2084006476)"&gt;{{"2084006476" | translate}}&lt;/a&gt;&lt;/li&gt;</v>
      </c>
    </row>
    <row r="6" spans="1:8" ht="14.25" customHeight="1">
      <c r="A6" s="9">
        <v>23260</v>
      </c>
      <c r="B6" s="9" t="s">
        <v>3544</v>
      </c>
      <c r="C6" s="9" t="s">
        <v>3547</v>
      </c>
      <c r="D6" s="9" t="s">
        <v>3549</v>
      </c>
      <c r="E6" s="3" t="str">
        <f ca="1">IFERROR(__xludf.DUMMYFUNCTION("GOOGLETRANSLATE(B6,""ja"",""vi"")"),"đồng hồ thương hiệu")</f>
        <v>đồng hồ thương hiệu</v>
      </c>
      <c r="F6" s="3" t="str">
        <f ca="1">IFERROR(__xludf.DUMMYFUNCTION("GOOGLETRANSLATE(C6,""ja"",""vi"")"),"Đấu giá&gt; Accessories, Đồng hồ&gt; Đồng hồ")</f>
        <v>Đấu giá&gt; Accessories, Đồng hồ&gt; Đồng hồ</v>
      </c>
      <c r="G6" s="229" t="str">
        <f t="shared" ca="1" si="0"/>
        <v>"23260" : "đồng hồ thương hiệu",</v>
      </c>
      <c r="H6" s="229" t="str">
        <f t="shared" si="1"/>
        <v>&lt;li class="col-md-3"&gt;&lt;a class="text-cut" href="javascript:;"(click)="categoryEvent(23260)"&gt;{{"23260" | translate}}&lt;/a&gt;&lt;/li&gt;</v>
      </c>
    </row>
    <row r="7" spans="1:8" ht="14.25" customHeight="1">
      <c r="A7" s="7">
        <v>23264</v>
      </c>
      <c r="B7" s="7" t="s">
        <v>3552</v>
      </c>
      <c r="C7" s="7" t="s">
        <v>3555</v>
      </c>
      <c r="D7" s="7" t="s">
        <v>3557</v>
      </c>
      <c r="E7" s="3" t="str">
        <f ca="1">IFERROR(__xludf.DUMMYFUNCTION("GOOGLETRANSLATE(B7,""ja"",""vi"")"),"Đồng hồ nam")</f>
        <v>Đồng hồ nam</v>
      </c>
      <c r="F7" s="3" t="str">
        <f ca="1">IFERROR(__xludf.DUMMYFUNCTION("GOOGLETRANSLATE(C7,""ja"",""vi"")"),"Đấu giá&gt; Accessories, Đồng hồ&gt; Đồng hồ nam")</f>
        <v>Đấu giá&gt; Accessories, Đồng hồ&gt; Đồng hồ nam</v>
      </c>
      <c r="G7" s="229" t="str">
        <f t="shared" ca="1" si="0"/>
        <v>"23264" : "Đồng hồ nam",</v>
      </c>
      <c r="H7" s="229" t="str">
        <f t="shared" si="1"/>
        <v>&lt;li class="col-md-3"&gt;&lt;a class="text-cut" href="javascript:;"(click)="categoryEvent(23264)"&gt;{{"23264" | translate}}&lt;/a&gt;&lt;/li&gt;</v>
      </c>
    </row>
    <row r="8" spans="1:8" ht="14.25" customHeight="1">
      <c r="A8" s="41">
        <v>23268</v>
      </c>
      <c r="B8" s="41" t="s">
        <v>3559</v>
      </c>
      <c r="C8" s="41" t="s">
        <v>3561</v>
      </c>
      <c r="D8" s="41" t="s">
        <v>3563</v>
      </c>
      <c r="E8" s="3" t="str">
        <f ca="1">IFERROR(__xludf.DUMMYFUNCTION("GOOGLETRANSLATE(B8,""ja"",""vi"")"),"Xem phụ nữ")</f>
        <v>Xem phụ nữ</v>
      </c>
      <c r="F8" s="3" t="str">
        <f ca="1">IFERROR(__xludf.DUMMYFUNCTION("GOOGLETRANSLATE(C8,""ja"",""vi"")"),"Đấu giá&gt; Accessories, Đồng hồ&gt; Xem nữ")</f>
        <v>Đấu giá&gt; Accessories, Đồng hồ&gt; Xem nữ</v>
      </c>
      <c r="G8" s="229" t="str">
        <f t="shared" ca="1" si="0"/>
        <v>"23268" : "Xem phụ nữ",</v>
      </c>
      <c r="H8" s="229" t="str">
        <f t="shared" si="1"/>
        <v>&lt;li class="col-md-3"&gt;&lt;a class="text-cut" href="javascript:;"(click)="categoryEvent(23268)"&gt;{{"23268" | translate}}&lt;/a&gt;&lt;/li&gt;</v>
      </c>
    </row>
    <row r="9" spans="1:8" ht="14.25" customHeight="1">
      <c r="A9" s="16">
        <v>23272</v>
      </c>
      <c r="B9" s="16" t="s">
        <v>3565</v>
      </c>
      <c r="C9" s="16" t="s">
        <v>3566</v>
      </c>
      <c r="D9" s="16" t="s">
        <v>3567</v>
      </c>
      <c r="E9" s="3" t="str">
        <f ca="1">IFERROR(__xludf.DUMMYFUNCTION("GOOGLETRANSLATE(B9,""ja"",""vi"")"),"unisex Đồng hồ")</f>
        <v>unisex Đồng hồ</v>
      </c>
      <c r="F9" s="3" t="str">
        <f ca="1">IFERROR(__xludf.DUMMYFUNCTION("GOOGLETRANSLATE(C9,""ja"",""vi"")"),"Đấu giá&gt; Accessories, Đồng hồ&gt; Đồng hồ Unisex")</f>
        <v>Đấu giá&gt; Accessories, Đồng hồ&gt; Đồng hồ Unisex</v>
      </c>
      <c r="G9" s="229" t="str">
        <f t="shared" ca="1" si="0"/>
        <v>"23272" : "unisex Đồng hồ",</v>
      </c>
      <c r="H9" s="229" t="str">
        <f t="shared" si="1"/>
        <v>&lt;li class="col-md-3"&gt;&lt;a class="text-cut" href="javascript:;"(click)="categoryEvent(23272)"&gt;{{"23272" | translate}}&lt;/a&gt;&lt;/li&gt;</v>
      </c>
    </row>
    <row r="10" spans="1:8" ht="14.25" customHeight="1">
      <c r="A10" s="43">
        <v>2084316075</v>
      </c>
      <c r="B10" s="43" t="s">
        <v>3571</v>
      </c>
      <c r="C10" s="43" t="s">
        <v>3572</v>
      </c>
      <c r="D10" s="43" t="s">
        <v>3573</v>
      </c>
      <c r="E10" s="3" t="str">
        <f ca="1">IFERROR(__xludf.DUMMYFUNCTION("GOOGLETRANSLATE(B10,""ja"",""vi"")"),"cơ thể đồng hồ thông minh")</f>
        <v>cơ thể đồng hồ thông minh</v>
      </c>
      <c r="F10" s="3" t="str">
        <f ca="1">IFERROR(__xludf.DUMMYFUNCTION("GOOGLETRANSLATE(C10,""ja"",""vi"")"),"Đấu giá&gt; Accessories, Đồng hồ&gt; cơ thể đồng hồ thông minh")</f>
        <v>Đấu giá&gt; Accessories, Đồng hồ&gt; cơ thể đồng hồ thông minh</v>
      </c>
      <c r="G10" s="229" t="str">
        <f t="shared" ca="1" si="0"/>
        <v>"2084316075" : "cơ thể đồng hồ thông minh",</v>
      </c>
      <c r="H10" s="229" t="str">
        <f t="shared" si="1"/>
        <v>&lt;li class="col-md-3"&gt;&lt;a class="text-cut" href="javascript:;"(click)="categoryEvent(2084316075)"&gt;{{"2084316075" | translate}}&lt;/a&gt;&lt;/li&gt;</v>
      </c>
    </row>
    <row r="11" spans="1:8" ht="14.25" customHeight="1">
      <c r="A11" s="45">
        <v>2084024554</v>
      </c>
      <c r="B11" s="45" t="s">
        <v>3578</v>
      </c>
      <c r="C11" s="45" t="s">
        <v>3580</v>
      </c>
      <c r="D11" s="45" t="s">
        <v>3582</v>
      </c>
      <c r="E11" s="3" t="str">
        <f ca="1">IFERROR(__xludf.DUMMYFUNCTION("GOOGLETRANSLATE(B11,""ja"",""vi"")"),"đồng hồ nhân vật")</f>
        <v>đồng hồ nhân vật</v>
      </c>
      <c r="F11" s="3" t="str">
        <f ca="1">IFERROR(__xludf.DUMMYFUNCTION("GOOGLETRANSLATE(C11,""ja"",""vi"")"),"Đấu giá&gt; phụ kiện, đồng hồ&gt; nhân vật đồng hồ đeo tay")</f>
        <v>Đấu giá&gt; phụ kiện, đồng hồ&gt; nhân vật đồng hồ đeo tay</v>
      </c>
      <c r="G11" s="229" t="str">
        <f t="shared" ca="1" si="0"/>
        <v>"2084024554" : "đồng hồ nhân vật",</v>
      </c>
      <c r="H11" s="229" t="str">
        <f t="shared" si="1"/>
        <v>&lt;li class="col-md-3"&gt;&lt;a class="text-cut" href="javascript:;"(click)="categoryEvent(2084024554)"&gt;{{"2084024554" | translate}}&lt;/a&gt;&lt;/li&gt;</v>
      </c>
    </row>
    <row r="12" spans="1:8" ht="14.25" customHeight="1">
      <c r="A12" s="50">
        <v>23276</v>
      </c>
      <c r="B12" s="50" t="s">
        <v>3584</v>
      </c>
      <c r="C12" s="50" t="s">
        <v>3586</v>
      </c>
      <c r="D12" s="50" t="s">
        <v>3587</v>
      </c>
      <c r="E12" s="3" t="str">
        <f ca="1">IFERROR(__xludf.DUMMYFUNCTION("GOOGLETRANSLATE(B12,""ja"",""vi"")"),"Pocket Watch")</f>
        <v>Pocket Watch</v>
      </c>
      <c r="F12" s="3" t="str">
        <f ca="1">IFERROR(__xludf.DUMMYFUNCTION("GOOGLETRANSLATE(C12,""ja"",""vi"")"),"Đấu giá&gt; phụ kiện, đồng hồ&gt; đồng hồ bỏ túi")</f>
        <v>Đấu giá&gt; phụ kiện, đồng hồ&gt; đồng hồ bỏ túi</v>
      </c>
      <c r="G12" s="229" t="str">
        <f t="shared" ca="1" si="0"/>
        <v>"23276" : "Pocket Watch",</v>
      </c>
      <c r="H12" s="229" t="str">
        <f t="shared" si="1"/>
        <v>&lt;li class="col-md-3"&gt;&lt;a class="text-cut" href="javascript:;"(click)="categoryEvent(23276)"&gt;{{"23276" | translate}}&lt;/a&gt;&lt;/li&gt;</v>
      </c>
    </row>
    <row r="13" spans="1:8" ht="14.25" customHeight="1">
      <c r="A13" s="53">
        <v>2084024555</v>
      </c>
      <c r="B13" s="53" t="s">
        <v>3592</v>
      </c>
      <c r="C13" s="53" t="s">
        <v>3593</v>
      </c>
      <c r="D13" s="53" t="s">
        <v>3594</v>
      </c>
      <c r="E13" s="3" t="str">
        <f ca="1">IFERROR(__xludf.DUMMYFUNCTION("GOOGLETRANSLATE(B13,""ja"",""vi"")"),"Xem đai, ban nhạc")</f>
        <v>Xem đai, ban nhạc</v>
      </c>
      <c r="F13" s="3" t="str">
        <f ca="1">IFERROR(__xludf.DUMMYFUNCTION("GOOGLETRANSLATE(C13,""ja"",""vi"")"),"Đấu giá&gt; Accessories, Đồng hồ&gt; vành đai đồng hồ, ban nhạc")</f>
        <v>Đấu giá&gt; Accessories, Đồng hồ&gt; vành đai đồng hồ, ban nhạc</v>
      </c>
      <c r="G13" s="229" t="str">
        <f t="shared" ca="1" si="0"/>
        <v>"2084024555" : "Xem đai, ban nhạc",</v>
      </c>
      <c r="H13" s="229" t="str">
        <f t="shared" si="1"/>
        <v>&lt;li class="col-md-3"&gt;&lt;a class="text-cut" href="javascript:;"(click)="categoryEvent(2084024555)"&gt;{{"2084024555" | translate}}&lt;/a&gt;&lt;/li&gt;</v>
      </c>
    </row>
    <row r="14" spans="1:8" ht="14.25" customHeight="1">
      <c r="A14" s="56">
        <v>2084062498</v>
      </c>
      <c r="B14" s="56" t="s">
        <v>3597</v>
      </c>
      <c r="C14" s="56" t="s">
        <v>3600</v>
      </c>
      <c r="D14" s="56" t="s">
        <v>3602</v>
      </c>
      <c r="E14" s="3" t="str">
        <f ca="1">IFERROR(__xludf.DUMMYFUNCTION("GOOGLETRANSLATE(B14,""ja"",""vi"")"),"Waindingumashin")</f>
        <v>Waindingumashin</v>
      </c>
      <c r="F14" s="3" t="str">
        <f ca="1">IFERROR(__xludf.DUMMYFUNCTION("GOOGLETRANSLATE(C14,""ja"",""vi"")"),"Đấu giá&gt; Accessories, Đồng hồ&gt; Waindingumashin")</f>
        <v>Đấu giá&gt; Accessories, Đồng hồ&gt; Waindingumashin</v>
      </c>
      <c r="G14" s="229" t="str">
        <f t="shared" ca="1" si="0"/>
        <v>"2084062498" : "Waindingumashin",</v>
      </c>
      <c r="H14" s="229" t="str">
        <f t="shared" si="1"/>
        <v>&lt;li class="col-md-3"&gt;&lt;a class="text-cut" href="javascript:;"(click)="categoryEvent(2084062498)"&gt;{{"2084062498" | translate}}&lt;/a&gt;&lt;/li&gt;</v>
      </c>
    </row>
    <row r="15" spans="1:8" ht="14.25" customHeight="1">
      <c r="A15" s="59">
        <v>2084024557</v>
      </c>
      <c r="B15" s="59" t="s">
        <v>3603</v>
      </c>
      <c r="C15" s="59" t="s">
        <v>3604</v>
      </c>
      <c r="D15" s="59" t="s">
        <v>3608</v>
      </c>
      <c r="E15" s="3" t="str">
        <f ca="1">IFERROR(__xludf.DUMMYFUNCTION("GOOGLETRANSLATE(B15,""ja"",""vi"")"),"Trường hợp cho đồng hồ")</f>
        <v>Trường hợp cho đồng hồ</v>
      </c>
      <c r="F15" s="3" t="str">
        <f ca="1">IFERROR(__xludf.DUMMYFUNCTION("GOOGLETRANSLATE(C15,""ja"",""vi"")"),"Đấu giá&gt; Accessories, Đồng hồ&gt; trường hợp đồng hồ")</f>
        <v>Đấu giá&gt; Accessories, Đồng hồ&gt; trường hợp đồng hồ</v>
      </c>
      <c r="G15" s="229" t="str">
        <f t="shared" ca="1" si="0"/>
        <v>"2084024557" : "Trường hợp cho đồng hồ",</v>
      </c>
      <c r="H15" s="229" t="str">
        <f t="shared" si="1"/>
        <v>&lt;li class="col-md-3"&gt;&lt;a class="text-cut" href="javascript:;"(click)="categoryEvent(2084024557)"&gt;{{"2084024557" | translate}}&lt;/a&gt;&lt;/li&gt;</v>
      </c>
    </row>
    <row r="16" spans="1:8" ht="14.25" customHeight="1">
      <c r="A16" s="63">
        <v>2084024556</v>
      </c>
      <c r="B16" s="63" t="s">
        <v>3609</v>
      </c>
      <c r="C16" s="63" t="s">
        <v>3610</v>
      </c>
      <c r="D16" s="63" t="s">
        <v>3611</v>
      </c>
      <c r="E16" s="3" t="str">
        <f ca="1">IFERROR(__xludf.DUMMYFUNCTION("GOOGLETRANSLATE(B16,""ja"",""vi"")"),"Xem công cụ")</f>
        <v>Xem công cụ</v>
      </c>
      <c r="F16" s="3" t="str">
        <f ca="1">IFERROR(__xludf.DUMMYFUNCTION("GOOGLETRANSLATE(C16,""ja"",""vi"")"),"Đấu giá&gt; Accessories, Đồng hồ&gt; công cụ đồng hồ")</f>
        <v>Đấu giá&gt; Accessories, Đồng hồ&gt; công cụ đồng hồ</v>
      </c>
      <c r="G16" s="229" t="str">
        <f t="shared" ca="1" si="0"/>
        <v>"2084024556" : "Xem công cụ",</v>
      </c>
      <c r="H16" s="229" t="str">
        <f t="shared" si="1"/>
        <v>&lt;li class="col-md-3"&gt;&lt;a class="text-cut" href="javascript:;"(click)="categoryEvent(2084024556)"&gt;{{"2084024556" | translate}}&lt;/a&gt;&lt;/li&gt;</v>
      </c>
    </row>
    <row r="17" spans="1:8" ht="14.25" customHeight="1">
      <c r="A17" s="65">
        <v>2084032117</v>
      </c>
      <c r="B17" s="65" t="s">
        <v>3614</v>
      </c>
      <c r="C17" s="65" t="s">
        <v>3615</v>
      </c>
      <c r="D17" s="65" t="s">
        <v>3616</v>
      </c>
      <c r="E17" s="3" t="str">
        <f ca="1">IFERROR(__xludf.DUMMYFUNCTION("GOOGLETRANSLATE(B17,""ja"",""vi"")"),"đồng hồ bàn, đồng hồ treo tường")</f>
        <v>đồng hồ bàn, đồng hồ treo tường</v>
      </c>
      <c r="F17" s="3" t="str">
        <f ca="1">IFERROR(__xludf.DUMMYFUNCTION("GOOGLETRANSLATE(C17,""ja"",""vi"")"),"Đấu giá&gt; Accessories, Đồng hồ&gt; bảng đồng hồ, đồng hồ treo tường")</f>
        <v>Đấu giá&gt; Accessories, Đồng hồ&gt; bảng đồng hồ, đồng hồ treo tường</v>
      </c>
      <c r="G17" s="229" t="str">
        <f t="shared" ca="1" si="0"/>
        <v>"2084032117" : "đồng hồ bàn, đồng hồ treo tường",</v>
      </c>
      <c r="H17" s="229" t="str">
        <f t="shared" si="1"/>
        <v>&lt;li class="col-md-3"&gt;&lt;a class="text-cut" href="javascript:;"(click)="categoryEvent(2084032117)"&gt;{{"2084032117" | translate}}&lt;/a&gt;&lt;/li&gt;</v>
      </c>
    </row>
    <row r="18" spans="1:8" ht="14.25" customHeight="1">
      <c r="A18" s="78">
        <v>2084240616</v>
      </c>
      <c r="B18" s="78" t="s">
        <v>523</v>
      </c>
      <c r="C18" s="78" t="s">
        <v>3620</v>
      </c>
      <c r="D18" s="78" t="s">
        <v>3621</v>
      </c>
      <c r="E18" s="3" t="str">
        <f ca="1">IFERROR(__xludf.DUMMYFUNCTION("GOOGLETRANSLATE(B18,""ja"",""vi"")"),"làm bằng tay")</f>
        <v>làm bằng tay</v>
      </c>
      <c r="F18" s="3" t="str">
        <f ca="1">IFERROR(__xludf.DUMMYFUNCTION("GOOGLETRANSLATE(C18,""ja"",""vi"")"),"Đấu giá&gt; Accessories, Đồng hồ&gt; handmade")</f>
        <v>Đấu giá&gt; Accessories, Đồng hồ&gt; handmade</v>
      </c>
      <c r="G18" s="229" t="str">
        <f t="shared" ca="1" si="0"/>
        <v>"2084240616" : "làm bằng tay",</v>
      </c>
      <c r="H18" s="229" t="str">
        <f t="shared" si="1"/>
        <v>&lt;li class="col-md-3"&gt;&lt;a class="text-cut" href="javascript:;"(click)="categoryEvent(2084240616)"&gt;{{"2084240616" | translate}}&lt;/a&gt;&lt;/li&gt;</v>
      </c>
    </row>
    <row r="19" spans="1:8" ht="14.25" customHeight="1">
      <c r="E19" s="3"/>
      <c r="F19" s="3"/>
      <c r="G19" s="229"/>
      <c r="H19" s="229"/>
    </row>
    <row r="20" spans="1:8" ht="14.25" customHeight="1">
      <c r="A20" s="231">
        <v>2084052553</v>
      </c>
      <c r="B20" s="232"/>
      <c r="C20" s="232"/>
      <c r="D20" s="233"/>
      <c r="E20" s="3"/>
      <c r="F20" s="3"/>
      <c r="G20" s="229"/>
      <c r="H20" s="229"/>
    </row>
    <row r="21" spans="1:8" ht="14.25" customHeight="1">
      <c r="A21" s="2">
        <v>2084061912</v>
      </c>
      <c r="B21" s="2" t="s">
        <v>3628</v>
      </c>
      <c r="C21" s="2" t="s">
        <v>3629</v>
      </c>
      <c r="D21" s="2" t="s">
        <v>3630</v>
      </c>
      <c r="E21" s="3" t="str">
        <f ca="1">IFERROR(__xludf.DUMMYFUNCTION("GOOGLETRANSLATE(B21,""ja"",""vi"")"),"A &amp; G")</f>
        <v>A &amp; G</v>
      </c>
      <c r="F21" s="3" t="str">
        <f ca="1">IFERROR(__xludf.DUMMYFUNCTION("GOOGLETRANSLATE(C21,""ja"",""vi"")"),"Đấu giá&gt; phụ kiện, đồng hồ&gt; thương hiệu phụ kiện&gt; A &amp; G")</f>
        <v>Đấu giá&gt; phụ kiện, đồng hồ&gt; thương hiệu phụ kiện&gt; A &amp; G</v>
      </c>
      <c r="G21" s="229" t="str">
        <f t="shared" ca="1" si="0"/>
        <v>"2084061912" : "A &amp; G",</v>
      </c>
      <c r="H21" s="229" t="str">
        <f t="shared" si="1"/>
        <v>&lt;li class="col-md-3"&gt;&lt;a class="text-cut" href="javascript:;"(click)="categoryEvent(2084061912)"&gt;{{"2084061912" | translate}}&lt;/a&gt;&lt;/li&gt;</v>
      </c>
    </row>
    <row r="22" spans="1:8" ht="14.25" customHeight="1">
      <c r="A22" s="2">
        <v>2084301266</v>
      </c>
      <c r="B22" s="2" t="s">
        <v>3637</v>
      </c>
      <c r="C22" s="2" t="s">
        <v>3638</v>
      </c>
      <c r="D22" s="2" t="s">
        <v>3639</v>
      </c>
      <c r="E22" s="3" t="str">
        <f ca="1">IFERROR(__xludf.DUMMYFUNCTION("GOOGLETRANSLATE(B22,""ja"",""vi"")"),"Aker")</f>
        <v>Aker</v>
      </c>
      <c r="F22" s="3" t="str">
        <f ca="1">IFERROR(__xludf.DUMMYFUNCTION("GOOGLETRANSLATE(C22,""ja"",""vi"")"),"Đấu giá&gt; phụ kiện, đồng hồ&gt; thương hiệu phụ kiện&gt; Aker")</f>
        <v>Đấu giá&gt; phụ kiện, đồng hồ&gt; thương hiệu phụ kiện&gt; Aker</v>
      </c>
      <c r="G22" s="229" t="str">
        <f t="shared" ca="1" si="0"/>
        <v>"2084301266" : "Aker",</v>
      </c>
      <c r="H22" s="229" t="str">
        <f t="shared" si="1"/>
        <v>&lt;li class="col-md-3"&gt;&lt;a class="text-cut" href="javascript:;"(click)="categoryEvent(2084301266)"&gt;{{"2084301266" | translate}}&lt;/a&gt;&lt;/li&gt;</v>
      </c>
    </row>
    <row r="23" spans="1:8" ht="14.25" customHeight="1">
      <c r="A23" s="2">
        <v>2084057874</v>
      </c>
      <c r="B23" s="2" t="s">
        <v>3644</v>
      </c>
      <c r="C23" s="2" t="s">
        <v>3646</v>
      </c>
      <c r="D23" s="2" t="s">
        <v>3648</v>
      </c>
      <c r="E23" s="3" t="str">
        <f ca="1">IFERROR(__xludf.DUMMYFUNCTION("GOOGLETRANSLATE(B23,""ja"",""vi"")"),"Agata")</f>
        <v>Agata</v>
      </c>
      <c r="F23" s="3" t="str">
        <f ca="1">IFERROR(__xludf.DUMMYFUNCTION("GOOGLETRANSLATE(C23,""ja"",""vi"")"),"Đấu giá&gt; phụ kiện, đồng hồ&gt; thương hiệu phụ kiện&gt; Agata")</f>
        <v>Đấu giá&gt; phụ kiện, đồng hồ&gt; thương hiệu phụ kiện&gt; Agata</v>
      </c>
      <c r="G23" s="229" t="str">
        <f t="shared" ca="1" si="0"/>
        <v>"2084057874" : "Agata",</v>
      </c>
      <c r="H23" s="229" t="str">
        <f t="shared" si="1"/>
        <v>&lt;li class="col-md-3"&gt;&lt;a class="text-cut" href="javascript:;"(click)="categoryEvent(2084057874)"&gt;{{"2084057874" | translate}}&lt;/a&gt;&lt;/li&gt;</v>
      </c>
    </row>
    <row r="24" spans="1:8" ht="14.25" customHeight="1">
      <c r="A24" s="2">
        <v>2084061839</v>
      </c>
      <c r="B24" s="2" t="s">
        <v>3652</v>
      </c>
      <c r="C24" s="2" t="s">
        <v>3653</v>
      </c>
      <c r="D24" s="2" t="s">
        <v>3655</v>
      </c>
      <c r="E24" s="3" t="str">
        <f ca="1">IFERROR(__xludf.DUMMYFUNCTION("GOOGLETRANSLATE(B24,""ja"",""vi"")"),"Agat")</f>
        <v>Agat</v>
      </c>
      <c r="F24" s="3" t="str">
        <f ca="1">IFERROR(__xludf.DUMMYFUNCTION("GOOGLETRANSLATE(C24,""ja"",""vi"")"),"Đấu giá&gt; phụ kiện, đồng hồ&gt; thương hiệu phụ kiện&gt; Agat")</f>
        <v>Đấu giá&gt; phụ kiện, đồng hồ&gt; thương hiệu phụ kiện&gt; Agat</v>
      </c>
      <c r="G24" s="229" t="str">
        <f t="shared" ca="1" si="0"/>
        <v>"2084061839" : "Agat",</v>
      </c>
      <c r="H24" s="229" t="str">
        <f t="shared" si="1"/>
        <v>&lt;li class="col-md-3"&gt;&lt;a class="text-cut" href="javascript:;"(click)="categoryEvent(2084061839)"&gt;{{"2084061839" | translate}}&lt;/a&gt;&lt;/li&gt;</v>
      </c>
    </row>
    <row r="25" spans="1:8" ht="14.25" customHeight="1">
      <c r="A25" s="2">
        <v>2084061779</v>
      </c>
      <c r="B25" s="2" t="s">
        <v>3661</v>
      </c>
      <c r="C25" s="2" t="s">
        <v>3662</v>
      </c>
      <c r="D25" s="2" t="s">
        <v>3663</v>
      </c>
      <c r="E25" s="3" t="str">
        <f ca="1">IFERROR(__xludf.DUMMYFUNCTION("GOOGLETRANSLATE(B25,""ja"",""vi"")"),"Abercrombie &amp; Fitch")</f>
        <v>Abercrombie &amp; Fitch</v>
      </c>
      <c r="F25" s="3" t="str">
        <f ca="1">IFERROR(__xludf.DUMMYFUNCTION("GOOGLETRANSLATE(C25,""ja"",""vi"")"),"Đấu giá&gt; phụ kiện, đồng hồ&gt; thương hiệu phụ kiện&gt; Abercrombie &amp; Fitch")</f>
        <v>Đấu giá&gt; phụ kiện, đồng hồ&gt; thương hiệu phụ kiện&gt; Abercrombie &amp; Fitch</v>
      </c>
      <c r="G25" s="229" t="str">
        <f t="shared" ca="1" si="0"/>
        <v>"2084061779" : "Abercrombie &amp; Fitch",</v>
      </c>
      <c r="H25" s="229" t="str">
        <f t="shared" si="1"/>
        <v>&lt;li class="col-md-3"&gt;&lt;a class="text-cut" href="javascript:;"(click)="categoryEvent(2084061779)"&gt;{{"2084061779" | translate}}&lt;/a&gt;&lt;/li&gt;</v>
      </c>
    </row>
    <row r="26" spans="1:8" ht="14.25" customHeight="1">
      <c r="A26" s="2">
        <v>2084057765</v>
      </c>
      <c r="B26" s="2" t="s">
        <v>3668</v>
      </c>
      <c r="C26" s="2" t="s">
        <v>3670</v>
      </c>
      <c r="D26" s="2" t="s">
        <v>3672</v>
      </c>
      <c r="E26" s="3" t="str">
        <f ca="1">IFERROR(__xludf.DUMMYFUNCTION("GOOGLETRANSLATE(B26,""ja"",""vi"")"),"Hermes")</f>
        <v>Hermes</v>
      </c>
      <c r="F26" s="3" t="str">
        <f ca="1">IFERROR(__xludf.DUMMYFUNCTION("GOOGLETRANSLATE(C26,""ja"",""vi"")"),"Đấu giá&gt; phụ kiện, đồng hồ&gt; thương hiệu phụ kiện&gt; Hermes")</f>
        <v>Đấu giá&gt; phụ kiện, đồng hồ&gt; thương hiệu phụ kiện&gt; Hermes</v>
      </c>
      <c r="G26" s="229" t="str">
        <f t="shared" ca="1" si="0"/>
        <v>"2084057765" : "Hermes",</v>
      </c>
      <c r="H26" s="229" t="str">
        <f t="shared" si="1"/>
        <v>&lt;li class="col-md-3"&gt;&lt;a class="text-cut" href="javascript:;"(click)="categoryEvent(2084057765)"&gt;{{"2084057765" | translate}}&lt;/a&gt;&lt;/li&gt;</v>
      </c>
    </row>
    <row r="27" spans="1:8" ht="14.25" customHeight="1">
      <c r="A27" s="2">
        <v>2084245337</v>
      </c>
      <c r="B27" s="2" t="s">
        <v>3674</v>
      </c>
      <c r="C27" s="2" t="s">
        <v>3676</v>
      </c>
      <c r="D27" s="2" t="s">
        <v>3678</v>
      </c>
      <c r="E27" s="3" t="str">
        <f ca="1">IFERROR(__xludf.DUMMYFUNCTION("GOOGLETRANSLATE(B27,""ja"",""vi"")"),"Q-pot")</f>
        <v>Q-pot</v>
      </c>
      <c r="F27" s="3" t="str">
        <f ca="1">IFERROR(__xludf.DUMMYFUNCTION("GOOGLETRANSLATE(C27,""ja"",""vi"")"),"Đấu giá&gt; phụ kiện, đồng hồ&gt; thương hiệu phụ kiện&gt; Q-pot")</f>
        <v>Đấu giá&gt; phụ kiện, đồng hồ&gt; thương hiệu phụ kiện&gt; Q-pot</v>
      </c>
      <c r="G27" s="229" t="str">
        <f t="shared" ca="1" si="0"/>
        <v>"2084245337" : "Q-pot",</v>
      </c>
      <c r="H27" s="229" t="str">
        <f t="shared" si="1"/>
        <v>&lt;li class="col-md-3"&gt;&lt;a class="text-cut" href="javascript:;"(click)="categoryEvent(2084245337)"&gt;{{"2084245337" | translate}}&lt;/a&gt;&lt;/li&gt;</v>
      </c>
    </row>
    <row r="28" spans="1:8" ht="14.25" customHeight="1">
      <c r="A28" s="2">
        <v>2084052585</v>
      </c>
      <c r="B28" s="2" t="s">
        <v>3684</v>
      </c>
      <c r="C28" s="2" t="s">
        <v>3685</v>
      </c>
      <c r="D28" s="2" t="s">
        <v>3686</v>
      </c>
      <c r="E28" s="3" t="str">
        <f ca="1">IFERROR(__xludf.DUMMYFUNCTION("GOOGLETRANSLATE(B28,""ja"",""vi"")"),"Cartier")</f>
        <v>Cartier</v>
      </c>
      <c r="F28" s="3" t="str">
        <f ca="1">IFERROR(__xludf.DUMMYFUNCTION("GOOGLETRANSLATE(C28,""ja"",""vi"")"),"Đấu giá&gt; phụ kiện, đồng hồ&gt; thương hiệu phụ kiện&gt; Cartier")</f>
        <v>Đấu giá&gt; phụ kiện, đồng hồ&gt; thương hiệu phụ kiện&gt; Cartier</v>
      </c>
      <c r="G28" s="229" t="str">
        <f t="shared" ca="1" si="0"/>
        <v>"2084052585" : "Cartier",</v>
      </c>
      <c r="H28" s="229" t="str">
        <f t="shared" si="1"/>
        <v>&lt;li class="col-md-3"&gt;&lt;a class="text-cut" href="javascript:;"(click)="categoryEvent(2084052585)"&gt;{{"2084052585" | translate}}&lt;/a&gt;&lt;/li&gt;</v>
      </c>
    </row>
    <row r="29" spans="1:8" ht="14.25" customHeight="1">
      <c r="A29" s="2">
        <v>2084224327</v>
      </c>
      <c r="B29" s="2" t="s">
        <v>3693</v>
      </c>
      <c r="C29" s="2" t="s">
        <v>3694</v>
      </c>
      <c r="D29" s="2" t="s">
        <v>3697</v>
      </c>
      <c r="E29" s="3" t="str">
        <f ca="1">IFERROR(__xludf.DUMMYFUNCTION("GOOGLETRANSLATE(B29,""ja"",""vi"")"),"Carrera y Carrera")</f>
        <v>Carrera y Carrera</v>
      </c>
      <c r="F29" s="3" t="str">
        <f ca="1">IFERROR(__xludf.DUMMYFUNCTION("GOOGLETRANSLATE(C29,""ja"",""vi"")"),"Đấu giá&gt; phụ kiện, đồng hồ&gt; thương hiệu phụ kiện&gt; Carrera y Carrera")</f>
        <v>Đấu giá&gt; phụ kiện, đồng hồ&gt; thương hiệu phụ kiện&gt; Carrera y Carrera</v>
      </c>
      <c r="G29" s="229" t="str">
        <f t="shared" ca="1" si="0"/>
        <v>"2084224327" : "Carrera y Carrera",</v>
      </c>
      <c r="H29" s="229" t="str">
        <f t="shared" si="1"/>
        <v>&lt;li class="col-md-3"&gt;&lt;a class="text-cut" href="javascript:;"(click)="categoryEvent(2084224327)"&gt;{{"2084224327" | translate}}&lt;/a&gt;&lt;/li&gt;</v>
      </c>
    </row>
    <row r="30" spans="1:8" ht="14.25" customHeight="1">
      <c r="A30" s="2">
        <v>2084057913</v>
      </c>
      <c r="B30" s="2" t="s">
        <v>3701</v>
      </c>
      <c r="C30" s="2" t="s">
        <v>3704</v>
      </c>
      <c r="D30" s="2" t="s">
        <v>3705</v>
      </c>
      <c r="E30" s="3" t="str">
        <f ca="1">IFERROR(__xludf.DUMMYFUNCTION("GOOGLETRANSLATE(B30,""ja"",""vi"")"),"Gabor")</f>
        <v>Gabor</v>
      </c>
      <c r="F30" s="3" t="str">
        <f ca="1">IFERROR(__xludf.DUMMYFUNCTION("GOOGLETRANSLATE(C30,""ja"",""vi"")"),"Đấu giá&gt; phụ kiện, đồng hồ&gt; thương hiệu phụ kiện&gt; Gabor")</f>
        <v>Đấu giá&gt; phụ kiện, đồng hồ&gt; thương hiệu phụ kiện&gt; Gabor</v>
      </c>
      <c r="G30" s="229" t="str">
        <f t="shared" ca="1" si="0"/>
        <v>"2084057913" : "Gabor",</v>
      </c>
      <c r="H30" s="229" t="str">
        <f t="shared" si="1"/>
        <v>&lt;li class="col-md-3"&gt;&lt;a class="text-cut" href="javascript:;"(click)="categoryEvent(2084057913)"&gt;{{"2084057913" | translate}}&lt;/a&gt;&lt;/li&gt;</v>
      </c>
    </row>
    <row r="31" spans="1:8" ht="14.25" customHeight="1">
      <c r="A31" s="2">
        <v>2084057781</v>
      </c>
      <c r="B31" s="2" t="s">
        <v>3709</v>
      </c>
      <c r="C31" s="2" t="s">
        <v>3710</v>
      </c>
      <c r="D31" s="2" t="s">
        <v>3711</v>
      </c>
      <c r="E31" s="3" t="str">
        <f ca="1">IFERROR(__xludf.DUMMYFUNCTION("GOOGLETRANSLATE(B31,""ja"",""vi"")"),"Christian Dior")</f>
        <v>Christian Dior</v>
      </c>
      <c r="F31" s="3" t="str">
        <f ca="1">IFERROR(__xludf.DUMMYFUNCTION("GOOGLETRANSLATE(C31,""ja"",""vi"")"),"Đấu giá&gt; phụ kiện, đồng hồ&gt; thương hiệu phụ kiện&gt; Christian Dior")</f>
        <v>Đấu giá&gt; phụ kiện, đồng hồ&gt; thương hiệu phụ kiện&gt; Christian Dior</v>
      </c>
      <c r="G31" s="229" t="str">
        <f t="shared" ca="1" si="0"/>
        <v>"2084057781" : "Christian Dior",</v>
      </c>
      <c r="H31" s="229" t="str">
        <f t="shared" si="1"/>
        <v>&lt;li class="col-md-3"&gt;&lt;a class="text-cut" href="javascript:;"(click)="categoryEvent(2084057781)"&gt;{{"2084057781" | translate}}&lt;/a&gt;&lt;/li&gt;</v>
      </c>
    </row>
    <row r="32" spans="1:8" ht="14.25" customHeight="1">
      <c r="A32" s="2">
        <v>2084214586</v>
      </c>
      <c r="B32" s="2" t="s">
        <v>3715</v>
      </c>
      <c r="C32" s="2" t="s">
        <v>3717</v>
      </c>
      <c r="D32" s="2" t="s">
        <v>3719</v>
      </c>
      <c r="E32" s="3" t="str">
        <f ca="1">IFERROR(__xludf.DUMMYFUNCTION("GOOGLETRANSLATE(B32,""ja"",""vi"")"),"Courreges")</f>
        <v>Courreges</v>
      </c>
      <c r="F32" s="3" t="str">
        <f ca="1">IFERROR(__xludf.DUMMYFUNCTION("GOOGLETRANSLATE(C32,""ja"",""vi"")"),"Đấu giá&gt; phụ kiện, đồng hồ&gt; thương hiệu phụ kiện&gt; Courreges")</f>
        <v>Đấu giá&gt; phụ kiện, đồng hồ&gt; thương hiệu phụ kiện&gt; Courreges</v>
      </c>
      <c r="G32" s="229" t="str">
        <f t="shared" ca="1" si="0"/>
        <v>"2084214586" : "Courreges",</v>
      </c>
      <c r="H32" s="229" t="str">
        <f t="shared" si="1"/>
        <v>&lt;li class="col-md-3"&gt;&lt;a class="text-cut" href="javascript:;"(click)="categoryEvent(2084214586)"&gt;{{"2084214586" | translate}}&lt;/a&gt;&lt;/li&gt;</v>
      </c>
    </row>
    <row r="33" spans="1:8" ht="14.25" customHeight="1">
      <c r="A33" s="2">
        <v>2084195400</v>
      </c>
      <c r="B33" s="2" t="s">
        <v>3724</v>
      </c>
      <c r="C33" s="2" t="s">
        <v>3726</v>
      </c>
      <c r="D33" s="2" t="s">
        <v>3729</v>
      </c>
      <c r="E33" s="3" t="str">
        <f ca="1">IFERROR(__xludf.DUMMYFUNCTION("GOOGLETRANSLATE(B33,""ja"",""vi"")"),"điên Pig")</f>
        <v>điên Pig</v>
      </c>
      <c r="F33" s="3" t="str">
        <f ca="1">IFERROR(__xludf.DUMMYFUNCTION("GOOGLETRANSLATE(C33,""ja"",""vi"")"),"Đấu giá&gt; phụ kiện, đồng hồ&gt; thương hiệu phụ kiện&gt; Crazy Pig")</f>
        <v>Đấu giá&gt; phụ kiện, đồng hồ&gt; thương hiệu phụ kiện&gt; Crazy Pig</v>
      </c>
      <c r="G33" s="229" t="str">
        <f t="shared" ca="1" si="0"/>
        <v>"2084195400" : "điên Pig",</v>
      </c>
      <c r="H33" s="229" t="str">
        <f t="shared" si="1"/>
        <v>&lt;li class="col-md-3"&gt;&lt;a class="text-cut" href="javascript:;"(click)="categoryEvent(2084195400)"&gt;{{"2084195400" | translate}}&lt;/a&gt;&lt;/li&gt;</v>
      </c>
    </row>
    <row r="34" spans="1:8" ht="14.25" customHeight="1">
      <c r="A34" s="2">
        <v>2084052569</v>
      </c>
      <c r="B34" s="2" t="s">
        <v>3732</v>
      </c>
      <c r="C34" s="2" t="s">
        <v>3734</v>
      </c>
      <c r="D34" s="2" t="s">
        <v>3736</v>
      </c>
      <c r="E34" s="3" t="str">
        <f ca="1">IFERROR(__xludf.DUMMYFUNCTION("GOOGLETRANSLATE(B34,""ja"",""vi"")"),"Chrome Hearts")</f>
        <v>Chrome Hearts</v>
      </c>
      <c r="F34" s="3" t="str">
        <f ca="1">IFERROR(__xludf.DUMMYFUNCTION("GOOGLETRANSLATE(C34,""ja"",""vi"")"),"Đấu giá&gt; phụ kiện, đồng hồ&gt; thương hiệu phụ kiện&gt; Chrome Hearts")</f>
        <v>Đấu giá&gt; phụ kiện, đồng hồ&gt; thương hiệu phụ kiện&gt; Chrome Hearts</v>
      </c>
      <c r="G34" s="229" t="str">
        <f t="shared" ca="1" si="0"/>
        <v>"2084052569" : "Chrome Hearts",</v>
      </c>
      <c r="H34" s="229" t="str">
        <f t="shared" si="1"/>
        <v>&lt;li class="col-md-3"&gt;&lt;a class="text-cut" href="javascript:;"(click)="categoryEvent(2084052569)"&gt;{{"2084052569" | translate}}&lt;/a&gt;&lt;/li&gt;</v>
      </c>
    </row>
    <row r="35" spans="1:8" ht="14.25" customHeight="1">
      <c r="A35" s="2">
        <v>2084057773</v>
      </c>
      <c r="B35" s="2" t="s">
        <v>3740</v>
      </c>
      <c r="C35" s="2" t="s">
        <v>3743</v>
      </c>
      <c r="D35" s="2" t="s">
        <v>3745</v>
      </c>
      <c r="E35" s="3" t="str">
        <f ca="1">IFERROR(__xludf.DUMMYFUNCTION("GOOGLETRANSLATE(B35,""ja"",""vi"")"),"Gucci")</f>
        <v>Gucci</v>
      </c>
      <c r="F35" s="3" t="str">
        <f ca="1">IFERROR(__xludf.DUMMYFUNCTION("GOOGLETRANSLATE(C35,""ja"",""vi"")"),"Đấu giá&gt; phụ kiện, đồng hồ&gt; thương hiệu phụ kiện&gt; Gucci")</f>
        <v>Đấu giá&gt; phụ kiện, đồng hồ&gt; thương hiệu phụ kiện&gt; Gucci</v>
      </c>
      <c r="G35" s="229" t="str">
        <f t="shared" ca="1" si="0"/>
        <v>"2084057773" : "Gucci",</v>
      </c>
      <c r="H35" s="229" t="str">
        <f t="shared" si="1"/>
        <v>&lt;li class="col-md-3"&gt;&lt;a class="text-cut" href="javascript:;"(click)="categoryEvent(2084057773)"&gt;{{"2084057773" | translate}}&lt;/a&gt;&lt;/li&gt;</v>
      </c>
    </row>
    <row r="36" spans="1:8" ht="14.25" customHeight="1">
      <c r="A36" s="2">
        <v>2084285568</v>
      </c>
      <c r="B36" s="2" t="s">
        <v>3747</v>
      </c>
      <c r="C36" s="2" t="s">
        <v>3748</v>
      </c>
      <c r="D36" s="2" t="s">
        <v>3751</v>
      </c>
      <c r="E36" s="3" t="str">
        <f ca="1">IFERROR(__xludf.DUMMYFUNCTION("GOOGLETRANSLATE(B36,""ja"",""vi"")"),"huấn luyện viên")</f>
        <v>huấn luyện viên</v>
      </c>
      <c r="F36" s="3" t="str">
        <f ca="1">IFERROR(__xludf.DUMMYFUNCTION("GOOGLETRANSLATE(C36,""ja"",""vi"")"),"Đấu giá&gt; phụ kiện, đồng hồ&gt; thương hiệu phụ kiện&gt; HLV")</f>
        <v>Đấu giá&gt; phụ kiện, đồng hồ&gt; thương hiệu phụ kiện&gt; HLV</v>
      </c>
      <c r="G36" s="229" t="str">
        <f t="shared" ca="1" si="0"/>
        <v>"2084285568" : "huấn luyện viên",</v>
      </c>
      <c r="H36" s="229" t="str">
        <f t="shared" si="1"/>
        <v>&lt;li class="col-md-3"&gt;&lt;a class="text-cut" href="javascript:;"(click)="categoryEvent(2084285568)"&gt;{{"2084285568" | translate}}&lt;/a&gt;&lt;/li&gt;</v>
      </c>
    </row>
    <row r="37" spans="1:8" ht="14.25" customHeight="1">
      <c r="A37" s="2">
        <v>2084057919</v>
      </c>
      <c r="B37" s="2" t="s">
        <v>3755</v>
      </c>
      <c r="C37" s="2" t="s">
        <v>3756</v>
      </c>
      <c r="D37" s="2" t="s">
        <v>3757</v>
      </c>
      <c r="E37" s="3" t="str">
        <f ca="1">IFERROR(__xludf.DUMMYFUNCTION("GOOGLETRANSLATE(B37,""ja"",""vi"")"),"Com de chế độ")</f>
        <v>Com de chế độ</v>
      </c>
      <c r="F37" s="3" t="str">
        <f ca="1">IFERROR(__xludf.DUMMYFUNCTION("GOOGLETRANSLATE(C37,""ja"",""vi"")"),"Đấu giá&gt; phụ kiện, đồng hồ&gt; thương hiệu phụ kiện&gt; com de chế độ")</f>
        <v>Đấu giá&gt; phụ kiện, đồng hồ&gt; thương hiệu phụ kiện&gt; com de chế độ</v>
      </c>
      <c r="G37" s="229" t="str">
        <f t="shared" ca="1" si="0"/>
        <v>"2084057919" : "Com de chế độ",</v>
      </c>
      <c r="H37" s="229" t="str">
        <f t="shared" si="1"/>
        <v>&lt;li class="col-md-3"&gt;&lt;a class="text-cut" href="javascript:;"(click)="categoryEvent(2084057919)"&gt;{{"2084057919" | translate}}&lt;/a&gt;&lt;/li&gt;</v>
      </c>
    </row>
    <row r="38" spans="1:8" ht="14.25" customHeight="1">
      <c r="A38" s="2">
        <v>2084292916</v>
      </c>
      <c r="B38" s="2" t="s">
        <v>3758</v>
      </c>
      <c r="C38" s="2" t="s">
        <v>3759</v>
      </c>
      <c r="D38" s="2" t="s">
        <v>3761</v>
      </c>
      <c r="E38" s="3" t="str">
        <f ca="1">IFERROR(__xludf.DUMMYFUNCTION("GOOGLETRANSLATE(B38,""ja"",""vi"")"),"Gorozu")</f>
        <v>Gorozu</v>
      </c>
      <c r="F38" s="3" t="str">
        <f ca="1">IFERROR(__xludf.DUMMYFUNCTION("GOOGLETRANSLATE(C38,""ja"",""vi"")"),"Đấu giá&gt; phụ kiện, đồng hồ&gt; thương hiệu phụ kiện&gt; Gorozu")</f>
        <v>Đấu giá&gt; phụ kiện, đồng hồ&gt; thương hiệu phụ kiện&gt; Gorozu</v>
      </c>
      <c r="G38" s="229" t="str">
        <f t="shared" ca="1" si="0"/>
        <v>"2084292916" : "Gorozu",</v>
      </c>
      <c r="H38" s="229" t="str">
        <f t="shared" si="1"/>
        <v>&lt;li class="col-md-3"&gt;&lt;a class="text-cut" href="javascript:;"(click)="categoryEvent(2084292916)"&gt;{{"2084292916" | translate}}&lt;/a&gt;&lt;/li&gt;</v>
      </c>
    </row>
    <row r="39" spans="1:8" ht="14.25" customHeight="1">
      <c r="A39" s="2">
        <v>2084057791</v>
      </c>
      <c r="B39" s="2" t="s">
        <v>3765</v>
      </c>
      <c r="C39" s="2" t="s">
        <v>3767</v>
      </c>
      <c r="D39" s="2" t="s">
        <v>3768</v>
      </c>
      <c r="E39" s="3" t="str">
        <f ca="1">IFERROR(__xludf.DUMMYFUNCTION("GOOGLETRANSLATE(B39,""ja"",""vi"")"),"Chanel")</f>
        <v>Chanel</v>
      </c>
      <c r="F39" s="3" t="str">
        <f ca="1">IFERROR(__xludf.DUMMYFUNCTION("GOOGLETRANSLATE(C39,""ja"",""vi"")"),"Đấu giá&gt; phụ kiện, đồng hồ&gt; thương hiệu phụ kiện&gt; Chanel")</f>
        <v>Đấu giá&gt; phụ kiện, đồng hồ&gt; thương hiệu phụ kiện&gt; Chanel</v>
      </c>
      <c r="G39" s="229" t="str">
        <f t="shared" ca="1" si="0"/>
        <v>"2084057791" : "Chanel",</v>
      </c>
      <c r="H39" s="229" t="str">
        <f t="shared" si="1"/>
        <v>&lt;li class="col-md-3"&gt;&lt;a class="text-cut" href="javascript:;"(click)="categoryEvent(2084057791)"&gt;{{"2084057791" | translate}}&lt;/a&gt;&lt;/li&gt;</v>
      </c>
    </row>
    <row r="40" spans="1:8" ht="14.25" customHeight="1">
      <c r="A40" s="2">
        <v>2084057916</v>
      </c>
      <c r="B40" s="2" t="s">
        <v>3771</v>
      </c>
      <c r="C40" s="2" t="s">
        <v>3772</v>
      </c>
      <c r="D40" s="2" t="s">
        <v>3773</v>
      </c>
      <c r="E40" s="3" t="str">
        <f ca="1">IFERROR(__xludf.DUMMYFUNCTION("GOOGLETRANSLATE(B40,""ja"",""vi"")"),"CHAUMET")</f>
        <v>CHAUMET</v>
      </c>
      <c r="F40" s="3" t="str">
        <f ca="1">IFERROR(__xludf.DUMMYFUNCTION("GOOGLETRANSLATE(C40,""ja"",""vi"")"),"Đấu giá&gt; phụ kiện, đồng hồ&gt; thương hiệu phụ kiện&gt; CHAUMET")</f>
        <v>Đấu giá&gt; phụ kiện, đồng hồ&gt; thương hiệu phụ kiện&gt; CHAUMET</v>
      </c>
      <c r="G40" s="229" t="str">
        <f t="shared" ca="1" si="0"/>
        <v>"2084057916" : "CHAUMET",</v>
      </c>
      <c r="H40" s="229" t="str">
        <f t="shared" si="1"/>
        <v>&lt;li class="col-md-3"&gt;&lt;a class="text-cut" href="javascript:;"(click)="categoryEvent(2084057916)"&gt;{{"2084057916" | translate}}&lt;/a&gt;&lt;/li&gt;</v>
      </c>
    </row>
    <row r="41" spans="1:8" ht="14.25" customHeight="1">
      <c r="A41" s="2">
        <v>2084057887</v>
      </c>
      <c r="B41" s="2" t="s">
        <v>3776</v>
      </c>
      <c r="C41" s="2" t="s">
        <v>3777</v>
      </c>
      <c r="D41" s="2" t="s">
        <v>3778</v>
      </c>
      <c r="E41" s="3" t="str">
        <f ca="1">IFERROR(__xludf.DUMMYFUNCTION("GOOGLETRANSLATE(B41,""ja"",""vi"")"),"Chopard")</f>
        <v>Chopard</v>
      </c>
      <c r="F41" s="3" t="str">
        <f ca="1">IFERROR(__xludf.DUMMYFUNCTION("GOOGLETRANSLATE(C41,""ja"",""vi"")"),"Đấu giá&gt; phụ kiện, đồng hồ&gt; thương hiệu phụ kiện&gt; Chopard")</f>
        <v>Đấu giá&gt; phụ kiện, đồng hồ&gt; thương hiệu phụ kiện&gt; Chopard</v>
      </c>
      <c r="G41" s="229" t="str">
        <f t="shared" ca="1" si="0"/>
        <v>"2084057887" : "Chopard",</v>
      </c>
      <c r="H41" s="229" t="str">
        <f t="shared" si="1"/>
        <v>&lt;li class="col-md-3"&gt;&lt;a class="text-cut" href="javascript:;"(click)="categoryEvent(2084057887)"&gt;{{"2084057887" | translate}}&lt;/a&gt;&lt;/li&gt;</v>
      </c>
    </row>
    <row r="42" spans="1:8" ht="14.25" customHeight="1">
      <c r="A42" s="2">
        <v>2084062113</v>
      </c>
      <c r="B42" s="2" t="s">
        <v>3781</v>
      </c>
      <c r="C42" s="2" t="s">
        <v>3782</v>
      </c>
      <c r="D42" s="2" t="s">
        <v>3783</v>
      </c>
      <c r="E42" s="3" t="str">
        <f ca="1">IFERROR(__xludf.DUMMYFUNCTION("GOOGLETRANSLATE(B42,""ja"",""vi"")"),"Givenchy")</f>
        <v>Givenchy</v>
      </c>
      <c r="F42" s="3" t="str">
        <f ca="1">IFERROR(__xludf.DUMMYFUNCTION("GOOGLETRANSLATE(C42,""ja"",""vi"")"),"Đấu giá&gt; phụ kiện, đồng hồ&gt; thương hiệu phụ kiện&gt; Givenchy")</f>
        <v>Đấu giá&gt; phụ kiện, đồng hồ&gt; thương hiệu phụ kiện&gt; Givenchy</v>
      </c>
      <c r="G42" s="229" t="str">
        <f t="shared" ca="1" si="0"/>
        <v>"2084062113" : "Givenchy",</v>
      </c>
      <c r="H42" s="229" t="str">
        <f t="shared" si="1"/>
        <v>&lt;li class="col-md-3"&gt;&lt;a class="text-cut" href="javascript:;"(click)="categoryEvent(2084062113)"&gt;{{"2084062113" | translate}}&lt;/a&gt;&lt;/li&gt;</v>
      </c>
    </row>
    <row r="43" spans="1:8" ht="14.25" customHeight="1">
      <c r="A43" s="2">
        <v>2084259184</v>
      </c>
      <c r="B43" s="2" t="s">
        <v>3786</v>
      </c>
      <c r="C43" s="2" t="s">
        <v>3787</v>
      </c>
      <c r="D43" s="2" t="s">
        <v>3788</v>
      </c>
      <c r="E43" s="3" t="str">
        <f ca="1">IFERROR(__xludf.DUMMYFUNCTION("GOOGLETRANSLATE(B43,""ja"",""vi"")"),"Justin Davis")</f>
        <v>Justin Davis</v>
      </c>
      <c r="F43" s="3" t="str">
        <f ca="1">IFERROR(__xludf.DUMMYFUNCTION("GOOGLETRANSLATE(C43,""ja"",""vi"")"),"Đấu giá&gt; phụ kiện, đồng hồ&gt; thương hiệu phụ kiện&gt; Justin Davis")</f>
        <v>Đấu giá&gt; phụ kiện, đồng hồ&gt; thương hiệu phụ kiện&gt; Justin Davis</v>
      </c>
      <c r="G43" s="229" t="str">
        <f t="shared" ca="1" si="0"/>
        <v>"2084259184" : "Justin Davis",</v>
      </c>
      <c r="H43" s="229" t="str">
        <f t="shared" si="1"/>
        <v>&lt;li class="col-md-3"&gt;&lt;a class="text-cut" href="javascript:;"(click)="categoryEvent(2084259184)"&gt;{{"2084259184" | translate}}&lt;/a&gt;&lt;/li&gt;</v>
      </c>
    </row>
    <row r="44" spans="1:8" ht="14.25" customHeight="1">
      <c r="A44" s="2">
        <v>2084211403</v>
      </c>
      <c r="B44" s="2" t="s">
        <v>3789</v>
      </c>
      <c r="C44" s="2" t="s">
        <v>3791</v>
      </c>
      <c r="D44" s="2" t="s">
        <v>3793</v>
      </c>
      <c r="E44" s="3" t="str">
        <f ca="1">IFERROR(__xludf.DUMMYFUNCTION("GOOGLETRANSLATE(B44,""ja"",""vi"")"),"Jam Homemade")</f>
        <v>Jam Homemade</v>
      </c>
      <c r="F44" s="3" t="str">
        <f ca="1">IFERROR(__xludf.DUMMYFUNCTION("GOOGLETRANSLATE(C44,""ja"",""vi"")"),"Đấu giá&gt; phụ kiện, đồng hồ&gt; thương hiệu phụ kiện&gt; Jam Home Made")</f>
        <v>Đấu giá&gt; phụ kiện, đồng hồ&gt; thương hiệu phụ kiện&gt; Jam Home Made</v>
      </c>
      <c r="G44" s="229" t="str">
        <f t="shared" ca="1" si="0"/>
        <v>"2084211403" : "Jam Homemade",</v>
      </c>
      <c r="H44" s="229" t="str">
        <f t="shared" si="1"/>
        <v>&lt;li class="col-md-3"&gt;&lt;a class="text-cut" href="javascript:;"(click)="categoryEvent(2084211403)"&gt;{{"2084211403" | translate}}&lt;/a&gt;&lt;/li&gt;</v>
      </c>
    </row>
    <row r="45" spans="1:8" ht="14.25" customHeight="1">
      <c r="A45" s="2">
        <v>2084195385</v>
      </c>
      <c r="B45" s="2" t="s">
        <v>3795</v>
      </c>
      <c r="C45" s="2" t="s">
        <v>3796</v>
      </c>
      <c r="D45" s="2" t="s">
        <v>3797</v>
      </c>
      <c r="E45" s="3" t="str">
        <f ca="1">IFERROR(__xludf.DUMMYFUNCTION("GOOGLETRANSLATE(B45,""ja"",""vi"")"),"George Jensen")</f>
        <v>George Jensen</v>
      </c>
      <c r="F45" s="3" t="str">
        <f ca="1">IFERROR(__xludf.DUMMYFUNCTION("GOOGLETRANSLATE(C45,""ja"",""vi"")"),"Đấu giá&gt; phụ kiện, đồng hồ&gt; thương hiệu phụ kiện&gt; George Jensen")</f>
        <v>Đấu giá&gt; phụ kiện, đồng hồ&gt; thương hiệu phụ kiện&gt; George Jensen</v>
      </c>
      <c r="G45" s="229" t="str">
        <f t="shared" ca="1" si="0"/>
        <v>"2084195385" : "George Jensen",</v>
      </c>
      <c r="H45" s="229" t="str">
        <f t="shared" si="1"/>
        <v>&lt;li class="col-md-3"&gt;&lt;a class="text-cut" href="javascript:;"(click)="categoryEvent(2084195385)"&gt;{{"2084195385" | translate}}&lt;/a&gt;&lt;/li&gt;</v>
      </c>
    </row>
    <row r="46" spans="1:8" ht="14.25" customHeight="1">
      <c r="A46" s="2">
        <v>2084057892</v>
      </c>
      <c r="B46" s="2" t="s">
        <v>3800</v>
      </c>
      <c r="C46" s="2" t="s">
        <v>3802</v>
      </c>
      <c r="D46" s="2" t="s">
        <v>3803</v>
      </c>
      <c r="E46" s="3" t="str">
        <f ca="1">IFERROR(__xludf.DUMMYFUNCTION("GOOGLETRANSLATE(B46,""ja"",""vi"")"),"đồ trang sức sao")</f>
        <v>đồ trang sức sao</v>
      </c>
      <c r="F46" s="3" t="str">
        <f ca="1">IFERROR(__xludf.DUMMYFUNCTION("GOOGLETRANSLATE(C46,""ja"",""vi"")"),"Đấu giá&gt; phụ kiện, đồng hồ&gt; thương hiệu phụ kiện&gt; đồ trang sức sao")</f>
        <v>Đấu giá&gt; phụ kiện, đồng hồ&gt; thương hiệu phụ kiện&gt; đồ trang sức sao</v>
      </c>
      <c r="G46" s="229" t="str">
        <f t="shared" ca="1" si="0"/>
        <v>"2084057892" : "đồ trang sức sao",</v>
      </c>
      <c r="H46" s="229" t="str">
        <f t="shared" si="1"/>
        <v>&lt;li class="col-md-3"&gt;&lt;a class="text-cut" href="javascript:;"(click)="categoryEvent(2084057892)"&gt;{{"2084057892" | translate}}&lt;/a&gt;&lt;/li&gt;</v>
      </c>
    </row>
    <row r="47" spans="1:8" ht="14.25" customHeight="1">
      <c r="A47" s="2">
        <v>2084212690</v>
      </c>
      <c r="B47" s="2" t="s">
        <v>3804</v>
      </c>
      <c r="C47" s="2" t="s">
        <v>3805</v>
      </c>
      <c r="D47" s="2" t="s">
        <v>3806</v>
      </c>
      <c r="E47" s="3" t="str">
        <f ca="1">IFERROR(__xludf.DUMMYFUNCTION("GOOGLETRANSLATE(B47,""ja"",""vi"")"),"Swarovski")</f>
        <v>Swarovski</v>
      </c>
      <c r="F47" s="3" t="str">
        <f ca="1">IFERROR(__xludf.DUMMYFUNCTION("GOOGLETRANSLATE(C47,""ja"",""vi"")"),"Đấu giá&gt; phụ kiện, đồng hồ&gt; thương hiệu phụ kiện&gt; Swarovski")</f>
        <v>Đấu giá&gt; phụ kiện, đồng hồ&gt; thương hiệu phụ kiện&gt; Swarovski</v>
      </c>
      <c r="G47" s="229" t="str">
        <f t="shared" ca="1" si="0"/>
        <v>"2084212690" : "Swarovski",</v>
      </c>
      <c r="H47" s="229" t="str">
        <f t="shared" si="1"/>
        <v>&lt;li class="col-md-3"&gt;&lt;a class="text-cut" href="javascript:;"(click)="categoryEvent(2084212690)"&gt;{{"2084212690" | translate}}&lt;/a&gt;&lt;/li&gt;</v>
      </c>
    </row>
    <row r="48" spans="1:8" ht="14.25" customHeight="1">
      <c r="A48" s="2">
        <v>2084061872</v>
      </c>
      <c r="B48" s="2" t="s">
        <v>3809</v>
      </c>
      <c r="C48" s="2" t="s">
        <v>3810</v>
      </c>
      <c r="D48" s="2" t="s">
        <v>3811</v>
      </c>
      <c r="E48" s="3" t="str">
        <f ca="1">IFERROR(__xludf.DUMMYFUNCTION("GOOGLETRANSLATE(B48,""ja"",""vi"")"),"Tateoshian")</f>
        <v>Tateoshian</v>
      </c>
      <c r="F48" s="3" t="str">
        <f ca="1">IFERROR(__xludf.DUMMYFUNCTION("GOOGLETRANSLATE(C48,""ja"",""vi"")"),"Đấu giá&gt; phụ kiện, đồng hồ&gt; thương hiệu phụ kiện&gt; Tateoshian")</f>
        <v>Đấu giá&gt; phụ kiện, đồng hồ&gt; thương hiệu phụ kiện&gt; Tateoshian</v>
      </c>
      <c r="G48" s="229" t="str">
        <f t="shared" ca="1" si="0"/>
        <v>"2084061872" : "Tateoshian",</v>
      </c>
      <c r="H48" s="229" t="str">
        <f t="shared" si="1"/>
        <v>&lt;li class="col-md-3"&gt;&lt;a class="text-cut" href="javascript:;"(click)="categoryEvent(2084061872)"&gt;{{"2084061872" | translate}}&lt;/a&gt;&lt;/li&gt;</v>
      </c>
    </row>
    <row r="49" spans="1:8" ht="14.25" customHeight="1">
      <c r="A49" s="2">
        <v>2084211290</v>
      </c>
      <c r="B49" s="2" t="s">
        <v>3812</v>
      </c>
      <c r="C49" s="2" t="s">
        <v>3813</v>
      </c>
      <c r="D49" s="2" t="s">
        <v>3814</v>
      </c>
      <c r="E49" s="3" t="str">
        <f ca="1">IFERROR(__xludf.DUMMYFUNCTION("GOOGLETRANSLATE(B49,""ja"",""vi"")"),"Damiani")</f>
        <v>Damiani</v>
      </c>
      <c r="F49" s="3" t="str">
        <f ca="1">IFERROR(__xludf.DUMMYFUNCTION("GOOGLETRANSLATE(C49,""ja"",""vi"")"),"Đấu giá&gt; phụ kiện, đồng hồ&gt; thương hiệu phụ kiện&gt; Damiani")</f>
        <v>Đấu giá&gt; phụ kiện, đồng hồ&gt; thương hiệu phụ kiện&gt; Damiani</v>
      </c>
      <c r="G49" s="229" t="str">
        <f t="shared" ca="1" si="0"/>
        <v>"2084211290" : "Damiani",</v>
      </c>
      <c r="H49" s="229" t="str">
        <f t="shared" si="1"/>
        <v>&lt;li class="col-md-3"&gt;&lt;a class="text-cut" href="javascript:;"(click)="categoryEvent(2084211290)"&gt;{{"2084211290" | translate}}&lt;/a&gt;&lt;/li&gt;</v>
      </c>
    </row>
    <row r="50" spans="1:8" ht="14.25" customHeight="1">
      <c r="A50" s="2">
        <v>2084061866</v>
      </c>
      <c r="B50" s="2" t="s">
        <v>3815</v>
      </c>
      <c r="C50" s="2" t="s">
        <v>3816</v>
      </c>
      <c r="D50" s="2" t="s">
        <v>3817</v>
      </c>
      <c r="E50" s="3" t="str">
        <f ca="1">IFERROR(__xludf.DUMMYFUNCTION("GOOGLETRANSLATE(B50,""ja"",""vi"")"),"Dunhill")</f>
        <v>Dunhill</v>
      </c>
      <c r="F50" s="3" t="str">
        <f ca="1">IFERROR(__xludf.DUMMYFUNCTION("GOOGLETRANSLATE(C50,""ja"",""vi"")"),"Đấu giá&gt; phụ kiện, đồng hồ&gt; thương hiệu phụ kiện&gt; Dunhill")</f>
        <v>Đấu giá&gt; phụ kiện, đồng hồ&gt; thương hiệu phụ kiện&gt; Dunhill</v>
      </c>
      <c r="G50" s="229" t="str">
        <f t="shared" ca="1" si="0"/>
        <v>"2084061866" : "Dunhill",</v>
      </c>
      <c r="H50" s="229" t="str">
        <f t="shared" si="1"/>
        <v>&lt;li class="col-md-3"&gt;&lt;a class="text-cut" href="javascript:;"(click)="categoryEvent(2084061866)"&gt;{{"2084061866" | translate}}&lt;/a&gt;&lt;/li&gt;</v>
      </c>
    </row>
    <row r="51" spans="1:8" ht="14.25" customHeight="1">
      <c r="A51" s="2">
        <v>2084052592</v>
      </c>
      <c r="B51" s="2" t="s">
        <v>3818</v>
      </c>
      <c r="C51" s="2" t="s">
        <v>3819</v>
      </c>
      <c r="D51" s="2" t="s">
        <v>3820</v>
      </c>
      <c r="E51" s="3" t="str">
        <f ca="1">IFERROR(__xludf.DUMMYFUNCTION("GOOGLETRANSLATE(B51,""ja"",""vi"")"),"vải mõng")</f>
        <v>vải mõng</v>
      </c>
      <c r="F51" s="3" t="str">
        <f ca="1">IFERROR(__xludf.DUMMYFUNCTION("GOOGLETRANSLATE(C51,""ja"",""vi"")"),"Đấu giá&gt; phụ kiện, đồng hồ&gt; thương hiệu phụ kiện&gt; Tiffany")</f>
        <v>Đấu giá&gt; phụ kiện, đồng hồ&gt; thương hiệu phụ kiện&gt; Tiffany</v>
      </c>
      <c r="G51" s="229" t="str">
        <f t="shared" ca="1" si="0"/>
        <v>"2084052592" : "vải mõng",</v>
      </c>
      <c r="H51" s="229" t="str">
        <f t="shared" si="1"/>
        <v>&lt;li class="col-md-3"&gt;&lt;a class="text-cut" href="javascript:;"(click)="categoryEvent(2084052592)"&gt;{{"2084052592" | translate}}&lt;/a&gt;&lt;/li&gt;</v>
      </c>
    </row>
    <row r="52" spans="1:8" ht="14.25" customHeight="1">
      <c r="A52" s="2">
        <v>2084195391</v>
      </c>
      <c r="B52" s="2" t="s">
        <v>3821</v>
      </c>
      <c r="C52" s="2" t="s">
        <v>3822</v>
      </c>
      <c r="D52" s="2" t="s">
        <v>3823</v>
      </c>
      <c r="E52" s="3" t="str">
        <f ca="1">IFERROR(__xludf.DUMMYFUNCTION("GOOGLETRANSLATE(B52,""ja"",""vi"")"),"de Beers")</f>
        <v>de Beers</v>
      </c>
      <c r="F52" s="3" t="str">
        <f ca="1">IFERROR(__xludf.DUMMYFUNCTION("GOOGLETRANSLATE(C52,""ja"",""vi"")"),"Đấu giá&gt; phụ kiện, đồng hồ&gt; thương hiệu phụ kiện&gt; De Beers")</f>
        <v>Đấu giá&gt; phụ kiện, đồng hồ&gt; thương hiệu phụ kiện&gt; De Beers</v>
      </c>
      <c r="G52" s="229" t="str">
        <f t="shared" ca="1" si="0"/>
        <v>"2084195391" : "de Beers",</v>
      </c>
      <c r="H52" s="229" t="str">
        <f t="shared" si="1"/>
        <v>&lt;li class="col-md-3"&gt;&lt;a class="text-cut" href="javascript:;"(click)="categoryEvent(2084195391)"&gt;{{"2084195391" | translate}}&lt;/a&gt;&lt;/li&gt;</v>
      </c>
    </row>
    <row r="53" spans="1:8" ht="14.25" customHeight="1">
      <c r="A53" s="2">
        <v>2084211400</v>
      </c>
      <c r="B53" s="2" t="s">
        <v>3825</v>
      </c>
      <c r="C53" s="2" t="s">
        <v>3826</v>
      </c>
      <c r="D53" s="2" t="s">
        <v>3828</v>
      </c>
      <c r="E53" s="3" t="str">
        <f ca="1">IFERROR(__xludf.DUMMYFUNCTION("GOOGLETRANSLATE(B53,""ja"",""vi"")"),"nhân viên Travis")</f>
        <v>nhân viên Travis</v>
      </c>
      <c r="F53" s="3" t="str">
        <f ca="1">IFERROR(__xludf.DUMMYFUNCTION("GOOGLETRANSLATE(C53,""ja"",""vi"")"),"Đấu giá&gt; phụ kiện, đồng hồ&gt; thương hiệu phụ kiện&gt; nhân viên Travis")</f>
        <v>Đấu giá&gt; phụ kiện, đồng hồ&gt; thương hiệu phụ kiện&gt; nhân viên Travis</v>
      </c>
      <c r="G53" s="229" t="str">
        <f t="shared" ca="1" si="0"/>
        <v>"2084211400" : "nhân viên Travis",</v>
      </c>
      <c r="H53" s="229" t="str">
        <f t="shared" si="1"/>
        <v>&lt;li class="col-md-3"&gt;&lt;a class="text-cut" href="javascript:;"(click)="categoryEvent(2084211400)"&gt;{{"2084211400" | translate}}&lt;/a&gt;&lt;/li&gt;</v>
      </c>
    </row>
    <row r="54" spans="1:8" ht="14.25" customHeight="1">
      <c r="A54" s="2">
        <v>2084059826</v>
      </c>
      <c r="B54" s="2" t="s">
        <v>3829</v>
      </c>
      <c r="C54" s="2" t="s">
        <v>3830</v>
      </c>
      <c r="D54" s="2" t="s">
        <v>3831</v>
      </c>
      <c r="E54" s="3" t="str">
        <f ca="1">IFERROR(__xludf.DUMMYFUNCTION("GOOGLETRANSLATE(B54,""ja"",""vi"")"),"Dolce &amp; Gabbana")</f>
        <v>Dolce &amp; Gabbana</v>
      </c>
      <c r="F54" s="3" t="str">
        <f ca="1">IFERROR(__xludf.DUMMYFUNCTION("GOOGLETRANSLATE(C54,""ja"",""vi"")"),"Đấu giá&gt; phụ kiện, đồng hồ&gt; thương hiệu phụ kiện&gt; Dolce &amp; Gabbana")</f>
        <v>Đấu giá&gt; phụ kiện, đồng hồ&gt; thương hiệu phụ kiện&gt; Dolce &amp; Gabbana</v>
      </c>
      <c r="G54" s="229" t="str">
        <f t="shared" ca="1" si="0"/>
        <v>"2084059826" : "Dolce &amp; Gabbana",</v>
      </c>
      <c r="H54" s="229" t="str">
        <f t="shared" si="1"/>
        <v>&lt;li class="col-md-3"&gt;&lt;a class="text-cut" href="javascript:;"(click)="categoryEvent(2084059826)"&gt;{{"2084059826" | translate}}&lt;/a&gt;&lt;/li&gt;</v>
      </c>
    </row>
    <row r="55" spans="1:8" ht="14.25" customHeight="1">
      <c r="A55" s="2">
        <v>2084061900</v>
      </c>
      <c r="B55" s="2" t="s">
        <v>3833</v>
      </c>
      <c r="C55" s="2" t="s">
        <v>3834</v>
      </c>
      <c r="D55" s="2" t="s">
        <v>3836</v>
      </c>
      <c r="E55" s="3" t="str">
        <f ca="1">IFERROR(__xludf.DUMMYFUNCTION("GOOGLETRANSLATE(B55,""ja"",""vi"")"),"Tasaki Shinju Co., Ltd.")</f>
        <v>Tasaki Shinju Co., Ltd.</v>
      </c>
      <c r="F55" s="3" t="str">
        <f ca="1">IFERROR(__xludf.DUMMYFUNCTION("GOOGLETRANSLATE(C55,""ja"",""vi"")"),"Đấu giá&gt; phụ kiện, đồng hồ&gt; thương hiệu phụ kiện&gt; Tasaki Shinju Co., Ltd.")</f>
        <v>Đấu giá&gt; phụ kiện, đồng hồ&gt; thương hiệu phụ kiện&gt; Tasaki Shinju Co., Ltd.</v>
      </c>
      <c r="G55" s="229" t="str">
        <f t="shared" ca="1" si="0"/>
        <v>"2084061900" : "Tasaki Shinju Co., Ltd.",</v>
      </c>
      <c r="H55" s="229" t="str">
        <f t="shared" si="1"/>
        <v>&lt;li class="col-md-3"&gt;&lt;a class="text-cut" href="javascript:;"(click)="categoryEvent(2084061900)"&gt;{{"2084061900" | translate}}&lt;/a&gt;&lt;/li&gt;</v>
      </c>
    </row>
    <row r="56" spans="1:8" ht="14.25" customHeight="1">
      <c r="A56" s="2">
        <v>2084061782</v>
      </c>
      <c r="B56" s="2" t="s">
        <v>3838</v>
      </c>
      <c r="C56" s="2" t="s">
        <v>3839</v>
      </c>
      <c r="D56" s="2" t="s">
        <v>3840</v>
      </c>
      <c r="E56" s="3" t="str">
        <f ca="1">IFERROR(__xludf.DUMMYFUNCTION("GOOGLETRANSLATE(B56,""ja"",""vi"")"),"số Nine")</f>
        <v>số Nine</v>
      </c>
      <c r="F56" s="3" t="str">
        <f ca="1">IFERROR(__xludf.DUMMYFUNCTION("GOOGLETRANSLATE(C56,""ja"",""vi"")"),"Đấu giá&gt; phụ kiện, đồng hồ&gt; thương hiệu phụ kiện&gt; Số Nine")</f>
        <v>Đấu giá&gt; phụ kiện, đồng hồ&gt; thương hiệu phụ kiện&gt; Số Nine</v>
      </c>
      <c r="G56" s="229" t="str">
        <f t="shared" ca="1" si="0"/>
        <v>"2084061782" : "số Nine",</v>
      </c>
      <c r="H56" s="229" t="str">
        <f t="shared" si="1"/>
        <v>&lt;li class="col-md-3"&gt;&lt;a class="text-cut" href="javascript:;"(click)="categoryEvent(2084061782)"&gt;{{"2084061782" | translate}}&lt;/a&gt;&lt;/li&gt;</v>
      </c>
    </row>
    <row r="57" spans="1:8" ht="14.25" customHeight="1">
      <c r="A57" s="2">
        <v>2084057897</v>
      </c>
      <c r="B57" s="2" t="s">
        <v>3843</v>
      </c>
      <c r="C57" s="2" t="s">
        <v>3845</v>
      </c>
      <c r="D57" s="2" t="s">
        <v>3846</v>
      </c>
      <c r="E57" s="3" t="str">
        <f ca="1">IFERROR(__xludf.DUMMYFUNCTION("GOOGLETRANSLATE(B57,""ja"",""vi"")"),"Nina Ricci")</f>
        <v>Nina Ricci</v>
      </c>
      <c r="F57" s="3" t="str">
        <f ca="1">IFERROR(__xludf.DUMMYFUNCTION("GOOGLETRANSLATE(C57,""ja"",""vi"")"),"Đấu giá&gt; phụ kiện, đồng hồ&gt; thương hiệu phụ kiện&gt; Nina Ricci")</f>
        <v>Đấu giá&gt; phụ kiện, đồng hồ&gt; thương hiệu phụ kiện&gt; Nina Ricci</v>
      </c>
      <c r="G57" s="229" t="str">
        <f t="shared" ca="1" si="0"/>
        <v>"2084057897" : "Nina Ricci",</v>
      </c>
      <c r="H57" s="229" t="str">
        <f t="shared" si="1"/>
        <v>&lt;li class="col-md-3"&gt;&lt;a class="text-cut" href="javascript:;"(click)="categoryEvent(2084057897)"&gt;{{"2084057897" | translate}}&lt;/a&gt;&lt;/li&gt;</v>
      </c>
    </row>
    <row r="58" spans="1:8" ht="14.25" customHeight="1">
      <c r="A58" s="2">
        <v>2084242562</v>
      </c>
      <c r="B58" s="2" t="s">
        <v>3848</v>
      </c>
      <c r="C58" s="2" t="s">
        <v>3849</v>
      </c>
      <c r="D58" s="2" t="s">
        <v>3850</v>
      </c>
      <c r="E58" s="3" t="str">
        <f ca="1">IFERROR(__xludf.DUMMYFUNCTION("GOOGLETRANSLATE(B58,""ja"",""vi"")"),"Nojesu")</f>
        <v>Nojesu</v>
      </c>
      <c r="F58" s="3" t="str">
        <f ca="1">IFERROR(__xludf.DUMMYFUNCTION("GOOGLETRANSLATE(C58,""ja"",""vi"")"),"Đấu giá&gt; phụ kiện, đồng hồ&gt; thương hiệu phụ kiện&gt; Nojesu")</f>
        <v>Đấu giá&gt; phụ kiện, đồng hồ&gt; thương hiệu phụ kiện&gt; Nojesu</v>
      </c>
      <c r="G58" s="229" t="str">
        <f t="shared" ca="1" si="0"/>
        <v>"2084242562" : "Nojesu",</v>
      </c>
      <c r="H58" s="229" t="str">
        <f t="shared" si="1"/>
        <v>&lt;li class="col-md-3"&gt;&lt;a class="text-cut" href="javascript:;"(click)="categoryEvent(2084242562)"&gt;{{"2084242562" | translate}}&lt;/a&gt;&lt;/li&gt;</v>
      </c>
    </row>
    <row r="59" spans="1:8" ht="14.25" customHeight="1">
      <c r="A59" s="2">
        <v>2084211287</v>
      </c>
      <c r="B59" s="2" t="s">
        <v>3856</v>
      </c>
      <c r="C59" s="2" t="s">
        <v>3857</v>
      </c>
      <c r="D59" s="2" t="s">
        <v>3858</v>
      </c>
      <c r="E59" s="3" t="str">
        <f ca="1">IFERROR(__xludf.DUMMYFUNCTION("GOOGLETRANSLATE(B59,""ja"",""vi"")"),"Harry Winston")</f>
        <v>Harry Winston</v>
      </c>
      <c r="F59" s="3" t="str">
        <f ca="1">IFERROR(__xludf.DUMMYFUNCTION("GOOGLETRANSLATE(C59,""ja"",""vi"")"),"Đấu giá&gt; phụ kiện, đồng hồ&gt; thương hiệu phụ kiện&gt; Harry Winston")</f>
        <v>Đấu giá&gt; phụ kiện, đồng hồ&gt; thương hiệu phụ kiện&gt; Harry Winston</v>
      </c>
      <c r="G59" s="229" t="str">
        <f t="shared" ca="1" si="0"/>
        <v>"2084211287" : "Harry Winston",</v>
      </c>
      <c r="H59" s="229" t="str">
        <f t="shared" si="1"/>
        <v>&lt;li class="col-md-3"&gt;&lt;a class="text-cut" href="javascript:;"(click)="categoryEvent(2084211287)"&gt;{{"2084211287" | translate}}&lt;/a&gt;&lt;/li&gt;</v>
      </c>
    </row>
    <row r="60" spans="1:8" ht="14.25" customHeight="1">
      <c r="A60" s="2">
        <v>2084057901</v>
      </c>
      <c r="B60" s="2" t="s">
        <v>3863</v>
      </c>
      <c r="C60" s="2" t="s">
        <v>3864</v>
      </c>
      <c r="D60" s="2" t="s">
        <v>3867</v>
      </c>
      <c r="E60" s="3" t="str">
        <f ca="1">IFERROR(__xludf.DUMMYFUNCTION("GOOGLETRANSLATE(B60,""ja"",""vi"")"),"Baccarat")</f>
        <v>Baccarat</v>
      </c>
      <c r="F60" s="3" t="str">
        <f ca="1">IFERROR(__xludf.DUMMYFUNCTION("GOOGLETRANSLATE(C60,""ja"",""vi"")"),"Đấu giá&gt; phụ kiện, đồng hồ&gt; thương hiệu phụ kiện&gt; Baccarat")</f>
        <v>Đấu giá&gt; phụ kiện, đồng hồ&gt; thương hiệu phụ kiện&gt; Baccarat</v>
      </c>
      <c r="G60" s="229" t="str">
        <f t="shared" ca="1" si="0"/>
        <v>"2084057901" : "Baccarat",</v>
      </c>
      <c r="H60" s="229" t="str">
        <f t="shared" si="1"/>
        <v>&lt;li class="col-md-3"&gt;&lt;a class="text-cut" href="javascript:;"(click)="categoryEvent(2084057901)"&gt;{{"2084057901" | translate}}&lt;/a&gt;&lt;/li&gt;</v>
      </c>
    </row>
    <row r="61" spans="1:8" ht="14.25" customHeight="1">
      <c r="A61" s="2">
        <v>2084195403</v>
      </c>
      <c r="B61" s="2" t="s">
        <v>3870</v>
      </c>
      <c r="C61" s="2" t="s">
        <v>3872</v>
      </c>
      <c r="D61" s="2" t="s">
        <v>3873</v>
      </c>
      <c r="E61" s="3" t="str">
        <f ca="1">IFERROR(__xludf.DUMMYFUNCTION("GOOGLETRANSLATE(B61,""ja"",""vi"")"),"Bill Tường Da")</f>
        <v>Bill Tường Da</v>
      </c>
      <c r="F61" s="3" t="str">
        <f ca="1">IFERROR(__xludf.DUMMYFUNCTION("GOOGLETRANSLATE(C61,""ja"",""vi"")"),"Đấu giá&gt; Phụ kiện, đồng hồ&gt; thương hiệu phụ kiện&gt; Bill Tường Da")</f>
        <v>Đấu giá&gt; Phụ kiện, đồng hồ&gt; thương hiệu phụ kiện&gt; Bill Tường Da</v>
      </c>
      <c r="G61" s="229" t="str">
        <f t="shared" ca="1" si="0"/>
        <v>"2084195403" : "Bill Tường Da",</v>
      </c>
      <c r="H61" s="229" t="str">
        <f t="shared" si="1"/>
        <v>&lt;li class="col-md-3"&gt;&lt;a class="text-cut" href="javascript:;"(click)="categoryEvent(2084195403)"&gt;{{"2084195403" | translate}}&lt;/a&gt;&lt;/li&gt;</v>
      </c>
    </row>
    <row r="62" spans="1:8" ht="14.25" customHeight="1">
      <c r="A62" s="2">
        <v>2084211293</v>
      </c>
      <c r="B62" s="2" t="s">
        <v>3877</v>
      </c>
      <c r="C62" s="2" t="s">
        <v>3881</v>
      </c>
      <c r="D62" s="2" t="s">
        <v>3882</v>
      </c>
      <c r="E62" s="3" t="str">
        <f ca="1">IFERROR(__xludf.DUMMYFUNCTION("GOOGLETRANSLATE(B62,""ja"",""vi"")"),"Piaget")</f>
        <v>Piaget</v>
      </c>
      <c r="F62" s="3" t="str">
        <f ca="1">IFERROR(__xludf.DUMMYFUNCTION("GOOGLETRANSLATE(C62,""ja"",""vi"")"),"Đấu giá&gt; phụ kiện, đồng hồ&gt; thương hiệu phụ kiện&gt; Piaget")</f>
        <v>Đấu giá&gt; phụ kiện, đồng hồ&gt; thương hiệu phụ kiện&gt; Piaget</v>
      </c>
      <c r="G62" s="229" t="str">
        <f t="shared" ca="1" si="0"/>
        <v>"2084211293" : "Piaget",</v>
      </c>
      <c r="H62" s="229" t="str">
        <f t="shared" si="1"/>
        <v>&lt;li class="col-md-3"&gt;&lt;a class="text-cut" href="javascript:;"(click)="categoryEvent(2084211293)"&gt;{{"2084211293" | translate}}&lt;/a&gt;&lt;/li&gt;</v>
      </c>
    </row>
    <row r="63" spans="1:8" ht="14.25" customHeight="1">
      <c r="A63" s="2">
        <v>2084057904</v>
      </c>
      <c r="B63" s="2" t="s">
        <v>3886</v>
      </c>
      <c r="C63" s="2" t="s">
        <v>3887</v>
      </c>
      <c r="D63" s="2" t="s">
        <v>3888</v>
      </c>
      <c r="E63" s="3" t="str">
        <f ca="1">IFERROR(__xludf.DUMMYFUNCTION("GOOGLETRANSLATE(B63,""ja"",""vi"")"),"follie FOLLI")</f>
        <v>follie FOLLI</v>
      </c>
      <c r="F63" s="3" t="str">
        <f ca="1">IFERROR(__xludf.DUMMYFUNCTION("GOOGLETRANSLATE(C63,""ja"",""vi"")"),"Đấu giá&gt; phụ kiện, đồng hồ&gt; thương hiệu phụ kiện&gt; FOLLI FOLLIE")</f>
        <v>Đấu giá&gt; phụ kiện, đồng hồ&gt; thương hiệu phụ kiện&gt; FOLLI FOLLIE</v>
      </c>
      <c r="G63" s="229" t="str">
        <f t="shared" ca="1" si="0"/>
        <v>"2084057904" : "follie FOLLI",</v>
      </c>
      <c r="H63" s="229" t="str">
        <f t="shared" si="1"/>
        <v>&lt;li class="col-md-3"&gt;&lt;a class="text-cut" href="javascript:;"(click)="categoryEvent(2084057904)"&gt;{{"2084057904" | translate}}&lt;/a&gt;&lt;/li&gt;</v>
      </c>
    </row>
    <row r="64" spans="1:8" ht="14.25" customHeight="1">
      <c r="A64" s="2">
        <v>2084195409</v>
      </c>
      <c r="B64" s="2" t="s">
        <v>3895</v>
      </c>
      <c r="C64" s="2" t="s">
        <v>3896</v>
      </c>
      <c r="D64" s="2" t="s">
        <v>3897</v>
      </c>
      <c r="E64" s="3" t="str">
        <f ca="1">IFERROR(__xludf.DUMMYFUNCTION("GOOGLETRANSLATE(B64,""ja"",""vi"")"),"Freestyle")</f>
        <v>Freestyle</v>
      </c>
      <c r="F64" s="3" t="str">
        <f ca="1">IFERROR(__xludf.DUMMYFUNCTION("GOOGLETRANSLATE(C64,""ja"",""vi"")"),"Đấu giá&gt; phụ kiện, đồng hồ&gt; thương hiệu phụ kiện&gt; Freestyle")</f>
        <v>Đấu giá&gt; phụ kiện, đồng hồ&gt; thương hiệu phụ kiện&gt; Freestyle</v>
      </c>
      <c r="G64" s="229" t="str">
        <f t="shared" ca="1" si="0"/>
        <v>"2084195409" : "Freestyle",</v>
      </c>
      <c r="H64" s="229" t="str">
        <f t="shared" si="1"/>
        <v>&lt;li class="col-md-3"&gt;&lt;a class="text-cut" href="javascript:;"(click)="categoryEvent(2084195409)"&gt;{{"2084195409" | translate}}&lt;/a&gt;&lt;/li&gt;</v>
      </c>
    </row>
    <row r="65" spans="1:8" ht="14.25" customHeight="1">
      <c r="A65" s="2">
        <v>2084211300</v>
      </c>
      <c r="B65" s="2" t="s">
        <v>3899</v>
      </c>
      <c r="C65" s="2" t="s">
        <v>3903</v>
      </c>
      <c r="D65" s="2" t="s">
        <v>3905</v>
      </c>
      <c r="E65" s="3" t="str">
        <f ca="1">IFERROR(__xludf.DUMMYFUNCTION("GOOGLETRANSLATE(B65,""ja"",""vi"")"),"Boucheron")</f>
        <v>Boucheron</v>
      </c>
      <c r="F65" s="3" t="str">
        <f ca="1">IFERROR(__xludf.DUMMYFUNCTION("GOOGLETRANSLATE(C65,""ja"",""vi"")"),"Đấu giá&gt; phụ kiện, đồng hồ&gt; thương hiệu phụ kiện&gt; Boucheron")</f>
        <v>Đấu giá&gt; phụ kiện, đồng hồ&gt; thương hiệu phụ kiện&gt; Boucheron</v>
      </c>
      <c r="G65" s="229" t="str">
        <f t="shared" ca="1" si="0"/>
        <v>"2084211300" : "Boucheron",</v>
      </c>
      <c r="H65" s="229" t="str">
        <f t="shared" si="1"/>
        <v>&lt;li class="col-md-3"&gt;&lt;a class="text-cut" href="javascript:;"(click)="categoryEvent(2084211300)"&gt;{{"2084211300" | translate}}&lt;/a&gt;&lt;/li&gt;</v>
      </c>
    </row>
    <row r="66" spans="1:8" ht="14.25" customHeight="1">
      <c r="A66" s="2">
        <v>2084195393</v>
      </c>
      <c r="B66" s="2" t="s">
        <v>3907</v>
      </c>
      <c r="C66" s="2" t="s">
        <v>3908</v>
      </c>
      <c r="D66" s="2" t="s">
        <v>3909</v>
      </c>
      <c r="E66" s="3" t="str">
        <f ca="1">IFERROR(__xludf.DUMMYFUNCTION("GOOGLETRANSLATE(B66,""ja"",""vi"")"),"Bloody Mary")</f>
        <v>Bloody Mary</v>
      </c>
      <c r="F66" s="3" t="str">
        <f ca="1">IFERROR(__xludf.DUMMYFUNCTION("GOOGLETRANSLATE(C66,""ja"",""vi"")"),"Đấu giá&gt; phụ kiện, đồng hồ&gt; thương hiệu phụ kiện&gt; Bloody Mary")</f>
        <v>Đấu giá&gt; phụ kiện, đồng hồ&gt; thương hiệu phụ kiện&gt; Bloody Mary</v>
      </c>
      <c r="G66" s="229" t="str">
        <f t="shared" ca="1" si="0"/>
        <v>"2084195393" : "Bloody Mary",</v>
      </c>
      <c r="H66" s="229" t="str">
        <f t="shared" si="1"/>
        <v>&lt;li class="col-md-3"&gt;&lt;a class="text-cut" href="javascript:;"(click)="categoryEvent(2084195393)"&gt;{{"2084195393" | translate}}&lt;/a&gt;&lt;/li&gt;</v>
      </c>
    </row>
    <row r="67" spans="1:8" ht="14.25" customHeight="1">
      <c r="A67" s="2">
        <v>2084195392</v>
      </c>
      <c r="B67" s="2" t="s">
        <v>3916</v>
      </c>
      <c r="C67" s="2" t="s">
        <v>3917</v>
      </c>
      <c r="D67" s="2" t="s">
        <v>3918</v>
      </c>
      <c r="E67" s="3" t="str">
        <f ca="1">IFERROR(__xludf.DUMMYFUNCTION("GOOGLETRANSLATE(B67,""ja"",""vi"")"),"nở hoa")</f>
        <v>nở hoa</v>
      </c>
      <c r="F67" s="3" t="str">
        <f ca="1">IFERROR(__xludf.DUMMYFUNCTION("GOOGLETRANSLATE(C67,""ja"",""vi"")"),"Đấu giá&gt; phụ kiện, đồng hồ&gt; thương hiệu phụ kiện&gt; Broome")</f>
        <v>Đấu giá&gt; phụ kiện, đồng hồ&gt; thương hiệu phụ kiện&gt; Broome</v>
      </c>
      <c r="G67" s="229" t="str">
        <f t="shared" ref="G67:G130" ca="1" si="2">CONCATENATE(CHAR(34)&amp;"",A67,""&amp;CHAR(34)," : ", CHAR(34)&amp;"",E67,""&amp;CHAR(34),",")</f>
        <v>"2084195392" : "nở hoa",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href="javascript:;"(click)="categoryEvent(2084195392)"&gt;{{"2084195392" | translate}}&lt;/a&gt;&lt;/li&gt;</v>
      </c>
    </row>
    <row r="68" spans="1:8" ht="14.25" customHeight="1">
      <c r="A68" s="2">
        <v>2084052554</v>
      </c>
      <c r="B68" s="2" t="s">
        <v>3923</v>
      </c>
      <c r="C68" s="2" t="s">
        <v>3925</v>
      </c>
      <c r="D68" s="2" t="s">
        <v>3927</v>
      </c>
      <c r="E68" s="3" t="str">
        <f ca="1">IFERROR(__xludf.DUMMYFUNCTION("GOOGLETRANSLATE(B68,""ja"",""vi"")"),"Bulgari")</f>
        <v>Bulgari</v>
      </c>
      <c r="F68" s="3" t="str">
        <f ca="1">IFERROR(__xludf.DUMMYFUNCTION("GOOGLETRANSLATE(C68,""ja"",""vi"")"),"Đấu giá&gt; phụ kiện, đồng hồ&gt; thương hiệu phụ kiện&gt; Bulgari")</f>
        <v>Đấu giá&gt; phụ kiện, đồng hồ&gt; thương hiệu phụ kiện&gt; Bulgari</v>
      </c>
      <c r="G68" s="229" t="str">
        <f t="shared" ca="1" si="2"/>
        <v>"2084052554" : "Bulgari",</v>
      </c>
      <c r="H68" s="229" t="str">
        <f t="shared" si="3"/>
        <v>&lt;li class="col-md-3"&gt;&lt;a class="text-cut" href="javascript:;"(click)="categoryEvent(2084052554)"&gt;{{"2084052554" | translate}}&lt;/a&gt;&lt;/li&gt;</v>
      </c>
    </row>
    <row r="69" spans="1:8" ht="14.25" customHeight="1">
      <c r="A69" s="2">
        <v>2084061856</v>
      </c>
      <c r="B69" s="2" t="s">
        <v>3930</v>
      </c>
      <c r="C69" s="2" t="s">
        <v>3931</v>
      </c>
      <c r="D69" s="2" t="s">
        <v>3932</v>
      </c>
      <c r="E69" s="3" t="str">
        <f ca="1">IFERROR(__xludf.DUMMYFUNCTION("GOOGLETRANSLATE(B69,""ja"",""vi"")"),"Paul Smith")</f>
        <v>Paul Smith</v>
      </c>
      <c r="F69" s="3" t="str">
        <f ca="1">IFERROR(__xludf.DUMMYFUNCTION("GOOGLETRANSLATE(C69,""ja"",""vi"")"),"Đấu giá&gt; phụ kiện, đồng hồ&gt; thương hiệu phụ kiện&gt; Paul Smith")</f>
        <v>Đấu giá&gt; phụ kiện, đồng hồ&gt; thương hiệu phụ kiện&gt; Paul Smith</v>
      </c>
      <c r="G69" s="229" t="str">
        <f t="shared" ca="1" si="2"/>
        <v>"2084061856" : "Paul Smith",</v>
      </c>
      <c r="H69" s="229" t="str">
        <f t="shared" si="3"/>
        <v>&lt;li class="col-md-3"&gt;&lt;a class="text-cut" href="javascript:;"(click)="categoryEvent(2084061856)"&gt;{{"2084061856" | translate}}&lt;/a&gt;&lt;/li&gt;</v>
      </c>
    </row>
    <row r="70" spans="1:8" ht="14.25" customHeight="1">
      <c r="A70" s="2">
        <v>2084211297</v>
      </c>
      <c r="B70" s="2" t="s">
        <v>3938</v>
      </c>
      <c r="C70" s="2" t="s">
        <v>3939</v>
      </c>
      <c r="D70" s="2" t="s">
        <v>3940</v>
      </c>
      <c r="E70" s="3" t="str">
        <f ca="1">IFERROR(__xludf.DUMMYFUNCTION("GOOGLETRANSLATE(B70,""ja"",""vi"")"),"Pomellato")</f>
        <v>Pomellato</v>
      </c>
      <c r="F70" s="3" t="str">
        <f ca="1">IFERROR(__xludf.DUMMYFUNCTION("GOOGLETRANSLATE(C70,""ja"",""vi"")"),"Đấu giá&gt; phụ kiện, đồng hồ&gt; thương hiệu phụ kiện&gt; Pomellato")</f>
        <v>Đấu giá&gt; phụ kiện, đồng hồ&gt; thương hiệu phụ kiện&gt; Pomellato</v>
      </c>
      <c r="G70" s="229" t="str">
        <f t="shared" ca="1" si="2"/>
        <v>"2084211297" : "Pomellato",</v>
      </c>
      <c r="H70" s="229" t="str">
        <f t="shared" si="3"/>
        <v>&lt;li class="col-md-3"&gt;&lt;a class="text-cut" href="javascript:;"(click)="categoryEvent(2084211297)"&gt;{{"2084211297" | translate}}&lt;/a&gt;&lt;/li&gt;</v>
      </c>
    </row>
    <row r="71" spans="1:8" ht="14.25" customHeight="1">
      <c r="A71" s="2">
        <v>2084301273</v>
      </c>
      <c r="B71" s="2" t="s">
        <v>3942</v>
      </c>
      <c r="C71" s="2" t="s">
        <v>3945</v>
      </c>
      <c r="D71" s="2" t="s">
        <v>3947</v>
      </c>
      <c r="E71" s="3" t="str">
        <f ca="1">IFERROR(__xludf.DUMMYFUNCTION("GOOGLETRANSLATE(B71,""ja"",""vi"")"),"Ponte Vecchio")</f>
        <v>Ponte Vecchio</v>
      </c>
      <c r="F71" s="3" t="str">
        <f ca="1">IFERROR(__xludf.DUMMYFUNCTION("GOOGLETRANSLATE(C71,""ja"",""vi"")"),"Đấu giá&gt; phụ kiện, đồng hồ&gt; thương hiệu phụ kiện&gt; Ponte Vecchio")</f>
        <v>Đấu giá&gt; phụ kiện, đồng hồ&gt; thương hiệu phụ kiện&gt; Ponte Vecchio</v>
      </c>
      <c r="G71" s="229" t="str">
        <f t="shared" ca="1" si="2"/>
        <v>"2084301273" : "Ponte Vecchio",</v>
      </c>
      <c r="H71" s="229" t="str">
        <f t="shared" si="3"/>
        <v>&lt;li class="col-md-3"&gt;&lt;a class="text-cut" href="javascript:;"(click)="categoryEvent(2084301273)"&gt;{{"2084301273" | translate}}&lt;/a&gt;&lt;/li&gt;</v>
      </c>
    </row>
    <row r="72" spans="1:8" ht="14.25" customHeight="1">
      <c r="A72" s="2">
        <v>2084057880</v>
      </c>
      <c r="B72" s="2" t="s">
        <v>3950</v>
      </c>
      <c r="C72" s="2" t="s">
        <v>3951</v>
      </c>
      <c r="D72" s="2" t="s">
        <v>3953</v>
      </c>
      <c r="E72" s="3" t="str">
        <f ca="1">IFERROR(__xludf.DUMMYFUNCTION("GOOGLETRANSLATE(B72,""ja"",""vi"")"),"Van Cleef &amp; Arpels")</f>
        <v>Van Cleef &amp; Arpels</v>
      </c>
      <c r="F72" s="3" t="str">
        <f ca="1">IFERROR(__xludf.DUMMYFUNCTION("GOOGLETRANSLATE(C72,""ja"",""vi"")"),"Đấu giá&gt; phụ kiện, đồng hồ&gt; thương hiệu phụ kiện&gt; Van Cleef &amp; Arpels")</f>
        <v>Đấu giá&gt; phụ kiện, đồng hồ&gt; thương hiệu phụ kiện&gt; Van Cleef &amp; Arpels</v>
      </c>
      <c r="G72" s="229" t="str">
        <f t="shared" ca="1" si="2"/>
        <v>"2084057880" : "Van Cleef &amp; Arpels",</v>
      </c>
      <c r="H72" s="229" t="str">
        <f t="shared" si="3"/>
        <v>&lt;li class="col-md-3"&gt;&lt;a class="text-cut" href="javascript:;"(click)="categoryEvent(2084057880)"&gt;{{"2084057880" | translate}}&lt;/a&gt;&lt;/li&gt;</v>
      </c>
    </row>
    <row r="73" spans="1:8" ht="14.25" customHeight="1">
      <c r="A73" s="2">
        <v>2084057883</v>
      </c>
      <c r="B73" s="2" t="s">
        <v>3959</v>
      </c>
      <c r="C73" s="2" t="s">
        <v>3960</v>
      </c>
      <c r="D73" s="2" t="s">
        <v>3961</v>
      </c>
      <c r="E73" s="3" t="str">
        <f ca="1">IFERROR(__xludf.DUMMYFUNCTION("GOOGLETRANSLATE(B73,""ja"",""vi"")"),"Vendome Aoyama")</f>
        <v>Vendome Aoyama</v>
      </c>
      <c r="F73" s="3" t="str">
        <f ca="1">IFERROR(__xludf.DUMMYFUNCTION("GOOGLETRANSLATE(C73,""ja"",""vi"")"),"Đấu giá&gt; phụ kiện, đồng hồ&gt; thương hiệu phụ kiện&gt; Vendome Aoyama")</f>
        <v>Đấu giá&gt; phụ kiện, đồng hồ&gt; thương hiệu phụ kiện&gt; Vendome Aoyama</v>
      </c>
      <c r="G73" s="229" t="str">
        <f t="shared" ca="1" si="2"/>
        <v>"2084057883" : "Vendome Aoyama",</v>
      </c>
      <c r="H73" s="229" t="str">
        <f t="shared" si="3"/>
        <v>&lt;li class="col-md-3"&gt;&lt;a class="text-cut" href="javascript:;"(click)="categoryEvent(2084057883)"&gt;{{"2084057883" | translate}}&lt;/a&gt;&lt;/li&gt;</v>
      </c>
    </row>
    <row r="74" spans="1:8" ht="14.25" customHeight="1">
      <c r="A74" s="2">
        <v>2084061789</v>
      </c>
      <c r="B74" s="2" t="s">
        <v>3962</v>
      </c>
      <c r="C74" s="2" t="s">
        <v>3964</v>
      </c>
      <c r="D74" s="2" t="s">
        <v>3965</v>
      </c>
      <c r="E74" s="3" t="str">
        <f ca="1">IFERROR(__xludf.DUMMYFUNCTION("GOOGLETRANSLATE(B74,""ja"",""vi"")"),"Vivienne Westwood")</f>
        <v>Vivienne Westwood</v>
      </c>
      <c r="F74" s="3" t="str">
        <f ca="1">IFERROR(__xludf.DUMMYFUNCTION("GOOGLETRANSLATE(C74,""ja"",""vi"")"),"Đấu giá&gt; phụ kiện, đồng hồ&gt; thương hiệu phụ kiện&gt; Vivienne Westwood")</f>
        <v>Đấu giá&gt; phụ kiện, đồng hồ&gt; thương hiệu phụ kiện&gt; Vivienne Westwood</v>
      </c>
      <c r="G74" s="229" t="str">
        <f t="shared" ca="1" si="2"/>
        <v>"2084061789" : "Vivienne Westwood",</v>
      </c>
      <c r="H74" s="229" t="str">
        <f t="shared" si="3"/>
        <v>&lt;li class="col-md-3"&gt;&lt;a class="text-cut" href="javascript:;"(click)="categoryEvent(2084061789)"&gt;{{"2084061789" | translate}}&lt;/a&gt;&lt;/li&gt;</v>
      </c>
    </row>
    <row r="75" spans="1:8" ht="14.25" customHeight="1">
      <c r="A75" s="2">
        <v>2084061906</v>
      </c>
      <c r="B75" s="2" t="s">
        <v>3969</v>
      </c>
      <c r="C75" s="2" t="s">
        <v>3970</v>
      </c>
      <c r="D75" s="2" t="s">
        <v>3971</v>
      </c>
      <c r="E75" s="3" t="str">
        <f ca="1">IFERROR(__xludf.DUMMYFUNCTION("GOOGLETRANSLATE(B75,""ja"",""vi"")"),"Mikimoto")</f>
        <v>Mikimoto</v>
      </c>
      <c r="F75" s="3" t="str">
        <f ca="1">IFERROR(__xludf.DUMMYFUNCTION("GOOGLETRANSLATE(C75,""ja"",""vi"")"),"Đấu giá&gt; phụ kiện, đồng hồ&gt; thương hiệu phụ kiện&gt; Mikimoto")</f>
        <v>Đấu giá&gt; phụ kiện, đồng hồ&gt; thương hiệu phụ kiện&gt; Mikimoto</v>
      </c>
      <c r="G75" s="229" t="str">
        <f t="shared" ca="1" si="2"/>
        <v>"2084061906" : "Mikimoto",</v>
      </c>
      <c r="H75" s="229" t="str">
        <f t="shared" si="3"/>
        <v>&lt;li class="col-md-3"&gt;&lt;a class="text-cut" href="javascript:;"(click)="categoryEvent(2084061906)"&gt;{{"2084061906" | translate}}&lt;/a&gt;&lt;/li&gt;</v>
      </c>
    </row>
    <row r="76" spans="1:8" ht="14.25" customHeight="1">
      <c r="A76" s="2">
        <v>2084224324</v>
      </c>
      <c r="B76" s="2" t="s">
        <v>3973</v>
      </c>
      <c r="C76" s="2" t="s">
        <v>3974</v>
      </c>
      <c r="D76" s="2" t="s">
        <v>3975</v>
      </c>
      <c r="E76" s="3" t="str">
        <f ca="1">IFERROR(__xludf.DUMMYFUNCTION("GOOGLETRANSLATE(B76,""ja"",""vi"")"),"Michael Negrin")</f>
        <v>Michael Negrin</v>
      </c>
      <c r="F76" s="3" t="str">
        <f ca="1">IFERROR(__xludf.DUMMYFUNCTION("GOOGLETRANSLATE(C76,""ja"",""vi"")"),"Đấu giá&gt; phụ kiện, đồng hồ&gt; thương hiệu phụ kiện&gt; Michael Negrin")</f>
        <v>Đấu giá&gt; phụ kiện, đồng hồ&gt; thương hiệu phụ kiện&gt; Michael Negrin</v>
      </c>
      <c r="G76" s="229" t="str">
        <f t="shared" ca="1" si="2"/>
        <v>"2084224324" : "Michael Negrin",</v>
      </c>
      <c r="H76" s="229" t="str">
        <f t="shared" si="3"/>
        <v>&lt;li class="col-md-3"&gt;&lt;a class="text-cut" href="javascript:;"(click)="categoryEvent(2084224324)"&gt;{{"2084224324" | translate}}&lt;/a&gt;&lt;/li&gt;</v>
      </c>
    </row>
    <row r="77" spans="1:8" ht="14.25" customHeight="1">
      <c r="A77" s="2">
        <v>2084224321</v>
      </c>
      <c r="B77" s="2" t="s">
        <v>3980</v>
      </c>
      <c r="C77" s="2" t="s">
        <v>3981</v>
      </c>
      <c r="D77" s="2" t="s">
        <v>3982</v>
      </c>
      <c r="E77" s="3" t="str">
        <f ca="1">IFERROR(__xludf.DUMMYFUNCTION("GOOGLETRANSLATE(B77,""ja"",""vi"")"),"Miriam Haskell")</f>
        <v>Miriam Haskell</v>
      </c>
      <c r="F77" s="3" t="str">
        <f ca="1">IFERROR(__xludf.DUMMYFUNCTION("GOOGLETRANSLATE(C77,""ja"",""vi"")"),"Đấu giá&gt; phụ kiện, đồng hồ&gt; thương hiệu phụ kiện&gt; Miriam Haskell")</f>
        <v>Đấu giá&gt; phụ kiện, đồng hồ&gt; thương hiệu phụ kiện&gt; Miriam Haskell</v>
      </c>
      <c r="G77" s="229" t="str">
        <f t="shared" ca="1" si="2"/>
        <v>"2084224321" : "Miriam Haskell",</v>
      </c>
      <c r="H77" s="229" t="str">
        <f t="shared" si="3"/>
        <v>&lt;li class="col-md-3"&gt;&lt;a class="text-cut" href="javascript:;"(click)="categoryEvent(2084224321)"&gt;{{"2084224321" | translate}}&lt;/a&gt;&lt;/li&gt;</v>
      </c>
    </row>
    <row r="78" spans="1:8" ht="14.25" customHeight="1">
      <c r="A78" s="2">
        <v>2084057866</v>
      </c>
      <c r="B78" s="2" t="s">
        <v>3984</v>
      </c>
      <c r="C78" s="2" t="s">
        <v>3985</v>
      </c>
      <c r="D78" s="2" t="s">
        <v>3986</v>
      </c>
      <c r="E78" s="3" t="str">
        <f ca="1">IFERROR(__xludf.DUMMYFUNCTION("GOOGLETRANSLATE(B78,""ja"",""vi"")"),"4 ℃")</f>
        <v>4 ℃</v>
      </c>
      <c r="F78" s="3" t="str">
        <f ca="1">IFERROR(__xludf.DUMMYFUNCTION("GOOGLETRANSLATE(C78,""ja"",""vi"")"),"Đấu giá&gt; phụ kiện, đồng hồ&gt; thương hiệu phụ kiện&gt; 4 ℃")</f>
        <v>Đấu giá&gt; phụ kiện, đồng hồ&gt; thương hiệu phụ kiện&gt; 4 ℃</v>
      </c>
      <c r="G78" s="229" t="str">
        <f t="shared" ca="1" si="2"/>
        <v>"2084057866" : "4 ℃",</v>
      </c>
      <c r="H78" s="229" t="str">
        <f t="shared" si="3"/>
        <v>&lt;li class="col-md-3"&gt;&lt;a class="text-cut" href="javascript:;"(click)="categoryEvent(2084057866)"&gt;{{"2084057866" | translate}}&lt;/a&gt;&lt;/li&gt;</v>
      </c>
    </row>
    <row r="79" spans="1:8" ht="14.25" customHeight="1">
      <c r="A79" s="2">
        <v>2084061772</v>
      </c>
      <c r="B79" s="2" t="s">
        <v>3992</v>
      </c>
      <c r="C79" s="2" t="s">
        <v>3993</v>
      </c>
      <c r="D79" s="2" t="s">
        <v>3994</v>
      </c>
      <c r="E79" s="3" t="str">
        <f ca="1">IFERROR(__xludf.DUMMYFUNCTION("GOOGLETRANSLATE(B79,""ja"",""vi"")"),"Louis Vuitton")</f>
        <v>Louis Vuitton</v>
      </c>
      <c r="F79" s="3" t="str">
        <f ca="1">IFERROR(__xludf.DUMMYFUNCTION("GOOGLETRANSLATE(C79,""ja"",""vi"")"),"Đấu giá&gt; phụ kiện, đồng hồ&gt; thương hiệu phụ kiện&gt; Louis Vuitton")</f>
        <v>Đấu giá&gt; phụ kiện, đồng hồ&gt; thương hiệu phụ kiện&gt; Louis Vuitton</v>
      </c>
      <c r="G79" s="229" t="str">
        <f t="shared" ca="1" si="2"/>
        <v>"2084061772" : "Louis Vuitton",</v>
      </c>
      <c r="H79" s="229" t="str">
        <f t="shared" si="3"/>
        <v>&lt;li class="col-md-3"&gt;&lt;a class="text-cut" href="javascript:;"(click)="categoryEvent(2084061772)"&gt;{{"2084061772" | translate}}&lt;/a&gt;&lt;/li&gt;</v>
      </c>
    </row>
    <row r="80" spans="1:8" ht="14.25" customHeight="1">
      <c r="A80" s="2">
        <v>2084057910</v>
      </c>
      <c r="B80" s="2" t="s">
        <v>3995</v>
      </c>
      <c r="C80" s="2" t="s">
        <v>3996</v>
      </c>
      <c r="D80" s="2" t="s">
        <v>3997</v>
      </c>
      <c r="E80" s="3" t="str">
        <f ca="1">IFERROR(__xludf.DUMMYFUNCTION("GOOGLETRANSLATE(B80,""ja"",""vi"")"),"Leonard Kamuhoto, Ronwanzu")</f>
        <v>Leonard Kamuhoto, Ronwanzu</v>
      </c>
      <c r="F80" s="3" t="str">
        <f ca="1">IFERROR(__xludf.DUMMYFUNCTION("GOOGLETRANSLATE(C80,""ja"",""vi"")"),"Đấu giá&gt; phụ kiện, đồng hồ&gt; thương hiệu phụ kiện&gt; Leonard Kamuhoto, Ronwanzu")</f>
        <v>Đấu giá&gt; phụ kiện, đồng hồ&gt; thương hiệu phụ kiện&gt; Leonard Kamuhoto, Ronwanzu</v>
      </c>
      <c r="G80" s="229" t="str">
        <f t="shared" ca="1" si="2"/>
        <v>"2084057910" : "Leonard Kamuhoto, Ronwanzu",</v>
      </c>
      <c r="H80" s="229" t="str">
        <f t="shared" si="3"/>
        <v>&lt;li class="col-md-3"&gt;&lt;a class="text-cut" href="javascript:;"(click)="categoryEvent(2084057910)"&gt;{{"2084057910" | translate}}&lt;/a&gt;&lt;/li&gt;</v>
      </c>
    </row>
    <row r="81" spans="1:8" ht="14.25" customHeight="1">
      <c r="A81" s="2">
        <v>2084214030</v>
      </c>
      <c r="B81" s="2" t="s">
        <v>4004</v>
      </c>
      <c r="C81" s="2" t="s">
        <v>4005</v>
      </c>
      <c r="D81" s="2" t="s">
        <v>4006</v>
      </c>
      <c r="E81" s="3" t="str">
        <f ca="1">IFERROR(__xludf.DUMMYFUNCTION("GOOGLETRANSLATE(B81,""ja"",""vi"")"),"đường Camelot")</f>
        <v>đường Camelot</v>
      </c>
      <c r="F81" s="3" t="str">
        <f ca="1">IFERROR(__xludf.DUMMYFUNCTION("GOOGLETRANSLATE(C81,""ja"",""vi"")"),"Đấu giá&gt; phụ kiện, đồng hồ&gt; thương hiệu phụ kiện&gt; Đường Camelot")</f>
        <v>Đấu giá&gt; phụ kiện, đồng hồ&gt; thương hiệu phụ kiện&gt; Đường Camelot</v>
      </c>
      <c r="G81" s="229" t="str">
        <f t="shared" ca="1" si="2"/>
        <v>"2084214030" : "đường Camelot",</v>
      </c>
      <c r="H81" s="229" t="str">
        <f t="shared" si="3"/>
        <v>&lt;li class="col-md-3"&gt;&lt;a class="text-cut" href="javascript:;"(click)="categoryEvent(2084214030)"&gt;{{"2084214030" | translate}}&lt;/a&gt;&lt;/li&gt;</v>
      </c>
    </row>
    <row r="82" spans="1:8" ht="14.25" customHeight="1">
      <c r="A82" s="2">
        <v>2084210883</v>
      </c>
      <c r="B82" s="2" t="s">
        <v>4007</v>
      </c>
      <c r="C82" s="2" t="s">
        <v>4009</v>
      </c>
      <c r="D82" s="2" t="s">
        <v>4011</v>
      </c>
      <c r="E82" s="3" t="str">
        <f ca="1">IFERROR(__xludf.DUMMYFUNCTION("GOOGLETRANSLATE(B82,""ja"",""vi"")"),"Raleigh Rodokin")</f>
        <v>Raleigh Rodokin</v>
      </c>
      <c r="F82" s="3" t="str">
        <f ca="1">IFERROR(__xludf.DUMMYFUNCTION("GOOGLETRANSLATE(C82,""ja"",""vi"")"),"Đấu giá&gt; phụ kiện, đồng hồ&gt; thương hiệu phụ kiện&gt; Raleigh Rodokin")</f>
        <v>Đấu giá&gt; phụ kiện, đồng hồ&gt; thương hiệu phụ kiện&gt; Raleigh Rodokin</v>
      </c>
      <c r="G82" s="229" t="str">
        <f t="shared" ca="1" si="2"/>
        <v>"2084210883" : "Raleigh Rodokin",</v>
      </c>
      <c r="H82" s="229" t="str">
        <f t="shared" si="3"/>
        <v>&lt;li class="col-md-3"&gt;&lt;a class="text-cut" href="javascript:;"(click)="categoryEvent(2084210883)"&gt;{{"2084210883" | translate}}&lt;/a&gt;&lt;/li&gt;</v>
      </c>
    </row>
    <row r="83" spans="1:8" ht="14.25" customHeight="1">
      <c r="A83" s="2">
        <v>2084195394</v>
      </c>
      <c r="B83" s="2" t="s">
        <v>4015</v>
      </c>
      <c r="C83" s="2" t="s">
        <v>4016</v>
      </c>
      <c r="D83" s="2" t="s">
        <v>4017</v>
      </c>
      <c r="E83" s="3" t="str">
        <f ca="1">IFERROR(__xludf.DUMMYFUNCTION("GOOGLETRANSLATE(B83,""ja"",""vi"")"),"Hoàng gia theo thứ tự")</f>
        <v>Hoàng gia theo thứ tự</v>
      </c>
      <c r="F83" s="3" t="str">
        <f ca="1">IFERROR(__xludf.DUMMYFUNCTION("GOOGLETRANSLATE(C83,""ja"",""vi"")"),"Đấu giá&gt; phụ kiện, đồng hồ&gt; thương hiệu phụ kiện&gt; Royal thứ tự")</f>
        <v>Đấu giá&gt; phụ kiện, đồng hồ&gt; thương hiệu phụ kiện&gt; Royal thứ tự</v>
      </c>
      <c r="G83" s="229" t="str">
        <f t="shared" ca="1" si="2"/>
        <v>"2084195394" : "Hoàng gia theo thứ tự",</v>
      </c>
      <c r="H83" s="229" t="str">
        <f t="shared" si="3"/>
        <v>&lt;li class="col-md-3"&gt;&lt;a class="text-cut" href="javascript:;"(click)="categoryEvent(2084195394)"&gt;{{"2084195394" | translate}}&lt;/a&gt;&lt;/li&gt;</v>
      </c>
    </row>
    <row r="84" spans="1:8" ht="14.25" customHeight="1">
      <c r="A84" s="2">
        <v>2084284916</v>
      </c>
      <c r="B84" s="2" t="s">
        <v>16</v>
      </c>
      <c r="C84" s="2" t="s">
        <v>4021</v>
      </c>
      <c r="D84" s="2" t="s">
        <v>4022</v>
      </c>
      <c r="E84" s="3" t="str">
        <f ca="1">IFERROR(__xludf.DUMMYFUNCTION("GOOGLETRANSLATE(B84,""ja"",""vi"")"),"nếu không thì")</f>
        <v>nếu không thì</v>
      </c>
      <c r="F84" s="3" t="str">
        <f ca="1">IFERROR(__xludf.DUMMYFUNCTION("GOOGLETRANSLATE(C84,""ja"",""vi"")"),"Đấu giá&gt; phụ kiện, đồng hồ&gt; phụ kiện thương hiệu&gt; Khác")</f>
        <v>Đấu giá&gt; phụ kiện, đồng hồ&gt; phụ kiện thương hiệu&gt; Khác</v>
      </c>
      <c r="G84" s="229" t="str">
        <f t="shared" ca="1" si="2"/>
        <v>"2084284916" : "nếu không thì",</v>
      </c>
      <c r="H84" s="229" t="str">
        <f t="shared" si="3"/>
        <v>&lt;li class="col-md-3"&gt;&lt;a class="text-cut" href="javascript:;"(click)="categoryEvent(2084284916)"&gt;{{"2084284916" | translate}}&lt;/a&gt;&lt;/li&gt;</v>
      </c>
    </row>
    <row r="85" spans="1:8" ht="14.25" customHeight="1">
      <c r="E85" s="3"/>
      <c r="F85" s="3"/>
      <c r="G85" s="229"/>
      <c r="H85" s="229"/>
    </row>
    <row r="86" spans="1:8" ht="14.25" customHeight="1">
      <c r="A86" s="239">
        <v>2084005359</v>
      </c>
      <c r="B86" s="232"/>
      <c r="C86" s="232"/>
      <c r="D86" s="233"/>
      <c r="E86" s="3"/>
      <c r="F86" s="3"/>
      <c r="G86" s="229"/>
      <c r="H86" s="229"/>
    </row>
    <row r="87" spans="1:8" ht="14.25" customHeight="1">
      <c r="A87" s="2">
        <v>2084005389</v>
      </c>
      <c r="B87" s="2" t="s">
        <v>4028</v>
      </c>
      <c r="C87" s="2" t="s">
        <v>4029</v>
      </c>
      <c r="D87" s="2" t="s">
        <v>4030</v>
      </c>
      <c r="E87" s="3" t="str">
        <f ca="1">IFERROR(__xludf.DUMMYFUNCTION("GOOGLETRANSLATE(B87,""ja"",""vi"")"),"Vòng cổ, mặt dây chuyền")</f>
        <v>Vòng cổ, mặt dây chuyền</v>
      </c>
      <c r="F87" s="3" t="str">
        <f ca="1">IFERROR(__xludf.DUMMYFUNCTION("GOOGLETRANSLATE(C87,""ja"",""vi"")"),"Đấu giá&gt; Accessories, Đồng hồ&gt; nữ phụ kiện&gt; dây chuyền, mặt dây chuyền")</f>
        <v>Đấu giá&gt; Accessories, Đồng hồ&gt; nữ phụ kiện&gt; dây chuyền, mặt dây chuyền</v>
      </c>
      <c r="G87" s="229" t="str">
        <f t="shared" ca="1" si="2"/>
        <v>"2084005389" : "Vòng cổ, mặt dây chuyền",</v>
      </c>
      <c r="H87" s="229" t="str">
        <f t="shared" si="3"/>
        <v>&lt;li class="col-md-3"&gt;&lt;a class="text-cut" href="javascript:;"(click)="categoryEvent(2084005389)"&gt;{{"2084005389" | translate}}&lt;/a&gt;&lt;/li&gt;</v>
      </c>
    </row>
    <row r="88" spans="1:8" ht="14.25" customHeight="1">
      <c r="A88" s="2">
        <v>2084060087</v>
      </c>
      <c r="B88" s="2" t="s">
        <v>4034</v>
      </c>
      <c r="C88" s="2" t="s">
        <v>4036</v>
      </c>
      <c r="D88" s="2" t="s">
        <v>4037</v>
      </c>
      <c r="E88" s="3" t="str">
        <f ca="1">IFERROR(__xludf.DUMMYFUNCTION("GOOGLETRANSLATE(B88,""ja"",""vi"")"),"Mặt dây chuyền, Charms")</f>
        <v>Mặt dây chuyền, Charms</v>
      </c>
      <c r="F88" s="3" t="str">
        <f ca="1">IFERROR(__xludf.DUMMYFUNCTION("GOOGLETRANSLATE(C88,""ja"",""vi"")"),"Đấu giá&gt; Accessories, Đồng hồ&gt; nữ phụ kiện&gt; Vòng đeo, Charms")</f>
        <v>Đấu giá&gt; Accessories, Đồng hồ&gt; nữ phụ kiện&gt; Vòng đeo, Charms</v>
      </c>
      <c r="G88" s="229" t="str">
        <f t="shared" ca="1" si="2"/>
        <v>"2084060087" : "Mặt dây chuyền, Charms",</v>
      </c>
      <c r="H88" s="229" t="str">
        <f t="shared" si="3"/>
        <v>&lt;li class="col-md-3"&gt;&lt;a class="text-cut" href="javascript:;"(click)="categoryEvent(2084060087)"&gt;{{"2084060087" | translate}}&lt;/a&gt;&lt;/li&gt;</v>
      </c>
    </row>
    <row r="89" spans="1:8" ht="14.25" customHeight="1">
      <c r="A89" s="2">
        <v>2084060086</v>
      </c>
      <c r="B89" s="2" t="s">
        <v>4039</v>
      </c>
      <c r="C89" s="2" t="s">
        <v>4040</v>
      </c>
      <c r="D89" s="2" t="s">
        <v>4042</v>
      </c>
      <c r="E89" s="3" t="str">
        <f ca="1">IFERROR(__xludf.DUMMYFUNCTION("GOOGLETRANSLATE(B89,""ja"",""vi"")"),"Necklace (chỉ chuỗi)")</f>
        <v>Necklace (chỉ chuỗi)</v>
      </c>
      <c r="F89" s="3" t="str">
        <f ca="1">IFERROR(__xludf.DUMMYFUNCTION("GOOGLETRANSLATE(C89,""ja"",""vi"")"),"Đấu giá&gt; Accessories, Đồng hồ&gt; dùng cho phụ nữ&gt; vòng cổ (chuỗi chỉ)")</f>
        <v>Đấu giá&gt; Accessories, Đồng hồ&gt; dùng cho phụ nữ&gt; vòng cổ (chuỗi chỉ)</v>
      </c>
      <c r="G89" s="229" t="str">
        <f t="shared" ca="1" si="2"/>
        <v>"2084060086" : "Necklace (chỉ chuỗi)",</v>
      </c>
      <c r="H89" s="229" t="str">
        <f t="shared" si="3"/>
        <v>&lt;li class="col-md-3"&gt;&lt;a class="text-cut" href="javascript:;"(click)="categoryEvent(2084060086)"&gt;{{"2084060086" | translate}}&lt;/a&gt;&lt;/li&gt;</v>
      </c>
    </row>
    <row r="90" spans="1:8" ht="14.25" customHeight="1">
      <c r="A90" s="2">
        <v>2084005391</v>
      </c>
      <c r="B90" s="2" t="s">
        <v>4047</v>
      </c>
      <c r="C90" s="2" t="s">
        <v>4048</v>
      </c>
      <c r="D90" s="2" t="s">
        <v>4050</v>
      </c>
      <c r="E90" s="3" t="str">
        <f ca="1">IFERROR(__xludf.DUMMYFUNCTION("GOOGLETRANSLATE(B90,""ja"",""vi"")"),"khăn quàng cổ")</f>
        <v>khăn quàng cổ</v>
      </c>
      <c r="F90" s="3" t="str">
        <f ca="1">IFERROR(__xludf.DUMMYFUNCTION("GOOGLETRANSLATE(C90,""ja"",""vi"")"),"Đấu giá&gt; Accessories, Đồng hồ&gt; dùng cho phụ nữ&gt; choker")</f>
        <v>Đấu giá&gt; Accessories, Đồng hồ&gt; dùng cho phụ nữ&gt; choker</v>
      </c>
      <c r="G90" s="229" t="str">
        <f t="shared" ca="1" si="2"/>
        <v>"2084005391" : "khăn quàng cổ",</v>
      </c>
      <c r="H90" s="229" t="str">
        <f t="shared" si="3"/>
        <v>&lt;li class="col-md-3"&gt;&lt;a class="text-cut" href="javascript:;"(click)="categoryEvent(2084005391)"&gt;{{"2084005391" | translate}}&lt;/a&gt;&lt;/li&gt;</v>
      </c>
    </row>
    <row r="91" spans="1:8" ht="14.25" customHeight="1">
      <c r="A91" s="2">
        <v>2084005425</v>
      </c>
      <c r="B91" s="2" t="s">
        <v>4053</v>
      </c>
      <c r="C91" s="2" t="s">
        <v>4054</v>
      </c>
      <c r="D91" s="2" t="s">
        <v>4055</v>
      </c>
      <c r="E91" s="3" t="str">
        <f ca="1">IFERROR(__xludf.DUMMYFUNCTION("GOOGLETRANSLATE(B91,""ja"",""vi"")"),"vòng")</f>
        <v>vòng</v>
      </c>
      <c r="F91" s="3" t="str">
        <f ca="1">IFERROR(__xludf.DUMMYFUNCTION("GOOGLETRANSLATE(C91,""ja"",""vi"")"),"Đấu giá&gt; Accessories, Đồng hồ&gt; dùng cho phụ nữ&gt; Nhẫn")</f>
        <v>Đấu giá&gt; Accessories, Đồng hồ&gt; dùng cho phụ nữ&gt; Nhẫn</v>
      </c>
      <c r="G91" s="229" t="str">
        <f t="shared" ca="1" si="2"/>
        <v>"2084005425" : "vòng",</v>
      </c>
      <c r="H91" s="229" t="str">
        <f t="shared" si="3"/>
        <v>&lt;li class="col-md-3"&gt;&lt;a class="text-cut" href="javascript:;"(click)="categoryEvent(2084005425)"&gt;{{"2084005425" | translate}}&lt;/a&gt;&lt;/li&gt;</v>
      </c>
    </row>
    <row r="92" spans="1:8" ht="14.25" customHeight="1">
      <c r="A92" s="2">
        <v>2084005417</v>
      </c>
      <c r="B92" s="2" t="s">
        <v>4059</v>
      </c>
      <c r="C92" s="2" t="s">
        <v>4060</v>
      </c>
      <c r="D92" s="2" t="s">
        <v>4061</v>
      </c>
      <c r="E92" s="3" t="str">
        <f ca="1">IFERROR(__xludf.DUMMYFUNCTION("GOOGLETRANSLATE(B92,""ja"",""vi"")"),"Bông tai")</f>
        <v>Bông tai</v>
      </c>
      <c r="F92" s="3" t="str">
        <f ca="1">IFERROR(__xludf.DUMMYFUNCTION("GOOGLETRANSLATE(C92,""ja"",""vi"")"),"Đấu giá&gt; Accessories, Đồng hồ&gt; dùng cho phụ nữ&gt; Bông tai")</f>
        <v>Đấu giá&gt; Accessories, Đồng hồ&gt; dùng cho phụ nữ&gt; Bông tai</v>
      </c>
      <c r="G92" s="229" t="str">
        <f t="shared" ca="1" si="2"/>
        <v>"2084005417" : "Bông tai",</v>
      </c>
      <c r="H92" s="229" t="str">
        <f t="shared" si="3"/>
        <v>&lt;li class="col-md-3"&gt;&lt;a class="text-cut" href="javascript:;"(click)="categoryEvent(2084005417)"&gt;{{"2084005417" | translate}}&lt;/a&gt;&lt;/li&gt;</v>
      </c>
    </row>
    <row r="93" spans="1:8" ht="14.25" customHeight="1">
      <c r="A93" s="2">
        <v>2084005410</v>
      </c>
      <c r="B93" s="2" t="s">
        <v>4062</v>
      </c>
      <c r="C93" s="2" t="s">
        <v>4063</v>
      </c>
      <c r="D93" s="2" t="s">
        <v>4064</v>
      </c>
      <c r="E93" s="3" t="str">
        <f ca="1">IFERROR(__xludf.DUMMYFUNCTION("GOOGLETRANSLATE(B93,""ja"",""vi"")"),"Bông tai")</f>
        <v>Bông tai</v>
      </c>
      <c r="F93" s="3" t="str">
        <f ca="1">IFERROR(__xludf.DUMMYFUNCTION("GOOGLETRANSLATE(C93,""ja"",""vi"")"),"Đấu giá&gt; Accessories, Đồng hồ&gt; dùng cho phụ nữ&gt; bông tai")</f>
        <v>Đấu giá&gt; Accessories, Đồng hồ&gt; dùng cho phụ nữ&gt; bông tai</v>
      </c>
      <c r="G93" s="229" t="str">
        <f t="shared" ca="1" si="2"/>
        <v>"2084005410" : "Bông tai",</v>
      </c>
      <c r="H93" s="229" t="str">
        <f t="shared" si="3"/>
        <v>&lt;li class="col-md-3"&gt;&lt;a class="text-cut" href="javascript:;"(click)="categoryEvent(2084005410)"&gt;{{"2084005410" | translate}}&lt;/a&gt;&lt;/li&gt;</v>
      </c>
    </row>
    <row r="94" spans="1:8" ht="14.25" customHeight="1">
      <c r="A94" s="2">
        <v>2084005365</v>
      </c>
      <c r="B94" s="2" t="s">
        <v>4069</v>
      </c>
      <c r="C94" s="2" t="s">
        <v>4071</v>
      </c>
      <c r="D94" s="2" t="s">
        <v>4072</v>
      </c>
      <c r="E94" s="3" t="str">
        <f ca="1">IFERROR(__xludf.DUMMYFUNCTION("GOOGLETRANSLATE(B94,""ja"",""vi"")"),"Vòng đeo tay, vòng")</f>
        <v>Vòng đeo tay, vòng</v>
      </c>
      <c r="F94" s="3" t="str">
        <f ca="1">IFERROR(__xludf.DUMMYFUNCTION("GOOGLETRANSLATE(C94,""ja"",""vi"")"),"Đấu giá&gt; Accessories, Đồng hồ&gt; dùng cho phụ nữ&gt; vòng đeo tay, vòng")</f>
        <v>Đấu giá&gt; Accessories, Đồng hồ&gt; dùng cho phụ nữ&gt; vòng đeo tay, vòng</v>
      </c>
      <c r="G94" s="229" t="str">
        <f t="shared" ca="1" si="2"/>
        <v>"2084005365" : "Vòng đeo tay, vòng",</v>
      </c>
      <c r="H94" s="229" t="str">
        <f t="shared" si="3"/>
        <v>&lt;li class="col-md-3"&gt;&lt;a class="text-cut" href="javascript:;"(click)="categoryEvent(2084005365)"&gt;{{"2084005365" | translate}}&lt;/a&gt;&lt;/li&gt;</v>
      </c>
    </row>
    <row r="95" spans="1:8" ht="14.25" customHeight="1">
      <c r="A95" s="2">
        <v>2084005436</v>
      </c>
      <c r="B95" s="2" t="s">
        <v>4075</v>
      </c>
      <c r="C95" s="2" t="s">
        <v>4077</v>
      </c>
      <c r="D95" s="2" t="s">
        <v>4079</v>
      </c>
      <c r="E95" s="3" t="str">
        <f ca="1">IFERROR(__xludf.DUMMYFUNCTION("GOOGLETRANSLATE(B95,""ja"",""vi"")"),"vòng chân")</f>
        <v>vòng chân</v>
      </c>
      <c r="F95" s="3" t="str">
        <f ca="1">IFERROR(__xludf.DUMMYFUNCTION("GOOGLETRANSLATE(C95,""ja"",""vi"")"),"Đấu giá&gt; Accessories, Đồng hồ&gt; dùng cho phụ nữ&gt; vòng chân")</f>
        <v>Đấu giá&gt; Accessories, Đồng hồ&gt; dùng cho phụ nữ&gt; vòng chân</v>
      </c>
      <c r="G95" s="229" t="str">
        <f t="shared" ca="1" si="2"/>
        <v>"2084005436" : "vòng chân",</v>
      </c>
      <c r="H95" s="229" t="str">
        <f t="shared" si="3"/>
        <v>&lt;li class="col-md-3"&gt;&lt;a class="text-cut" href="javascript:;"(click)="categoryEvent(2084005436)"&gt;{{"2084005436" | translate}}&lt;/a&gt;&lt;/li&gt;</v>
      </c>
    </row>
    <row r="96" spans="1:8" ht="14.25" customHeight="1">
      <c r="A96" s="2">
        <v>2084019048</v>
      </c>
      <c r="B96" s="2" t="s">
        <v>4082</v>
      </c>
      <c r="C96" s="2" t="s">
        <v>4083</v>
      </c>
      <c r="D96" s="2" t="s">
        <v>4084</v>
      </c>
      <c r="E96" s="3" t="str">
        <f ca="1">IFERROR(__xludf.DUMMYFUNCTION("GOOGLETRANSLATE(B96,""ja"",""vi"")"),"Trần đá, Ruth")</f>
        <v>Trần đá, Ruth</v>
      </c>
      <c r="F96" s="3" t="str">
        <f ca="1">IFERROR(__xludf.DUMMYFUNCTION("GOOGLETRANSLATE(C96,""ja"",""vi"")"),"Đấu giá&gt; Accessories, Đồng hồ&gt; nữ phụ kiện&gt; đá trần truồng, Ruth")</f>
        <v>Đấu giá&gt; Accessories, Đồng hồ&gt; nữ phụ kiện&gt; đá trần truồng, Ruth</v>
      </c>
      <c r="G96" s="229" t="str">
        <f t="shared" ca="1" si="2"/>
        <v>"2084019048" : "Trần đá, Ruth",</v>
      </c>
      <c r="H96" s="229" t="str">
        <f t="shared" si="3"/>
        <v>&lt;li class="col-md-3"&gt;&lt;a class="text-cut" href="javascript:;"(click)="categoryEvent(2084019048)"&gt;{{"2084019048" | translate}}&lt;/a&gt;&lt;/li&gt;</v>
      </c>
    </row>
    <row r="97" spans="1:8" ht="14.25" customHeight="1">
      <c r="A97" s="2">
        <v>2084005369</v>
      </c>
      <c r="B97" s="2" t="s">
        <v>4086</v>
      </c>
      <c r="C97" s="2" t="s">
        <v>4087</v>
      </c>
      <c r="D97" s="2" t="s">
        <v>4088</v>
      </c>
      <c r="E97" s="3" t="str">
        <f ca="1">IFERROR(__xludf.DUMMYFUNCTION("GOOGLETRANSLATE(B97,""ja"",""vi"")"),"trâm")</f>
        <v>trâm</v>
      </c>
      <c r="F97" s="3" t="str">
        <f ca="1">IFERROR(__xludf.DUMMYFUNCTION("GOOGLETRANSLATE(C97,""ja"",""vi"")"),"Đấu giá&gt; Accessories, Đồng hồ&gt; dùng cho phụ nữ&gt; trâm")</f>
        <v>Đấu giá&gt; Accessories, Đồng hồ&gt; dùng cho phụ nữ&gt; trâm</v>
      </c>
      <c r="G97" s="229" t="str">
        <f t="shared" ca="1" si="2"/>
        <v>"2084005369" : "trâm",</v>
      </c>
      <c r="H97" s="229" t="str">
        <f t="shared" si="3"/>
        <v>&lt;li class="col-md-3"&gt;&lt;a class="text-cut" href="javascript:;"(click)="categoryEvent(2084005369)"&gt;{{"2084005369" | translate}}&lt;/a&gt;&lt;/li&gt;</v>
      </c>
    </row>
    <row r="98" spans="1:8" ht="14.25" customHeight="1">
      <c r="A98" s="2">
        <v>2084005370</v>
      </c>
      <c r="B98" s="2" t="s">
        <v>4094</v>
      </c>
      <c r="C98" s="2" t="s">
        <v>4095</v>
      </c>
      <c r="D98" s="2" t="s">
        <v>4096</v>
      </c>
      <c r="E98" s="3" t="str">
        <f ca="1">IFERROR(__xludf.DUMMYFUNCTION("GOOGLETRANSLATE(B98,""ja"",""vi"")"),"phụ kiện tóc")</f>
        <v>phụ kiện tóc</v>
      </c>
      <c r="F98" s="3" t="str">
        <f ca="1">IFERROR(__xludf.DUMMYFUNCTION("GOOGLETRANSLATE(C98,""ja"",""vi"")"),"Đấu giá&gt; Accessories, Đồng hồ&gt; dùng cho phụ nữ&gt; Phụ kiện tóc")</f>
        <v>Đấu giá&gt; Accessories, Đồng hồ&gt; dùng cho phụ nữ&gt; Phụ kiện tóc</v>
      </c>
      <c r="G98" s="229" t="str">
        <f t="shared" ca="1" si="2"/>
        <v>"2084005370" : "phụ kiện tóc",</v>
      </c>
      <c r="H98" s="229" t="str">
        <f t="shared" si="3"/>
        <v>&lt;li class="col-md-3"&gt;&lt;a class="text-cut" href="javascript:;"(click)="categoryEvent(2084005370)"&gt;{{"2084005370" | translate}}&lt;/a&gt;&lt;/li&gt;</v>
      </c>
    </row>
    <row r="99" spans="1:8" ht="14.25" customHeight="1">
      <c r="A99" s="2">
        <v>2084012460</v>
      </c>
      <c r="B99" s="2" t="s">
        <v>4100</v>
      </c>
      <c r="C99" s="2" t="s">
        <v>4102</v>
      </c>
      <c r="D99" s="2" t="s">
        <v>4103</v>
      </c>
      <c r="E99" s="3" t="str">
        <f ca="1">IFERROR(__xludf.DUMMYFUNCTION("GOOGLETRANSLATE(B99,""ja"",""vi"")"),"phần trên áo đàn bà")</f>
        <v>phần trên áo đàn bà</v>
      </c>
      <c r="F99" s="3" t="str">
        <f ca="1">IFERROR(__xludf.DUMMYFUNCTION("GOOGLETRANSLATE(C99,""ja"",""vi"")"),"Đấu giá&gt; Accessories, Đồng hồ&gt; dùng cho phụ nữ&gt; corsage")</f>
        <v>Đấu giá&gt; Accessories, Đồng hồ&gt; dùng cho phụ nữ&gt; corsage</v>
      </c>
      <c r="G99" s="229" t="str">
        <f t="shared" ca="1" si="2"/>
        <v>"2084012460" : "phần trên áo đàn bà",</v>
      </c>
      <c r="H99" s="229" t="str">
        <f t="shared" si="3"/>
        <v>&lt;li class="col-md-3"&gt;&lt;a class="text-cut" href="javascript:;"(click)="categoryEvent(2084012460)"&gt;{{"2084012460" | translate}}&lt;/a&gt;&lt;/li&gt;</v>
      </c>
    </row>
    <row r="100" spans="1:8" ht="14.25" customHeight="1">
      <c r="A100" s="2">
        <v>2084023700</v>
      </c>
      <c r="B100" s="2" t="s">
        <v>4109</v>
      </c>
      <c r="C100" s="2" t="s">
        <v>4110</v>
      </c>
      <c r="D100" s="2" t="s">
        <v>4111</v>
      </c>
      <c r="E100" s="3" t="str">
        <f ca="1">IFERROR(__xludf.DUMMYFUNCTION("GOOGLETRANSLATE(B100,""ja"",""vi"")"),"Body Piercing")</f>
        <v>Body Piercing</v>
      </c>
      <c r="F100" s="3" t="str">
        <f ca="1">IFERROR(__xludf.DUMMYFUNCTION("GOOGLETRANSLATE(C100,""ja"",""vi"")"),"Đấu giá&gt; Accessories, Đồng hồ&gt; dùng cho phụ nữ&gt; Body Piercing")</f>
        <v>Đấu giá&gt; Accessories, Đồng hồ&gt; dùng cho phụ nữ&gt; Body Piercing</v>
      </c>
      <c r="G100" s="229" t="str">
        <f t="shared" ca="1" si="2"/>
        <v>"2084023700" : "Body Piercing",</v>
      </c>
      <c r="H100" s="229" t="str">
        <f t="shared" si="3"/>
        <v>&lt;li class="col-md-3"&gt;&lt;a class="text-cut" href="javascript:;"(click)="categoryEvent(2084023700)"&gt;{{"2084023700" | translate}}&lt;/a&gt;&lt;/li&gt;</v>
      </c>
    </row>
    <row r="101" spans="1:8" ht="14.25" customHeight="1">
      <c r="A101" s="2">
        <v>2084060087</v>
      </c>
      <c r="B101" s="2" t="s">
        <v>4117</v>
      </c>
      <c r="C101" s="2" t="s">
        <v>4119</v>
      </c>
      <c r="D101" s="2" t="s">
        <v>4037</v>
      </c>
      <c r="E101" s="3" t="str">
        <f ca="1">IFERROR(__xludf.DUMMYFUNCTION("GOOGLETRANSLATE(B101,""ja"",""vi"")"),"quyến rũ")</f>
        <v>quyến rũ</v>
      </c>
      <c r="F101" s="3" t="str">
        <f ca="1">IFERROR(__xludf.DUMMYFUNCTION("GOOGLETRANSLATE(C101,""ja"",""vi"")"),"Đấu giá&gt; Accessories, Đồng hồ&gt; dùng cho phụ nữ&gt; Charm")</f>
        <v>Đấu giá&gt; Accessories, Đồng hồ&gt; dùng cho phụ nữ&gt; Charm</v>
      </c>
      <c r="G101" s="229" t="str">
        <f t="shared" ca="1" si="2"/>
        <v>"2084060087" : "quyến rũ",</v>
      </c>
      <c r="H101" s="229" t="str">
        <f t="shared" si="3"/>
        <v>&lt;li class="col-md-3"&gt;&lt;a class="text-cut" href="javascript:;"(click)="categoryEvent(2084060087)"&gt;{{"2084060087" | translate}}&lt;/a&gt;&lt;/li&gt;</v>
      </c>
    </row>
    <row r="102" spans="1:8" ht="14.25" customHeight="1">
      <c r="A102" s="2">
        <v>2084005064</v>
      </c>
      <c r="B102" s="2" t="s">
        <v>324</v>
      </c>
      <c r="C102" s="2" t="s">
        <v>4125</v>
      </c>
      <c r="D102" s="2" t="s">
        <v>4127</v>
      </c>
      <c r="E102" s="3" t="str">
        <f ca="1">IFERROR(__xludf.DUMMYFUNCTION("GOOGLETRANSLATE(B102,""ja"",""vi"")"),"Điện thoại di Strap")</f>
        <v>Điện thoại di Strap</v>
      </c>
      <c r="F102" s="3" t="str">
        <f ca="1">IFERROR(__xludf.DUMMYFUNCTION("GOOGLETRANSLATE(C102,""ja"",""vi"")"),"Đấu giá&gt; Accessories, Đồng hồ&gt; dùng cho phụ nữ&gt; Dây đeo điện thoại di động")</f>
        <v>Đấu giá&gt; Accessories, Đồng hồ&gt; dùng cho phụ nữ&gt; Dây đeo điện thoại di động</v>
      </c>
      <c r="G102" s="229" t="str">
        <f t="shared" ca="1" si="2"/>
        <v>"2084005064" : "Điện thoại di Strap",</v>
      </c>
      <c r="H102" s="229" t="str">
        <f t="shared" si="3"/>
        <v>&lt;li class="col-md-3"&gt;&lt;a class="text-cut" href="javascript:;"(click)="categoryEvent(2084005064)"&gt;{{"2084005064" | translate}}&lt;/a&gt;&lt;/li&gt;</v>
      </c>
    </row>
    <row r="103" spans="1:8" ht="14.25" customHeight="1">
      <c r="A103" s="2">
        <v>2084005437</v>
      </c>
      <c r="B103" s="2" t="s">
        <v>4131</v>
      </c>
      <c r="C103" s="2" t="s">
        <v>4132</v>
      </c>
      <c r="D103" s="2" t="s">
        <v>4133</v>
      </c>
      <c r="E103" s="3" t="str">
        <f ca="1">IFERROR(__xludf.DUMMYFUNCTION("GOOGLETRANSLATE(B103,""ja"",""vi"")"),"phụ kiện Các trường hợp")</f>
        <v>phụ kiện Các trường hợp</v>
      </c>
      <c r="F103" s="3" t="str">
        <f ca="1">IFERROR(__xludf.DUMMYFUNCTION("GOOGLETRANSLATE(C103,""ja"",""vi"")"),"Đấu giá&gt; Accessories, Đồng hồ&gt; dùng cho phụ nữ&gt; Phụ kiện Các trường hợp")</f>
        <v>Đấu giá&gt; Accessories, Đồng hồ&gt; dùng cho phụ nữ&gt; Phụ kiện Các trường hợp</v>
      </c>
      <c r="G103" s="229" t="str">
        <f t="shared" ca="1" si="2"/>
        <v>"2084005437" : "phụ kiện Các trường hợp",</v>
      </c>
      <c r="H103" s="229" t="str">
        <f t="shared" si="3"/>
        <v>&lt;li class="col-md-3"&gt;&lt;a class="text-cut" href="javascript:;"(click)="categoryEvent(2084005437)"&gt;{{"2084005437" | translate}}&lt;/a&gt;&lt;/li&gt;</v>
      </c>
    </row>
    <row r="104" spans="1:8" ht="14.25" customHeight="1">
      <c r="E104" s="3"/>
      <c r="F104" s="3"/>
      <c r="G104" s="229"/>
      <c r="H104" s="229"/>
    </row>
    <row r="105" spans="1:8" ht="14.25" customHeight="1">
      <c r="A105" s="237">
        <v>2084005358</v>
      </c>
      <c r="B105" s="232"/>
      <c r="C105" s="232"/>
      <c r="D105" s="233"/>
      <c r="E105" s="3"/>
      <c r="F105" s="3"/>
      <c r="G105" s="229"/>
      <c r="H105" s="229"/>
    </row>
    <row r="106" spans="1:8" ht="14.25" customHeight="1">
      <c r="A106" s="2">
        <v>2084006909</v>
      </c>
      <c r="B106" s="2" t="s">
        <v>4146</v>
      </c>
      <c r="C106" s="2" t="s">
        <v>4147</v>
      </c>
      <c r="D106" s="2" t="s">
        <v>4150</v>
      </c>
      <c r="E106" s="3" t="str">
        <f ca="1">IFERROR(__xludf.DUMMYFUNCTION("GOOGLETRANSLATE(B106,""ja"",""vi"")"),"chuỗi hạt")</f>
        <v>chuỗi hạt</v>
      </c>
      <c r="F106" s="3" t="str">
        <f ca="1">IFERROR(__xludf.DUMMYFUNCTION("GOOGLETRANSLATE(C106,""ja"",""vi"")"),"Đấu giá&gt; Accessories, Đồng hồ&gt; Phụ kiện nam&gt; Dây chuyền")</f>
        <v>Đấu giá&gt; Accessories, Đồng hồ&gt; Phụ kiện nam&gt; Dây chuyền</v>
      </c>
      <c r="G106" s="229" t="str">
        <f t="shared" ca="1" si="2"/>
        <v>"2084006909" : "chuỗi hạt",</v>
      </c>
      <c r="H106" s="229" t="str">
        <f t="shared" si="3"/>
        <v>&lt;li class="col-md-3"&gt;&lt;a class="text-cut" href="javascript:;"(click)="categoryEvent(2084006909)"&gt;{{"2084006909" | translate}}&lt;/a&gt;&lt;/li&gt;</v>
      </c>
    </row>
    <row r="107" spans="1:8" ht="14.25" customHeight="1">
      <c r="A107" s="2">
        <v>2084006910</v>
      </c>
      <c r="B107" s="2" t="s">
        <v>4155</v>
      </c>
      <c r="C107" s="2" t="s">
        <v>4156</v>
      </c>
      <c r="D107" s="2" t="s">
        <v>4157</v>
      </c>
      <c r="E107" s="3" t="str">
        <f ca="1">IFERROR(__xludf.DUMMYFUNCTION("GOOGLETRANSLATE(B107,""ja"",""vi"")"),"mặt dây chuyền")</f>
        <v>mặt dây chuyền</v>
      </c>
      <c r="F107" s="3" t="str">
        <f ca="1">IFERROR(__xludf.DUMMYFUNCTION("GOOGLETRANSLATE(C107,""ja"",""vi"")"),"Đấu giá&gt; Accessories, Đồng hồ&gt; nam Phụ kiện&gt; mặt dây chuyền")</f>
        <v>Đấu giá&gt; Accessories, Đồng hồ&gt; nam Phụ kiện&gt; mặt dây chuyền</v>
      </c>
      <c r="G107" s="229" t="str">
        <f t="shared" ca="1" si="2"/>
        <v>"2084006910" : "mặt dây chuyền",</v>
      </c>
      <c r="H107" s="229" t="str">
        <f t="shared" si="3"/>
        <v>&lt;li class="col-md-3"&gt;&lt;a class="text-cut" href="javascript:;"(click)="categoryEvent(2084006910)"&gt;{{"2084006910" | translate}}&lt;/a&gt;&lt;/li&gt;</v>
      </c>
    </row>
    <row r="108" spans="1:8" ht="14.25" customHeight="1">
      <c r="A108" s="2">
        <v>2084292881</v>
      </c>
      <c r="B108" s="2" t="s">
        <v>4034</v>
      </c>
      <c r="C108" s="2" t="s">
        <v>4164</v>
      </c>
      <c r="D108" s="2" t="s">
        <v>4165</v>
      </c>
      <c r="E108" s="3" t="str">
        <f ca="1">IFERROR(__xludf.DUMMYFUNCTION("GOOGLETRANSLATE(B108,""ja"",""vi"")"),"Mặt dây chuyền, Charms")</f>
        <v>Mặt dây chuyền, Charms</v>
      </c>
      <c r="F108" s="3" t="str">
        <f ca="1">IFERROR(__xludf.DUMMYFUNCTION("GOOGLETRANSLATE(C108,""ja"",""vi"")"),"Đấu giá&gt; Accessories, Đồng hồ&gt; nam Phụ kiện&gt; Vòng đeo, Charms")</f>
        <v>Đấu giá&gt; Accessories, Đồng hồ&gt; nam Phụ kiện&gt; Vòng đeo, Charms</v>
      </c>
      <c r="G108" s="229" t="str">
        <f t="shared" ca="1" si="2"/>
        <v>"2084292881" : "Mặt dây chuyền, Charms",</v>
      </c>
      <c r="H108" s="229" t="str">
        <f t="shared" si="3"/>
        <v>&lt;li class="col-md-3"&gt;&lt;a class="text-cut" href="javascript:;"(click)="categoryEvent(2084292881)"&gt;{{"2084292881" | translate}}&lt;/a&gt;&lt;/li&gt;</v>
      </c>
    </row>
    <row r="109" spans="1:8" ht="14.25" customHeight="1">
      <c r="A109" s="2">
        <v>2084005360</v>
      </c>
      <c r="B109" s="2" t="s">
        <v>4069</v>
      </c>
      <c r="C109" s="2" t="s">
        <v>4171</v>
      </c>
      <c r="D109" s="2" t="s">
        <v>4173</v>
      </c>
      <c r="E109" s="3" t="str">
        <f ca="1">IFERROR(__xludf.DUMMYFUNCTION("GOOGLETRANSLATE(B109,""ja"",""vi"")"),"Vòng đeo tay, vòng")</f>
        <v>Vòng đeo tay, vòng</v>
      </c>
      <c r="F109" s="3" t="str">
        <f ca="1">IFERROR(__xludf.DUMMYFUNCTION("GOOGLETRANSLATE(C109,""ja"",""vi"")"),"Đấu giá&gt; Accessories, Đồng hồ&gt; nam Phụ kiện&gt; vòng đeo tay, vòng")</f>
        <v>Đấu giá&gt; Accessories, Đồng hồ&gt; nam Phụ kiện&gt; vòng đeo tay, vòng</v>
      </c>
      <c r="G109" s="229" t="str">
        <f t="shared" ca="1" si="2"/>
        <v>"2084005360" : "Vòng đeo tay, vòng",</v>
      </c>
      <c r="H109" s="229" t="str">
        <f t="shared" si="3"/>
        <v>&lt;li class="col-md-3"&gt;&lt;a class="text-cut" href="javascript:;"(click)="categoryEvent(2084005360)"&gt;{{"2084005360" | translate}}&lt;/a&gt;&lt;/li&gt;</v>
      </c>
    </row>
    <row r="110" spans="1:8" ht="14.25" customHeight="1">
      <c r="A110" s="2">
        <v>2084007896</v>
      </c>
      <c r="B110" s="2" t="s">
        <v>4053</v>
      </c>
      <c r="C110" s="2" t="s">
        <v>4175</v>
      </c>
      <c r="D110" s="2" t="s">
        <v>4177</v>
      </c>
      <c r="E110" s="3" t="str">
        <f ca="1">IFERROR(__xludf.DUMMYFUNCTION("GOOGLETRANSLATE(B110,""ja"",""vi"")"),"vòng")</f>
        <v>vòng</v>
      </c>
      <c r="F110" s="3" t="str">
        <f ca="1">IFERROR(__xludf.DUMMYFUNCTION("GOOGLETRANSLATE(C110,""ja"",""vi"")"),"Đấu giá&gt; Phụ kiện, Đồng hồ&gt; Phụ kiện nam&gt; Nhẫn")</f>
        <v>Đấu giá&gt; Phụ kiện, Đồng hồ&gt; Phụ kiện nam&gt; Nhẫn</v>
      </c>
      <c r="G110" s="229" t="str">
        <f t="shared" ca="1" si="2"/>
        <v>"2084007896" : "vòng",</v>
      </c>
      <c r="H110" s="229" t="str">
        <f t="shared" si="3"/>
        <v>&lt;li class="col-md-3"&gt;&lt;a class="text-cut" href="javascript:;"(click)="categoryEvent(2084007896)"&gt;{{"2084007896" | translate}}&lt;/a&gt;&lt;/li&gt;</v>
      </c>
    </row>
    <row r="111" spans="1:8" ht="14.25" customHeight="1">
      <c r="A111" s="2">
        <v>2084023760</v>
      </c>
      <c r="B111" s="2" t="s">
        <v>4181</v>
      </c>
      <c r="C111" s="2" t="s">
        <v>4183</v>
      </c>
      <c r="D111" s="2" t="s">
        <v>4184</v>
      </c>
      <c r="E111" s="3" t="str">
        <f ca="1">IFERROR(__xludf.DUMMYFUNCTION("GOOGLETRANSLATE(B111,""ja"",""vi"")"),"móc chìa khóa, dây chuyền ví")</f>
        <v>móc chìa khóa, dây chuyền ví</v>
      </c>
      <c r="F111" s="3" t="str">
        <f ca="1">IFERROR(__xludf.DUMMYFUNCTION("GOOGLETRANSLATE(C111,""ja"",""vi"")"),"Đấu giá&gt; Accessories, Đồng hồ&gt; nam Phụ kiện&gt; móc chìa khóa, dây chuyền ví")</f>
        <v>Đấu giá&gt; Accessories, Đồng hồ&gt; nam Phụ kiện&gt; móc chìa khóa, dây chuyền ví</v>
      </c>
      <c r="G111" s="229" t="str">
        <f t="shared" ca="1" si="2"/>
        <v>"2084023760" : "móc chìa khóa, dây chuyền ví",</v>
      </c>
      <c r="H111" s="229" t="str">
        <f t="shared" si="3"/>
        <v>&lt;li class="col-md-3"&gt;&lt;a class="text-cut" href="javascript:;"(click)="categoryEvent(2084023760)"&gt;{{"2084023760" | translate}}&lt;/a&gt;&lt;/li&gt;</v>
      </c>
    </row>
    <row r="112" spans="1:8" ht="14.25" customHeight="1">
      <c r="A112" s="2">
        <v>2084005363</v>
      </c>
      <c r="B112" s="2" t="s">
        <v>4187</v>
      </c>
      <c r="C112" s="2" t="s">
        <v>4190</v>
      </c>
      <c r="D112" s="2" t="s">
        <v>4191</v>
      </c>
      <c r="E112" s="3" t="str">
        <f ca="1">IFERROR(__xludf.DUMMYFUNCTION("GOOGLETRANSLATE(B112,""ja"",""vi"")"),"Taiping")</f>
        <v>Taiping</v>
      </c>
      <c r="F112" s="3" t="str">
        <f ca="1">IFERROR(__xludf.DUMMYFUNCTION("GOOGLETRANSLATE(C112,""ja"",""vi"")"),"Đấu giá&gt; Accessories, Đồng hồ&gt; Phụ kiện nam&gt; Taiping")</f>
        <v>Đấu giá&gt; Accessories, Đồng hồ&gt; Phụ kiện nam&gt; Taiping</v>
      </c>
      <c r="G112" s="229" t="str">
        <f t="shared" ca="1" si="2"/>
        <v>"2084005363" : "Taiping",</v>
      </c>
      <c r="H112" s="229" t="str">
        <f t="shared" si="3"/>
        <v>&lt;li class="col-md-3"&gt;&lt;a class="text-cut" href="javascript:;"(click)="categoryEvent(2084005363)"&gt;{{"2084005363" | translate}}&lt;/a&gt;&lt;/li&gt;</v>
      </c>
    </row>
    <row r="113" spans="1:8" ht="14.25" customHeight="1">
      <c r="A113" s="2">
        <v>2084005362</v>
      </c>
      <c r="B113" s="2" t="s">
        <v>4197</v>
      </c>
      <c r="C113" s="2" t="s">
        <v>4198</v>
      </c>
      <c r="D113" s="2" t="s">
        <v>4199</v>
      </c>
      <c r="E113" s="3" t="str">
        <f ca="1">IFERROR(__xludf.DUMMYFUNCTION("GOOGLETRANSLATE(B113,""ja"",""vi"")"),"còng")</f>
        <v>còng</v>
      </c>
      <c r="F113" s="3" t="str">
        <f ca="1">IFERROR(__xludf.DUMMYFUNCTION("GOOGLETRANSLATE(C113,""ja"",""vi"")"),"Đấu giá&gt; Accessories, Đồng hồ&gt; Phụ kiện nam&gt; Cufflinks")</f>
        <v>Đấu giá&gt; Accessories, Đồng hồ&gt; Phụ kiện nam&gt; Cufflinks</v>
      </c>
      <c r="G113" s="229" t="str">
        <f t="shared" ca="1" si="2"/>
        <v>"2084005362" : "còng",</v>
      </c>
      <c r="H113" s="229" t="str">
        <f t="shared" si="3"/>
        <v>&lt;li class="col-md-3"&gt;&lt;a class="text-cut" href="javascript:;"(click)="categoryEvent(2084005362)"&gt;{{"2084005362" | translate}}&lt;/a&gt;&lt;/li&gt;</v>
      </c>
    </row>
    <row r="114" spans="1:8" ht="14.25" customHeight="1">
      <c r="A114" s="2">
        <v>2084007897</v>
      </c>
      <c r="B114" s="2" t="s">
        <v>4059</v>
      </c>
      <c r="C114" s="2" t="s">
        <v>4206</v>
      </c>
      <c r="D114" s="2" t="s">
        <v>4207</v>
      </c>
      <c r="E114" s="3" t="str">
        <f ca="1">IFERROR(__xludf.DUMMYFUNCTION("GOOGLETRANSLATE(B114,""ja"",""vi"")"),"Bông tai")</f>
        <v>Bông tai</v>
      </c>
      <c r="F114" s="3" t="str">
        <f ca="1">IFERROR(__xludf.DUMMYFUNCTION("GOOGLETRANSLATE(C114,""ja"",""vi"")"),"Đấu giá&gt; Accessories, Đồng hồ&gt; Phụ kiện nam&gt; Bông tai")</f>
        <v>Đấu giá&gt; Accessories, Đồng hồ&gt; Phụ kiện nam&gt; Bông tai</v>
      </c>
      <c r="G114" s="229" t="str">
        <f t="shared" ca="1" si="2"/>
        <v>"2084007897" : "Bông tai",</v>
      </c>
      <c r="H114" s="229" t="str">
        <f t="shared" si="3"/>
        <v>&lt;li class="col-md-3"&gt;&lt;a class="text-cut" href="javascript:;"(click)="categoryEvent(2084007897)"&gt;{{"2084007897" | translate}}&lt;/a&gt;&lt;/li&gt;</v>
      </c>
    </row>
    <row r="115" spans="1:8" ht="14.25" customHeight="1">
      <c r="A115" s="2">
        <v>2084023699</v>
      </c>
      <c r="B115" s="2" t="s">
        <v>4109</v>
      </c>
      <c r="C115" s="2" t="s">
        <v>4214</v>
      </c>
      <c r="D115" s="2" t="s">
        <v>4215</v>
      </c>
      <c r="E115" s="3" t="str">
        <f ca="1">IFERROR(__xludf.DUMMYFUNCTION("GOOGLETRANSLATE(B115,""ja"",""vi"")"),"Body Piercing")</f>
        <v>Body Piercing</v>
      </c>
      <c r="F115" s="3" t="str">
        <f ca="1">IFERROR(__xludf.DUMMYFUNCTION("GOOGLETRANSLATE(C115,""ja"",""vi"")"),"Đấu giá&gt; Accessories, Đồng hồ&gt; Phụ kiện nam&gt; Body Piercing")</f>
        <v>Đấu giá&gt; Accessories, Đồng hồ&gt; Phụ kiện nam&gt; Body Piercing</v>
      </c>
      <c r="G115" s="229" t="str">
        <f t="shared" ca="1" si="2"/>
        <v>"2084023699" : "Body Piercing",</v>
      </c>
      <c r="H115" s="229" t="str">
        <f t="shared" si="3"/>
        <v>&lt;li class="col-md-3"&gt;&lt;a class="text-cut" href="javascript:;"(click)="categoryEvent(2084023699)"&gt;{{"2084023699" | translate}}&lt;/a&gt;&lt;/li&gt;</v>
      </c>
    </row>
    <row r="116" spans="1:8" ht="14.25" customHeight="1">
      <c r="A116" s="2">
        <v>2084023706</v>
      </c>
      <c r="B116" s="2" t="s">
        <v>4220</v>
      </c>
      <c r="C116" s="2" t="s">
        <v>4222</v>
      </c>
      <c r="D116" s="2" t="s">
        <v>4224</v>
      </c>
      <c r="E116" s="3" t="str">
        <f ca="1">IFERROR(__xludf.DUMMYFUNCTION("GOOGLETRANSLATE(B116,""ja"",""vi"")"),"khóa")</f>
        <v>khóa</v>
      </c>
      <c r="F116" s="3" t="str">
        <f ca="1">IFERROR(__xludf.DUMMYFUNCTION("GOOGLETRANSLATE(C116,""ja"",""vi"")"),"Đấu giá&gt; Accessories, Đồng hồ&gt; nam Phụ kiện&gt; khóa")</f>
        <v>Đấu giá&gt; Accessories, Đồng hồ&gt; nam Phụ kiện&gt; khóa</v>
      </c>
      <c r="G116" s="229" t="str">
        <f t="shared" ca="1" si="2"/>
        <v>"2084023706" : "khóa",</v>
      </c>
      <c r="H116" s="229" t="str">
        <f t="shared" si="3"/>
        <v>&lt;li class="col-md-3"&gt;&lt;a class="text-cut" href="javascript:;"(click)="categoryEvent(2084023706)"&gt;{{"2084023706" | translate}}&lt;/a&gt;&lt;/li&gt;</v>
      </c>
    </row>
    <row r="117" spans="1:8" ht="14.25" customHeight="1">
      <c r="A117" s="2">
        <v>2084023711</v>
      </c>
      <c r="B117" s="2" t="s">
        <v>4230</v>
      </c>
      <c r="C117" s="2" t="s">
        <v>4231</v>
      </c>
      <c r="D117" s="2" t="s">
        <v>4233</v>
      </c>
      <c r="E117" s="3" t="str">
        <f ca="1">IFERROR(__xludf.DUMMYFUNCTION("GOOGLETRANSLATE(B117,""ja"",""vi"")"),"Money Clip")</f>
        <v>Money Clip</v>
      </c>
      <c r="F117" s="3" t="str">
        <f ca="1">IFERROR(__xludf.DUMMYFUNCTION("GOOGLETRANSLATE(C117,""ja"",""vi"")"),"Đấu giá&gt; Accessories, Đồng hồ&gt; nam Phụ kiện&gt; Money Clip")</f>
        <v>Đấu giá&gt; Accessories, Đồng hồ&gt; nam Phụ kiện&gt; Money Clip</v>
      </c>
      <c r="G117" s="229" t="str">
        <f t="shared" ca="1" si="2"/>
        <v>"2084023711" : "Money Clip",</v>
      </c>
      <c r="H117" s="229" t="str">
        <f t="shared" si="3"/>
        <v>&lt;li class="col-md-3"&gt;&lt;a class="text-cut" href="javascript:;"(click)="categoryEvent(2084023711)"&gt;{{"2084023711" | translate}}&lt;/a&gt;&lt;/li&gt;</v>
      </c>
    </row>
    <row r="118" spans="1:8" ht="14.25" customHeight="1">
      <c r="A118" s="2">
        <v>2084062533</v>
      </c>
      <c r="B118" s="2" t="s">
        <v>4237</v>
      </c>
      <c r="C118" s="2" t="s">
        <v>4240</v>
      </c>
      <c r="D118" s="2" t="s">
        <v>4242</v>
      </c>
      <c r="E118" s="3" t="str">
        <f ca="1">IFERROR(__xludf.DUMMYFUNCTION("GOOGLETRANSLATE(B118,""ja"",""vi"")"),"tóc giả")</f>
        <v>tóc giả</v>
      </c>
      <c r="F118" s="3" t="str">
        <f ca="1">IFERROR(__xludf.DUMMYFUNCTION("GOOGLETRANSLATE(C118,""ja"",""vi"")"),"Đấu giá&gt; Accessories, Đồng hồ&gt; Phụ kiện nam&gt; Wig")</f>
        <v>Đấu giá&gt; Accessories, Đồng hồ&gt; Phụ kiện nam&gt; Wig</v>
      </c>
      <c r="G118" s="229" t="str">
        <f t="shared" ca="1" si="2"/>
        <v>"2084062533" : "tóc giả",</v>
      </c>
      <c r="H118" s="229" t="str">
        <f t="shared" si="3"/>
        <v>&lt;li class="col-md-3"&gt;&lt;a class="text-cut" href="javascript:;"(click)="categoryEvent(2084062533)"&gt;{{"2084062533" | translate}}&lt;/a&gt;&lt;/li&gt;</v>
      </c>
    </row>
    <row r="119" spans="1:8" ht="14.25" customHeight="1">
      <c r="A119" s="2">
        <v>40427</v>
      </c>
      <c r="B119" s="2" t="s">
        <v>306</v>
      </c>
      <c r="C119" s="2" t="s">
        <v>4251</v>
      </c>
      <c r="D119" s="2" t="s">
        <v>4253</v>
      </c>
      <c r="E119" s="3" t="str">
        <f ca="1">IFERROR(__xludf.DUMMYFUNCTION("GOOGLETRANSLATE(B119,""ja"",""vi"")"),"key Chains")</f>
        <v>key Chains</v>
      </c>
      <c r="F119" s="3" t="str">
        <f ca="1">IFERROR(__xludf.DUMMYFUNCTION("GOOGLETRANSLATE(C119,""ja"",""vi"")"),"Đấu giá&gt; Accessories, Đồng hồ&gt; Phụ kiện nam&gt; Keychain")</f>
        <v>Đấu giá&gt; Accessories, Đồng hồ&gt; Phụ kiện nam&gt; Keychain</v>
      </c>
      <c r="G119" s="229" t="str">
        <f t="shared" ca="1" si="2"/>
        <v>"40427" : "key Chains",</v>
      </c>
      <c r="H119" s="229" t="str">
        <f t="shared" si="3"/>
        <v>&lt;li class="col-md-3"&gt;&lt;a class="text-cut" href="javascript:;"(click)="categoryEvent(40427)"&gt;{{"40427" | translate}}&lt;/a&gt;&lt;/li&gt;</v>
      </c>
    </row>
    <row r="120" spans="1:8" ht="14.25" customHeight="1">
      <c r="A120" s="2">
        <v>2084006911</v>
      </c>
      <c r="B120" s="2" t="s">
        <v>4047</v>
      </c>
      <c r="C120" s="2" t="s">
        <v>4258</v>
      </c>
      <c r="D120" s="2" t="s">
        <v>4260</v>
      </c>
      <c r="E120" s="3" t="str">
        <f ca="1">IFERROR(__xludf.DUMMYFUNCTION("GOOGLETRANSLATE(B120,""ja"",""vi"")"),"khăn quàng cổ")</f>
        <v>khăn quàng cổ</v>
      </c>
      <c r="F120" s="3" t="str">
        <f ca="1">IFERROR(__xludf.DUMMYFUNCTION("GOOGLETRANSLATE(C120,""ja"",""vi"")"),"Đấu giá&gt; Accessories, Đồng hồ&gt; nam Phụ kiện&gt; choker")</f>
        <v>Đấu giá&gt; Accessories, Đồng hồ&gt; nam Phụ kiện&gt; choker</v>
      </c>
      <c r="G120" s="229" t="str">
        <f t="shared" ca="1" si="2"/>
        <v>"2084006911" : "khăn quàng cổ",</v>
      </c>
      <c r="H120" s="229" t="str">
        <f t="shared" si="3"/>
        <v>&lt;li class="col-md-3"&gt;&lt;a class="text-cut" href="javascript:;"(click)="categoryEvent(2084006911)"&gt;{{"2084006911" | translate}}&lt;/a&gt;&lt;/li&gt;</v>
      </c>
    </row>
    <row r="121" spans="1:8" ht="14.25" customHeight="1">
      <c r="A121" s="2">
        <v>26138</v>
      </c>
      <c r="B121" s="2" t="s">
        <v>4265</v>
      </c>
      <c r="C121" s="2" t="s">
        <v>4266</v>
      </c>
      <c r="D121" s="2" t="s">
        <v>4267</v>
      </c>
      <c r="E121" s="3" t="str">
        <f ca="1">IFERROR(__xludf.DUMMYFUNCTION("GOOGLETRANSLATE(B121,""ja"",""vi"")"),"Writer")</f>
        <v>Writer</v>
      </c>
      <c r="F121" s="3" t="str">
        <f ca="1">IFERROR(__xludf.DUMMYFUNCTION("GOOGLETRANSLATE(C121,""ja"",""vi"")"),"Đấu giá&gt; Accessories, Đồng hồ&gt; nam Phụ kiện&gt; nhà văn")</f>
        <v>Đấu giá&gt; Accessories, Đồng hồ&gt; nam Phụ kiện&gt; nhà văn</v>
      </c>
      <c r="G121" s="229" t="str">
        <f t="shared" ca="1" si="2"/>
        <v>"26138" : "Writer",</v>
      </c>
      <c r="H121" s="229" t="str">
        <f t="shared" si="3"/>
        <v>&lt;li class="col-md-3"&gt;&lt;a class="text-cut" href="javascript:;"(click)="categoryEvent(26138)"&gt;{{"26138" | translate}}&lt;/a&gt;&lt;/li&gt;</v>
      </c>
    </row>
    <row r="122" spans="1:8" ht="14.25" customHeight="1">
      <c r="A122" s="2">
        <v>2084005064</v>
      </c>
      <c r="B122" s="2" t="s">
        <v>324</v>
      </c>
      <c r="C122" s="2" t="s">
        <v>4274</v>
      </c>
      <c r="D122" s="2" t="s">
        <v>4275</v>
      </c>
      <c r="E122" s="3" t="str">
        <f ca="1">IFERROR(__xludf.DUMMYFUNCTION("GOOGLETRANSLATE(B122,""ja"",""vi"")"),"Điện thoại di Strap")</f>
        <v>Điện thoại di Strap</v>
      </c>
      <c r="F122" s="3" t="str">
        <f ca="1">IFERROR(__xludf.DUMMYFUNCTION("GOOGLETRANSLATE(C122,""ja"",""vi"")"),"Đấu giá&gt; Accessories, Đồng hồ&gt; nam Phụ kiện&gt; Điện thoại di động Strap")</f>
        <v>Đấu giá&gt; Accessories, Đồng hồ&gt; nam Phụ kiện&gt; Điện thoại di động Strap</v>
      </c>
      <c r="G122" s="229" t="str">
        <f t="shared" ca="1" si="2"/>
        <v>"2084005064" : "Điện thoại di Strap",</v>
      </c>
      <c r="H122" s="229" t="str">
        <f t="shared" si="3"/>
        <v>&lt;li class="col-md-3"&gt;&lt;a class="text-cut" href="javascript:;"(click)="categoryEvent(2084005064)"&gt;{{"2084005064" | translate}}&lt;/a&gt;&lt;/li&gt;</v>
      </c>
    </row>
    <row r="123" spans="1:8" ht="14.25" customHeight="1">
      <c r="A123" s="2">
        <v>2084008418</v>
      </c>
      <c r="B123" s="2" t="s">
        <v>4279</v>
      </c>
      <c r="C123" s="2" t="s">
        <v>4280</v>
      </c>
      <c r="D123" s="2" t="s">
        <v>4282</v>
      </c>
      <c r="E123" s="3" t="str">
        <f ca="1">IFERROR(__xludf.DUMMYFUNCTION("GOOGLETRANSLATE(B123,""ja"",""vi"")"),"Trường hợp điện thoại di động")</f>
        <v>Trường hợp điện thoại di động</v>
      </c>
      <c r="F123" s="3" t="str">
        <f ca="1">IFERROR(__xludf.DUMMYFUNCTION("GOOGLETRANSLATE(C123,""ja"",""vi"")"),"Đấu giá&gt; Accessories, Đồng hồ&gt; Phụ kiện nam&gt; Điện thoại di động Điện thoại trường hợp")</f>
        <v>Đấu giá&gt; Accessories, Đồng hồ&gt; Phụ kiện nam&gt; Điện thoại di động Điện thoại trường hợp</v>
      </c>
      <c r="G123" s="229" t="str">
        <f t="shared" ca="1" si="2"/>
        <v>"2084008418" : "Trường hợp điện thoại di động",</v>
      </c>
      <c r="H123" s="229" t="str">
        <f t="shared" si="3"/>
        <v>&lt;li class="col-md-3"&gt;&lt;a class="text-cut" href="javascript:;"(click)="categoryEvent(2084008418)"&gt;{{"2084008418" | translate}}&lt;/a&gt;&lt;/li&gt;</v>
      </c>
    </row>
    <row r="124" spans="1:8" ht="14.25" customHeight="1">
      <c r="A124" s="2">
        <v>2084019048</v>
      </c>
      <c r="B124" s="2" t="s">
        <v>4082</v>
      </c>
      <c r="C124" s="2" t="s">
        <v>4288</v>
      </c>
      <c r="D124" s="2" t="s">
        <v>4289</v>
      </c>
      <c r="E124" s="3" t="str">
        <f ca="1">IFERROR(__xludf.DUMMYFUNCTION("GOOGLETRANSLATE(B124,""ja"",""vi"")"),"Trần đá, Ruth")</f>
        <v>Trần đá, Ruth</v>
      </c>
      <c r="F124" s="3" t="str">
        <f ca="1">IFERROR(__xludf.DUMMYFUNCTION("GOOGLETRANSLATE(C124,""ja"",""vi"")"),"Đấu giá&gt; Accessories, Đồng hồ&gt; nam Phụ kiện&gt; đá trần truồng, Ruth")</f>
        <v>Đấu giá&gt; Accessories, Đồng hồ&gt; nam Phụ kiện&gt; đá trần truồng, Ruth</v>
      </c>
      <c r="G124" s="229" t="str">
        <f t="shared" ca="1" si="2"/>
        <v>"2084019048" : "Trần đá, Ruth",</v>
      </c>
      <c r="H124" s="229" t="str">
        <f t="shared" si="3"/>
        <v>&lt;li class="col-md-3"&gt;&lt;a class="text-cut" href="javascript:;"(click)="categoryEvent(2084019048)"&gt;{{"2084019048" | translate}}&lt;/a&gt;&lt;/li&gt;</v>
      </c>
    </row>
    <row r="125" spans="1:8" ht="14.25" customHeight="1">
      <c r="A125" s="2">
        <v>2084062070</v>
      </c>
      <c r="B125" s="2" t="s">
        <v>16</v>
      </c>
      <c r="C125" s="2" t="s">
        <v>4296</v>
      </c>
      <c r="D125" s="2" t="s">
        <v>4297</v>
      </c>
      <c r="E125" s="3" t="str">
        <f ca="1">IFERROR(__xludf.DUMMYFUNCTION("GOOGLETRANSLATE(B125,""ja"",""vi"")"),"nếu không thì")</f>
        <v>nếu không thì</v>
      </c>
      <c r="F125" s="3" t="str">
        <f ca="1">IFERROR(__xludf.DUMMYFUNCTION("GOOGLETRANSLATE(C125,""ja"",""vi"")"),"Đấu giá&gt; Accessories, Đồng hồ&gt; nam Phụ kiện&gt; khác")</f>
        <v>Đấu giá&gt; Accessories, Đồng hồ&gt; nam Phụ kiện&gt; khác</v>
      </c>
      <c r="G125" s="229" t="str">
        <f t="shared" ca="1" si="2"/>
        <v>"2084062070" : "nếu không thì",</v>
      </c>
      <c r="H125" s="229" t="str">
        <f t="shared" si="3"/>
        <v>&lt;li class="col-md-3"&gt;&lt;a class="text-cut" href="javascript:;"(click)="categoryEvent(2084062070)"&gt;{{"2084062070" | translate}}&lt;/a&gt;&lt;/li&gt;</v>
      </c>
    </row>
    <row r="126" spans="1:8" ht="14.25" customHeight="1">
      <c r="E126" s="3"/>
      <c r="F126" s="3"/>
      <c r="G126" s="229"/>
      <c r="H126" s="229"/>
    </row>
    <row r="127" spans="1:8" ht="14.25" customHeight="1">
      <c r="A127" s="241">
        <v>2084006476</v>
      </c>
      <c r="B127" s="232"/>
      <c r="C127" s="232"/>
      <c r="D127" s="233"/>
      <c r="E127" s="3"/>
      <c r="F127" s="3"/>
      <c r="G127" s="229"/>
      <c r="H127" s="229"/>
    </row>
    <row r="128" spans="1:8" ht="14.25" customHeight="1">
      <c r="A128" s="2">
        <v>2084006501</v>
      </c>
      <c r="B128" s="2" t="s">
        <v>4307</v>
      </c>
      <c r="C128" s="2" t="s">
        <v>4310</v>
      </c>
      <c r="D128" s="2" t="s">
        <v>4312</v>
      </c>
      <c r="E128" s="3" t="str">
        <f ca="1">IFERROR(__xludf.DUMMYFUNCTION("GOOGLETRANSLATE(B128,""ja"",""vi"")"),"Valletta")</f>
        <v>Valletta</v>
      </c>
      <c r="F128" s="3" t="str">
        <f ca="1">IFERROR(__xludf.DUMMYFUNCTION("GOOGLETRANSLATE(C128,""ja"",""vi"")"),"Đấu giá&gt; phụ kiện, đồng hồ&gt; phụ kiện dành cho trẻ em&gt; Valletta")</f>
        <v>Đấu giá&gt; phụ kiện, đồng hồ&gt; phụ kiện dành cho trẻ em&gt; Valletta</v>
      </c>
      <c r="G128" s="229" t="str">
        <f t="shared" ca="1" si="2"/>
        <v>"2084006501" : "Valletta",</v>
      </c>
      <c r="H128" s="229" t="str">
        <f t="shared" si="3"/>
        <v>&lt;li class="col-md-3"&gt;&lt;a class="text-cut" href="javascript:;"(click)="categoryEvent(2084006501)"&gt;{{"2084006501" | translate}}&lt;/a&gt;&lt;/li&gt;</v>
      </c>
    </row>
    <row r="129" spans="1:8" ht="14.25" customHeight="1">
      <c r="A129" s="2">
        <v>2084006665</v>
      </c>
      <c r="B129" s="2" t="s">
        <v>4318</v>
      </c>
      <c r="C129" s="2" t="s">
        <v>4320</v>
      </c>
      <c r="D129" s="2" t="s">
        <v>4321</v>
      </c>
      <c r="E129" s="3" t="str">
        <f ca="1">IFERROR(__xludf.DUMMYFUNCTION("GOOGLETRANSLATE(B129,""ja"",""vi"")"),"Tóc, Chou")</f>
        <v>Tóc, Chou</v>
      </c>
      <c r="F129" s="3" t="str">
        <f ca="1">IFERROR(__xludf.DUMMYFUNCTION("GOOGLETRANSLATE(C129,""ja"",""vi"")"),"Đấu giá&gt; phụ kiện, đồng hồ&gt; phụ kiện dành cho trẻ em&gt; tóc, Chou")</f>
        <v>Đấu giá&gt; phụ kiện, đồng hồ&gt; phụ kiện dành cho trẻ em&gt; tóc, Chou</v>
      </c>
      <c r="G129" s="229" t="str">
        <f t="shared" ca="1" si="2"/>
        <v>"2084006665" : "Tóc, Chou",</v>
      </c>
      <c r="H129" s="229" t="str">
        <f t="shared" si="3"/>
        <v>&lt;li class="col-md-3"&gt;&lt;a class="text-cut" href="javascript:;"(click)="categoryEvent(2084006665)"&gt;{{"2084006665" | translate}}&lt;/a&gt;&lt;/li&gt;</v>
      </c>
    </row>
    <row r="130" spans="1:8" ht="14.25" customHeight="1">
      <c r="A130" s="2">
        <v>2084006500</v>
      </c>
      <c r="B130" s="2" t="s">
        <v>4326</v>
      </c>
      <c r="C130" s="2" t="s">
        <v>4327</v>
      </c>
      <c r="D130" s="2" t="s">
        <v>4328</v>
      </c>
      <c r="E130" s="3" t="str">
        <f ca="1">IFERROR(__xludf.DUMMYFUNCTION("GOOGLETRANSLATE(B130,""ja"",""vi"")"),"dây buộc tóc, Katyusha")</f>
        <v>dây buộc tóc, Katyusha</v>
      </c>
      <c r="F130" s="3" t="str">
        <f ca="1">IFERROR(__xludf.DUMMYFUNCTION("GOOGLETRANSLATE(C130,""ja"",""vi"")"),"Đấu giá&gt; Accessories, Đồng hồ&gt; Trẻ em Phụ kiện&gt; dây buộc tóc, Katyusha")</f>
        <v>Đấu giá&gt; Accessories, Đồng hồ&gt; Trẻ em Phụ kiện&gt; dây buộc tóc, Katyusha</v>
      </c>
      <c r="G130" s="229" t="str">
        <f t="shared" ca="1" si="2"/>
        <v>"2084006500" : "dây buộc tóc, Katyusha",</v>
      </c>
      <c r="H130" s="229" t="str">
        <f t="shared" si="3"/>
        <v>&lt;li class="col-md-3"&gt;&lt;a class="text-cut" href="javascript:;"(click)="categoryEvent(2084006500)"&gt;{{"2084006500" | translate}}&lt;/a&gt;&lt;/li&gt;</v>
      </c>
    </row>
    <row r="131" spans="1:8" ht="14.25" customHeight="1">
      <c r="A131" s="2">
        <v>2084006502</v>
      </c>
      <c r="B131" s="2" t="s">
        <v>4334</v>
      </c>
      <c r="C131" s="2" t="s">
        <v>4335</v>
      </c>
      <c r="D131" s="2" t="s">
        <v>4336</v>
      </c>
      <c r="E131" s="3" t="str">
        <f ca="1">IFERROR(__xludf.DUMMYFUNCTION("GOOGLETRANSLATE(B131,""ja"",""vi"")"),"kẹp tóc")</f>
        <v>kẹp tóc</v>
      </c>
      <c r="F131" s="3" t="str">
        <f ca="1">IFERROR(__xludf.DUMMYFUNCTION("GOOGLETRANSLATE(C131,""ja"",""vi"")"),"Đấu giá&gt; phụ kiện, đồng hồ&gt; phụ kiện dành cho trẻ em&gt; kẹp tóc")</f>
        <v>Đấu giá&gt; phụ kiện, đồng hồ&gt; phụ kiện dành cho trẻ em&gt; kẹp tóc</v>
      </c>
      <c r="G131" s="229" t="str">
        <f t="shared" ref="G131:G194" ca="1" si="4">CONCATENATE(CHAR(34)&amp;"",A131,""&amp;CHAR(34)," : ", CHAR(34)&amp;"",E131,""&amp;CHAR(34),",")</f>
        <v>"2084006502" : "kẹp tóc",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href="javascript:;"(click)="categoryEvent(2084006502)"&gt;{{"2084006502" | translate}}&lt;/a&gt;&lt;/li&gt;</v>
      </c>
    </row>
    <row r="132" spans="1:8" ht="14.25" customHeight="1">
      <c r="A132" s="2">
        <v>2084006477</v>
      </c>
      <c r="B132" s="2" t="s">
        <v>2061</v>
      </c>
      <c r="C132" s="2" t="s">
        <v>4342</v>
      </c>
      <c r="D132" s="2" t="s">
        <v>4343</v>
      </c>
      <c r="E132" s="3" t="str">
        <f ca="1">IFERROR(__xludf.DUMMYFUNCTION("GOOGLETRANSLATE(B132,""ja"",""vi"")"),"dây băng")</f>
        <v>dây băng</v>
      </c>
      <c r="F132" s="3" t="str">
        <f ca="1">IFERROR(__xludf.DUMMYFUNCTION("GOOGLETRANSLATE(C132,""ja"",""vi"")"),"Đấu giá&gt; phụ kiện, đồng hồ&gt; phụ kiện dành cho trẻ em&gt; ruy băng")</f>
        <v>Đấu giá&gt; phụ kiện, đồng hồ&gt; phụ kiện dành cho trẻ em&gt; ruy băng</v>
      </c>
      <c r="G132" s="229" t="str">
        <f t="shared" ca="1" si="4"/>
        <v>"2084006477" : "dây băng",</v>
      </c>
      <c r="H132" s="229" t="str">
        <f t="shared" si="5"/>
        <v>&lt;li class="col-md-3"&gt;&lt;a class="text-cut" href="javascript:;"(click)="categoryEvent(2084006477)"&gt;{{"2084006477" | translate}}&lt;/a&gt;&lt;/li&gt;</v>
      </c>
    </row>
    <row r="133" spans="1:8" ht="14.25" customHeight="1">
      <c r="A133" s="2">
        <v>2084006478</v>
      </c>
      <c r="B133" s="2" t="s">
        <v>16</v>
      </c>
      <c r="C133" s="2" t="s">
        <v>4349</v>
      </c>
      <c r="D133" s="2" t="s">
        <v>4352</v>
      </c>
      <c r="E133" s="3" t="str">
        <f ca="1">IFERROR(__xludf.DUMMYFUNCTION("GOOGLETRANSLATE(B133,""ja"",""vi"")"),"nếu không thì")</f>
        <v>nếu không thì</v>
      </c>
      <c r="F133" s="3" t="str">
        <f ca="1">IFERROR(__xludf.DUMMYFUNCTION("GOOGLETRANSLATE(C133,""ja"",""vi"")"),"Đấu giá&gt; Accessories, Đồng hồ&gt; Trẻ em Phụ kiện&gt; Khác")</f>
        <v>Đấu giá&gt; Accessories, Đồng hồ&gt; Trẻ em Phụ kiện&gt; Khác</v>
      </c>
      <c r="G133" s="229" t="str">
        <f t="shared" ca="1" si="4"/>
        <v>"2084006478" : "nếu không thì",</v>
      </c>
      <c r="H133" s="229" t="str">
        <f t="shared" si="5"/>
        <v>&lt;li class="col-md-3"&gt;&lt;a class="text-cut" href="javascript:;"(click)="categoryEvent(2084006478)"&gt;{{"2084006478" | translate}}&lt;/a&gt;&lt;/li&gt;</v>
      </c>
    </row>
    <row r="134" spans="1:8" ht="14.25" customHeight="1">
      <c r="E134" s="3"/>
      <c r="F134" s="3"/>
      <c r="G134" s="229"/>
      <c r="H134" s="229"/>
    </row>
    <row r="135" spans="1:8" ht="14.25" customHeight="1">
      <c r="A135" s="242">
        <v>23260</v>
      </c>
      <c r="B135" s="232"/>
      <c r="C135" s="232"/>
      <c r="D135" s="233"/>
      <c r="E135" s="3"/>
      <c r="F135" s="3"/>
      <c r="G135" s="229"/>
      <c r="H135" s="229"/>
    </row>
    <row r="136" spans="1:8" ht="14.25" customHeight="1">
      <c r="A136" s="2">
        <v>2084059709</v>
      </c>
      <c r="B136" s="2" t="s">
        <v>590</v>
      </c>
      <c r="C136" s="2" t="s">
        <v>4368</v>
      </c>
      <c r="D136" s="2" t="s">
        <v>4369</v>
      </c>
      <c r="E136" s="3" t="str">
        <f ca="1">IFERROR(__xludf.DUMMYFUNCTION("GOOGLETRANSLATE(B136,""ja"",""vi"")"),"hàng nitơ")</f>
        <v>hàng nitơ</v>
      </c>
      <c r="F136" s="3" t="str">
        <f ca="1">IFERROR(__xludf.DUMMYFUNCTION("GOOGLETRANSLATE(C136,""ja"",""vi"")"),"Đấu giá&gt; phụ kiện, đồng hồ&gt; thương hiệu đồng hồ đeo tay&gt; hàng nitơ")</f>
        <v>Đấu giá&gt; phụ kiện, đồng hồ&gt; thương hiệu đồng hồ đeo tay&gt; hàng nitơ</v>
      </c>
      <c r="G136" s="229" t="str">
        <f t="shared" ca="1" si="4"/>
        <v>"2084059709" : "hàng nitơ",</v>
      </c>
      <c r="H136" s="229" t="str">
        <f t="shared" si="5"/>
        <v>&lt;li class="col-md-3"&gt;&lt;a class="text-cut" href="javascript:;"(click)="categoryEvent(2084059709)"&gt;{{"2084059709" | translate}}&lt;/a&gt;&lt;/li&gt;</v>
      </c>
    </row>
    <row r="137" spans="1:8" ht="14.25" customHeight="1">
      <c r="A137" s="2">
        <v>2084059710</v>
      </c>
      <c r="B137" s="2" t="s">
        <v>599</v>
      </c>
      <c r="C137" s="2" t="s">
        <v>4376</v>
      </c>
      <c r="D137" s="2" t="s">
        <v>4377</v>
      </c>
      <c r="E137" s="3" t="str">
        <f ca="1">IFERROR(__xludf.DUMMYFUNCTION("GOOGLETRANSLATE(B137,""ja"",""vi"")"),"hoặc hàng")</f>
        <v>hoặc hàng</v>
      </c>
      <c r="F137" s="3" t="str">
        <f ca="1">IFERROR(__xludf.DUMMYFUNCTION("GOOGLETRANSLATE(C137,""ja"",""vi"")"),"Đấu giá&gt; phụ kiện, đồng hồ&gt; thương hiệu đồng hồ đeo tay&gt; hoặc hàng")</f>
        <v>Đấu giá&gt; phụ kiện, đồng hồ&gt; thương hiệu đồng hồ đeo tay&gt; hoặc hàng</v>
      </c>
      <c r="G137" s="229" t="str">
        <f t="shared" ca="1" si="4"/>
        <v>"2084059710" : "hoặc hàng",</v>
      </c>
      <c r="H137" s="229" t="str">
        <f t="shared" si="5"/>
        <v>&lt;li class="col-md-3"&gt;&lt;a class="text-cut" href="javascript:;"(click)="categoryEvent(2084059710)"&gt;{{"2084059710" | translate}}&lt;/a&gt;&lt;/li&gt;</v>
      </c>
    </row>
    <row r="138" spans="1:8" ht="14.25" customHeight="1">
      <c r="A138" s="2">
        <v>2084059711</v>
      </c>
      <c r="B138" s="2" t="s">
        <v>610</v>
      </c>
      <c r="C138" s="2" t="s">
        <v>4384</v>
      </c>
      <c r="D138" s="2" t="s">
        <v>4387</v>
      </c>
      <c r="E138" s="3" t="str">
        <f ca="1">IFERROR(__xludf.DUMMYFUNCTION("GOOGLETRANSLATE(B138,""ja"",""vi"")"),"Các chữ s")</f>
        <v>Các chữ s</v>
      </c>
      <c r="F138" s="3" t="str">
        <f ca="1">IFERROR(__xludf.DUMMYFUNCTION("GOOGLETRANSLATE(C138,""ja"",""vi"")"),"Đấu giá&gt; phụ kiện, đồng hồ&gt; thương hiệu đồng hồ đeo tay&gt; chữ s")</f>
        <v>Đấu giá&gt; phụ kiện, đồng hồ&gt; thương hiệu đồng hồ đeo tay&gt; chữ s</v>
      </c>
      <c r="G138" s="229" t="str">
        <f t="shared" ca="1" si="4"/>
        <v>"2084059711" : "Các chữ s",</v>
      </c>
      <c r="H138" s="229" t="str">
        <f t="shared" si="5"/>
        <v>&lt;li class="col-md-3"&gt;&lt;a class="text-cut" href="javascript:;"(click)="categoryEvent(2084059711)"&gt;{{"2084059711" | translate}}&lt;/a&gt;&lt;/li&gt;</v>
      </c>
    </row>
    <row r="139" spans="1:8" ht="14.25" customHeight="1">
      <c r="A139" s="2">
        <v>2084059712</v>
      </c>
      <c r="B139" s="2" t="s">
        <v>619</v>
      </c>
      <c r="C139" s="2" t="s">
        <v>4391</v>
      </c>
      <c r="D139" s="2" t="s">
        <v>4393</v>
      </c>
      <c r="E139" s="3" t="str">
        <f ca="1">IFERROR(__xludf.DUMMYFUNCTION("GOOGLETRANSLATE(B139,""ja"",""vi"")"),"Tagyo")</f>
        <v>Tagyo</v>
      </c>
      <c r="F139" s="3" t="str">
        <f ca="1">IFERROR(__xludf.DUMMYFUNCTION("GOOGLETRANSLATE(C139,""ja"",""vi"")"),"Đấu giá&gt; phụ kiện, đồng hồ&gt; thương hiệu đồng hồ đeo tay&gt; Tagyo")</f>
        <v>Đấu giá&gt; phụ kiện, đồng hồ&gt; thương hiệu đồng hồ đeo tay&gt; Tagyo</v>
      </c>
      <c r="G139" s="229" t="str">
        <f t="shared" ca="1" si="4"/>
        <v>"2084059712" : "Tagyo",</v>
      </c>
      <c r="H139" s="229" t="str">
        <f t="shared" si="5"/>
        <v>&lt;li class="col-md-3"&gt;&lt;a class="text-cut" href="javascript:;"(click)="categoryEvent(2084059712)"&gt;{{"2084059712" | translate}}&lt;/a&gt;&lt;/li&gt;</v>
      </c>
    </row>
    <row r="140" spans="1:8" ht="14.25" customHeight="1">
      <c r="A140" s="2">
        <v>2084212694</v>
      </c>
      <c r="B140" s="2" t="s">
        <v>625</v>
      </c>
      <c r="C140" s="2" t="s">
        <v>4396</v>
      </c>
      <c r="D140" s="2" t="s">
        <v>4398</v>
      </c>
      <c r="E140" s="3" t="str">
        <f ca="1">IFERROR(__xludf.DUMMYFUNCTION("GOOGLETRANSLATE(B140,""ja"",""vi"")"),"Một dòng")</f>
        <v>Một dòng</v>
      </c>
      <c r="F140" s="3" t="str">
        <f ca="1">IFERROR(__xludf.DUMMYFUNCTION("GOOGLETRANSLATE(C140,""ja"",""vi"")"),"Đấu giá&gt; phụ kiện, đồng hồ&gt; thương hiệu đồng hồ đeo tay&gt; hàng")</f>
        <v>Đấu giá&gt; phụ kiện, đồng hồ&gt; thương hiệu đồng hồ đeo tay&gt; hàng</v>
      </c>
      <c r="G140" s="229" t="str">
        <f t="shared" ca="1" si="4"/>
        <v>"2084212694" : "Một dòng",</v>
      </c>
      <c r="H140" s="229" t="str">
        <f t="shared" si="5"/>
        <v>&lt;li class="col-md-3"&gt;&lt;a class="text-cut" href="javascript:;"(click)="categoryEvent(2084212694)"&gt;{{"2084212694" | translate}}&lt;/a&gt;&lt;/li&gt;</v>
      </c>
    </row>
    <row r="141" spans="1:8" ht="14.25" customHeight="1">
      <c r="A141" s="2">
        <v>2084059714</v>
      </c>
      <c r="B141" s="2" t="s">
        <v>631</v>
      </c>
      <c r="C141" s="2" t="s">
        <v>4401</v>
      </c>
      <c r="D141" s="2" t="s">
        <v>4403</v>
      </c>
      <c r="E141" s="3" t="str">
        <f ca="1">IFERROR(__xludf.DUMMYFUNCTION("GOOGLETRANSLATE(B141,""ja"",""vi"")"),"hàng")</f>
        <v>hàng</v>
      </c>
      <c r="F141" s="3" t="str">
        <f ca="1">IFERROR(__xludf.DUMMYFUNCTION("GOOGLETRANSLATE(C141,""ja"",""vi"")"),"Đấu giá&gt; phụ kiện, đồng hồ&gt; thương hiệu đồng hồ đeo tay&gt; hàng")</f>
        <v>Đấu giá&gt; phụ kiện, đồng hồ&gt; thương hiệu đồng hồ đeo tay&gt; hàng</v>
      </c>
      <c r="G141" s="229" t="str">
        <f t="shared" ca="1" si="4"/>
        <v>"2084059714" : "hàng",</v>
      </c>
      <c r="H141" s="229" t="str">
        <f t="shared" si="5"/>
        <v>&lt;li class="col-md-3"&gt;&lt;a class="text-cut" href="javascript:;"(click)="categoryEvent(2084059714)"&gt;{{"2084059714" | translate}}&lt;/a&gt;&lt;/li&gt;</v>
      </c>
    </row>
    <row r="142" spans="1:8" ht="14.25" customHeight="1">
      <c r="A142" s="2">
        <v>2084229196</v>
      </c>
      <c r="B142" s="2" t="s">
        <v>4407</v>
      </c>
      <c r="C142" s="2" t="s">
        <v>4410</v>
      </c>
      <c r="D142" s="2" t="s">
        <v>4411</v>
      </c>
      <c r="E142" s="3" t="str">
        <f ca="1">IFERROR(__xludf.DUMMYFUNCTION("GOOGLETRANSLATE(B142,""ja"",""vi"")"),"Hoặc đường dây, hoặc hàng")</f>
        <v>Hoặc đường dây, hoặc hàng</v>
      </c>
      <c r="F142" s="3" t="str">
        <f ca="1">IFERROR(__xludf.DUMMYFUNCTION("GOOGLETRANSLATE(C142,""ja"",""vi"")"),"Đấu giá&gt; phụ kiện, đồng hồ&gt; thương hiệu đồng hồ đeo tay&gt; hoặc dòng, hoặc hàng")</f>
        <v>Đấu giá&gt; phụ kiện, đồng hồ&gt; thương hiệu đồng hồ đeo tay&gt; hoặc dòng, hoặc hàng</v>
      </c>
      <c r="G142" s="229" t="str">
        <f t="shared" ca="1" si="4"/>
        <v>"2084229196" : "Hoặc đường dây, hoặc hàng",</v>
      </c>
      <c r="H142" s="229" t="str">
        <f t="shared" si="5"/>
        <v>&lt;li class="col-md-3"&gt;&lt;a class="text-cut" href="javascript:;"(click)="categoryEvent(2084229196)"&gt;{{"2084229196" | translate}}&lt;/a&gt;&lt;/li&gt;</v>
      </c>
    </row>
    <row r="143" spans="1:8" ht="14.25" customHeight="1">
      <c r="A143" s="2">
        <v>2084059713</v>
      </c>
      <c r="B143" s="2" t="s">
        <v>751</v>
      </c>
      <c r="C143" s="2" t="s">
        <v>4418</v>
      </c>
      <c r="D143" s="2" t="s">
        <v>4420</v>
      </c>
      <c r="E143" s="3" t="str">
        <f ca="1">IFERROR(__xludf.DUMMYFUNCTION("GOOGLETRANSLATE(B143,""ja"",""vi"")"),"Racovian")</f>
        <v>Racovian</v>
      </c>
      <c r="F143" s="3" t="str">
        <f ca="1">IFERROR(__xludf.DUMMYFUNCTION("GOOGLETRANSLATE(C143,""ja"",""vi"")"),"Đấu giá&gt; phụ kiện, đồng hồ&gt; thương hiệu đồng hồ đeo tay&gt; Racovian")</f>
        <v>Đấu giá&gt; phụ kiện, đồng hồ&gt; thương hiệu đồng hồ đeo tay&gt; Racovian</v>
      </c>
      <c r="G143" s="229" t="str">
        <f t="shared" ca="1" si="4"/>
        <v>"2084059713" : "Racovian",</v>
      </c>
      <c r="H143" s="229" t="str">
        <f t="shared" si="5"/>
        <v>&lt;li class="col-md-3"&gt;&lt;a class="text-cut" href="javascript:;"(click)="categoryEvent(2084059713)"&gt;{{"2084059713" | translate}}&lt;/a&gt;&lt;/li&gt;</v>
      </c>
    </row>
    <row r="144" spans="1:8" ht="14.25" customHeight="1">
      <c r="E144" s="3"/>
      <c r="F144" s="3"/>
      <c r="G144" s="229"/>
      <c r="H144" s="229"/>
    </row>
    <row r="145" spans="1:8" ht="14.25" customHeight="1">
      <c r="A145" s="238">
        <v>23264</v>
      </c>
      <c r="B145" s="232"/>
      <c r="C145" s="232"/>
      <c r="D145" s="233"/>
      <c r="E145" s="3"/>
      <c r="F145" s="3"/>
      <c r="G145" s="229"/>
      <c r="H145" s="229"/>
    </row>
    <row r="146" spans="1:8" ht="14.25" customHeight="1">
      <c r="A146" s="2">
        <v>2084050111</v>
      </c>
      <c r="B146" s="2" t="s">
        <v>4432</v>
      </c>
      <c r="C146" s="2" t="s">
        <v>4434</v>
      </c>
      <c r="D146" s="2" t="s">
        <v>4435</v>
      </c>
      <c r="E146" s="3" t="str">
        <f ca="1">IFERROR(__xludf.DUMMYFUNCTION("GOOGLETRANSLATE(B146,""ja"",""vi"")"),"Analog (Quartz)")</f>
        <v>Analog (Quartz)</v>
      </c>
      <c r="F146" s="3" t="str">
        <f ca="1">IFERROR(__xludf.DUMMYFUNCTION("GOOGLETRANSLATE(C146,""ja"",""vi"")"),"Đấu giá&gt; Accessories, Đồng hồ&gt; Đồng hồ nam&gt; Analog (Quartz)")</f>
        <v>Đấu giá&gt; Accessories, Đồng hồ&gt; Đồng hồ nam&gt; Analog (Quartz)</v>
      </c>
      <c r="G146" s="229" t="str">
        <f t="shared" ca="1" si="4"/>
        <v>"2084050111" : "Analog (Quartz)",</v>
      </c>
      <c r="H146" s="229" t="str">
        <f t="shared" si="5"/>
        <v>&lt;li class="col-md-3"&gt;&lt;a class="text-cut" href="javascript:;"(click)="categoryEvent(2084050111)"&gt;{{"2084050111" | translate}}&lt;/a&gt;&lt;/li&gt;</v>
      </c>
    </row>
    <row r="147" spans="1:8" ht="14.25" customHeight="1">
      <c r="A147" s="2">
        <v>2084050114</v>
      </c>
      <c r="B147" s="2" t="s">
        <v>4440</v>
      </c>
      <c r="C147" s="2" t="s">
        <v>4442</v>
      </c>
      <c r="D147" s="2" t="s">
        <v>4443</v>
      </c>
      <c r="E147" s="3" t="str">
        <f ca="1">IFERROR(__xludf.DUMMYFUNCTION("GOOGLETRANSLATE(B147,""ja"",""vi"")"),"Analog (Tự động)")</f>
        <v>Analog (Tự động)</v>
      </c>
      <c r="F147" s="3" t="str">
        <f ca="1">IFERROR(__xludf.DUMMYFUNCTION("GOOGLETRANSLATE(C147,""ja"",""vi"")"),"Đấu giá&gt; Accessories, Đồng hồ&gt; Đồng hồ nam&gt; Analog (Tự động)")</f>
        <v>Đấu giá&gt; Accessories, Đồng hồ&gt; Đồng hồ nam&gt; Analog (Tự động)</v>
      </c>
      <c r="G147" s="229" t="str">
        <f t="shared" ca="1" si="4"/>
        <v>"2084050114" : "Analog (Tự động)",</v>
      </c>
      <c r="H147" s="229" t="str">
        <f t="shared" si="5"/>
        <v>&lt;li class="col-md-3"&gt;&lt;a class="text-cut" href="javascript:;"(click)="categoryEvent(2084050114)"&gt;{{"2084050114" | translate}}&lt;/a&gt;&lt;/li&gt;</v>
      </c>
    </row>
    <row r="148" spans="1:8" ht="14.25" customHeight="1">
      <c r="A148" s="2">
        <v>2084050113</v>
      </c>
      <c r="B148" s="2" t="s">
        <v>4448</v>
      </c>
      <c r="C148" s="2" t="s">
        <v>4449</v>
      </c>
      <c r="D148" s="2" t="s">
        <v>4456</v>
      </c>
      <c r="E148" s="3" t="str">
        <f ca="1">IFERROR(__xludf.DUMMYFUNCTION("GOOGLETRANSLATE(B148,""ja"",""vi"")"),"Analog (cuộn bằng tay)")</f>
        <v>Analog (cuộn bằng tay)</v>
      </c>
      <c r="F148" s="3" t="str">
        <f ca="1">IFERROR(__xludf.DUMMYFUNCTION("GOOGLETRANSLATE(C148,""ja"",""vi"")"),"Đấu giá&gt; Accessories, Đồng hồ&gt; Đồng hồ nam&gt; analog (cuộn bằng tay)")</f>
        <v>Đấu giá&gt; Accessories, Đồng hồ&gt; Đồng hồ nam&gt; analog (cuộn bằng tay)</v>
      </c>
      <c r="G148" s="229" t="str">
        <f t="shared" ca="1" si="4"/>
        <v>"2084050113" : "Analog (cuộn bằng tay)",</v>
      </c>
      <c r="H148" s="229" t="str">
        <f t="shared" si="5"/>
        <v>&lt;li class="col-md-3"&gt;&lt;a class="text-cut" href="javascript:;"(click)="categoryEvent(2084050113)"&gt;{{"2084050113" | translate}}&lt;/a&gt;&lt;/li&gt;</v>
      </c>
    </row>
    <row r="149" spans="1:8" ht="14.25" customHeight="1">
      <c r="A149" s="2">
        <v>2084032153</v>
      </c>
      <c r="B149" s="2" t="s">
        <v>4461</v>
      </c>
      <c r="C149" s="2" t="s">
        <v>4463</v>
      </c>
      <c r="D149" s="2" t="s">
        <v>4464</v>
      </c>
      <c r="E149" s="3" t="str">
        <f ca="1">IFERROR(__xludf.DUMMYFUNCTION("GOOGLETRANSLATE(B149,""ja"",""vi"")"),"kỹ thuật số")</f>
        <v>kỹ thuật số</v>
      </c>
      <c r="F149" s="3" t="str">
        <f ca="1">IFERROR(__xludf.DUMMYFUNCTION("GOOGLETRANSLATE(C149,""ja"",""vi"")"),"Đấu giá&gt; Accessories, Đồng hồ&gt; Đồng hồ nam&gt; kỹ thuật số")</f>
        <v>Đấu giá&gt; Accessories, Đồng hồ&gt; Đồng hồ nam&gt; kỹ thuật số</v>
      </c>
      <c r="G149" s="229" t="str">
        <f t="shared" ca="1" si="4"/>
        <v>"2084032153" : "kỹ thuật số",</v>
      </c>
      <c r="H149" s="229" t="str">
        <f t="shared" si="5"/>
        <v>&lt;li class="col-md-3"&gt;&lt;a class="text-cut" href="javascript:;"(click)="categoryEvent(2084032153)"&gt;{{"2084032153" | translate}}&lt;/a&gt;&lt;/li&gt;</v>
      </c>
    </row>
    <row r="150" spans="1:8" ht="14.25" customHeight="1">
      <c r="A150" s="2">
        <v>2084005347</v>
      </c>
      <c r="B150" s="2" t="s">
        <v>4469</v>
      </c>
      <c r="C150" s="2" t="s">
        <v>4470</v>
      </c>
      <c r="D150" s="2" t="s">
        <v>4472</v>
      </c>
      <c r="E150" s="3" t="str">
        <f ca="1">IFERROR(__xludf.DUMMYFUNCTION("GOOGLETRANSLATE(B150,""ja"",""vi"")"),"SWATCH")</f>
        <v>SWATCH</v>
      </c>
      <c r="F150" s="3" t="str">
        <f ca="1">IFERROR(__xludf.DUMMYFUNCTION("GOOGLETRANSLATE(C150,""ja"",""vi"")"),"Đấu giá&gt; Accessories, Đồng hồ&gt; Đồng hồ nam&gt; SWATCH")</f>
        <v>Đấu giá&gt; Accessories, Đồng hồ&gt; Đồng hồ nam&gt; SWATCH</v>
      </c>
      <c r="G150" s="229" t="str">
        <f t="shared" ca="1" si="4"/>
        <v>"2084005347" : "SWATCH",</v>
      </c>
      <c r="H150" s="229" t="str">
        <f t="shared" si="5"/>
        <v>&lt;li class="col-md-3"&gt;&lt;a class="text-cut" href="javascript:;"(click)="categoryEvent(2084005347)"&gt;{{"2084005347" | translate}}&lt;/a&gt;&lt;/li&gt;</v>
      </c>
    </row>
    <row r="151" spans="1:8" ht="14.25" customHeight="1">
      <c r="A151" s="2">
        <v>2084032114</v>
      </c>
      <c r="B151" s="2" t="s">
        <v>4476</v>
      </c>
      <c r="C151" s="2" t="s">
        <v>4479</v>
      </c>
      <c r="D151" s="2" t="s">
        <v>4482</v>
      </c>
      <c r="E151" s="3" t="str">
        <f ca="1">IFERROR(__xludf.DUMMYFUNCTION("GOOGLETRANSLATE(B151,""ja"",""vi"")"),"Casio")</f>
        <v>Casio</v>
      </c>
      <c r="F151" s="3" t="str">
        <f ca="1">IFERROR(__xludf.DUMMYFUNCTION("GOOGLETRANSLATE(C151,""ja"",""vi"")"),"Đấu giá&gt; Accessories, Đồng hồ&gt; Đồng hồ nam&gt; Casio")</f>
        <v>Đấu giá&gt; Accessories, Đồng hồ&gt; Đồng hồ nam&gt; Casio</v>
      </c>
      <c r="G151" s="229" t="str">
        <f t="shared" ca="1" si="4"/>
        <v>"2084032114" : "Casio",</v>
      </c>
      <c r="H151" s="229" t="str">
        <f t="shared" si="5"/>
        <v>&lt;li class="col-md-3"&gt;&lt;a class="text-cut" href="javascript:;"(click)="categoryEvent(2084032114)"&gt;{{"2084032114" | translate}}&lt;/a&gt;&lt;/li&gt;</v>
      </c>
    </row>
    <row r="152" spans="1:8" ht="14.25" customHeight="1">
      <c r="A152" s="2">
        <v>2084024505</v>
      </c>
      <c r="B152" s="2" t="s">
        <v>4484</v>
      </c>
      <c r="C152" s="2" t="s">
        <v>4487</v>
      </c>
      <c r="D152" s="2" t="s">
        <v>4490</v>
      </c>
      <c r="E152" s="3" t="str">
        <f ca="1">IFERROR(__xludf.DUMMYFUNCTION("GOOGLETRANSLATE(B152,""ja"",""vi"")"),"công dân")</f>
        <v>công dân</v>
      </c>
      <c r="F152" s="3" t="str">
        <f ca="1">IFERROR(__xludf.DUMMYFUNCTION("GOOGLETRANSLATE(C152,""ja"",""vi"")"),"Đấu giá&gt; Accessories, Đồng hồ&gt; Đồng hồ nam&gt; Citizen")</f>
        <v>Đấu giá&gt; Accessories, Đồng hồ&gt; Đồng hồ nam&gt; Citizen</v>
      </c>
      <c r="G152" s="229" t="str">
        <f t="shared" ca="1" si="4"/>
        <v>"2084024505" : "công dân",</v>
      </c>
      <c r="H152" s="229" t="str">
        <f t="shared" si="5"/>
        <v>&lt;li class="col-md-3"&gt;&lt;a class="text-cut" href="javascript:;"(click)="categoryEvent(2084024505)"&gt;{{"2084024505" | translate}}&lt;/a&gt;&lt;/li&gt;</v>
      </c>
    </row>
    <row r="153" spans="1:8" ht="14.25" customHeight="1">
      <c r="A153" s="2">
        <v>2084024503</v>
      </c>
      <c r="B153" s="2" t="s">
        <v>4495</v>
      </c>
      <c r="C153" s="2" t="s">
        <v>4496</v>
      </c>
      <c r="D153" s="2" t="s">
        <v>4497</v>
      </c>
      <c r="E153" s="3" t="str">
        <f ca="1">IFERROR(__xludf.DUMMYFUNCTION("GOOGLETRANSLATE(B153,""ja"",""vi"")"),"Seiko")</f>
        <v>Seiko</v>
      </c>
      <c r="F153" s="3" t="str">
        <f ca="1">IFERROR(__xludf.DUMMYFUNCTION("GOOGLETRANSLATE(C153,""ja"",""vi"")"),"Đấu giá&gt; Accessories, Đồng hồ&gt; Đồng hồ nam&gt; Seiko")</f>
        <v>Đấu giá&gt; Accessories, Đồng hồ&gt; Đồng hồ nam&gt; Seiko</v>
      </c>
      <c r="G153" s="229" t="str">
        <f t="shared" ca="1" si="4"/>
        <v>"2084024503" : "Seiko",</v>
      </c>
      <c r="H153" s="229" t="str">
        <f t="shared" si="5"/>
        <v>&lt;li class="col-md-3"&gt;&lt;a class="text-cut" href="javascript:;"(click)="categoryEvent(2084024503)"&gt;{{"2084024503" | translate}}&lt;/a&gt;&lt;/li&gt;</v>
      </c>
    </row>
    <row r="154" spans="1:8" ht="14.25" customHeight="1">
      <c r="A154" s="2">
        <v>2084051029</v>
      </c>
      <c r="B154" s="2" t="s">
        <v>4504</v>
      </c>
      <c r="C154" s="2" t="s">
        <v>4505</v>
      </c>
      <c r="D154" s="2" t="s">
        <v>4507</v>
      </c>
      <c r="E154" s="3" t="str">
        <f ca="1">IFERROR(__xludf.DUMMYFUNCTION("GOOGLETRANSLATE(B154,""ja"",""vi"")"),"Luminox")</f>
        <v>Luminox</v>
      </c>
      <c r="F154" s="3" t="str">
        <f ca="1">IFERROR(__xludf.DUMMYFUNCTION("GOOGLETRANSLATE(C154,""ja"",""vi"")"),"Đấu giá&gt; Accessories, Đồng hồ&gt; Đồng hồ nam&gt; Luminox")</f>
        <v>Đấu giá&gt; Accessories, Đồng hồ&gt; Đồng hồ nam&gt; Luminox</v>
      </c>
      <c r="G154" s="229" t="str">
        <f t="shared" ca="1" si="4"/>
        <v>"2084051029" : "Luminox",</v>
      </c>
      <c r="H154" s="229" t="str">
        <f t="shared" si="5"/>
        <v>&lt;li class="col-md-3"&gt;&lt;a class="text-cut" href="javascript:;"(click)="categoryEvent(2084051029)"&gt;{{"2084051029" | translate}}&lt;/a&gt;&lt;/li&gt;</v>
      </c>
    </row>
    <row r="155" spans="1:8" ht="14.25" customHeight="1">
      <c r="E155" s="3"/>
      <c r="F155" s="3"/>
      <c r="G155" s="229"/>
      <c r="H155" s="229"/>
    </row>
    <row r="156" spans="1:8" ht="14.25" customHeight="1">
      <c r="A156" s="256">
        <v>23268</v>
      </c>
      <c r="B156" s="232"/>
      <c r="C156" s="232"/>
      <c r="D156" s="233"/>
      <c r="E156" s="3"/>
      <c r="F156" s="3"/>
      <c r="G156" s="229"/>
      <c r="H156" s="229"/>
    </row>
    <row r="157" spans="1:8" ht="14.25" customHeight="1">
      <c r="A157" s="2">
        <v>2084050117</v>
      </c>
      <c r="B157" s="2" t="s">
        <v>4432</v>
      </c>
      <c r="C157" s="2" t="s">
        <v>4524</v>
      </c>
      <c r="D157" s="2" t="s">
        <v>4525</v>
      </c>
      <c r="E157" s="3" t="str">
        <f ca="1">IFERROR(__xludf.DUMMYFUNCTION("GOOGLETRANSLATE(B157,""ja"",""vi"")"),"Analog (Quartz)")</f>
        <v>Analog (Quartz)</v>
      </c>
      <c r="F157" s="3" t="str">
        <f ca="1">IFERROR(__xludf.DUMMYFUNCTION("GOOGLETRANSLATE(C157,""ja"",""vi"")"),"Đấu giá&gt; Accessories, Đồng hồ&gt; Đồng hồ nữ&gt; Analog (Quartz)")</f>
        <v>Đấu giá&gt; Accessories, Đồng hồ&gt; Đồng hồ nữ&gt; Analog (Quartz)</v>
      </c>
      <c r="G157" s="229" t="str">
        <f t="shared" ca="1" si="4"/>
        <v>"2084050117" : "Analog (Quartz)",</v>
      </c>
      <c r="H157" s="229" t="str">
        <f t="shared" si="5"/>
        <v>&lt;li class="col-md-3"&gt;&lt;a class="text-cut" href="javascript:;"(click)="categoryEvent(2084050117)"&gt;{{"2084050117" | translate}}&lt;/a&gt;&lt;/li&gt;</v>
      </c>
    </row>
    <row r="158" spans="1:8" ht="14.25" customHeight="1">
      <c r="A158" s="2">
        <v>2084050120</v>
      </c>
      <c r="B158" s="2" t="s">
        <v>4440</v>
      </c>
      <c r="C158" s="2" t="s">
        <v>4529</v>
      </c>
      <c r="D158" s="2" t="s">
        <v>4533</v>
      </c>
      <c r="E158" s="3" t="str">
        <f ca="1">IFERROR(__xludf.DUMMYFUNCTION("GOOGLETRANSLATE(B158,""ja"",""vi"")"),"Analog (Tự động)")</f>
        <v>Analog (Tự động)</v>
      </c>
      <c r="F158" s="3" t="str">
        <f ca="1">IFERROR(__xludf.DUMMYFUNCTION("GOOGLETRANSLATE(C158,""ja"",""vi"")"),"Đấu giá&gt; Accessories, Đồng hồ&gt; Đồng hồ nữ&gt; Analog (Tự động)")</f>
        <v>Đấu giá&gt; Accessories, Đồng hồ&gt; Đồng hồ nữ&gt; Analog (Tự động)</v>
      </c>
      <c r="G158" s="229" t="str">
        <f t="shared" ca="1" si="4"/>
        <v>"2084050120" : "Analog (Tự động)",</v>
      </c>
      <c r="H158" s="229" t="str">
        <f t="shared" si="5"/>
        <v>&lt;li class="col-md-3"&gt;&lt;a class="text-cut" href="javascript:;"(click)="categoryEvent(2084050120)"&gt;{{"2084050120" | translate}}&lt;/a&gt;&lt;/li&gt;</v>
      </c>
    </row>
    <row r="159" spans="1:8" ht="14.25" customHeight="1">
      <c r="A159" s="2">
        <v>2084050119</v>
      </c>
      <c r="B159" s="2" t="s">
        <v>4448</v>
      </c>
      <c r="C159" s="2" t="s">
        <v>4538</v>
      </c>
      <c r="D159" s="2" t="s">
        <v>4541</v>
      </c>
      <c r="E159" s="3" t="str">
        <f ca="1">IFERROR(__xludf.DUMMYFUNCTION("GOOGLETRANSLATE(B159,""ja"",""vi"")"),"Analog (cuộn bằng tay)")</f>
        <v>Analog (cuộn bằng tay)</v>
      </c>
      <c r="F159" s="3" t="str">
        <f ca="1">IFERROR(__xludf.DUMMYFUNCTION("GOOGLETRANSLATE(C159,""ja"",""vi"")"),"Đấu giá&gt; Accessories, Đồng hồ&gt; Đồng hồ nữ&gt; analog (cuộn bằng tay)")</f>
        <v>Đấu giá&gt; Accessories, Đồng hồ&gt; Đồng hồ nữ&gt; analog (cuộn bằng tay)</v>
      </c>
      <c r="G159" s="229" t="str">
        <f t="shared" ca="1" si="4"/>
        <v>"2084050119" : "Analog (cuộn bằng tay)",</v>
      </c>
      <c r="H159" s="229" t="str">
        <f t="shared" si="5"/>
        <v>&lt;li class="col-md-3"&gt;&lt;a class="text-cut" href="javascript:;"(click)="categoryEvent(2084050119)"&gt;{{"2084050119" | translate}}&lt;/a&gt;&lt;/li&gt;</v>
      </c>
    </row>
    <row r="160" spans="1:8" ht="14.25" customHeight="1">
      <c r="A160" s="2">
        <v>2084032150</v>
      </c>
      <c r="B160" s="2" t="s">
        <v>4461</v>
      </c>
      <c r="C160" s="2" t="s">
        <v>4545</v>
      </c>
      <c r="D160" s="2" t="s">
        <v>4547</v>
      </c>
      <c r="E160" s="3" t="str">
        <f ca="1">IFERROR(__xludf.DUMMYFUNCTION("GOOGLETRANSLATE(B160,""ja"",""vi"")"),"kỹ thuật số")</f>
        <v>kỹ thuật số</v>
      </c>
      <c r="F160" s="3" t="str">
        <f ca="1">IFERROR(__xludf.DUMMYFUNCTION("GOOGLETRANSLATE(C160,""ja"",""vi"")"),"Đấu giá&gt; Accessories, Đồng hồ&gt; Đồng hồ nữ&gt; kỹ thuật số")</f>
        <v>Đấu giá&gt; Accessories, Đồng hồ&gt; Đồng hồ nữ&gt; kỹ thuật số</v>
      </c>
      <c r="G160" s="229" t="str">
        <f t="shared" ca="1" si="4"/>
        <v>"2084032150" : "kỹ thuật số",</v>
      </c>
      <c r="H160" s="229" t="str">
        <f t="shared" si="5"/>
        <v>&lt;li class="col-md-3"&gt;&lt;a class="text-cut" href="javascript:;"(click)="categoryEvent(2084032150)"&gt;{{"2084032150" | translate}}&lt;/a&gt;&lt;/li&gt;</v>
      </c>
    </row>
    <row r="161" spans="1:8" ht="14.25" customHeight="1">
      <c r="A161" s="2">
        <v>2084005347</v>
      </c>
      <c r="B161" s="2" t="s">
        <v>4469</v>
      </c>
      <c r="C161" s="2" t="s">
        <v>4551</v>
      </c>
      <c r="D161" s="2" t="s">
        <v>4553</v>
      </c>
      <c r="E161" s="3" t="str">
        <f ca="1">IFERROR(__xludf.DUMMYFUNCTION("GOOGLETRANSLATE(B161,""ja"",""vi"")"),"SWATCH")</f>
        <v>SWATCH</v>
      </c>
      <c r="F161" s="3" t="str">
        <f ca="1">IFERROR(__xludf.DUMMYFUNCTION("GOOGLETRANSLATE(C161,""ja"",""vi"")"),"Đấu giá&gt; Accessories, Đồng hồ&gt; Đồng hồ nữ&gt; SWATCH")</f>
        <v>Đấu giá&gt; Accessories, Đồng hồ&gt; Đồng hồ nữ&gt; SWATCH</v>
      </c>
      <c r="G161" s="229" t="str">
        <f t="shared" ca="1" si="4"/>
        <v>"2084005347" : "SWATCH",</v>
      </c>
      <c r="H161" s="229" t="str">
        <f t="shared" si="5"/>
        <v>&lt;li class="col-md-3"&gt;&lt;a class="text-cut" href="javascript:;"(click)="categoryEvent(2084005347)"&gt;{{"2084005347" | translate}}&lt;/a&gt;&lt;/li&gt;</v>
      </c>
    </row>
    <row r="162" spans="1:8" ht="14.25" customHeight="1">
      <c r="A162" s="2">
        <v>2084032114</v>
      </c>
      <c r="B162" s="2" t="s">
        <v>4476</v>
      </c>
      <c r="C162" s="2" t="s">
        <v>4559</v>
      </c>
      <c r="D162" s="2" t="s">
        <v>4561</v>
      </c>
      <c r="E162" s="3" t="str">
        <f ca="1">IFERROR(__xludf.DUMMYFUNCTION("GOOGLETRANSLATE(B162,""ja"",""vi"")"),"Casio")</f>
        <v>Casio</v>
      </c>
      <c r="F162" s="3" t="str">
        <f ca="1">IFERROR(__xludf.DUMMYFUNCTION("GOOGLETRANSLATE(C162,""ja"",""vi"")"),"Đấu giá&gt; Accessories, Đồng hồ&gt; Đồng hồ nữ&gt; Casio")</f>
        <v>Đấu giá&gt; Accessories, Đồng hồ&gt; Đồng hồ nữ&gt; Casio</v>
      </c>
      <c r="G162" s="229" t="str">
        <f t="shared" ca="1" si="4"/>
        <v>"2084032114" : "Casio",</v>
      </c>
      <c r="H162" s="229" t="str">
        <f t="shared" si="5"/>
        <v>&lt;li class="col-md-3"&gt;&lt;a class="text-cut" href="javascript:;"(click)="categoryEvent(2084032114)"&gt;{{"2084032114" | translate}}&lt;/a&gt;&lt;/li&gt;</v>
      </c>
    </row>
    <row r="163" spans="1:8" ht="14.25" customHeight="1">
      <c r="A163" s="2">
        <v>2084024505</v>
      </c>
      <c r="B163" s="2" t="s">
        <v>4484</v>
      </c>
      <c r="C163" s="2" t="s">
        <v>4567</v>
      </c>
      <c r="D163" s="2" t="s">
        <v>4569</v>
      </c>
      <c r="E163" s="3" t="str">
        <f ca="1">IFERROR(__xludf.DUMMYFUNCTION("GOOGLETRANSLATE(B163,""ja"",""vi"")"),"công dân")</f>
        <v>công dân</v>
      </c>
      <c r="F163" s="3" t="str">
        <f ca="1">IFERROR(__xludf.DUMMYFUNCTION("GOOGLETRANSLATE(C163,""ja"",""vi"")"),"Đấu giá&gt; Accessories, Đồng hồ&gt; Đồng hồ nữ&gt; Citizen")</f>
        <v>Đấu giá&gt; Accessories, Đồng hồ&gt; Đồng hồ nữ&gt; Citizen</v>
      </c>
      <c r="G163" s="229" t="str">
        <f t="shared" ca="1" si="4"/>
        <v>"2084024505" : "công dân",</v>
      </c>
      <c r="H163" s="229" t="str">
        <f t="shared" si="5"/>
        <v>&lt;li class="col-md-3"&gt;&lt;a class="text-cut" href="javascript:;"(click)="categoryEvent(2084024505)"&gt;{{"2084024505" | translate}}&lt;/a&gt;&lt;/li&gt;</v>
      </c>
    </row>
    <row r="164" spans="1:8" ht="14.25" customHeight="1">
      <c r="A164" s="2">
        <v>2084024503</v>
      </c>
      <c r="B164" s="2" t="s">
        <v>4495</v>
      </c>
      <c r="C164" s="2" t="s">
        <v>4577</v>
      </c>
      <c r="D164" s="2" t="s">
        <v>4578</v>
      </c>
      <c r="E164" s="3" t="str">
        <f ca="1">IFERROR(__xludf.DUMMYFUNCTION("GOOGLETRANSLATE(B164,""ja"",""vi"")"),"Seiko")</f>
        <v>Seiko</v>
      </c>
      <c r="F164" s="3" t="str">
        <f ca="1">IFERROR(__xludf.DUMMYFUNCTION("GOOGLETRANSLATE(C164,""ja"",""vi"")"),"Đấu giá&gt; Accessories, Đồng hồ&gt; Đồng hồ nữ&gt; Seiko")</f>
        <v>Đấu giá&gt; Accessories, Đồng hồ&gt; Đồng hồ nữ&gt; Seiko</v>
      </c>
      <c r="G164" s="229" t="str">
        <f t="shared" ca="1" si="4"/>
        <v>"2084024503" : "Seiko",</v>
      </c>
      <c r="H164" s="229" t="str">
        <f t="shared" si="5"/>
        <v>&lt;li class="col-md-3"&gt;&lt;a class="text-cut" href="javascript:;"(click)="categoryEvent(2084024503)"&gt;{{"2084024503" | translate}}&lt;/a&gt;&lt;/li&gt;</v>
      </c>
    </row>
    <row r="165" spans="1:8" ht="14.25" customHeight="1">
      <c r="E165" s="3"/>
      <c r="F165" s="3"/>
      <c r="G165" s="229"/>
      <c r="H165" s="229"/>
    </row>
    <row r="166" spans="1:8" ht="14.25" customHeight="1">
      <c r="A166" s="252">
        <v>23272</v>
      </c>
      <c r="B166" s="232"/>
      <c r="C166" s="232"/>
      <c r="D166" s="233"/>
      <c r="E166" s="3"/>
      <c r="F166" s="3"/>
      <c r="G166" s="229"/>
      <c r="H166" s="229"/>
    </row>
    <row r="167" spans="1:8" ht="14.25" customHeight="1">
      <c r="A167" s="2">
        <v>2084053708</v>
      </c>
      <c r="B167" s="2" t="s">
        <v>4432</v>
      </c>
      <c r="C167" s="2" t="s">
        <v>4591</v>
      </c>
      <c r="D167" s="2" t="s">
        <v>4593</v>
      </c>
      <c r="E167" s="3" t="str">
        <f ca="1">IFERROR(__xludf.DUMMYFUNCTION("GOOGLETRANSLATE(B167,""ja"",""vi"")"),"Analog (Quartz)")</f>
        <v>Analog (Quartz)</v>
      </c>
      <c r="F167" s="3" t="str">
        <f ca="1">IFERROR(__xludf.DUMMYFUNCTION("GOOGLETRANSLATE(C167,""ja"",""vi"")"),"Đấu giá&gt; Accessories, Đồng hồ&gt; Đồng hồ Unisex&gt; Analog (Quartz)")</f>
        <v>Đấu giá&gt; Accessories, Đồng hồ&gt; Đồng hồ Unisex&gt; Analog (Quartz)</v>
      </c>
      <c r="G167" s="229" t="str">
        <f t="shared" ca="1" si="4"/>
        <v>"2084053708" : "Analog (Quartz)",</v>
      </c>
      <c r="H167" s="229" t="str">
        <f t="shared" si="5"/>
        <v>&lt;li class="col-md-3"&gt;&lt;a class="text-cut" href="javascript:;"(click)="categoryEvent(2084053708)"&gt;{{"2084053708" | translate}}&lt;/a&gt;&lt;/li&gt;</v>
      </c>
    </row>
    <row r="168" spans="1:8" ht="14.25" customHeight="1">
      <c r="A168" s="2">
        <v>2084053710</v>
      </c>
      <c r="B168" s="2" t="s">
        <v>4440</v>
      </c>
      <c r="C168" s="2" t="s">
        <v>4601</v>
      </c>
      <c r="D168" s="2" t="s">
        <v>4603</v>
      </c>
      <c r="E168" s="3" t="str">
        <f ca="1">IFERROR(__xludf.DUMMYFUNCTION("GOOGLETRANSLATE(B168,""ja"",""vi"")"),"Analog (Tự động)")</f>
        <v>Analog (Tự động)</v>
      </c>
      <c r="F168" s="3" t="str">
        <f ca="1">IFERROR(__xludf.DUMMYFUNCTION("GOOGLETRANSLATE(C168,""ja"",""vi"")"),"Đấu giá&gt; Accessories, Đồng hồ&gt; Đồng hồ Unisex&gt; Analog (Tự động)")</f>
        <v>Đấu giá&gt; Accessories, Đồng hồ&gt; Đồng hồ Unisex&gt; Analog (Tự động)</v>
      </c>
      <c r="G168" s="229" t="str">
        <f t="shared" ca="1" si="4"/>
        <v>"2084053710" : "Analog (Tự động)",</v>
      </c>
      <c r="H168" s="229" t="str">
        <f t="shared" si="5"/>
        <v>&lt;li class="col-md-3"&gt;&lt;a class="text-cut" href="javascript:;"(click)="categoryEvent(2084053710)"&gt;{{"2084053710" | translate}}&lt;/a&gt;&lt;/li&gt;</v>
      </c>
    </row>
    <row r="169" spans="1:8" ht="14.25" customHeight="1">
      <c r="A169" s="2">
        <v>2084053711</v>
      </c>
      <c r="B169" s="2" t="s">
        <v>4448</v>
      </c>
      <c r="C169" s="2" t="s">
        <v>4609</v>
      </c>
      <c r="D169" s="2" t="s">
        <v>4611</v>
      </c>
      <c r="E169" s="3" t="str">
        <f ca="1">IFERROR(__xludf.DUMMYFUNCTION("GOOGLETRANSLATE(B169,""ja"",""vi"")"),"Analog (cuộn bằng tay)")</f>
        <v>Analog (cuộn bằng tay)</v>
      </c>
      <c r="F169" s="3" t="str">
        <f ca="1">IFERROR(__xludf.DUMMYFUNCTION("GOOGLETRANSLATE(C169,""ja"",""vi"")"),"Đấu giá&gt; Accessories, Đồng hồ&gt; Đồng hồ Unisex&gt; analog (cuộn bằng tay)")</f>
        <v>Đấu giá&gt; Accessories, Đồng hồ&gt; Đồng hồ Unisex&gt; analog (cuộn bằng tay)</v>
      </c>
      <c r="G169" s="229" t="str">
        <f t="shared" ca="1" si="4"/>
        <v>"2084053711" : "Analog (cuộn bằng tay)",</v>
      </c>
      <c r="H169" s="229" t="str">
        <f t="shared" si="5"/>
        <v>&lt;li class="col-md-3"&gt;&lt;a class="text-cut" href="javascript:;"(click)="categoryEvent(2084053711)"&gt;{{"2084053711" | translate}}&lt;/a&gt;&lt;/li&gt;</v>
      </c>
    </row>
    <row r="170" spans="1:8" ht="14.25" customHeight="1">
      <c r="A170" s="2">
        <v>2084032152</v>
      </c>
      <c r="B170" s="2" t="s">
        <v>4461</v>
      </c>
      <c r="C170" s="2" t="s">
        <v>4617</v>
      </c>
      <c r="D170" s="2" t="s">
        <v>4619</v>
      </c>
      <c r="E170" s="3" t="str">
        <f ca="1">IFERROR(__xludf.DUMMYFUNCTION("GOOGLETRANSLATE(B170,""ja"",""vi"")"),"kỹ thuật số")</f>
        <v>kỹ thuật số</v>
      </c>
      <c r="F170" s="3" t="str">
        <f ca="1">IFERROR(__xludf.DUMMYFUNCTION("GOOGLETRANSLATE(C170,""ja"",""vi"")"),"Đấu giá&gt; Accessories, Đồng hồ&gt; Đồng hồ Unisex&gt; kỹ thuật số")</f>
        <v>Đấu giá&gt; Accessories, Đồng hồ&gt; Đồng hồ Unisex&gt; kỹ thuật số</v>
      </c>
      <c r="G170" s="229" t="str">
        <f t="shared" ca="1" si="4"/>
        <v>"2084032152" : "kỹ thuật số",</v>
      </c>
      <c r="H170" s="229" t="str">
        <f t="shared" si="5"/>
        <v>&lt;li class="col-md-3"&gt;&lt;a class="text-cut" href="javascript:;"(click)="categoryEvent(2084032152)"&gt;{{"2084032152" | translate}}&lt;/a&gt;&lt;/li&gt;</v>
      </c>
    </row>
    <row r="171" spans="1:8" ht="14.25" customHeight="1">
      <c r="A171" s="2">
        <v>2084032114</v>
      </c>
      <c r="B171" s="2" t="s">
        <v>4476</v>
      </c>
      <c r="C171" s="2" t="s">
        <v>4622</v>
      </c>
      <c r="D171" s="2" t="s">
        <v>4624</v>
      </c>
      <c r="E171" s="3" t="str">
        <f ca="1">IFERROR(__xludf.DUMMYFUNCTION("GOOGLETRANSLATE(B171,""ja"",""vi"")"),"Casio")</f>
        <v>Casio</v>
      </c>
      <c r="F171" s="3" t="str">
        <f ca="1">IFERROR(__xludf.DUMMYFUNCTION("GOOGLETRANSLATE(C171,""ja"",""vi"")"),"Đấu giá&gt; Accessories, Đồng hồ&gt; Đồng hồ Unisex&gt; Casio")</f>
        <v>Đấu giá&gt; Accessories, Đồng hồ&gt; Đồng hồ Unisex&gt; Casio</v>
      </c>
      <c r="G171" s="229" t="str">
        <f t="shared" ca="1" si="4"/>
        <v>"2084032114" : "Casio",</v>
      </c>
      <c r="H171" s="229" t="str">
        <f t="shared" si="5"/>
        <v>&lt;li class="col-md-3"&gt;&lt;a class="text-cut" href="javascript:;"(click)="categoryEvent(2084032114)"&gt;{{"2084032114" | translate}}&lt;/a&gt;&lt;/li&gt;</v>
      </c>
    </row>
    <row r="172" spans="1:8" ht="14.25" customHeight="1">
      <c r="A172" s="2">
        <v>2084024505</v>
      </c>
      <c r="B172" s="2" t="s">
        <v>4484</v>
      </c>
      <c r="C172" s="2" t="s">
        <v>4630</v>
      </c>
      <c r="D172" s="2" t="s">
        <v>4632</v>
      </c>
      <c r="E172" s="3" t="str">
        <f ca="1">IFERROR(__xludf.DUMMYFUNCTION("GOOGLETRANSLATE(B172,""ja"",""vi"")"),"công dân")</f>
        <v>công dân</v>
      </c>
      <c r="F172" s="3" t="str">
        <f ca="1">IFERROR(__xludf.DUMMYFUNCTION("GOOGLETRANSLATE(C172,""ja"",""vi"")"),"Đấu giá&gt; Accessories, Đồng hồ&gt; Đồng hồ Unisex&gt; Citizen")</f>
        <v>Đấu giá&gt; Accessories, Đồng hồ&gt; Đồng hồ Unisex&gt; Citizen</v>
      </c>
      <c r="G172" s="229" t="str">
        <f t="shared" ca="1" si="4"/>
        <v>"2084024505" : "công dân",</v>
      </c>
      <c r="H172" s="229" t="str">
        <f t="shared" si="5"/>
        <v>&lt;li class="col-md-3"&gt;&lt;a class="text-cut" href="javascript:;"(click)="categoryEvent(2084024505)"&gt;{{"2084024505" | translate}}&lt;/a&gt;&lt;/li&gt;</v>
      </c>
    </row>
    <row r="173" spans="1:8" ht="14.25" customHeight="1">
      <c r="A173" s="2">
        <v>2084024503</v>
      </c>
      <c r="B173" s="2" t="s">
        <v>4495</v>
      </c>
      <c r="C173" s="2" t="s">
        <v>4636</v>
      </c>
      <c r="D173" s="2" t="s">
        <v>4637</v>
      </c>
      <c r="E173" s="3" t="str">
        <f ca="1">IFERROR(__xludf.DUMMYFUNCTION("GOOGLETRANSLATE(B173,""ja"",""vi"")"),"Seiko")</f>
        <v>Seiko</v>
      </c>
      <c r="F173" s="3" t="str">
        <f ca="1">IFERROR(__xludf.DUMMYFUNCTION("GOOGLETRANSLATE(C173,""ja"",""vi"")"),"Đấu giá&gt; Accessories, Đồng hồ&gt; Đồng hồ Unisex&gt; Seiko")</f>
        <v>Đấu giá&gt; Accessories, Đồng hồ&gt; Đồng hồ Unisex&gt; Seiko</v>
      </c>
      <c r="G173" s="229" t="str">
        <f t="shared" ca="1" si="4"/>
        <v>"2084024503" : "Seiko",</v>
      </c>
      <c r="H173" s="229" t="str">
        <f t="shared" si="5"/>
        <v>&lt;li class="col-md-3"&gt;&lt;a class="text-cut" href="javascript:;"(click)="categoryEvent(2084024503)"&gt;{{"2084024503" | translate}}&lt;/a&gt;&lt;/li&gt;</v>
      </c>
    </row>
    <row r="174" spans="1:8" ht="14.25" customHeight="1">
      <c r="E174" s="3"/>
      <c r="F174" s="3"/>
      <c r="G174" s="229"/>
      <c r="H174" s="229"/>
    </row>
    <row r="175" spans="1:8" ht="14.25" customHeight="1">
      <c r="A175" s="253">
        <v>2084024554</v>
      </c>
      <c r="B175" s="232"/>
      <c r="C175" s="232"/>
      <c r="D175" s="233"/>
      <c r="E175" s="3"/>
      <c r="F175" s="3"/>
      <c r="G175" s="229"/>
      <c r="H175" s="229"/>
    </row>
    <row r="176" spans="1:8" ht="14.25" customHeight="1">
      <c r="A176" s="2">
        <v>2084045713</v>
      </c>
      <c r="B176" s="2" t="s">
        <v>4646</v>
      </c>
      <c r="C176" s="2" t="s">
        <v>4648</v>
      </c>
      <c r="D176" s="2" t="s">
        <v>4649</v>
      </c>
      <c r="E176" s="3" t="str">
        <f ca="1">IFERROR(__xludf.DUMMYFUNCTION("GOOGLETRANSLATE(B176,""ja"",""vi"")"),"lục lạo")</f>
        <v>lục lạo</v>
      </c>
      <c r="F176" s="3" t="str">
        <f ca="1">IFERROR(__xludf.DUMMYFUNCTION("GOOGLETRANSLATE(C176,""ja"",""vi"")"),"Đấu giá&gt; phụ kiện, đồng hồ&gt; nhân vật đồng hồ đeo tay&gt; Snoopy")</f>
        <v>Đấu giá&gt; phụ kiện, đồng hồ&gt; nhân vật đồng hồ đeo tay&gt; Snoopy</v>
      </c>
      <c r="G176" s="229" t="str">
        <f t="shared" ca="1" si="4"/>
        <v>"2084045713" : "lục lạo",</v>
      </c>
      <c r="H176" s="229" t="str">
        <f t="shared" si="5"/>
        <v>&lt;li class="col-md-3"&gt;&lt;a class="text-cut" href="javascript:;"(click)="categoryEvent(2084045713)"&gt;{{"2084045713" | translate}}&lt;/a&gt;&lt;/li&gt;</v>
      </c>
    </row>
    <row r="177" spans="1:8" ht="14.25" customHeight="1">
      <c r="A177" s="2">
        <v>2084045712</v>
      </c>
      <c r="B177" s="2" t="s">
        <v>1207</v>
      </c>
      <c r="C177" s="2" t="s">
        <v>4654</v>
      </c>
      <c r="D177" s="2" t="s">
        <v>4655</v>
      </c>
      <c r="E177" s="3" t="str">
        <f ca="1">IFERROR(__xludf.DUMMYFUNCTION("GOOGLETRANSLATE(B177,""ja"",""vi"")"),"Disney")</f>
        <v>Disney</v>
      </c>
      <c r="F177" s="3" t="str">
        <f ca="1">IFERROR(__xludf.DUMMYFUNCTION("GOOGLETRANSLATE(C177,""ja"",""vi"")"),"Đấu giá&gt; phụ kiện, đồng hồ&gt; nhân vật đồng hồ đeo tay&gt; Disney")</f>
        <v>Đấu giá&gt; phụ kiện, đồng hồ&gt; nhân vật đồng hồ đeo tay&gt; Disney</v>
      </c>
      <c r="G177" s="229" t="str">
        <f t="shared" ca="1" si="4"/>
        <v>"2084045712" : "Disney",</v>
      </c>
      <c r="H177" s="229" t="str">
        <f t="shared" si="5"/>
        <v>&lt;li class="col-md-3"&gt;&lt;a class="text-cut" href="javascript:;"(click)="categoryEvent(2084045712)"&gt;{{"2084045712" | translate}}&lt;/a&gt;&lt;/li&gt;</v>
      </c>
    </row>
    <row r="178" spans="1:8" ht="14.25" customHeight="1">
      <c r="A178" s="2">
        <v>2084045715</v>
      </c>
      <c r="B178" s="2" t="s">
        <v>4658</v>
      </c>
      <c r="C178" s="2" t="s">
        <v>4659</v>
      </c>
      <c r="D178" s="2" t="s">
        <v>4662</v>
      </c>
      <c r="E178" s="3" t="str">
        <f ca="1">IFERROR(__xludf.DUMMYFUNCTION("GOOGLETRANSLATE(B178,""ja"",""vi"")"),"Doraemon")</f>
        <v>Doraemon</v>
      </c>
      <c r="F178" s="3" t="str">
        <f ca="1">IFERROR(__xludf.DUMMYFUNCTION("GOOGLETRANSLATE(C178,""ja"",""vi"")"),"Đấu giá&gt; phụ kiện, đồng hồ&gt; nhân vật đồng hồ đeo tay&gt; Doraemon")</f>
        <v>Đấu giá&gt; phụ kiện, đồng hồ&gt; nhân vật đồng hồ đeo tay&gt; Doraemon</v>
      </c>
      <c r="G178" s="229" t="str">
        <f t="shared" ca="1" si="4"/>
        <v>"2084045715" : "Doraemon",</v>
      </c>
      <c r="H178" s="229" t="str">
        <f t="shared" si="5"/>
        <v>&lt;li class="col-md-3"&gt;&lt;a class="text-cut" href="javascript:;"(click)="categoryEvent(2084045715)"&gt;{{"2084045715" | translate}}&lt;/a&gt;&lt;/li&gt;</v>
      </c>
    </row>
    <row r="179" spans="1:8" ht="14.25" customHeight="1">
      <c r="A179" s="2">
        <v>2084045714</v>
      </c>
      <c r="B179" s="2" t="s">
        <v>4664</v>
      </c>
      <c r="C179" s="2" t="s">
        <v>4666</v>
      </c>
      <c r="D179" s="2" t="s">
        <v>4668</v>
      </c>
      <c r="E179" s="3" t="str">
        <f ca="1">IFERROR(__xludf.DUMMYFUNCTION("GOOGLETRANSLATE(B179,""ja"",""vi"")"),"Hello Kitty")</f>
        <v>Hello Kitty</v>
      </c>
      <c r="F179" s="3" t="str">
        <f ca="1">IFERROR(__xludf.DUMMYFUNCTION("GOOGLETRANSLATE(C179,""ja"",""vi"")"),"Đấu giá&gt; phụ kiện, đồng hồ&gt; nhân vật đồng hồ đeo tay&gt; Hello Kitty")</f>
        <v>Đấu giá&gt; phụ kiện, đồng hồ&gt; nhân vật đồng hồ đeo tay&gt; Hello Kitty</v>
      </c>
      <c r="G179" s="229" t="str">
        <f t="shared" ca="1" si="4"/>
        <v>"2084045714" : "Hello Kitty",</v>
      </c>
      <c r="H179" s="229" t="str">
        <f t="shared" si="5"/>
        <v>&lt;li class="col-md-3"&gt;&lt;a class="text-cut" href="javascript:;"(click)="categoryEvent(2084045714)"&gt;{{"2084045714" | translate}}&lt;/a&gt;&lt;/li&gt;</v>
      </c>
    </row>
    <row r="180" spans="1:8" ht="14.25" customHeight="1">
      <c r="A180" s="2">
        <v>2084045716</v>
      </c>
      <c r="B180" s="2" t="s">
        <v>16</v>
      </c>
      <c r="C180" s="2" t="s">
        <v>4672</v>
      </c>
      <c r="D180" s="2" t="s">
        <v>4673</v>
      </c>
      <c r="E180" s="3" t="str">
        <f ca="1">IFERROR(__xludf.DUMMYFUNCTION("GOOGLETRANSLATE(B180,""ja"",""vi"")"),"nếu không thì")</f>
        <v>nếu không thì</v>
      </c>
      <c r="F180" s="3" t="str">
        <f ca="1">IFERROR(__xludf.DUMMYFUNCTION("GOOGLETRANSLATE(C180,""ja"",""vi"")"),"Đấu giá&gt; phụ kiện, đồng hồ&gt; nhân vật đồng hồ đeo tay&gt; Khác")</f>
        <v>Đấu giá&gt; phụ kiện, đồng hồ&gt; nhân vật đồng hồ đeo tay&gt; Khác</v>
      </c>
      <c r="G180" s="229" t="str">
        <f t="shared" ca="1" si="4"/>
        <v>"2084045716" : "nếu không thì",</v>
      </c>
      <c r="H180" s="229" t="str">
        <f t="shared" si="5"/>
        <v>&lt;li class="col-md-3"&gt;&lt;a class="text-cut" href="javascript:;"(click)="categoryEvent(2084045716)"&gt;{{"2084045716" | translate}}&lt;/a&gt;&lt;/li&gt;</v>
      </c>
    </row>
    <row r="181" spans="1:8" ht="14.25" customHeight="1">
      <c r="E181" s="3"/>
      <c r="F181" s="3"/>
      <c r="G181" s="229"/>
      <c r="H181" s="229"/>
    </row>
    <row r="182" spans="1:8" ht="14.25" customHeight="1">
      <c r="A182" s="254">
        <v>23276</v>
      </c>
      <c r="B182" s="232"/>
      <c r="C182" s="232"/>
      <c r="D182" s="233"/>
      <c r="E182" s="3"/>
      <c r="F182" s="3"/>
      <c r="G182" s="229"/>
      <c r="H182" s="229"/>
    </row>
    <row r="183" spans="1:8" ht="14.25" customHeight="1">
      <c r="A183" s="2">
        <v>2084062953</v>
      </c>
      <c r="B183" s="2" t="s">
        <v>4684</v>
      </c>
      <c r="C183" s="2" t="s">
        <v>4685</v>
      </c>
      <c r="D183" s="2" t="s">
        <v>4686</v>
      </c>
      <c r="E183" s="3" t="str">
        <f ca="1">IFERROR(__xludf.DUMMYFUNCTION("GOOGLETRANSLATE(B183,""ja"",""vi"")"),"đá thạch anh")</f>
        <v>đá thạch anh</v>
      </c>
      <c r="F183" s="3" t="str">
        <f ca="1">IFERROR(__xludf.DUMMYFUNCTION("GOOGLETRANSLATE(C183,""ja"",""vi"")"),"Đấu giá&gt; phụ kiện, đồng hồ&gt; đồng hồ bỏ túi&gt; Quartz")</f>
        <v>Đấu giá&gt; phụ kiện, đồng hồ&gt; đồng hồ bỏ túi&gt; Quartz</v>
      </c>
      <c r="G183" s="229" t="str">
        <f t="shared" ca="1" si="4"/>
        <v>"2084062953" : "đá thạch anh",</v>
      </c>
      <c r="H183" s="229" t="str">
        <f t="shared" si="5"/>
        <v>&lt;li class="col-md-3"&gt;&lt;a class="text-cut" href="javascript:;"(click)="categoryEvent(2084062953)"&gt;{{"2084062953" | translate}}&lt;/a&gt;&lt;/li&gt;</v>
      </c>
    </row>
    <row r="184" spans="1:8" ht="14.25" customHeight="1">
      <c r="A184" s="2">
        <v>2084062954</v>
      </c>
      <c r="B184" s="2" t="s">
        <v>4690</v>
      </c>
      <c r="C184" s="2" t="s">
        <v>4696</v>
      </c>
      <c r="D184" s="2" t="s">
        <v>4697</v>
      </c>
      <c r="E184" s="3" t="str">
        <f ca="1">IFERROR(__xludf.DUMMYFUNCTION("GOOGLETRANSLATE(B184,""ja"",""vi"")"),"Cơ")</f>
        <v>Cơ</v>
      </c>
      <c r="F184" s="3" t="str">
        <f ca="1">IFERROR(__xludf.DUMMYFUNCTION("GOOGLETRANSLATE(C184,""ja"",""vi"")"),"Đấu giá&gt; phụ kiện, đồng hồ&gt; đồng hồ bỏ túi&gt; cơ khí")</f>
        <v>Đấu giá&gt; phụ kiện, đồng hồ&gt; đồng hồ bỏ túi&gt; cơ khí</v>
      </c>
      <c r="G184" s="229" t="str">
        <f t="shared" ca="1" si="4"/>
        <v>"2084062954" : "Cơ",</v>
      </c>
      <c r="H184" s="229" t="str">
        <f t="shared" si="5"/>
        <v>&lt;li class="col-md-3"&gt;&lt;a class="text-cut" href="javascript:;"(click)="categoryEvent(2084062954)"&gt;{{"2084062954" | translate}}&lt;/a&gt;&lt;/li&gt;</v>
      </c>
    </row>
    <row r="185" spans="1:8" ht="14.25" customHeight="1">
      <c r="E185" s="3"/>
      <c r="F185" s="3"/>
      <c r="G185" s="229"/>
      <c r="H185" s="229"/>
    </row>
    <row r="186" spans="1:8" ht="14.25" customHeight="1">
      <c r="A186" s="249">
        <v>2084024555</v>
      </c>
      <c r="B186" s="232"/>
      <c r="C186" s="232"/>
      <c r="D186" s="233"/>
      <c r="E186" s="3"/>
      <c r="F186" s="3"/>
      <c r="G186" s="229"/>
      <c r="H186" s="229"/>
    </row>
    <row r="187" spans="1:8" ht="14.25" customHeight="1">
      <c r="A187" s="2">
        <v>2084062472</v>
      </c>
      <c r="B187" s="2" t="s">
        <v>4709</v>
      </c>
      <c r="C187" s="2" t="s">
        <v>4712</v>
      </c>
      <c r="D187" s="2" t="s">
        <v>4713</v>
      </c>
      <c r="E187" s="3" t="str">
        <f ca="1">IFERROR(__xludf.DUMMYFUNCTION("GOOGLETRANSLATE(B187,""ja"",""vi"")"),"vành đai cao su")</f>
        <v>vành đai cao su</v>
      </c>
      <c r="F187" s="3" t="str">
        <f ca="1">IFERROR(__xludf.DUMMYFUNCTION("GOOGLETRANSLATE(C187,""ja"",""vi"")"),"Đấu giá&gt; Accessories, Đồng hồ&gt; vành đai đồng hồ, ban nhạc&gt; vành đai cao su")</f>
        <v>Đấu giá&gt; Accessories, Đồng hồ&gt; vành đai đồng hồ, ban nhạc&gt; vành đai cao su</v>
      </c>
      <c r="G187" s="229" t="str">
        <f t="shared" ca="1" si="4"/>
        <v>"2084062472" : "vành đai cao su",</v>
      </c>
      <c r="H187" s="229" t="str">
        <f t="shared" si="5"/>
        <v>&lt;li class="col-md-3"&gt;&lt;a class="text-cut" href="javascript:;"(click)="categoryEvent(2084062472)"&gt;{{"2084062472" | translate}}&lt;/a&gt;&lt;/li&gt;</v>
      </c>
    </row>
    <row r="188" spans="1:8" ht="14.25" customHeight="1">
      <c r="A188" s="2">
        <v>2084062470</v>
      </c>
      <c r="B188" s="2" t="s">
        <v>4717</v>
      </c>
      <c r="C188" s="2" t="s">
        <v>4720</v>
      </c>
      <c r="D188" s="2" t="s">
        <v>4722</v>
      </c>
      <c r="E188" s="3" t="str">
        <f ca="1">IFERROR(__xludf.DUMMYFUNCTION("GOOGLETRANSLATE(B188,""ja"",""vi"")"),"thắt lưng da")</f>
        <v>thắt lưng da</v>
      </c>
      <c r="F188" s="3" t="str">
        <f ca="1">IFERROR(__xludf.DUMMYFUNCTION("GOOGLETRANSLATE(C188,""ja"",""vi"")"),"Đấu giá&gt; Accessories, Đồng hồ&gt; vành đai đồng hồ, ban nhạc&gt; thắt lưng da")</f>
        <v>Đấu giá&gt; Accessories, Đồng hồ&gt; vành đai đồng hồ, ban nhạc&gt; thắt lưng da</v>
      </c>
      <c r="G188" s="229" t="str">
        <f t="shared" ca="1" si="4"/>
        <v>"2084062470" : "thắt lưng da",</v>
      </c>
      <c r="H188" s="229" t="str">
        <f t="shared" si="5"/>
        <v>&lt;li class="col-md-3"&gt;&lt;a class="text-cut" href="javascript:;"(click)="categoryEvent(2084062470)"&gt;{{"2084062470" | translate}}&lt;/a&gt;&lt;/li&gt;</v>
      </c>
    </row>
    <row r="189" spans="1:8" ht="14.25" customHeight="1">
      <c r="A189" s="2">
        <v>2084062471</v>
      </c>
      <c r="B189" s="2" t="s">
        <v>4728</v>
      </c>
      <c r="C189" s="2" t="s">
        <v>4729</v>
      </c>
      <c r="D189" s="2" t="s">
        <v>4731</v>
      </c>
      <c r="E189" s="3" t="str">
        <f ca="1">IFERROR(__xludf.DUMMYFUNCTION("GOOGLETRANSLATE(B189,""ja"",""vi"")"),"vành đai kim loại")</f>
        <v>vành đai kim loại</v>
      </c>
      <c r="F189" s="3" t="str">
        <f ca="1">IFERROR(__xludf.DUMMYFUNCTION("GOOGLETRANSLATE(C189,""ja"",""vi"")"),"Đấu giá&gt; Accessories, Đồng hồ&gt; vành đai đồng hồ, ban nhạc&gt; vành đai kim loại")</f>
        <v>Đấu giá&gt; Accessories, Đồng hồ&gt; vành đai đồng hồ, ban nhạc&gt; vành đai kim loại</v>
      </c>
      <c r="G189" s="229" t="str">
        <f t="shared" ca="1" si="4"/>
        <v>"2084062471" : "vành đai kim loại",</v>
      </c>
      <c r="H189" s="229" t="str">
        <f t="shared" si="5"/>
        <v>&lt;li class="col-md-3"&gt;&lt;a class="text-cut" href="javascript:;"(click)="categoryEvent(2084062471)"&gt;{{"2084062471" | translate}}&lt;/a&gt;&lt;/li&gt;</v>
      </c>
    </row>
    <row r="190" spans="1:8" ht="14.25" customHeight="1">
      <c r="A190" s="2">
        <v>2084062473</v>
      </c>
      <c r="B190" s="2" t="s">
        <v>4734</v>
      </c>
      <c r="C190" s="2" t="s">
        <v>4737</v>
      </c>
      <c r="D190" s="2" t="s">
        <v>4740</v>
      </c>
      <c r="E190" s="3" t="str">
        <f ca="1">IFERROR(__xludf.DUMMYFUNCTION("GOOGLETRANSLATE(B190,""ja"",""vi"")"),"dây vải")</f>
        <v>dây vải</v>
      </c>
      <c r="F190" s="3" t="str">
        <f ca="1">IFERROR(__xludf.DUMMYFUNCTION("GOOGLETRANSLATE(C190,""ja"",""vi"")"),"Đấu giá&gt; Accessories, Đồng hồ&gt; vành đai đồng hồ, ban nhạc&gt; dây vải")</f>
        <v>Đấu giá&gt; Accessories, Đồng hồ&gt; vành đai đồng hồ, ban nhạc&gt; dây vải</v>
      </c>
      <c r="G190" s="229" t="str">
        <f t="shared" ca="1" si="4"/>
        <v>"2084062473" : "dây vải",</v>
      </c>
      <c r="H190" s="229" t="str">
        <f t="shared" si="5"/>
        <v>&lt;li class="col-md-3"&gt;&lt;a class="text-cut" href="javascript:;"(click)="categoryEvent(2084062473)"&gt;{{"2084062473" | translate}}&lt;/a&gt;&lt;/li&gt;</v>
      </c>
    </row>
    <row r="191" spans="1:8" ht="14.25" customHeight="1">
      <c r="A191" s="2">
        <v>2084062481</v>
      </c>
      <c r="B191" s="2" t="s">
        <v>4743</v>
      </c>
      <c r="C191" s="2" t="s">
        <v>4745</v>
      </c>
      <c r="D191" s="2" t="s">
        <v>4746</v>
      </c>
      <c r="E191" s="3" t="str">
        <f ca="1">IFERROR(__xludf.DUMMYFUNCTION("GOOGLETRANSLATE(B191,""ja"",""vi"")"),"Mùa xuân Bohazushi")</f>
        <v>Mùa xuân Bohazushi</v>
      </c>
      <c r="F191" s="3" t="str">
        <f ca="1">IFERROR(__xludf.DUMMYFUNCTION("GOOGLETRANSLATE(C191,""ja"",""vi"")"),"Đấu giá&gt; Accessories, Đồng hồ&gt; vành đai đồng hồ, ban nhạc&gt; mùa xuân Bohazushi")</f>
        <v>Đấu giá&gt; Accessories, Đồng hồ&gt; vành đai đồng hồ, ban nhạc&gt; mùa xuân Bohazushi</v>
      </c>
      <c r="G191" s="229" t="str">
        <f t="shared" ca="1" si="4"/>
        <v>"2084062481" : "Mùa xuân Bohazushi",</v>
      </c>
      <c r="H191" s="229" t="str">
        <f t="shared" si="5"/>
        <v>&lt;li class="col-md-3"&gt;&lt;a class="text-cut" href="javascript:;"(click)="categoryEvent(2084062481)"&gt;{{"2084062481" | translate}}&lt;/a&gt;&lt;/li&gt;</v>
      </c>
    </row>
    <row r="192" spans="1:8" ht="14.25" customHeight="1">
      <c r="A192" s="2">
        <v>2084062482</v>
      </c>
      <c r="B192" s="2" t="s">
        <v>4749</v>
      </c>
      <c r="C192" s="2" t="s">
        <v>4750</v>
      </c>
      <c r="D192" s="2" t="s">
        <v>4753</v>
      </c>
      <c r="E192" s="3" t="str">
        <f ca="1">IFERROR(__xludf.DUMMYFUNCTION("GOOGLETRANSLATE(B192,""ja"",""vi"")"),"Chính xác Screwdriver")</f>
        <v>Chính xác Screwdriver</v>
      </c>
      <c r="F192" s="3" t="str">
        <f ca="1">IFERROR(__xludf.DUMMYFUNCTION("GOOGLETRANSLATE(C192,""ja"",""vi"")"),"Đấu giá&gt; Accessories, Đồng hồ&gt; vành đai đồng hồ, ban nhạc&gt; chính xác screwdriver")</f>
        <v>Đấu giá&gt; Accessories, Đồng hồ&gt; vành đai đồng hồ, ban nhạc&gt; chính xác screwdriver</v>
      </c>
      <c r="G192" s="229" t="str">
        <f t="shared" ca="1" si="4"/>
        <v>"2084062482" : "Chính xác Screwdriver",</v>
      </c>
      <c r="H192" s="229" t="str">
        <f t="shared" si="5"/>
        <v>&lt;li class="col-md-3"&gt;&lt;a class="text-cut" href="javascript:;"(click)="categoryEvent(2084062482)"&gt;{{"2084062482" | translate}}&lt;/a&gt;&lt;/li&gt;</v>
      </c>
    </row>
    <row r="193" spans="1:8" ht="14.25" customHeight="1">
      <c r="A193" s="2">
        <v>2084062474</v>
      </c>
      <c r="B193" s="2" t="s">
        <v>4759</v>
      </c>
      <c r="C193" s="2" t="s">
        <v>4761</v>
      </c>
      <c r="D193" s="2" t="s">
        <v>4763</v>
      </c>
      <c r="E193" s="3" t="str">
        <f ca="1">IFERROR(__xludf.DUMMYFUNCTION("GOOGLETRANSLATE(B193,""ja"",""vi"")"),"phần vành đai")</f>
        <v>phần vành đai</v>
      </c>
      <c r="F193" s="3" t="str">
        <f ca="1">IFERROR(__xludf.DUMMYFUNCTION("GOOGLETRANSLATE(C193,""ja"",""vi"")"),"Đấu giá&gt; Accessories, Đồng hồ&gt; vành đai đồng hồ, ban nhạc&gt; phần vành đai")</f>
        <v>Đấu giá&gt; Accessories, Đồng hồ&gt; vành đai đồng hồ, ban nhạc&gt; phần vành đai</v>
      </c>
      <c r="G193" s="229" t="str">
        <f t="shared" ca="1" si="4"/>
        <v>"2084062474" : "phần vành đai",</v>
      </c>
      <c r="H193" s="229" t="str">
        <f t="shared" si="5"/>
        <v>&lt;li class="col-md-3"&gt;&lt;a class="text-cut" href="javascript:;"(click)="categoryEvent(2084062474)"&gt;{{"2084062474" | translate}}&lt;/a&gt;&lt;/li&gt;</v>
      </c>
    </row>
    <row r="194" spans="1:8" ht="14.25" customHeight="1">
      <c r="A194" s="2">
        <v>2084062478</v>
      </c>
      <c r="B194" s="2" t="s">
        <v>16</v>
      </c>
      <c r="C194" s="2" t="s">
        <v>4768</v>
      </c>
      <c r="D194" s="2" t="s">
        <v>4769</v>
      </c>
      <c r="E194" s="3" t="str">
        <f ca="1">IFERROR(__xludf.DUMMYFUNCTION("GOOGLETRANSLATE(B194,""ja"",""vi"")"),"nếu không thì")</f>
        <v>nếu không thì</v>
      </c>
      <c r="F194" s="3" t="str">
        <f ca="1">IFERROR(__xludf.DUMMYFUNCTION("GOOGLETRANSLATE(C194,""ja"",""vi"")"),"Đấu giá&gt; Accessories, Đồng hồ&gt; vành đai đồng hồ, ban nhạc&gt; Khác")</f>
        <v>Đấu giá&gt; Accessories, Đồng hồ&gt; vành đai đồng hồ, ban nhạc&gt; Khác</v>
      </c>
      <c r="G194" s="229" t="str">
        <f t="shared" ca="1" si="4"/>
        <v>"2084062478" : "nếu không thì",</v>
      </c>
      <c r="H194" s="229" t="str">
        <f t="shared" si="5"/>
        <v>&lt;li class="col-md-3"&gt;&lt;a class="text-cut" href="javascript:;"(click)="categoryEvent(2084062478)"&gt;{{"2084062478" | translate}}&lt;/a&gt;&lt;/li&gt;</v>
      </c>
    </row>
    <row r="195" spans="1:8" ht="14.25" customHeight="1">
      <c r="E195" s="3"/>
      <c r="F195" s="3"/>
      <c r="G195" s="229"/>
      <c r="H195" s="229"/>
    </row>
    <row r="196" spans="1:8" ht="14.25" customHeight="1">
      <c r="A196" s="251">
        <v>2084024557</v>
      </c>
      <c r="B196" s="232"/>
      <c r="C196" s="232"/>
      <c r="D196" s="233"/>
      <c r="E196" s="3"/>
      <c r="F196" s="3"/>
      <c r="G196" s="229"/>
      <c r="H196" s="229"/>
    </row>
    <row r="197" spans="1:8" ht="14.25" customHeight="1">
      <c r="A197" s="2">
        <v>2084062493</v>
      </c>
      <c r="B197" s="2" t="s">
        <v>4779</v>
      </c>
      <c r="C197" s="2" t="s">
        <v>4780</v>
      </c>
      <c r="D197" s="2" t="s">
        <v>4781</v>
      </c>
      <c r="E197" s="3" t="str">
        <f ca="1">IFERROR(__xludf.DUMMYFUNCTION("GOOGLETRANSLATE(B197,""ja"",""vi"")"),"Lưu trữ nói chung trường hợp")</f>
        <v>Lưu trữ nói chung trường hợp</v>
      </c>
      <c r="F197" s="3" t="str">
        <f ca="1">IFERROR(__xludf.DUMMYFUNCTION("GOOGLETRANSLATE(C197,""ja"",""vi"")"),"Đấu giá&gt; Accessories, Đồng hồ&gt; trường hợp đồng hồ&gt; nói chung trường hợp lưu trữ")</f>
        <v>Đấu giá&gt; Accessories, Đồng hồ&gt; trường hợp đồng hồ&gt; nói chung trường hợp lưu trữ</v>
      </c>
      <c r="G197" s="229" t="str">
        <f t="shared" ref="G197:G223" ca="1" si="6">CONCATENATE(CHAR(34)&amp;"",A197,""&amp;CHAR(34)," : ", CHAR(34)&amp;"",E197,""&amp;CHAR(34),",")</f>
        <v>"2084062493" : "Lưu trữ nói chung trường hợp",</v>
      </c>
      <c r="H197" s="229" t="str">
        <f t="shared" ref="H197:H223" si="7">CONCATENATE("&lt;li class=",CHAR(34)&amp;"","col-md-3",""&amp;CHAR(34),"&gt;","&lt;a class=",CHAR(34)&amp;"","text-cut",""&amp;CHAR(34)," href=",CHAR(34)&amp;"","javascript:;",""&amp;CHAR(34), "(click)=",CHAR(34)&amp;"","categoryEvent(",A197,")",""&amp;CHAR(34),"&gt;{{",CHAR(34)&amp;"",A197,""&amp;CHAR(34)," | translate}}&lt;/a&gt;&lt;/li&gt;")</f>
        <v>&lt;li class="col-md-3"&gt;&lt;a class="text-cut" href="javascript:;"(click)="categoryEvent(2084062493)"&gt;{{"2084062493" | translate}}&lt;/a&gt;&lt;/li&gt;</v>
      </c>
    </row>
    <row r="198" spans="1:8" ht="14.25" customHeight="1">
      <c r="A198" s="2">
        <v>2084062496</v>
      </c>
      <c r="B198" s="2" t="s">
        <v>4785</v>
      </c>
      <c r="C198" s="2" t="s">
        <v>4786</v>
      </c>
      <c r="D198" s="2" t="s">
        <v>4788</v>
      </c>
      <c r="E198" s="3" t="str">
        <f ca="1">IFERROR(__xludf.DUMMYFUNCTION("GOOGLETRANSLATE(B198,""ja"",""vi"")"),"loại đứng")</f>
        <v>loại đứng</v>
      </c>
      <c r="F198" s="3" t="str">
        <f ca="1">IFERROR(__xludf.DUMMYFUNCTION("GOOGLETRANSLATE(C198,""ja"",""vi"")"),"Đấu giá&gt; Accessories, Đồng hồ&gt; trường hợp đồng hồ&gt; kiểu đứng")</f>
        <v>Đấu giá&gt; Accessories, Đồng hồ&gt; trường hợp đồng hồ&gt; kiểu đứng</v>
      </c>
      <c r="G198" s="229" t="str">
        <f t="shared" ca="1" si="6"/>
        <v>"2084062496" : "loại đứng",</v>
      </c>
      <c r="H198" s="229" t="str">
        <f t="shared" si="7"/>
        <v>&lt;li class="col-md-3"&gt;&lt;a class="text-cut" href="javascript:;"(click)="categoryEvent(2084062496)"&gt;{{"2084062496" | translate}}&lt;/a&gt;&lt;/li&gt;</v>
      </c>
    </row>
    <row r="199" spans="1:8" ht="14.25" customHeight="1">
      <c r="A199" s="2">
        <v>2084062498</v>
      </c>
      <c r="B199" s="2" t="s">
        <v>4794</v>
      </c>
      <c r="C199" s="2" t="s">
        <v>4795</v>
      </c>
      <c r="D199" s="2" t="s">
        <v>4796</v>
      </c>
      <c r="E199" s="3" t="str">
        <f ca="1">IFERROR(__xludf.DUMMYFUNCTION("GOOGLETRANSLATE(B199,""ja"",""vi"")"),"Winding chức năng với")</f>
        <v>Winding chức năng với</v>
      </c>
      <c r="F199" s="3" t="str">
        <f ca="1">IFERROR(__xludf.DUMMYFUNCTION("GOOGLETRANSLATE(C199,""ja"",""vi"")"),"Đấu giá&gt; Accessories, Đồng hồ&gt; trường hợp đồng hồ&gt; quanh co chức năng với")</f>
        <v>Đấu giá&gt; Accessories, Đồng hồ&gt; trường hợp đồng hồ&gt; quanh co chức năng với</v>
      </c>
      <c r="G199" s="229" t="str">
        <f t="shared" ca="1" si="6"/>
        <v>"2084062498" : "Winding chức năng với",</v>
      </c>
      <c r="H199" s="229" t="str">
        <f t="shared" si="7"/>
        <v>&lt;li class="col-md-3"&gt;&lt;a class="text-cut" href="javascript:;"(click)="categoryEvent(2084062498)"&gt;{{"2084062498" | translate}}&lt;/a&gt;&lt;/li&gt;</v>
      </c>
    </row>
    <row r="200" spans="1:8" ht="14.25" customHeight="1">
      <c r="A200" s="2">
        <v>2084062497</v>
      </c>
      <c r="B200" s="2" t="s">
        <v>4801</v>
      </c>
      <c r="C200" s="2" t="s">
        <v>4803</v>
      </c>
      <c r="D200" s="2" t="s">
        <v>4805</v>
      </c>
      <c r="E200" s="3" t="str">
        <f ca="1">IFERROR(__xludf.DUMMYFUNCTION("GOOGLETRANSLATE(B200,""ja"",""vi"")"),"di động")</f>
        <v>di động</v>
      </c>
      <c r="F200" s="3" t="str">
        <f ca="1">IFERROR(__xludf.DUMMYFUNCTION("GOOGLETRANSLATE(C200,""ja"",""vi"")"),"Đấu giá&gt; Accessories, Đồng hồ&gt; watch trường hợp&gt; cho điện thoại di động")</f>
        <v>Đấu giá&gt; Accessories, Đồng hồ&gt; watch trường hợp&gt; cho điện thoại di động</v>
      </c>
      <c r="G200" s="229" t="str">
        <f t="shared" ca="1" si="6"/>
        <v>"2084062497" : "di động",</v>
      </c>
      <c r="H200" s="229" t="str">
        <f t="shared" si="7"/>
        <v>&lt;li class="col-md-3"&gt;&lt;a class="text-cut" href="javascript:;"(click)="categoryEvent(2084062497)"&gt;{{"2084062497" | translate}}&lt;/a&gt;&lt;/li&gt;</v>
      </c>
    </row>
    <row r="201" spans="1:8" ht="14.25" customHeight="1">
      <c r="E201" s="3"/>
      <c r="F201" s="3"/>
      <c r="G201" s="229"/>
      <c r="H201" s="229"/>
    </row>
    <row r="202" spans="1:8" ht="14.25" customHeight="1">
      <c r="A202" s="255">
        <v>2084024556</v>
      </c>
      <c r="B202" s="232"/>
      <c r="C202" s="232"/>
      <c r="D202" s="233"/>
      <c r="E202" s="3"/>
      <c r="F202" s="3"/>
      <c r="G202" s="229"/>
      <c r="H202" s="229"/>
    </row>
    <row r="203" spans="1:8" ht="14.25" customHeight="1">
      <c r="A203" s="2">
        <v>2084062479</v>
      </c>
      <c r="B203" s="2" t="s">
        <v>2605</v>
      </c>
      <c r="C203" s="2" t="s">
        <v>4815</v>
      </c>
      <c r="D203" s="2" t="s">
        <v>4818</v>
      </c>
      <c r="E203" s="3" t="str">
        <f ca="1">IFERROR(__xludf.DUMMYFUNCTION("GOOGLETRANSLATE(B203,""ja"",""vi"")"),"bộ")</f>
        <v>bộ</v>
      </c>
      <c r="F203" s="3" t="str">
        <f ca="1">IFERROR(__xludf.DUMMYFUNCTION("GOOGLETRANSLATE(C203,""ja"",""vi"")"),"Đấu giá&gt; Accessories, Đồng hồ&gt; Xem công cụ&gt; bộ")</f>
        <v>Đấu giá&gt; Accessories, Đồng hồ&gt; Xem công cụ&gt; bộ</v>
      </c>
      <c r="G203" s="229" t="str">
        <f t="shared" ca="1" si="6"/>
        <v>"2084062479" : "bộ",</v>
      </c>
      <c r="H203" s="229" t="str">
        <f t="shared" si="7"/>
        <v>&lt;li class="col-md-3"&gt;&lt;a class="text-cut" href="javascript:;"(click)="categoryEvent(2084062479)"&gt;{{"2084062479" | translate}}&lt;/a&gt;&lt;/li&gt;</v>
      </c>
    </row>
    <row r="204" spans="1:8" ht="14.25" customHeight="1">
      <c r="A204" s="2">
        <v>2084062480</v>
      </c>
      <c r="B204" s="2" t="s">
        <v>4823</v>
      </c>
      <c r="C204" s="2" t="s">
        <v>4824</v>
      </c>
      <c r="D204" s="2" t="s">
        <v>4825</v>
      </c>
      <c r="E204" s="3" t="str">
        <f ca="1">IFERROR(__xludf.DUMMYFUNCTION("GOOGLETRANSLATE(B204,""ja"",""vi"")"),"người mở")</f>
        <v>người mở</v>
      </c>
      <c r="F204" s="3" t="str">
        <f ca="1">IFERROR(__xludf.DUMMYFUNCTION("GOOGLETRANSLATE(C204,""ja"",""vi"")"),"Đấu giá&gt; Accessories, Đồng hồ&gt; Xem công cụ&gt; mở")</f>
        <v>Đấu giá&gt; Accessories, Đồng hồ&gt; Xem công cụ&gt; mở</v>
      </c>
      <c r="G204" s="229" t="str">
        <f t="shared" ca="1" si="6"/>
        <v>"2084062480" : "người mở",</v>
      </c>
      <c r="H204" s="229" t="str">
        <f t="shared" si="7"/>
        <v>&lt;li class="col-md-3"&gt;&lt;a class="text-cut" href="javascript:;"(click)="categoryEvent(2084062480)"&gt;{{"2084062480" | translate}}&lt;/a&gt;&lt;/li&gt;</v>
      </c>
    </row>
    <row r="205" spans="1:8" ht="14.25" customHeight="1">
      <c r="A205" s="2">
        <v>2084062481</v>
      </c>
      <c r="B205" s="2" t="s">
        <v>4743</v>
      </c>
      <c r="C205" s="2" t="s">
        <v>4830</v>
      </c>
      <c r="D205" s="2" t="s">
        <v>4832</v>
      </c>
      <c r="E205" s="3" t="str">
        <f ca="1">IFERROR(__xludf.DUMMYFUNCTION("GOOGLETRANSLATE(B205,""ja"",""vi"")"),"Mùa xuân Bohazushi")</f>
        <v>Mùa xuân Bohazushi</v>
      </c>
      <c r="F205" s="3" t="str">
        <f ca="1">IFERROR(__xludf.DUMMYFUNCTION("GOOGLETRANSLATE(C205,""ja"",""vi"")"),"Đấu giá&gt; Accessories, Đồng hồ&gt; Xem công cụ&gt; mùa xuân Bohazushi")</f>
        <v>Đấu giá&gt; Accessories, Đồng hồ&gt; Xem công cụ&gt; mùa xuân Bohazushi</v>
      </c>
      <c r="G205" s="229" t="str">
        <f t="shared" ca="1" si="6"/>
        <v>"2084062481" : "Mùa xuân Bohazushi",</v>
      </c>
      <c r="H205" s="229" t="str">
        <f t="shared" si="7"/>
        <v>&lt;li class="col-md-3"&gt;&lt;a class="text-cut" href="javascript:;"(click)="categoryEvent(2084062481)"&gt;{{"2084062481" | translate}}&lt;/a&gt;&lt;/li&gt;</v>
      </c>
    </row>
    <row r="206" spans="1:8" ht="14.25" customHeight="1">
      <c r="A206" s="2">
        <v>2084062483</v>
      </c>
      <c r="B206" s="2" t="s">
        <v>4835</v>
      </c>
      <c r="C206" s="2" t="s">
        <v>4836</v>
      </c>
      <c r="D206" s="2" t="s">
        <v>4838</v>
      </c>
      <c r="E206" s="3" t="str">
        <f ca="1">IFERROR(__xludf.DUMMYFUNCTION("GOOGLETRANSLATE(B206,""ja"",""vi"")"),"cái nhíp nhổ tóc")</f>
        <v>cái nhíp nhổ tóc</v>
      </c>
      <c r="F206" s="3" t="str">
        <f ca="1">IFERROR(__xludf.DUMMYFUNCTION("GOOGLETRANSLATE(C206,""ja"",""vi"")"),"Đấu giá&gt; Accessories, Đồng hồ&gt; công cụ đồng hồ&gt; nhíp")</f>
        <v>Đấu giá&gt; Accessories, Đồng hồ&gt; công cụ đồng hồ&gt; nhíp</v>
      </c>
      <c r="G206" s="229" t="str">
        <f t="shared" ca="1" si="6"/>
        <v>"2084062483" : "cái nhíp nhổ tóc",</v>
      </c>
      <c r="H206" s="229" t="str">
        <f t="shared" si="7"/>
        <v>&lt;li class="col-md-3"&gt;&lt;a class="text-cut" href="javascript:;"(click)="categoryEvent(2084062483)"&gt;{{"2084062483" | translate}}&lt;/a&gt;&lt;/li&gt;</v>
      </c>
    </row>
    <row r="207" spans="1:8" ht="14.25" customHeight="1">
      <c r="A207" s="2">
        <v>2084042044</v>
      </c>
      <c r="B207" s="2" t="s">
        <v>4840</v>
      </c>
      <c r="C207" s="2" t="s">
        <v>4843</v>
      </c>
      <c r="D207" s="2" t="s">
        <v>4846</v>
      </c>
      <c r="E207" s="3" t="str">
        <f ca="1">IFERROR(__xludf.DUMMYFUNCTION("GOOGLETRANSLATE(B207,""ja"",""vi"")"),"cái kìm")</f>
        <v>cái kìm</v>
      </c>
      <c r="F207" s="3" t="str">
        <f ca="1">IFERROR(__xludf.DUMMYFUNCTION("GOOGLETRANSLATE(C207,""ja"",""vi"")"),"Đấu giá&gt; Accessories, Đồng hồ&gt; công cụ đồng hồ&gt; Kìm")</f>
        <v>Đấu giá&gt; Accessories, Đồng hồ&gt; công cụ đồng hồ&gt; Kìm</v>
      </c>
      <c r="G207" s="229" t="str">
        <f t="shared" ca="1" si="6"/>
        <v>"2084042044" : "cái kìm",</v>
      </c>
      <c r="H207" s="229" t="str">
        <f t="shared" si="7"/>
        <v>&lt;li class="col-md-3"&gt;&lt;a class="text-cut" href="javascript:;"(click)="categoryEvent(2084042044)"&gt;{{"2084042044" | translate}}&lt;/a&gt;&lt;/li&gt;</v>
      </c>
    </row>
    <row r="208" spans="1:8" ht="14.25" customHeight="1">
      <c r="A208" s="2">
        <v>2084062484</v>
      </c>
      <c r="B208" s="2" t="s">
        <v>4849</v>
      </c>
      <c r="C208" s="2" t="s">
        <v>4851</v>
      </c>
      <c r="D208" s="2" t="s">
        <v>4853</v>
      </c>
      <c r="E208" s="3" t="str">
        <f ca="1">IFERROR(__xludf.DUMMYFUNCTION("GOOGLETRANSLATE(B208,""ja"",""vi"")"),"lúp kính")</f>
        <v>lúp kính</v>
      </c>
      <c r="F208" s="3" t="str">
        <f ca="1">IFERROR(__xludf.DUMMYFUNCTION("GOOGLETRANSLATE(C208,""ja"",""vi"")"),"Đấu giá&gt; Accessories, Đồng hồ&gt; Xem công cụ&gt; kính lúp")</f>
        <v>Đấu giá&gt; Accessories, Đồng hồ&gt; Xem công cụ&gt; kính lúp</v>
      </c>
      <c r="G208" s="229" t="str">
        <f t="shared" ca="1" si="6"/>
        <v>"2084062484" : "lúp kính",</v>
      </c>
      <c r="H208" s="229" t="str">
        <f t="shared" si="7"/>
        <v>&lt;li class="col-md-3"&gt;&lt;a class="text-cut" href="javascript:;"(click)="categoryEvent(2084062484)"&gt;{{"2084062484" | translate}}&lt;/a&gt;&lt;/li&gt;</v>
      </c>
    </row>
    <row r="209" spans="1:8" ht="14.25" customHeight="1">
      <c r="A209" s="2">
        <v>2084062482</v>
      </c>
      <c r="B209" s="2" t="s">
        <v>4749</v>
      </c>
      <c r="C209" s="2" t="s">
        <v>4858</v>
      </c>
      <c r="D209" s="2" t="s">
        <v>4860</v>
      </c>
      <c r="E209" s="3" t="str">
        <f ca="1">IFERROR(__xludf.DUMMYFUNCTION("GOOGLETRANSLATE(B209,""ja"",""vi"")"),"Chính xác Screwdriver")</f>
        <v>Chính xác Screwdriver</v>
      </c>
      <c r="F209" s="3" t="str">
        <f ca="1">IFERROR(__xludf.DUMMYFUNCTION("GOOGLETRANSLATE(C209,""ja"",""vi"")"),"Đấu giá&gt; Accessories, Đồng hồ&gt; Xem công cụ&gt; chính xác screwdriver")</f>
        <v>Đấu giá&gt; Accessories, Đồng hồ&gt; Xem công cụ&gt; chính xác screwdriver</v>
      </c>
      <c r="G209" s="229" t="str">
        <f t="shared" ca="1" si="6"/>
        <v>"2084062482" : "Chính xác Screwdriver",</v>
      </c>
      <c r="H209" s="229" t="str">
        <f t="shared" si="7"/>
        <v>&lt;li class="col-md-3"&gt;&lt;a class="text-cut" href="javascript:;"(click)="categoryEvent(2084062482)"&gt;{{"2084062482" | translate}}&lt;/a&gt;&lt;/li&gt;</v>
      </c>
    </row>
    <row r="210" spans="1:8" ht="14.25" customHeight="1">
      <c r="A210" s="2">
        <v>2084062491</v>
      </c>
      <c r="B210" s="2" t="s">
        <v>4865</v>
      </c>
      <c r="C210" s="2" t="s">
        <v>4866</v>
      </c>
      <c r="D210" s="2" t="s">
        <v>4867</v>
      </c>
      <c r="E210" s="3" t="str">
        <f ca="1">IFERROR(__xludf.DUMMYFUNCTION("GOOGLETRANSLATE(B210,""ja"",""vi"")"),"pin đồng hồ")</f>
        <v>pin đồng hồ</v>
      </c>
      <c r="F210" s="3" t="str">
        <f ca="1">IFERROR(__xludf.DUMMYFUNCTION("GOOGLETRANSLATE(C210,""ja"",""vi"")"),"Đấu giá&gt; Accessories, Đồng hồ&gt; Xem công cụ&gt; pin đồng hồ")</f>
        <v>Đấu giá&gt; Accessories, Đồng hồ&gt; Xem công cụ&gt; pin đồng hồ</v>
      </c>
      <c r="G210" s="229" t="str">
        <f t="shared" ca="1" si="6"/>
        <v>"2084062491" : "pin đồng hồ",</v>
      </c>
      <c r="H210" s="229" t="str">
        <f t="shared" si="7"/>
        <v>&lt;li class="col-md-3"&gt;&lt;a class="text-cut" href="javascript:;"(click)="categoryEvent(2084062491)"&gt;{{"2084062491" | translate}}&lt;/a&gt;&lt;/li&gt;</v>
      </c>
    </row>
    <row r="211" spans="1:8" ht="14.25" customHeight="1">
      <c r="A211" s="2">
        <v>2084062485</v>
      </c>
      <c r="B211" s="2" t="s">
        <v>16</v>
      </c>
      <c r="C211" s="2" t="s">
        <v>4872</v>
      </c>
      <c r="D211" s="2" t="s">
        <v>4874</v>
      </c>
      <c r="E211" s="3" t="str">
        <f ca="1">IFERROR(__xludf.DUMMYFUNCTION("GOOGLETRANSLATE(B211,""ja"",""vi"")"),"nếu không thì")</f>
        <v>nếu không thì</v>
      </c>
      <c r="F211" s="3" t="str">
        <f ca="1">IFERROR(__xludf.DUMMYFUNCTION("GOOGLETRANSLATE(C211,""ja"",""vi"")"),"Đấu giá&gt; Accessories, Đồng hồ&gt; Xem công cụ&gt; Khác")</f>
        <v>Đấu giá&gt; Accessories, Đồng hồ&gt; Xem công cụ&gt; Khác</v>
      </c>
      <c r="G211" s="229" t="str">
        <f t="shared" ca="1" si="6"/>
        <v>"2084062485" : "nếu không thì",</v>
      </c>
      <c r="H211" s="229" t="str">
        <f t="shared" si="7"/>
        <v>&lt;li class="col-md-3"&gt;&lt;a class="text-cut" href="javascript:;"(click)="categoryEvent(2084062485)"&gt;{{"2084062485" | translate}}&lt;/a&gt;&lt;/li&gt;</v>
      </c>
    </row>
    <row r="212" spans="1:8" ht="14.25" customHeight="1">
      <c r="E212" s="3"/>
      <c r="F212" s="3"/>
      <c r="G212" s="229"/>
      <c r="H212" s="229"/>
    </row>
    <row r="213" spans="1:8" ht="14.25" customHeight="1">
      <c r="A213" s="244">
        <v>2084032117</v>
      </c>
      <c r="B213" s="232"/>
      <c r="C213" s="232"/>
      <c r="D213" s="233"/>
      <c r="E213" s="3"/>
      <c r="F213" s="3"/>
      <c r="G213" s="229"/>
      <c r="H213" s="229"/>
    </row>
    <row r="214" spans="1:8" ht="14.25" customHeight="1">
      <c r="A214" s="2">
        <v>2084032127</v>
      </c>
      <c r="B214" s="2" t="s">
        <v>4884</v>
      </c>
      <c r="C214" s="2" t="s">
        <v>4885</v>
      </c>
      <c r="D214" s="2" t="s">
        <v>4886</v>
      </c>
      <c r="E214" s="3" t="str">
        <f ca="1">IFERROR(__xludf.DUMMYFUNCTION("GOOGLETRANSLATE(B214,""ja"",""vi"")"),"đồng hồ treo tường, đồng hồ treo tường")</f>
        <v>đồng hồ treo tường, đồng hồ treo tường</v>
      </c>
      <c r="F214" s="3" t="str">
        <f ca="1">IFERROR(__xludf.DUMMYFUNCTION("GOOGLETRANSLATE(C214,""ja"",""vi"")"),"Đấu giá&gt; Nhà ở, nội thất&gt; nội thất, nội thất&gt; Nội thất Phụ kiện&gt; bảng đồng hồ, đồng hồ treo tường&gt; đồng hồ treo tường, đồng hồ treo tường")</f>
        <v>Đấu giá&gt; Nhà ở, nội thất&gt; nội thất, nội thất&gt; Nội thất Phụ kiện&gt; bảng đồng hồ, đồng hồ treo tường&gt; đồng hồ treo tường, đồng hồ treo tường</v>
      </c>
      <c r="G214" s="229" t="str">
        <f t="shared" ca="1" si="6"/>
        <v>"2084032127" : "đồng hồ treo tường, đồng hồ treo tường",</v>
      </c>
      <c r="H214" s="229" t="str">
        <f t="shared" si="7"/>
        <v>&lt;li class="col-md-3"&gt;&lt;a class="text-cut" href="javascript:;"(click)="categoryEvent(2084032127)"&gt;{{"2084032127" | translate}}&lt;/a&gt;&lt;/li&gt;</v>
      </c>
    </row>
    <row r="215" spans="1:8" ht="14.25" customHeight="1">
      <c r="A215" s="2">
        <v>2084024556</v>
      </c>
      <c r="B215" s="2" t="s">
        <v>3998</v>
      </c>
      <c r="C215" s="2" t="s">
        <v>4892</v>
      </c>
      <c r="D215" s="2" t="s">
        <v>4893</v>
      </c>
      <c r="E215" s="3" t="str">
        <f ca="1">IFERROR(__xludf.DUMMYFUNCTION("GOOGLETRANSLATE(B215,""ja"",""vi"")"),"dụng cụ")</f>
        <v>dụng cụ</v>
      </c>
      <c r="F215" s="3" t="str">
        <f ca="1">IFERROR(__xludf.DUMMYFUNCTION("GOOGLETRANSLATE(C215,""ja"",""vi"")"),"Đấu giá&gt; nhà, nội thất&gt; đồ gỗ, nội thất&gt; Nội thất Phụ kiện&gt; bảng đồng hồ, đồng hồ treo tường&gt; công cụ")</f>
        <v>Đấu giá&gt; nhà, nội thất&gt; đồ gỗ, nội thất&gt; Nội thất Phụ kiện&gt; bảng đồng hồ, đồng hồ treo tường&gt; công cụ</v>
      </c>
      <c r="G215" s="229" t="str">
        <f t="shared" ca="1" si="6"/>
        <v>"2084024556" : "dụng cụ",</v>
      </c>
      <c r="H215" s="229" t="str">
        <f t="shared" si="7"/>
        <v>&lt;li class="col-md-3"&gt;&lt;a class="text-cut" href="javascript:;"(click)="categoryEvent(2084024556)"&gt;{{"2084024556" | translate}}&lt;/a&gt;&lt;/li&gt;</v>
      </c>
    </row>
    <row r="216" spans="1:8" ht="14.25" customHeight="1">
      <c r="A216" s="2">
        <v>2084032118</v>
      </c>
      <c r="B216" s="2" t="s">
        <v>4896</v>
      </c>
      <c r="C216" s="2" t="s">
        <v>4898</v>
      </c>
      <c r="D216" s="2" t="s">
        <v>4900</v>
      </c>
      <c r="E216" s="3" t="str">
        <f ca="1">IFERROR(__xludf.DUMMYFUNCTION("GOOGLETRANSLATE(B216,""ja"",""vi"")"),"đồng hồ bảng")</f>
        <v>đồng hồ bảng</v>
      </c>
      <c r="F216" s="3" t="str">
        <f ca="1">IFERROR(__xludf.DUMMYFUNCTION("GOOGLETRANSLATE(C216,""ja"",""vi"")"),"Đấu giá&gt; nhà, nội thất&gt; nội thất, nội thất&gt; Nội thất Phụ kiện&gt; bảng đồng hồ, đồng hồ treo tường&gt; đồng hồ")</f>
        <v>Đấu giá&gt; nhà, nội thất&gt; nội thất, nội thất&gt; Nội thất Phụ kiện&gt; bảng đồng hồ, đồng hồ treo tường&gt; đồng hồ</v>
      </c>
      <c r="G216" s="229" t="str">
        <f t="shared" ca="1" si="6"/>
        <v>"2084032118" : "đồng hồ bảng",</v>
      </c>
      <c r="H216" s="229" t="str">
        <f t="shared" si="7"/>
        <v>&lt;li class="col-md-3"&gt;&lt;a class="text-cut" href="javascript:;"(click)="categoryEvent(2084032118)"&gt;{{"2084032118" | translate}}&lt;/a&gt;&lt;/li&gt;</v>
      </c>
    </row>
    <row r="217" spans="1:8" ht="14.25" customHeight="1">
      <c r="E217" s="3"/>
      <c r="F217" s="3"/>
      <c r="G217" s="229"/>
      <c r="H217" s="229"/>
    </row>
    <row r="218" spans="1:8" ht="14.25" customHeight="1">
      <c r="A218" s="263">
        <v>2084240616</v>
      </c>
      <c r="B218" s="232"/>
      <c r="C218" s="232"/>
      <c r="D218" s="233"/>
      <c r="E218" s="3"/>
      <c r="F218" s="3"/>
      <c r="G218" s="229"/>
      <c r="H218" s="229"/>
    </row>
    <row r="219" spans="1:8" ht="14.25" customHeight="1">
      <c r="A219" s="2">
        <v>2084240617</v>
      </c>
      <c r="B219" s="2" t="s">
        <v>4907</v>
      </c>
      <c r="C219" s="2" t="s">
        <v>4908</v>
      </c>
      <c r="D219" s="2" t="s">
        <v>4909</v>
      </c>
      <c r="E219" s="3" t="str">
        <f ca="1">IFERROR(__xludf.DUMMYFUNCTION("GOOGLETRANSLATE(B219,""ja"",""vi"")"),"Phụ kiện (đối với nữ)")</f>
        <v>Phụ kiện (đối với nữ)</v>
      </c>
      <c r="F219" s="3" t="str">
        <f ca="1">IFERROR(__xludf.DUMMYFUNCTION("GOOGLETRANSLATE(C219,""ja"",""vi"")"),"Đấu giá&gt; Accessories, Đồng hồ&gt; handmade&gt; Phụ kiện (đối với nữ)")</f>
        <v>Đấu giá&gt; Accessories, Đồng hồ&gt; handmade&gt; Phụ kiện (đối với nữ)</v>
      </c>
      <c r="G219" s="229" t="str">
        <f t="shared" ca="1" si="6"/>
        <v>"2084240617" : "Phụ kiện (đối với nữ)",</v>
      </c>
      <c r="H219" s="229" t="str">
        <f t="shared" si="7"/>
        <v>&lt;li class="col-md-3"&gt;&lt;a class="text-cut" href="javascript:;"(click)="categoryEvent(2084240617)"&gt;{{"2084240617" | translate}}&lt;/a&gt;&lt;/li&gt;</v>
      </c>
    </row>
    <row r="220" spans="1:8" ht="14.25" customHeight="1">
      <c r="A220" s="2">
        <v>2084236962</v>
      </c>
      <c r="B220" s="2" t="s">
        <v>306</v>
      </c>
      <c r="C220" s="2" t="s">
        <v>4913</v>
      </c>
      <c r="D220" s="2" t="s">
        <v>4914</v>
      </c>
      <c r="E220" s="3" t="str">
        <f ca="1">IFERROR(__xludf.DUMMYFUNCTION("GOOGLETRANSLATE(B220,""ja"",""vi"")"),"key Chains")</f>
        <v>key Chains</v>
      </c>
      <c r="F220" s="3" t="str">
        <f ca="1">IFERROR(__xludf.DUMMYFUNCTION("GOOGLETRANSLATE(C220,""ja"",""vi"")"),"Đấu giá&gt; Accessories, Đồng hồ&gt; handmade&gt; Keychain")</f>
        <v>Đấu giá&gt; Accessories, Đồng hồ&gt; handmade&gt; Keychain</v>
      </c>
      <c r="G220" s="229" t="str">
        <f t="shared" ca="1" si="6"/>
        <v>"2084236962" : "key Chains",</v>
      </c>
      <c r="H220" s="229" t="str">
        <f t="shared" si="7"/>
        <v>&lt;li class="col-md-3"&gt;&lt;a class="text-cut" href="javascript:;"(click)="categoryEvent(2084236962)"&gt;{{"2084236962" | translate}}&lt;/a&gt;&lt;/li&gt;</v>
      </c>
    </row>
    <row r="221" spans="1:8" ht="14.25" customHeight="1">
      <c r="A221" s="2">
        <v>2084236963</v>
      </c>
      <c r="B221" s="2" t="s">
        <v>324</v>
      </c>
      <c r="C221" s="2" t="s">
        <v>4918</v>
      </c>
      <c r="D221" s="2" t="s">
        <v>4920</v>
      </c>
      <c r="E221" s="3" t="str">
        <f ca="1">IFERROR(__xludf.DUMMYFUNCTION("GOOGLETRANSLATE(B221,""ja"",""vi"")"),"Điện thoại di Strap")</f>
        <v>Điện thoại di Strap</v>
      </c>
      <c r="F221" s="3" t="str">
        <f ca="1">IFERROR(__xludf.DUMMYFUNCTION("GOOGLETRANSLATE(C221,""ja"",""vi"")"),"Đấu giá&gt; Accessories, Đồng hồ&gt; handmade&gt; Dây đeo điện thoại di động")</f>
        <v>Đấu giá&gt; Accessories, Đồng hồ&gt; handmade&gt; Dây đeo điện thoại di động</v>
      </c>
      <c r="G221" s="229" t="str">
        <f t="shared" ca="1" si="6"/>
        <v>"2084236963" : "Điện thoại di Strap",</v>
      </c>
      <c r="H221" s="229" t="str">
        <f t="shared" si="7"/>
        <v>&lt;li class="col-md-3"&gt;&lt;a class="text-cut" href="javascript:;"(click)="categoryEvent(2084236963)"&gt;{{"2084236963" | translate}}&lt;/a&gt;&lt;/li&gt;</v>
      </c>
    </row>
    <row r="222" spans="1:8" ht="14.25" customHeight="1">
      <c r="A222" s="2">
        <v>20924</v>
      </c>
      <c r="B222" s="2" t="s">
        <v>2760</v>
      </c>
      <c r="C222" s="2" t="s">
        <v>4923</v>
      </c>
      <c r="D222" s="2" t="s">
        <v>4925</v>
      </c>
      <c r="E222" s="3" t="str">
        <f ca="1">IFERROR(__xludf.DUMMYFUNCTION("GOOGLETRANSLATE(B222,""ja"",""vi"")"),"Làm bằng tay chất liệu")</f>
        <v>Làm bằng tay chất liệu</v>
      </c>
      <c r="F222" s="3" t="str">
        <f ca="1">IFERROR(__xludf.DUMMYFUNCTION("GOOGLETRANSLATE(C222,""ja"",""vi"")"),"Đấu giá&gt; Accessories, Đồng hồ&gt; handmade&gt; nguyên liệu handmade")</f>
        <v>Đấu giá&gt; Accessories, Đồng hồ&gt; handmade&gt; nguyên liệu handmade</v>
      </c>
      <c r="G222" s="229" t="str">
        <f t="shared" ca="1" si="6"/>
        <v>"20924" : "Làm bằng tay chất liệu",</v>
      </c>
      <c r="H222" s="229" t="str">
        <f t="shared" si="7"/>
        <v>&lt;li class="col-md-3"&gt;&lt;a class="text-cut" href="javascript:;"(click)="categoryEvent(20924)"&gt;{{"20924" | translate}}&lt;/a&gt;&lt;/li&gt;</v>
      </c>
    </row>
    <row r="223" spans="1:8" ht="14.25" customHeight="1">
      <c r="A223" s="2">
        <v>2084240623</v>
      </c>
      <c r="B223" s="2" t="s">
        <v>16</v>
      </c>
      <c r="C223" s="2" t="s">
        <v>4928</v>
      </c>
      <c r="D223" s="2" t="s">
        <v>4929</v>
      </c>
      <c r="E223" s="3" t="str">
        <f ca="1">IFERROR(__xludf.DUMMYFUNCTION("GOOGLETRANSLATE(B223,""ja"",""vi"")"),"nếu không thì")</f>
        <v>nếu không thì</v>
      </c>
      <c r="F223" s="3" t="str">
        <f ca="1">IFERROR(__xludf.DUMMYFUNCTION("GOOGLETRANSLATE(C223,""ja"",""vi"")"),"Đấu giá&gt; Accessories, Đồng hồ&gt; handmade&gt; Khác")</f>
        <v>Đấu giá&gt; Accessories, Đồng hồ&gt; handmade&gt; Khác</v>
      </c>
      <c r="G223" s="229" t="str">
        <f t="shared" ca="1" si="6"/>
        <v>"2084240623" : "nếu không thì",</v>
      </c>
      <c r="H223" s="229" t="str">
        <f t="shared" si="7"/>
        <v>&lt;li class="col-md-3"&gt;&lt;a class="text-cut" href="javascript:;"(click)="categoryEvent(2084240623)"&gt;{{"2084240623" | translate}}&lt;/a&gt;&lt;/li&gt;</v>
      </c>
    </row>
    <row r="224" spans="1:8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A156:D156"/>
    <mergeCell ref="A145:D145"/>
    <mergeCell ref="A20:D20"/>
    <mergeCell ref="A86:D86"/>
    <mergeCell ref="A105:D105"/>
    <mergeCell ref="A127:D127"/>
    <mergeCell ref="A135:D135"/>
    <mergeCell ref="A213:D213"/>
    <mergeCell ref="A218:D218"/>
    <mergeCell ref="A166:D166"/>
    <mergeCell ref="A175:D175"/>
    <mergeCell ref="A182:D182"/>
    <mergeCell ref="A202:D202"/>
    <mergeCell ref="A196:D196"/>
    <mergeCell ref="A186:D186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4.5" customWidth="1"/>
    <col min="2" max="2" width="16.3984375" customWidth="1"/>
    <col min="3" max="3" width="21.5" customWidth="1"/>
    <col min="4" max="4" width="16.09765625" customWidth="1"/>
    <col min="5" max="5" width="14.19921875" customWidth="1"/>
    <col min="6" max="6" width="32.09765625" customWidth="1"/>
    <col min="7" max="7" width="29.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23172</v>
      </c>
      <c r="B2" s="2" t="s">
        <v>2586</v>
      </c>
      <c r="C2" s="2" t="s">
        <v>3824</v>
      </c>
      <c r="D2" s="2" t="s">
        <v>3827</v>
      </c>
      <c r="E2" s="3" t="str">
        <f ca="1">IFERROR(__xludf.DUMMYFUNCTION("GOOGLETRANSLATE(B2,""ja"",""vi"")"),"by Nhãn hiệu")</f>
        <v>by Nhãn hiệu</v>
      </c>
      <c r="F2" s="3" t="str">
        <f ca="1">IFERROR(__xludf.DUMMYFUNCTION("GOOGLETRANSLATE(C2,""ja"",""vi"")"),"Đấu giá&gt; Thời trang&gt; By Nhãn hiệu")</f>
        <v>Đấu giá&gt; Thời trang&gt; By Nhãn hiệu</v>
      </c>
      <c r="G2" s="229" t="str">
        <f ca="1">CONCATENATE(CHAR(34)&amp;"",A2,""&amp;CHAR(34)," : ", CHAR(34)&amp;"",E2,""&amp;CHAR(34),",")</f>
        <v>"23172" : "by Nhãn hiệu",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href="javascript:;"(click)="categoryEvent(23172)"&gt;{{"23172" | translate}}&lt;/a&gt;&lt;/li&gt;</v>
      </c>
    </row>
    <row r="3" spans="1:8" ht="14.25" customHeight="1">
      <c r="A3" s="4">
        <v>23288</v>
      </c>
      <c r="B3" s="4" t="s">
        <v>3832</v>
      </c>
      <c r="C3" s="4" t="s">
        <v>3835</v>
      </c>
      <c r="D3" s="4" t="s">
        <v>3837</v>
      </c>
      <c r="E3" s="3" t="str">
        <f ca="1">IFERROR(__xludf.DUMMYFUNCTION("GOOGLETRANSLATE(B3,""ja"",""vi"")"),"Quần áo phụ nữ")</f>
        <v>Quần áo phụ nữ</v>
      </c>
      <c r="F3" s="3" t="str">
        <f ca="1">IFERROR(__xludf.DUMMYFUNCTION("GOOGLETRANSLATE(C3,""ja"",""vi"")"),"Quần áo đấu giá&gt; Thời trang&gt; Phụ nữ")</f>
        <v>Quần áo đấu giá&gt; Thời trang&gt; Phụ nữ</v>
      </c>
      <c r="G3" s="229" t="str">
        <f t="shared" ref="G3:G66" ca="1" si="0">CONCATENATE(CHAR(34)&amp;"",A3,""&amp;CHAR(34)," : ", CHAR(34)&amp;"",E3,""&amp;CHAR(34),",")</f>
        <v>"23288" : "Quần áo phụ nữ",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href="javascript:;"(click)="categoryEvent(23288)"&gt;{{"23288" | translate}}&lt;/a&gt;&lt;/li&gt;</v>
      </c>
    </row>
    <row r="4" spans="1:8" ht="14.25" customHeight="1">
      <c r="A4" s="5">
        <v>2084005069</v>
      </c>
      <c r="B4" s="5" t="s">
        <v>3841</v>
      </c>
      <c r="C4" s="5" t="s">
        <v>3842</v>
      </c>
      <c r="D4" s="5" t="s">
        <v>3844</v>
      </c>
      <c r="E4" s="3" t="str">
        <f ca="1">IFERROR(__xludf.DUMMYFUNCTION("GOOGLETRANSLATE(B4,""ja"",""vi"")"),"Túi xách của phụ nữ")</f>
        <v>Túi xách của phụ nữ</v>
      </c>
      <c r="F4" s="3" t="str">
        <f ca="1">IFERROR(__xludf.DUMMYFUNCTION("GOOGLETRANSLATE(C4,""ja"",""vi"")"),"Đấu giá&gt; Thời trang&gt; Túi xách phụ nữ")</f>
        <v>Đấu giá&gt; Thời trang&gt; Túi xách phụ nữ</v>
      </c>
      <c r="G4" s="229" t="str">
        <f t="shared" ca="1" si="0"/>
        <v>"2084005069" : "Túi xách của phụ nữ",</v>
      </c>
      <c r="H4" s="229" t="str">
        <f t="shared" si="1"/>
        <v>&lt;li class="col-md-3"&gt;&lt;a class="text-cut" href="javascript:;"(click)="categoryEvent(2084005069)"&gt;{{"2084005069" | translate}}&lt;/a&gt;&lt;/li&gt;</v>
      </c>
    </row>
    <row r="5" spans="1:8" ht="14.25" customHeight="1">
      <c r="A5" s="8">
        <v>23312</v>
      </c>
      <c r="B5" s="8" t="s">
        <v>3851</v>
      </c>
      <c r="C5" s="8" t="s">
        <v>3853</v>
      </c>
      <c r="D5" s="8" t="s">
        <v>3855</v>
      </c>
      <c r="E5" s="3" t="str">
        <f ca="1">IFERROR(__xludf.DUMMYFUNCTION("GOOGLETRANSLATE(B5,""ja"",""vi"")"),"Giày của phụ nữ")</f>
        <v>Giày của phụ nữ</v>
      </c>
      <c r="F5" s="3" t="str">
        <f ca="1">IFERROR(__xludf.DUMMYFUNCTION("GOOGLETRANSLATE(C5,""ja"",""vi"")"),"Đấu giá&gt; Thời trang&gt; Giày dép nữ")</f>
        <v>Đấu giá&gt; Thời trang&gt; Giày dép nữ</v>
      </c>
      <c r="G5" s="229" t="str">
        <f t="shared" ca="1" si="0"/>
        <v>"23312" : "Giày của phụ nữ",</v>
      </c>
      <c r="H5" s="229" t="str">
        <f t="shared" si="1"/>
        <v>&lt;li class="col-md-3"&gt;&lt;a class="text-cut" href="javascript:;"(click)="categoryEvent(23312)"&gt;{{"23312" | translate}}&lt;/a&gt;&lt;/li&gt;</v>
      </c>
    </row>
    <row r="6" spans="1:8" ht="14.25" customHeight="1">
      <c r="A6" s="6">
        <v>2084005204</v>
      </c>
      <c r="B6" s="6" t="s">
        <v>3859</v>
      </c>
      <c r="C6" s="6" t="s">
        <v>3862</v>
      </c>
      <c r="D6" s="6" t="s">
        <v>3866</v>
      </c>
      <c r="E6" s="3" t="str">
        <f ca="1">IFERROR(__xludf.DUMMYFUNCTION("GOOGLETRANSLATE(B6,""ja"",""vi"")"),"Kimono, kimono")</f>
        <v>Kimono, kimono</v>
      </c>
      <c r="F6" s="3" t="str">
        <f ca="1">IFERROR(__xludf.DUMMYFUNCTION("GOOGLETRANSLATE(C6,""ja"",""vi"")"),"Đấu giá&gt; Thời trang&gt; Kimono, kimono")</f>
        <v>Đấu giá&gt; Thời trang&gt; Kimono, kimono</v>
      </c>
      <c r="G6" s="229" t="str">
        <f t="shared" ca="1" si="0"/>
        <v>"2084005204" : "Kimono, kimono",</v>
      </c>
      <c r="H6" s="229" t="str">
        <f t="shared" si="1"/>
        <v>&lt;li class="col-md-3"&gt;&lt;a class="text-cut" href="javascript:;"(click)="categoryEvent(2084005204)"&gt;{{"2084005204" | translate}}&lt;/a&gt;&lt;/li&gt;</v>
      </c>
    </row>
    <row r="7" spans="1:8" ht="14.25" customHeight="1">
      <c r="A7" s="9">
        <v>23004</v>
      </c>
      <c r="B7" s="9" t="s">
        <v>3874</v>
      </c>
      <c r="C7" s="9" t="s">
        <v>3875</v>
      </c>
      <c r="D7" s="9" t="s">
        <v>3879</v>
      </c>
      <c r="E7" s="3" t="str">
        <f ca="1">IFERROR(__xludf.DUMMYFUNCTION("GOOGLETRANSLATE(B7,""ja"",""vi"")"),"Phụ kiện thời trang")</f>
        <v>Phụ kiện thời trang</v>
      </c>
      <c r="F7" s="3" t="str">
        <f ca="1">IFERROR(__xludf.DUMMYFUNCTION("GOOGLETRANSLATE(C7,""ja"",""vi"")"),"Đấu giá&gt; Thời trang&gt; Phụ kiện thời trang")</f>
        <v>Đấu giá&gt; Thời trang&gt; Phụ kiện thời trang</v>
      </c>
      <c r="G7" s="229" t="str">
        <f t="shared" ca="1" si="0"/>
        <v>"23004" : "Phụ kiện thời trang",</v>
      </c>
      <c r="H7" s="229" t="str">
        <f t="shared" si="1"/>
        <v>&lt;li class="col-md-3"&gt;&lt;a class="text-cut" href="javascript:;"(click)="categoryEvent(23004)"&gt;{{"23004" | translate}}&lt;/a&gt;&lt;/li&gt;</v>
      </c>
    </row>
    <row r="8" spans="1:8" ht="14.25" customHeight="1">
      <c r="A8" s="7">
        <v>23176</v>
      </c>
      <c r="B8" s="7" t="s">
        <v>3889</v>
      </c>
      <c r="C8" s="7" t="s">
        <v>3890</v>
      </c>
      <c r="D8" s="7" t="s">
        <v>3891</v>
      </c>
      <c r="E8" s="3" t="str">
        <f ca="1">IFERROR(__xludf.DUMMYFUNCTION("GOOGLETRANSLATE(B8,""ja"",""vi"")"),"Thời trang nam")</f>
        <v>Thời trang nam</v>
      </c>
      <c r="F8" s="3" t="str">
        <f ca="1">IFERROR(__xludf.DUMMYFUNCTION("GOOGLETRANSLATE(C8,""ja"",""vi"")"),"Đấu giá&gt; Thời trang&gt; Quần áo nam")</f>
        <v>Đấu giá&gt; Thời trang&gt; Quần áo nam</v>
      </c>
      <c r="G8" s="229" t="str">
        <f t="shared" ca="1" si="0"/>
        <v>"23176" : "Thời trang nam",</v>
      </c>
      <c r="H8" s="229" t="str">
        <f t="shared" si="1"/>
        <v>&lt;li class="col-md-3"&gt;&lt;a class="text-cut" href="javascript:;"(click)="categoryEvent(23176)"&gt;{{"23176" | translate}}&lt;/a&gt;&lt;/li&gt;</v>
      </c>
    </row>
    <row r="9" spans="1:8" ht="14.25" customHeight="1">
      <c r="A9" s="41">
        <v>2084006467</v>
      </c>
      <c r="B9" s="41" t="s">
        <v>3900</v>
      </c>
      <c r="C9" s="41" t="s">
        <v>3904</v>
      </c>
      <c r="D9" s="41" t="s">
        <v>3906</v>
      </c>
      <c r="E9" s="3" t="str">
        <f ca="1">IFERROR(__xludf.DUMMYFUNCTION("GOOGLETRANSLATE(B9,""ja"",""vi"")"),"túi của nam giới")</f>
        <v>túi của nam giới</v>
      </c>
      <c r="F9" s="3" t="str">
        <f ca="1">IFERROR(__xludf.DUMMYFUNCTION("GOOGLETRANSLATE(C9,""ja"",""vi"")"),"Đấu giá&gt; Thời trang&gt; túi nam")</f>
        <v>Đấu giá&gt; Thời trang&gt; túi nam</v>
      </c>
      <c r="G9" s="229" t="str">
        <f t="shared" ca="1" si="0"/>
        <v>"2084006467" : "túi của nam giới",</v>
      </c>
      <c r="H9" s="229" t="str">
        <f t="shared" si="1"/>
        <v>&lt;li class="col-md-3"&gt;&lt;a class="text-cut" href="javascript:;"(click)="categoryEvent(2084006467)"&gt;{{"2084006467" | translate}}&lt;/a&gt;&lt;/li&gt;</v>
      </c>
    </row>
    <row r="10" spans="1:8" ht="14.25" customHeight="1">
      <c r="A10" s="16">
        <v>23200</v>
      </c>
      <c r="B10" s="16" t="s">
        <v>3911</v>
      </c>
      <c r="C10" s="16" t="s">
        <v>3913</v>
      </c>
      <c r="D10" s="16" t="s">
        <v>3915</v>
      </c>
      <c r="E10" s="3" t="str">
        <f ca="1">IFERROR(__xludf.DUMMYFUNCTION("GOOGLETRANSLATE(B10,""ja"",""vi"")"),"mens giày")</f>
        <v>mens giày</v>
      </c>
      <c r="F10" s="3" t="str">
        <f ca="1">IFERROR(__xludf.DUMMYFUNCTION("GOOGLETRANSLATE(C10,""ja"",""vi"")"),"Đấu giá&gt; Thời trang&gt; Giày dép nam")</f>
        <v>Đấu giá&gt; Thời trang&gt; Giày dép nam</v>
      </c>
      <c r="G10" s="229" t="str">
        <f t="shared" ca="1" si="0"/>
        <v>"23200" : "mens giày",</v>
      </c>
      <c r="H10" s="229" t="str">
        <f t="shared" si="1"/>
        <v>&lt;li class="col-md-3"&gt;&lt;a class="text-cut" href="javascript:;"(click)="categoryEvent(23200)"&gt;{{"23200" | translate}}&lt;/a&gt;&lt;/li&gt;</v>
      </c>
    </row>
    <row r="11" spans="1:8" ht="14.25" customHeight="1">
      <c r="A11" s="43">
        <v>2084005479</v>
      </c>
      <c r="B11" s="43" t="s">
        <v>3921</v>
      </c>
      <c r="C11" s="43" t="s">
        <v>3922</v>
      </c>
      <c r="D11" s="43" t="s">
        <v>3924</v>
      </c>
      <c r="E11" s="3" t="str">
        <f ca="1">IFERROR(__xludf.DUMMYFUNCTION("GOOGLETRANSLATE(B11,""ja"",""vi"")"),"Nam kimono, kimono")</f>
        <v>Nam kimono, kimono</v>
      </c>
      <c r="F11" s="3" t="str">
        <f ca="1">IFERROR(__xludf.DUMMYFUNCTION("GOOGLETRANSLATE(C11,""ja"",""vi"")"),"Đấu giá&gt; thời trang&gt; man quần áo Nhật Bản, kimono")</f>
        <v>Đấu giá&gt; thời trang&gt; man quần áo Nhật Bản, kimono</v>
      </c>
      <c r="G11" s="229" t="str">
        <f t="shared" ca="1" si="0"/>
        <v>"2084005479" : "Nam kimono, kimono",</v>
      </c>
      <c r="H11" s="229" t="str">
        <f t="shared" si="1"/>
        <v>&lt;li class="col-md-3"&gt;&lt;a class="text-cut" href="javascript:;"(click)="categoryEvent(2084005479)"&gt;{{"2084005479" | translate}}&lt;/a&gt;&lt;/li&gt;</v>
      </c>
    </row>
    <row r="12" spans="1:8" ht="14.25" customHeight="1">
      <c r="A12" s="45">
        <v>2084233229</v>
      </c>
      <c r="B12" s="45" t="s">
        <v>3933</v>
      </c>
      <c r="C12" s="45" t="s">
        <v>3935</v>
      </c>
      <c r="D12" s="45" t="s">
        <v>3937</v>
      </c>
      <c r="E12" s="3" t="str">
        <f ca="1">IFERROR(__xludf.DUMMYFUNCTION("GOOGLETRANSLATE(B12,""ja"",""vi"")"),"túi unisex")</f>
        <v>túi unisex</v>
      </c>
      <c r="F12" s="3" t="str">
        <f ca="1">IFERROR(__xludf.DUMMYFUNCTION("GOOGLETRANSLATE(C12,""ja"",""vi"")"),"Đấu giá&gt; Thời trang&gt; Túi unisex")</f>
        <v>Đấu giá&gt; Thời trang&gt; Túi unisex</v>
      </c>
      <c r="G12" s="229" t="str">
        <f t="shared" ca="1" si="0"/>
        <v>"2084233229" : "túi unisex",</v>
      </c>
      <c r="H12" s="229" t="str">
        <f t="shared" si="1"/>
        <v>&lt;li class="col-md-3"&gt;&lt;a class="text-cut" href="javascript:;"(click)="categoryEvent(2084233229)"&gt;{{"2084233229" | translate}}&lt;/a&gt;&lt;/li&gt;</v>
      </c>
    </row>
    <row r="13" spans="1:8" ht="14.25" customHeight="1">
      <c r="A13" s="48">
        <v>2084293011</v>
      </c>
      <c r="B13" s="48" t="s">
        <v>3943</v>
      </c>
      <c r="C13" s="48" t="s">
        <v>3946</v>
      </c>
      <c r="D13" s="48" t="s">
        <v>3949</v>
      </c>
      <c r="E13" s="3" t="str">
        <f ca="1">IFERROR(__xludf.DUMMYFUNCTION("GOOGLETRANSLATE(B13,""ja"",""vi"")"),"Kids, Baby thời trang")</f>
        <v>Kids, Baby thời trang</v>
      </c>
      <c r="F13" s="3" t="str">
        <f ca="1">IFERROR(__xludf.DUMMYFUNCTION("GOOGLETRANSLATE(C13,""ja"",""vi"")"),"Đấu giá&gt; Thời trang&gt; Kids, Baby thời trang")</f>
        <v>Đấu giá&gt; Thời trang&gt; Kids, Baby thời trang</v>
      </c>
      <c r="G13" s="229" t="str">
        <f t="shared" ca="1" si="0"/>
        <v>"2084293011" : "Kids, Baby thời trang",</v>
      </c>
      <c r="H13" s="229" t="str">
        <f t="shared" si="1"/>
        <v>&lt;li class="col-md-3"&gt;&lt;a class="text-cut" href="javascript:;"(click)="categoryEvent(2084293011)"&gt;{{"2084293011" | translate}}&lt;/a&gt;&lt;/li&gt;</v>
      </c>
    </row>
    <row r="14" spans="1:8" ht="14.25" customHeight="1">
      <c r="A14" s="50">
        <v>2084061614</v>
      </c>
      <c r="B14" s="50" t="s">
        <v>3955</v>
      </c>
      <c r="C14" s="50" t="s">
        <v>3957</v>
      </c>
      <c r="D14" s="50" t="s">
        <v>3958</v>
      </c>
      <c r="E14" s="3" t="str">
        <f ca="1">IFERROR(__xludf.DUMMYFUNCTION("GOOGLETRANSLATE(B14,""ja"",""vi"")"),"Kimono, kimono")</f>
        <v>Kimono, kimono</v>
      </c>
      <c r="F14" s="3" t="str">
        <f ca="1">IFERROR(__xludf.DUMMYFUNCTION("GOOGLETRANSLATE(C14,""ja"",""vi"")"),"Đấu giá&gt; thời trang&gt; quần áo Nhật Bản, kimono")</f>
        <v>Đấu giá&gt; thời trang&gt; quần áo Nhật Bản, kimono</v>
      </c>
      <c r="G14" s="229" t="str">
        <f t="shared" ca="1" si="0"/>
        <v>"2084061614" : "Kimono, kimono",</v>
      </c>
      <c r="H14" s="229" t="str">
        <f t="shared" si="1"/>
        <v>&lt;li class="col-md-3"&gt;&lt;a class="text-cut" href="javascript:;"(click)="categoryEvent(2084061614)"&gt;{{"2084061614" | translate}}&lt;/a&gt;&lt;/li&gt;</v>
      </c>
    </row>
    <row r="15" spans="1:8" ht="14.25" customHeight="1">
      <c r="A15" s="56">
        <v>2084240597</v>
      </c>
      <c r="B15" s="56" t="s">
        <v>523</v>
      </c>
      <c r="C15" s="56" t="s">
        <v>3967</v>
      </c>
      <c r="D15" s="56" t="s">
        <v>3968</v>
      </c>
      <c r="E15" s="3" t="str">
        <f ca="1">IFERROR(__xludf.DUMMYFUNCTION("GOOGLETRANSLATE(B15,""ja"",""vi"")"),"làm bằng tay")</f>
        <v>làm bằng tay</v>
      </c>
      <c r="F15" s="3" t="str">
        <f ca="1">IFERROR(__xludf.DUMMYFUNCTION("GOOGLETRANSLATE(C15,""ja"",""vi"")"),"Đấu giá&gt; Thời trang&gt; handmade")</f>
        <v>Đấu giá&gt; Thời trang&gt; handmade</v>
      </c>
      <c r="G15" s="229" t="str">
        <f t="shared" ca="1" si="0"/>
        <v>"2084240597" : "làm bằng tay",</v>
      </c>
      <c r="H15" s="229" t="str">
        <f t="shared" si="1"/>
        <v>&lt;li class="col-md-3"&gt;&lt;a class="text-cut" href="javascript:;"(click)="categoryEvent(2084240597)"&gt;{{"2084240597" | translate}}&lt;/a&gt;&lt;/li&gt;</v>
      </c>
    </row>
    <row r="16" spans="1:8" ht="14.25" customHeight="1">
      <c r="A16" s="59">
        <v>23140</v>
      </c>
      <c r="B16" s="59" t="s">
        <v>264</v>
      </c>
      <c r="C16" s="59" t="s">
        <v>3978</v>
      </c>
      <c r="D16" s="59" t="s">
        <v>3979</v>
      </c>
      <c r="E16" s="3" t="str">
        <f ca="1">IFERROR(__xludf.DUMMYFUNCTION("GOOGLETRANSLATE(B16,""ja"",""vi"")"),"Phụ kiện, đồng hồ")</f>
        <v>Phụ kiện, đồng hồ</v>
      </c>
      <c r="F16" s="3" t="str">
        <f ca="1">IFERROR(__xludf.DUMMYFUNCTION("GOOGLETRANSLATE(C16,""ja"",""vi"")"),"Đấu giá&gt; Thời trang&gt; Phụ kiện, đồng hồ")</f>
        <v>Đấu giá&gt; Thời trang&gt; Phụ kiện, đồng hồ</v>
      </c>
      <c r="G16" s="229" t="str">
        <f t="shared" ca="1" si="0"/>
        <v>"23140" : "Phụ kiện, đồng hồ",</v>
      </c>
      <c r="H16" s="229" t="str">
        <f t="shared" si="1"/>
        <v>&lt;li class="col-md-3"&gt;&lt;a class="text-cut" href="javascript:;"(click)="categoryEvent(23140)"&gt;{{"23140" | translate}}&lt;/a&gt;&lt;/li&gt;</v>
      </c>
    </row>
    <row r="17" spans="1:8" ht="14.25" customHeight="1">
      <c r="A17" s="63">
        <v>24802</v>
      </c>
      <c r="B17" s="63" t="s">
        <v>3988</v>
      </c>
      <c r="C17" s="63" t="s">
        <v>3990</v>
      </c>
      <c r="D17" s="63" t="s">
        <v>3991</v>
      </c>
      <c r="E17" s="3" t="str">
        <f ca="1">IFERROR(__xludf.DUMMYFUNCTION("GOOGLETRANSLATE(B17,""ja"",""vi"")"),"Mang ngoài trời")</f>
        <v>Mang ngoài trời</v>
      </c>
      <c r="F17" s="3" t="str">
        <f ca="1">IFERROR(__xludf.DUMMYFUNCTION("GOOGLETRANSLATE(C17,""ja"",""vi"")"),"Đấu giá&gt; Thời trang&gt; mặc ngoài trời")</f>
        <v>Đấu giá&gt; Thời trang&gt; mặc ngoài trời</v>
      </c>
      <c r="G17" s="229" t="str">
        <f t="shared" ca="1" si="0"/>
        <v>"24802" : "Mang ngoài trời",</v>
      </c>
      <c r="H17" s="229" t="str">
        <f t="shared" si="1"/>
        <v>&lt;li class="col-md-3"&gt;&lt;a class="text-cut" href="javascript:;"(click)="categoryEvent(24802)"&gt;{{"24802" | translate}}&lt;/a&gt;&lt;/li&gt;</v>
      </c>
    </row>
    <row r="18" spans="1:8" ht="14.25" customHeight="1">
      <c r="A18" s="65">
        <v>23008</v>
      </c>
      <c r="B18" s="65" t="s">
        <v>3999</v>
      </c>
      <c r="C18" s="65" t="s">
        <v>4000</v>
      </c>
      <c r="D18" s="65" t="s">
        <v>4002</v>
      </c>
      <c r="E18" s="3" t="str">
        <f ca="1">IFERROR(__xludf.DUMMYFUNCTION("GOOGLETRANSLATE(B18,""ja"",""vi"")"),"đồ thể thao")</f>
        <v>đồ thể thao</v>
      </c>
      <c r="F18" s="3" t="str">
        <f ca="1">IFERROR(__xludf.DUMMYFUNCTION("GOOGLETRANSLATE(C18,""ja"",""vi"")"),"Bán đấu giá&gt; 's&gt; Sportswear")</f>
        <v>Bán đấu giá&gt; 's&gt; Sportswear</v>
      </c>
      <c r="G18" s="229" t="str">
        <f t="shared" ca="1" si="0"/>
        <v>"23008" : "đồ thể thao",</v>
      </c>
      <c r="H18" s="229" t="str">
        <f t="shared" si="1"/>
        <v>&lt;li class="col-md-3"&gt;&lt;a class="text-cut" href="javascript:;"(click)="categoryEvent(23008)"&gt;{{"23008" | translate}}&lt;/a&gt;&lt;/li&gt;</v>
      </c>
    </row>
    <row r="19" spans="1:8" ht="14.25" customHeight="1">
      <c r="A19" s="77">
        <v>42179</v>
      </c>
      <c r="B19" s="77" t="s">
        <v>2466</v>
      </c>
      <c r="C19" s="77" t="s">
        <v>4008</v>
      </c>
      <c r="D19" s="77" t="s">
        <v>4010</v>
      </c>
      <c r="E19" s="3" t="str">
        <f ca="1">IFERROR(__xludf.DUMMYFUNCTION("GOOGLETRANSLATE(B19,""ja"",""vi"")"),"Nước hoa, hương thơm")</f>
        <v>Nước hoa, hương thơm</v>
      </c>
      <c r="F19" s="3" t="str">
        <f ca="1">IFERROR(__xludf.DUMMYFUNCTION("GOOGLETRANSLATE(C19,""ja"",""vi"")"),"Đấu giá&gt; Thời trang&gt; nước hoa, hương thơm")</f>
        <v>Đấu giá&gt; Thời trang&gt; nước hoa, hương thơm</v>
      </c>
      <c r="G19" s="229" t="str">
        <f t="shared" ca="1" si="0"/>
        <v>"42179" : "Nước hoa, hương thơm",</v>
      </c>
      <c r="H19" s="229" t="str">
        <f t="shared" si="1"/>
        <v>&lt;li class="col-md-3"&gt;&lt;a class="text-cut" href="javascript:;"(click)="categoryEvent(42179)"&gt;{{"42179" | translate}}&lt;/a&gt;&lt;/li&gt;</v>
      </c>
    </row>
    <row r="20" spans="1:8" ht="14.25" customHeight="1">
      <c r="A20" s="78">
        <v>21912</v>
      </c>
      <c r="B20" s="78" t="s">
        <v>4018</v>
      </c>
      <c r="C20" s="78" t="s">
        <v>4019</v>
      </c>
      <c r="D20" s="78" t="s">
        <v>4020</v>
      </c>
      <c r="E20" s="3" t="str">
        <f ca="1">IFERROR(__xludf.DUMMYFUNCTION("GOOGLETRANSLATE(B20,""ja"",""vi"")"),"tạp chí thời trang")</f>
        <v>tạp chí thời trang</v>
      </c>
      <c r="F20" s="3" t="str">
        <f ca="1">IFERROR(__xludf.DUMMYFUNCTION("GOOGLETRANSLATE(C20,""ja"",""vi"")"),"Đấu giá&gt; Thời trang&gt; tạp chí thời trang")</f>
        <v>Đấu giá&gt; Thời trang&gt; tạp chí thời trang</v>
      </c>
      <c r="G20" s="229" t="str">
        <f t="shared" ca="1" si="0"/>
        <v>"21912" : "tạp chí thời trang",</v>
      </c>
      <c r="H20" s="229" t="str">
        <f t="shared" si="1"/>
        <v>&lt;li class="col-md-3"&gt;&lt;a class="text-cut" href="javascript:;"(click)="categoryEvent(21912)"&gt;{{"21912" | translate}}&lt;/a&gt;&lt;/li&gt;</v>
      </c>
    </row>
    <row r="21" spans="1:8" ht="14.25" customHeight="1">
      <c r="A21" s="79">
        <v>2084062134</v>
      </c>
      <c r="B21" s="79" t="s">
        <v>277</v>
      </c>
      <c r="C21" s="79" t="s">
        <v>4026</v>
      </c>
      <c r="D21" s="79" t="s">
        <v>4027</v>
      </c>
      <c r="E21" s="3" t="str">
        <f ca="1">IFERROR(__xludf.DUMMYFUNCTION("GOOGLETRANSLATE(B21,""ja"",""vi"")"),"cosplay trang phục")</f>
        <v>cosplay trang phục</v>
      </c>
      <c r="F21" s="3" t="str">
        <f ca="1">IFERROR(__xludf.DUMMYFUNCTION("GOOGLETRANSLATE(C21,""ja"",""vi"")"),"Đấu giá&gt; Thời trang&gt; Trang phục")</f>
        <v>Đấu giá&gt; Thời trang&gt; Trang phục</v>
      </c>
      <c r="G21" s="229" t="str">
        <f t="shared" ca="1" si="0"/>
        <v>"2084062134" : "cosplay trang phục",</v>
      </c>
      <c r="H21" s="229" t="str">
        <f t="shared" si="1"/>
        <v>&lt;li class="col-md-3"&gt;&lt;a class="text-cut" href="javascript:;"(click)="categoryEvent(2084062134)"&gt;{{"2084062134" | translate}}&lt;/a&gt;&lt;/li&gt;</v>
      </c>
    </row>
    <row r="22" spans="1:8" ht="14.25" customHeight="1">
      <c r="A22" s="76">
        <v>2084307758</v>
      </c>
      <c r="B22" s="76" t="s">
        <v>4033</v>
      </c>
      <c r="C22" s="76" t="s">
        <v>4035</v>
      </c>
      <c r="D22" s="76" t="s">
        <v>4038</v>
      </c>
      <c r="E22" s="3" t="str">
        <f ca="1">IFERROR(__xludf.DUMMYFUNCTION("GOOGLETRANSLATE(B22,""ja"",""vi"")"),"phối hợp thời trang")</f>
        <v>phối hợp thời trang</v>
      </c>
      <c r="F22" s="3" t="str">
        <f ca="1">IFERROR(__xludf.DUMMYFUNCTION("GOOGLETRANSLATE(C22,""ja"",""vi"")"),"Đấu giá&gt; Thời trang&gt; Thời trang phối")</f>
        <v>Đấu giá&gt; Thời trang&gt; Thời trang phối</v>
      </c>
      <c r="G22" s="229" t="str">
        <f t="shared" ca="1" si="0"/>
        <v>"2084307758" : "phối hợp thời trang",</v>
      </c>
      <c r="H22" s="229" t="str">
        <f t="shared" si="1"/>
        <v>&lt;li class="col-md-3"&gt;&lt;a class="text-cut" href="javascript:;"(click)="categoryEvent(2084307758)"&gt;{{"2084307758" | translate}}&lt;/a&gt;&lt;/li&gt;</v>
      </c>
    </row>
    <row r="23" spans="1:8" ht="14.25" customHeight="1">
      <c r="A23" s="72">
        <v>2084307769</v>
      </c>
      <c r="B23" s="72" t="s">
        <v>4044</v>
      </c>
      <c r="C23" s="72" t="s">
        <v>4045</v>
      </c>
      <c r="D23" s="72" t="s">
        <v>4046</v>
      </c>
      <c r="E23" s="3" t="str">
        <f ca="1">IFERROR(__xludf.DUMMYFUNCTION("GOOGLETRANSLATE(B23,""ja"",""vi"")"),"cho thuê thời trang")</f>
        <v>cho thuê thời trang</v>
      </c>
      <c r="F23" s="3" t="str">
        <f ca="1">IFERROR(__xludf.DUMMYFUNCTION("GOOGLETRANSLATE(C23,""ja"",""vi"")"),"Đấu giá&gt; Thời trang&gt; Thời trang cho thuê")</f>
        <v>Đấu giá&gt; Thời trang&gt; Thời trang cho thuê</v>
      </c>
      <c r="G23" s="229" t="str">
        <f t="shared" ca="1" si="0"/>
        <v>"2084307769" : "cho thuê thời trang",</v>
      </c>
      <c r="H23" s="229" t="str">
        <f t="shared" si="1"/>
        <v>&lt;li class="col-md-3"&gt;&lt;a class="text-cut" href="javascript:;"(click)="categoryEvent(2084307769)"&gt;{{"2084307769" | translate}}&lt;/a&gt;&lt;/li&gt;</v>
      </c>
    </row>
    <row r="24" spans="1:8" ht="14.25" customHeight="1">
      <c r="E24" s="3"/>
      <c r="F24" s="3"/>
      <c r="G24" s="229"/>
      <c r="H24" s="229"/>
    </row>
    <row r="25" spans="1:8" ht="14.25" customHeight="1">
      <c r="A25" s="231">
        <v>23172</v>
      </c>
      <c r="B25" s="232"/>
      <c r="C25" s="232"/>
      <c r="D25" s="233"/>
      <c r="E25" s="3"/>
      <c r="F25" s="3"/>
      <c r="G25" s="229"/>
      <c r="H25" s="229"/>
    </row>
    <row r="26" spans="1:8" ht="14.25" customHeight="1">
      <c r="A26" s="2">
        <v>2084061507</v>
      </c>
      <c r="B26" s="2" t="s">
        <v>4066</v>
      </c>
      <c r="C26" s="2" t="s">
        <v>4068</v>
      </c>
      <c r="D26" s="2" t="s">
        <v>4070</v>
      </c>
      <c r="E26" s="3" t="str">
        <f ca="1">IFERROR(__xludf.DUMMYFUNCTION("GOOGLETRANSLATE(B26,""ja"",""vi"")"),"Oh")</f>
        <v>Oh</v>
      </c>
      <c r="F26" s="3" t="str">
        <f ca="1">IFERROR(__xludf.DUMMYFUNCTION("GOOGLETRANSLATE(C26,""ja"",""vi"")"),"Đấu giá&gt; Thời trang&gt; By Nhãn hiệu&gt; Oh")</f>
        <v>Đấu giá&gt; Thời trang&gt; By Nhãn hiệu&gt; Oh</v>
      </c>
      <c r="G26" s="229" t="str">
        <f t="shared" ca="1" si="0"/>
        <v>"2084061507" : "Oh",</v>
      </c>
      <c r="H26" s="229" t="str">
        <f t="shared" si="1"/>
        <v>&lt;li class="col-md-3"&gt;&lt;a class="text-cut" href="javascript:;"(click)="categoryEvent(2084061507)"&gt;{{"2084061507" | translate}}&lt;/a&gt;&lt;/li&gt;</v>
      </c>
    </row>
    <row r="27" spans="1:8" ht="14.25" customHeight="1">
      <c r="A27" s="2">
        <v>2084061508</v>
      </c>
      <c r="B27" s="2" t="s">
        <v>4078</v>
      </c>
      <c r="C27" s="2" t="s">
        <v>4080</v>
      </c>
      <c r="D27" s="2" t="s">
        <v>4081</v>
      </c>
      <c r="E27" s="3" t="str">
        <f ca="1">IFERROR(__xludf.DUMMYFUNCTION("GOOGLETRANSLATE(B27,""ja"",""vi"")"),"Có")</f>
        <v>Có</v>
      </c>
      <c r="F27" s="3" t="str">
        <f ca="1">IFERROR(__xludf.DUMMYFUNCTION("GOOGLETRANSLATE(C27,""ja"",""vi"")"),"Đấu giá&gt; Thời trang&gt; By Nhãn hiệu&gt; có")</f>
        <v>Đấu giá&gt; Thời trang&gt; By Nhãn hiệu&gt; có</v>
      </c>
      <c r="G27" s="229" t="str">
        <f t="shared" ca="1" si="0"/>
        <v>"2084061508" : "Có",</v>
      </c>
      <c r="H27" s="229" t="str">
        <f t="shared" si="1"/>
        <v>&lt;li class="col-md-3"&gt;&lt;a class="text-cut" href="javascript:;"(click)="categoryEvent(2084061508)"&gt;{{"2084061508" | translate}}&lt;/a&gt;&lt;/li&gt;</v>
      </c>
    </row>
    <row r="28" spans="1:8" ht="14.25" customHeight="1">
      <c r="A28" s="2">
        <v>2084061509</v>
      </c>
      <c r="B28" s="2" t="s">
        <v>4085</v>
      </c>
      <c r="C28" s="2" t="s">
        <v>4091</v>
      </c>
      <c r="D28" s="2" t="s">
        <v>4093</v>
      </c>
      <c r="E28" s="3" t="str">
        <f ca="1">IFERROR(__xludf.DUMMYFUNCTION("GOOGLETRANSLATE(B28,""ja"",""vi"")"),"người tham lam")</f>
        <v>người tham lam</v>
      </c>
      <c r="F28" s="3" t="str">
        <f ca="1">IFERROR(__xludf.DUMMYFUNCTION("GOOGLETRANSLATE(C28,""ja"",""vi"")"),"Đấu giá&gt; Thời trang&gt; By Nhãn hiệu&gt; chim cốc")</f>
        <v>Đấu giá&gt; Thời trang&gt; By Nhãn hiệu&gt; chim cốc</v>
      </c>
      <c r="G28" s="229" t="str">
        <f t="shared" ca="1" si="0"/>
        <v>"2084061509" : "người tham lam",</v>
      </c>
      <c r="H28" s="229" t="str">
        <f t="shared" si="1"/>
        <v>&lt;li class="col-md-3"&gt;&lt;a class="text-cut" href="javascript:;"(click)="categoryEvent(2084061509)"&gt;{{"2084061509" | translate}}&lt;/a&gt;&lt;/li&gt;</v>
      </c>
    </row>
    <row r="29" spans="1:8" ht="14.25" customHeight="1">
      <c r="A29" s="2">
        <v>2084061510</v>
      </c>
      <c r="B29" s="2" t="s">
        <v>4101</v>
      </c>
      <c r="C29" s="2" t="s">
        <v>4104</v>
      </c>
      <c r="D29" s="2" t="s">
        <v>4107</v>
      </c>
      <c r="E29" s="3" t="str">
        <f ca="1">IFERROR(__xludf.DUMMYFUNCTION("GOOGLETRANSLATE(B29,""ja"",""vi"")"),"Ví dụ")</f>
        <v>Ví dụ</v>
      </c>
      <c r="F29" s="3" t="str">
        <f ca="1">IFERROR(__xludf.DUMMYFUNCTION("GOOGLETRANSLATE(C29,""ja"",""vi"")"),"Đấu giá&gt; Thời trang&gt; By Nhãn hiệu&gt; ví dụ")</f>
        <v>Đấu giá&gt; Thời trang&gt; By Nhãn hiệu&gt; ví dụ</v>
      </c>
      <c r="G29" s="229" t="str">
        <f t="shared" ca="1" si="0"/>
        <v>"2084061510" : "Ví dụ",</v>
      </c>
      <c r="H29" s="229" t="str">
        <f t="shared" si="1"/>
        <v>&lt;li class="col-md-3"&gt;&lt;a class="text-cut" href="javascript:;"(click)="categoryEvent(2084061510)"&gt;{{"2084061510" | translate}}&lt;/a&gt;&lt;/li&gt;</v>
      </c>
    </row>
    <row r="30" spans="1:8" ht="14.25" customHeight="1">
      <c r="A30" s="2">
        <v>2084061511</v>
      </c>
      <c r="B30" s="2" t="s">
        <v>4113</v>
      </c>
      <c r="C30" s="2" t="s">
        <v>4114</v>
      </c>
      <c r="D30" s="2" t="s">
        <v>4116</v>
      </c>
      <c r="E30" s="3" t="str">
        <f ca="1">IFERROR(__xludf.DUMMYFUNCTION("GOOGLETRANSLATE(B30,""ja"",""vi"")"),"tiếp xúc")</f>
        <v>tiếp xúc</v>
      </c>
      <c r="F30" s="3" t="str">
        <f ca="1">IFERROR(__xludf.DUMMYFUNCTION("GOOGLETRANSLATE(C30,""ja"",""vi"")"),"Đấu giá&gt; Thời trang&gt; By Nhãn hiệu&gt; Liên hệ")</f>
        <v>Đấu giá&gt; Thời trang&gt; By Nhãn hiệu&gt; Liên hệ</v>
      </c>
      <c r="G30" s="229" t="str">
        <f t="shared" ca="1" si="0"/>
        <v>"2084061511" : "tiếp xúc",</v>
      </c>
      <c r="H30" s="229" t="str">
        <f t="shared" si="1"/>
        <v>&lt;li class="col-md-3"&gt;&lt;a class="text-cut" href="javascript:;"(click)="categoryEvent(2084061511)"&gt;{{"2084061511" | translate}}&lt;/a&gt;&lt;/li&gt;</v>
      </c>
    </row>
    <row r="31" spans="1:8" ht="14.25" customHeight="1">
      <c r="A31" s="2">
        <v>2084061534</v>
      </c>
      <c r="B31" s="2" t="s">
        <v>4123</v>
      </c>
      <c r="C31" s="2" t="s">
        <v>4124</v>
      </c>
      <c r="D31" s="2" t="s">
        <v>4126</v>
      </c>
      <c r="E31" s="3" t="str">
        <f ca="1">IFERROR(__xludf.DUMMYFUNCTION("GOOGLETRANSLATE(B31,""ja"",""vi"")"),"hoặc")</f>
        <v>hoặc</v>
      </c>
      <c r="F31" s="3" t="str">
        <f ca="1">IFERROR(__xludf.DUMMYFUNCTION("GOOGLETRANSLATE(C31,""ja"",""vi"")"),"Đấu giá&gt; Thời trang&gt; By Nhãn hiệu&gt; hoặc")</f>
        <v>Đấu giá&gt; Thời trang&gt; By Nhãn hiệu&gt; hoặc</v>
      </c>
      <c r="G31" s="229" t="str">
        <f t="shared" ca="1" si="0"/>
        <v>"2084061534" : "hoặc",</v>
      </c>
      <c r="H31" s="229" t="str">
        <f t="shared" si="1"/>
        <v>&lt;li class="col-md-3"&gt;&lt;a class="text-cut" href="javascript:;"(click)="categoryEvent(2084061534)"&gt;{{"2084061534" | translate}}&lt;/a&gt;&lt;/li&gt;</v>
      </c>
    </row>
    <row r="32" spans="1:8" ht="14.25" customHeight="1">
      <c r="A32" s="2">
        <v>2084061535</v>
      </c>
      <c r="B32" s="2" t="s">
        <v>4134</v>
      </c>
      <c r="C32" s="2" t="s">
        <v>4136</v>
      </c>
      <c r="D32" s="2" t="s">
        <v>4138</v>
      </c>
      <c r="E32" s="3" t="str">
        <f ca="1">IFERROR(__xludf.DUMMYFUNCTION("GOOGLETRANSLATE(B32,""ja"",""vi"")"),"Can")</f>
        <v>Can</v>
      </c>
      <c r="F32" s="3" t="str">
        <f ca="1">IFERROR(__xludf.DUMMYFUNCTION("GOOGLETRANSLATE(C32,""ja"",""vi"")"),"Đấu giá&gt; Thời trang&gt; By Nhãn hiệu&gt; out")</f>
        <v>Đấu giá&gt; Thời trang&gt; By Nhãn hiệu&gt; out</v>
      </c>
      <c r="G32" s="229" t="str">
        <f t="shared" ca="1" si="0"/>
        <v>"2084061535" : "Can",</v>
      </c>
      <c r="H32" s="229" t="str">
        <f t="shared" si="1"/>
        <v>&lt;li class="col-md-3"&gt;&lt;a class="text-cut" href="javascript:;"(click)="categoryEvent(2084061535)"&gt;{{"2084061535" | translate}}&lt;/a&gt;&lt;/li&gt;</v>
      </c>
    </row>
    <row r="33" spans="1:8" ht="14.25" customHeight="1">
      <c r="A33" s="2">
        <v>2084061536</v>
      </c>
      <c r="B33" s="2" t="s">
        <v>4140</v>
      </c>
      <c r="C33" s="2" t="s">
        <v>4143</v>
      </c>
      <c r="D33" s="2" t="s">
        <v>4145</v>
      </c>
      <c r="E33" s="3" t="str">
        <f ca="1">IFERROR(__xludf.DUMMYFUNCTION("GOOGLETRANSLATE(B33,""ja"",""vi"")"),"ku")</f>
        <v>ku</v>
      </c>
      <c r="F33" s="3" t="str">
        <f ca="1">IFERROR(__xludf.DUMMYFUNCTION("GOOGLETRANSLATE(C33,""ja"",""vi"")"),"Đấu giá&gt; Thời trang&gt; By Nhãn hiệu&gt; khoản")</f>
        <v>Đấu giá&gt; Thời trang&gt; By Nhãn hiệu&gt; khoản</v>
      </c>
      <c r="G33" s="229" t="str">
        <f t="shared" ca="1" si="0"/>
        <v>"2084061536" : "ku",</v>
      </c>
      <c r="H33" s="229" t="str">
        <f t="shared" si="1"/>
        <v>&lt;li class="col-md-3"&gt;&lt;a class="text-cut" href="javascript:;"(click)="categoryEvent(2084061536)"&gt;{{"2084061536" | translate}}&lt;/a&gt;&lt;/li&gt;</v>
      </c>
    </row>
    <row r="34" spans="1:8" ht="14.25" customHeight="1">
      <c r="A34" s="2">
        <v>2084061537</v>
      </c>
      <c r="B34" s="2" t="s">
        <v>4149</v>
      </c>
      <c r="C34" s="2" t="s">
        <v>4152</v>
      </c>
      <c r="D34" s="2" t="s">
        <v>4154</v>
      </c>
      <c r="E34" s="3" t="str">
        <f ca="1">IFERROR(__xludf.DUMMYFUNCTION("GOOGLETRANSLATE(B34,""ja"",""vi"")"),"")</f>
        <v/>
      </c>
      <c r="F34" s="3" t="str">
        <f ca="1">IFERROR(__xludf.DUMMYFUNCTION("GOOGLETRANSLATE(C34,""ja"",""vi"")"),"Đấu giá&gt; Thời trang&gt; By Nhãn hiệu&gt;")</f>
        <v>Đấu giá&gt; Thời trang&gt; By Nhãn hiệu&gt;</v>
      </c>
      <c r="G34" s="229" t="str">
        <f t="shared" ca="1" si="0"/>
        <v>"2084061537" : "",</v>
      </c>
      <c r="H34" s="229" t="str">
        <f t="shared" si="1"/>
        <v>&lt;li class="col-md-3"&gt;&lt;a class="text-cut" href="javascript:;"(click)="categoryEvent(2084061537)"&gt;{{"2084061537" | translate}}&lt;/a&gt;&lt;/li&gt;</v>
      </c>
    </row>
    <row r="35" spans="1:8" ht="14.25" customHeight="1">
      <c r="A35" s="2">
        <v>2084061538</v>
      </c>
      <c r="B35" s="2" t="s">
        <v>4160</v>
      </c>
      <c r="C35" s="2" t="s">
        <v>4162</v>
      </c>
      <c r="D35" s="2" t="s">
        <v>4163</v>
      </c>
      <c r="E35" s="3" t="str">
        <f ca="1">IFERROR(__xludf.DUMMYFUNCTION("GOOGLETRANSLATE(B35,""ja"",""vi"")"),"điều này")</f>
        <v>điều này</v>
      </c>
      <c r="F35" s="3" t="str">
        <f ca="1">IFERROR(__xludf.DUMMYFUNCTION("GOOGLETRANSLATE(C35,""ja"",""vi"")"),"Đấu giá&gt; Thời trang&gt; By Nhãn hiệu&gt; này")</f>
        <v>Đấu giá&gt; Thời trang&gt; By Nhãn hiệu&gt; này</v>
      </c>
      <c r="G35" s="229" t="str">
        <f t="shared" ca="1" si="0"/>
        <v>"2084061538" : "điều này",</v>
      </c>
      <c r="H35" s="229" t="str">
        <f t="shared" si="1"/>
        <v>&lt;li class="col-md-3"&gt;&lt;a class="text-cut" href="javascript:;"(click)="categoryEvent(2084061538)"&gt;{{"2084061538" | translate}}&lt;/a&gt;&lt;/li&gt;</v>
      </c>
    </row>
    <row r="36" spans="1:8" ht="14.25" customHeight="1">
      <c r="A36" s="2">
        <v>2084061551</v>
      </c>
      <c r="B36" s="2" t="s">
        <v>4167</v>
      </c>
      <c r="C36" s="2" t="s">
        <v>4169</v>
      </c>
      <c r="D36" s="2" t="s">
        <v>4172</v>
      </c>
      <c r="E36" s="3" t="str">
        <f ca="1">IFERROR(__xludf.DUMMYFUNCTION("GOOGLETRANSLATE(B36,""ja"",""vi"")"),"")</f>
        <v/>
      </c>
      <c r="F36" s="3" t="str">
        <f ca="1">IFERROR(__xludf.DUMMYFUNCTION("GOOGLETRANSLATE(C36,""ja"",""vi"")"),"Đấu giá&gt; Thời trang&gt; By Nhãn hiệu&gt;")</f>
        <v>Đấu giá&gt; Thời trang&gt; By Nhãn hiệu&gt;</v>
      </c>
      <c r="G36" s="229" t="str">
        <f t="shared" ca="1" si="0"/>
        <v>"2084061551" : "",</v>
      </c>
      <c r="H36" s="229" t="str">
        <f t="shared" si="1"/>
        <v>&lt;li class="col-md-3"&gt;&lt;a class="text-cut" href="javascript:;"(click)="categoryEvent(2084061551)"&gt;{{"2084061551" | translate}}&lt;/a&gt;&lt;/li&gt;</v>
      </c>
    </row>
    <row r="37" spans="1:8" ht="14.25" customHeight="1">
      <c r="A37" s="2">
        <v>2084061552</v>
      </c>
      <c r="B37" s="2" t="s">
        <v>4179</v>
      </c>
      <c r="C37" s="2" t="s">
        <v>4180</v>
      </c>
      <c r="D37" s="2" t="s">
        <v>4182</v>
      </c>
      <c r="E37" s="3" t="str">
        <f ca="1">IFERROR(__xludf.DUMMYFUNCTION("GOOGLETRANSLATE(B37,""ja"",""vi"")"),"răng")</f>
        <v>răng</v>
      </c>
      <c r="F37" s="3" t="str">
        <f ca="1">IFERROR(__xludf.DUMMYFUNCTION("GOOGLETRANSLATE(C37,""ja"",""vi"")"),"Đấu giá&gt; Thời trang&gt; By Nhãn hiệu&gt; và")</f>
        <v>Đấu giá&gt; Thời trang&gt; By Nhãn hiệu&gt; và</v>
      </c>
      <c r="G37" s="229" t="str">
        <f t="shared" ca="1" si="0"/>
        <v>"2084061552" : "răng",</v>
      </c>
      <c r="H37" s="229" t="str">
        <f t="shared" si="1"/>
        <v>&lt;li class="col-md-3"&gt;&lt;a class="text-cut" href="javascript:;"(click)="categoryEvent(2084061552)"&gt;{{"2084061552" | translate}}&lt;/a&gt;&lt;/li&gt;</v>
      </c>
    </row>
    <row r="38" spans="1:8" ht="14.25" customHeight="1">
      <c r="A38" s="2">
        <v>2084061553</v>
      </c>
      <c r="B38" s="2" t="s">
        <v>4189</v>
      </c>
      <c r="C38" s="2" t="s">
        <v>4192</v>
      </c>
      <c r="D38" s="2" t="s">
        <v>4193</v>
      </c>
      <c r="E38" s="3" t="str">
        <f ca="1">IFERROR(__xludf.DUMMYFUNCTION("GOOGLETRANSLATE(B38,""ja"",""vi"")"),"đến")</f>
        <v>đến</v>
      </c>
      <c r="F38" s="3" t="str">
        <f ca="1">IFERROR(__xludf.DUMMYFUNCTION("GOOGLETRANSLATE(C38,""ja"",""vi"")"),"Đấu giá&gt; Thời trang&gt; By Nhãn hiệu&gt; để")</f>
        <v>Đấu giá&gt; Thời trang&gt; By Nhãn hiệu&gt; để</v>
      </c>
      <c r="G38" s="229" t="str">
        <f t="shared" ca="1" si="0"/>
        <v>"2084061553" : "đến",</v>
      </c>
      <c r="H38" s="229" t="str">
        <f t="shared" si="1"/>
        <v>&lt;li class="col-md-3"&gt;&lt;a class="text-cut" href="javascript:;"(click)="categoryEvent(2084061553)"&gt;{{"2084061553" | translate}}&lt;/a&gt;&lt;/li&gt;</v>
      </c>
    </row>
    <row r="39" spans="1:8" ht="14.25" customHeight="1">
      <c r="A39" s="2">
        <v>2084061554</v>
      </c>
      <c r="B39" s="2" t="s">
        <v>4200</v>
      </c>
      <c r="C39" s="2" t="s">
        <v>4201</v>
      </c>
      <c r="D39" s="2" t="s">
        <v>4203</v>
      </c>
      <c r="E39" s="3" t="str">
        <f ca="1">IFERROR(__xludf.DUMMYFUNCTION("GOOGLETRANSLATE(B39,""ja"",""vi"")"),"Đến / của nó")</f>
        <v>Đến / của nó</v>
      </c>
      <c r="F39" s="3" t="str">
        <f ca="1">IFERROR(__xludf.DUMMYFUNCTION("GOOGLETRANSLATE(C39,""ja"",""vi"")"),"Đấu giá&gt; Thời trang&gt; By Nhãn hiệu&gt; đến / của nó")</f>
        <v>Đấu giá&gt; Thời trang&gt; By Nhãn hiệu&gt; đến / của nó</v>
      </c>
      <c r="G39" s="229" t="str">
        <f t="shared" ca="1" si="0"/>
        <v>"2084061554" : "Đến / của nó",</v>
      </c>
      <c r="H39" s="229" t="str">
        <f t="shared" si="1"/>
        <v>&lt;li class="col-md-3"&gt;&lt;a class="text-cut" href="javascript:;"(click)="categoryEvent(2084061554)"&gt;{{"2084061554" | translate}}&lt;/a&gt;&lt;/li&gt;</v>
      </c>
    </row>
    <row r="40" spans="1:8" ht="14.25" customHeight="1">
      <c r="A40" s="2">
        <v>2084061652</v>
      </c>
      <c r="B40" s="2" t="s">
        <v>4208</v>
      </c>
      <c r="C40" s="2" t="s">
        <v>4209</v>
      </c>
      <c r="D40" s="2" t="s">
        <v>4211</v>
      </c>
      <c r="E40" s="3" t="str">
        <f ca="1">IFERROR(__xludf.DUMMYFUNCTION("GOOGLETRANSLATE(B40,""ja"",""vi"")"),"Là / Chí / one")</f>
        <v>Là / Chí / one</v>
      </c>
      <c r="F40" s="3" t="str">
        <f ca="1">IFERROR(__xludf.DUMMYFUNCTION("GOOGLETRANSLATE(C40,""ja"",""vi"")"),"Đấu giá&gt; Thời trang&gt; By Nhãn hiệu&gt; là / Chí / hai")</f>
        <v>Đấu giá&gt; Thời trang&gt; By Nhãn hiệu&gt; là / Chí / hai</v>
      </c>
      <c r="G40" s="229" t="str">
        <f t="shared" ca="1" si="0"/>
        <v>"2084061652" : "Là / Chí / one",</v>
      </c>
      <c r="H40" s="229" t="str">
        <f t="shared" si="1"/>
        <v>&lt;li class="col-md-3"&gt;&lt;a class="text-cut" href="javascript:;"(click)="categoryEvent(2084061652)"&gt;{{"2084061652" | translate}}&lt;/a&gt;&lt;/li&gt;</v>
      </c>
    </row>
    <row r="41" spans="1:8" ht="14.25" customHeight="1">
      <c r="A41" s="2">
        <v>2084061655</v>
      </c>
      <c r="B41" s="2" t="s">
        <v>4216</v>
      </c>
      <c r="C41" s="2" t="s">
        <v>4218</v>
      </c>
      <c r="D41" s="2" t="s">
        <v>4221</v>
      </c>
      <c r="E41" s="3" t="str">
        <f ca="1">IFERROR(__xludf.DUMMYFUNCTION("GOOGLETRANSLATE(B41,""ja"",""vi"")"),"Te")</f>
        <v>Te</v>
      </c>
      <c r="F41" s="3" t="str">
        <f ca="1">IFERROR(__xludf.DUMMYFUNCTION("GOOGLETRANSLATE(C41,""ja"",""vi"")"),"Đấu giá&gt; Thời trang&gt; By Nhãn hiệu&gt; Te")</f>
        <v>Đấu giá&gt; Thời trang&gt; By Nhãn hiệu&gt; Te</v>
      </c>
      <c r="G41" s="229" t="str">
        <f t="shared" ca="1" si="0"/>
        <v>"2084061655" : "Te",</v>
      </c>
      <c r="H41" s="229" t="str">
        <f t="shared" si="1"/>
        <v>&lt;li class="col-md-3"&gt;&lt;a class="text-cut" href="javascript:;"(click)="categoryEvent(2084061655)"&gt;{{"2084061655" | translate}}&lt;/a&gt;&lt;/li&gt;</v>
      </c>
    </row>
    <row r="42" spans="1:8" ht="14.25" customHeight="1">
      <c r="A42" s="2">
        <v>2084061656</v>
      </c>
      <c r="B42" s="2" t="s">
        <v>4227</v>
      </c>
      <c r="C42" s="2" t="s">
        <v>4229</v>
      </c>
      <c r="D42" s="2" t="s">
        <v>4232</v>
      </c>
      <c r="E42" s="3" t="str">
        <f ca="1">IFERROR(__xludf.DUMMYFUNCTION("GOOGLETRANSLATE(B42,""ja"",""vi"")"),"và")</f>
        <v>và</v>
      </c>
      <c r="F42" s="3" t="str">
        <f ca="1">IFERROR(__xludf.DUMMYFUNCTION("GOOGLETRANSLATE(C42,""ja"",""vi"")"),"Đấu giá&gt; Thời trang&gt; By Nhãn hiệu&gt; và")</f>
        <v>Đấu giá&gt; Thời trang&gt; By Nhãn hiệu&gt; và</v>
      </c>
      <c r="G42" s="229" t="str">
        <f t="shared" ca="1" si="0"/>
        <v>"2084061656" : "và",</v>
      </c>
      <c r="H42" s="229" t="str">
        <f t="shared" si="1"/>
        <v>&lt;li class="col-md-3"&gt;&lt;a class="text-cut" href="javascript:;"(click)="categoryEvent(2084061656)"&gt;{{"2084061656" | translate}}&lt;/a&gt;&lt;/li&gt;</v>
      </c>
    </row>
    <row r="43" spans="1:8" ht="14.25" customHeight="1">
      <c r="A43" s="2">
        <v>2084050157</v>
      </c>
      <c r="B43" s="2" t="s">
        <v>4239</v>
      </c>
      <c r="C43" s="2" t="s">
        <v>4243</v>
      </c>
      <c r="D43" s="2" t="s">
        <v>4245</v>
      </c>
      <c r="E43" s="3" t="str">
        <f ca="1">IFERROR(__xludf.DUMMYFUNCTION("GOOGLETRANSLATE(B43,""ja"",""vi"")"),"Làm của ~")</f>
        <v>Làm của ~</v>
      </c>
      <c r="F43" s="3" t="str">
        <f ca="1">IFERROR(__xludf.DUMMYFUNCTION("GOOGLETRANSLATE(C43,""ja"",""vi"")"),"Đấu giá&gt; Thời trang&gt; By Nhãn hiệu&gt; của -")</f>
        <v>Đấu giá&gt; Thời trang&gt; By Nhãn hiệu&gt; của -</v>
      </c>
      <c r="G43" s="229" t="str">
        <f t="shared" ca="1" si="0"/>
        <v>"2084050157" : "Làm của ~",</v>
      </c>
      <c r="H43" s="229" t="str">
        <f t="shared" si="1"/>
        <v>&lt;li class="col-md-3"&gt;&lt;a class="text-cut" href="javascript:;"(click)="categoryEvent(2084050157)"&gt;{{"2084050157" | translate}}&lt;/a&gt;&lt;/li&gt;</v>
      </c>
    </row>
    <row r="44" spans="1:8" ht="14.25" customHeight="1">
      <c r="A44" s="2">
        <v>2084061663</v>
      </c>
      <c r="B44" s="2" t="s">
        <v>4248</v>
      </c>
      <c r="C44" s="2" t="s">
        <v>4250</v>
      </c>
      <c r="D44" s="2" t="s">
        <v>4252</v>
      </c>
      <c r="E44" s="3" t="str">
        <f ca="1">IFERROR(__xludf.DUMMYFUNCTION("GOOGLETRANSLATE(B44,""ja"",""vi"")"),"nó là")</f>
        <v>nó là</v>
      </c>
      <c r="F44" s="3" t="str">
        <f ca="1">IFERROR(__xludf.DUMMYFUNCTION("GOOGLETRANSLATE(C44,""ja"",""vi"")"),"Đấu giá&gt; Thời trang&gt; By Nhãn hiệu&gt; là")</f>
        <v>Đấu giá&gt; Thời trang&gt; By Nhãn hiệu&gt; là</v>
      </c>
      <c r="G44" s="229" t="str">
        <f t="shared" ca="1" si="0"/>
        <v>"2084061663" : "nó là",</v>
      </c>
      <c r="H44" s="229" t="str">
        <f t="shared" si="1"/>
        <v>&lt;li class="col-md-3"&gt;&lt;a class="text-cut" href="javascript:;"(click)="categoryEvent(2084061663)"&gt;{{"2084061663" | translate}}&lt;/a&gt;&lt;/li&gt;</v>
      </c>
    </row>
    <row r="45" spans="1:8" ht="14.25" customHeight="1">
      <c r="A45" s="2">
        <v>2084061664</v>
      </c>
      <c r="B45" s="2" t="s">
        <v>4257</v>
      </c>
      <c r="C45" s="2" t="s">
        <v>4259</v>
      </c>
      <c r="D45" s="2" t="s">
        <v>4261</v>
      </c>
      <c r="E45" s="3" t="str">
        <f ca="1">IFERROR(__xludf.DUMMYFUNCTION("GOOGLETRANSLATE(B45,""ja"",""vi"")"),"rụng")</f>
        <v>rụng</v>
      </c>
      <c r="F45" s="3" t="str">
        <f ca="1">IFERROR(__xludf.DUMMYFUNCTION("GOOGLETRANSLATE(C45,""ja"",""vi"")"),"Đấu giá&gt; Thời trang&gt; By Nhãn hiệu&gt; đổ")</f>
        <v>Đấu giá&gt; Thời trang&gt; By Nhãn hiệu&gt; đổ</v>
      </c>
      <c r="G45" s="229" t="str">
        <f t="shared" ca="1" si="0"/>
        <v>"2084061664" : "rụng",</v>
      </c>
      <c r="H45" s="229" t="str">
        <f t="shared" si="1"/>
        <v>&lt;li class="col-md-3"&gt;&lt;a class="text-cut" href="javascript:;"(click)="categoryEvent(2084061664)"&gt;{{"2084061664" | translate}}&lt;/a&gt;&lt;/li&gt;</v>
      </c>
    </row>
    <row r="46" spans="1:8" ht="14.25" customHeight="1">
      <c r="A46" s="2">
        <v>2084061665</v>
      </c>
      <c r="B46" s="2" t="s">
        <v>4268</v>
      </c>
      <c r="C46" s="2" t="s">
        <v>4270</v>
      </c>
      <c r="D46" s="2" t="s">
        <v>4272</v>
      </c>
      <c r="E46" s="3" t="str">
        <f ca="1">IFERROR(__xludf.DUMMYFUNCTION("GOOGLETRANSLATE(B46,""ja"",""vi"")"),"Fu")</f>
        <v>Fu</v>
      </c>
      <c r="F46" s="3" t="str">
        <f ca="1">IFERROR(__xludf.DUMMYFUNCTION("GOOGLETRANSLATE(C46,""ja"",""vi"")"),"Đấu giá&gt; Thời trang&gt; By Nhãn hiệu&gt; Fu")</f>
        <v>Đấu giá&gt; Thời trang&gt; By Nhãn hiệu&gt; Fu</v>
      </c>
      <c r="G46" s="229" t="str">
        <f t="shared" ca="1" si="0"/>
        <v>"2084061665" : "Fu",</v>
      </c>
      <c r="H46" s="229" t="str">
        <f t="shared" si="1"/>
        <v>&lt;li class="col-md-3"&gt;&lt;a class="text-cut" href="javascript:;"(click)="categoryEvent(2084061665)"&gt;{{"2084061665" | translate}}&lt;/a&gt;&lt;/li&gt;</v>
      </c>
    </row>
    <row r="47" spans="1:8" ht="14.25" customHeight="1">
      <c r="A47" s="2">
        <v>2084061666</v>
      </c>
      <c r="B47" s="2" t="s">
        <v>4281</v>
      </c>
      <c r="C47" s="2" t="s">
        <v>4283</v>
      </c>
      <c r="D47" s="2" t="s">
        <v>4284</v>
      </c>
      <c r="E47" s="3" t="str">
        <f ca="1">IFERROR(__xludf.DUMMYFUNCTION("GOOGLETRANSLATE(B47,""ja"",""vi"")"),"đến")</f>
        <v>đến</v>
      </c>
      <c r="F47" s="3" t="str">
        <f ca="1">IFERROR(__xludf.DUMMYFUNCTION("GOOGLETRANSLATE(C47,""ja"",""vi"")"),"Đấu giá&gt; Thời trang&gt; By Nhãn hiệu&gt; để")</f>
        <v>Đấu giá&gt; Thời trang&gt; By Nhãn hiệu&gt; để</v>
      </c>
      <c r="G47" s="229" t="str">
        <f t="shared" ca="1" si="0"/>
        <v>"2084061666" : "đến",</v>
      </c>
      <c r="H47" s="229" t="str">
        <f t="shared" si="1"/>
        <v>&lt;li class="col-md-3"&gt;&lt;a class="text-cut" href="javascript:;"(click)="categoryEvent(2084061666)"&gt;{{"2084061666" | translate}}&lt;/a&gt;&lt;/li&gt;</v>
      </c>
    </row>
    <row r="48" spans="1:8" ht="14.25" customHeight="1">
      <c r="A48" s="2">
        <v>2084061667</v>
      </c>
      <c r="B48" s="2" t="s">
        <v>4292</v>
      </c>
      <c r="C48" s="2" t="s">
        <v>4294</v>
      </c>
      <c r="D48" s="2" t="s">
        <v>4295</v>
      </c>
      <c r="E48" s="3" t="str">
        <f ca="1">IFERROR(__xludf.DUMMYFUNCTION("GOOGLETRANSLATE(B48,""ja"",""vi"")"),"Hồ")</f>
        <v>Hồ</v>
      </c>
      <c r="F48" s="3" t="str">
        <f ca="1">IFERROR(__xludf.DUMMYFUNCTION("GOOGLETRANSLATE(C48,""ja"",""vi"")"),"Đấu giá&gt; Thời trang&gt; By Nhãn hiệu&gt; ho")</f>
        <v>Đấu giá&gt; Thời trang&gt; By Nhãn hiệu&gt; ho</v>
      </c>
      <c r="G48" s="229" t="str">
        <f t="shared" ca="1" si="0"/>
        <v>"2084061667" : "Hồ",</v>
      </c>
      <c r="H48" s="229" t="str">
        <f t="shared" si="1"/>
        <v>&lt;li class="col-md-3"&gt;&lt;a class="text-cut" href="javascript:;"(click)="categoryEvent(2084061667)"&gt;{{"2084061667" | translate}}&lt;/a&gt;&lt;/li&gt;</v>
      </c>
    </row>
    <row r="49" spans="1:8" ht="14.25" customHeight="1">
      <c r="A49" s="2">
        <v>2084061759</v>
      </c>
      <c r="B49" s="2" t="s">
        <v>4301</v>
      </c>
      <c r="C49" s="2" t="s">
        <v>4302</v>
      </c>
      <c r="D49" s="2" t="s">
        <v>4303</v>
      </c>
      <c r="E49" s="3" t="str">
        <f ca="1">IFERROR(__xludf.DUMMYFUNCTION("GOOGLETRANSLATE(B49,""ja"",""vi"")"),"hoặc")</f>
        <v>hoặc</v>
      </c>
      <c r="F49" s="3" t="str">
        <f ca="1">IFERROR(__xludf.DUMMYFUNCTION("GOOGLETRANSLATE(C49,""ja"",""vi"")"),"Đấu giá&gt; Thời trang&gt; By Nhãn hiệu&gt; hoặc")</f>
        <v>Đấu giá&gt; Thời trang&gt; By Nhãn hiệu&gt; hoặc</v>
      </c>
      <c r="G49" s="229" t="str">
        <f t="shared" ca="1" si="0"/>
        <v>"2084061759" : "hoặc",</v>
      </c>
      <c r="H49" s="229" t="str">
        <f t="shared" si="1"/>
        <v>&lt;li class="col-md-3"&gt;&lt;a class="text-cut" href="javascript:;"(click)="categoryEvent(2084061759)"&gt;{{"2084061759" | translate}}&lt;/a&gt;&lt;/li&gt;</v>
      </c>
    </row>
    <row r="50" spans="1:8" ht="14.25" customHeight="1">
      <c r="A50" s="2">
        <v>2084061760</v>
      </c>
      <c r="B50" s="2" t="s">
        <v>4309</v>
      </c>
      <c r="C50" s="2" t="s">
        <v>4313</v>
      </c>
      <c r="D50" s="2" t="s">
        <v>4315</v>
      </c>
      <c r="E50" s="3" t="str">
        <f ca="1">IFERROR(__xludf.DUMMYFUNCTION("GOOGLETRANSLATE(B50,""ja"",""vi"")"),"thân thể")</f>
        <v>thân thể</v>
      </c>
      <c r="F50" s="3" t="str">
        <f ca="1">IFERROR(__xludf.DUMMYFUNCTION("GOOGLETRANSLATE(C50,""ja"",""vi"")"),"Đấu giá&gt; Thời trang&gt; By Nhãn hiệu&gt; chỉ")</f>
        <v>Đấu giá&gt; Thời trang&gt; By Nhãn hiệu&gt; chỉ</v>
      </c>
      <c r="G50" s="229" t="str">
        <f t="shared" ca="1" si="0"/>
        <v>"2084061760" : "thân thể",</v>
      </c>
      <c r="H50" s="229" t="str">
        <f t="shared" si="1"/>
        <v>&lt;li class="col-md-3"&gt;&lt;a class="text-cut" href="javascript:;"(click)="categoryEvent(2084061760)"&gt;{{"2084061760" | translate}}&lt;/a&gt;&lt;/li&gt;</v>
      </c>
    </row>
    <row r="51" spans="1:8" ht="14.25" customHeight="1">
      <c r="A51" s="2">
        <v>2084061762</v>
      </c>
      <c r="B51" s="2" t="s">
        <v>4322</v>
      </c>
      <c r="C51" s="2" t="s">
        <v>4323</v>
      </c>
      <c r="D51" s="2" t="s">
        <v>4324</v>
      </c>
      <c r="E51" s="3" t="str">
        <f ca="1">IFERROR(__xludf.DUMMYFUNCTION("GOOGLETRANSLATE(B51,""ja"",""vi"")"),"Không / mắt / thậm chí")</f>
        <v>Không / mắt / thậm chí</v>
      </c>
      <c r="F51" s="3" t="str">
        <f ca="1">IFERROR(__xludf.DUMMYFUNCTION("GOOGLETRANSLATE(C51,""ja"",""vi"")"),"Đấu giá&gt; Thời trang&gt; By Nhãn hiệu&gt; Không / mắt / thậm chí")</f>
        <v>Đấu giá&gt; Thời trang&gt; By Nhãn hiệu&gt; Không / mắt / thậm chí</v>
      </c>
      <c r="G51" s="229" t="str">
        <f t="shared" ca="1" si="0"/>
        <v>"2084061762" : "Không / mắt / thậm chí",</v>
      </c>
      <c r="H51" s="229" t="str">
        <f t="shared" si="1"/>
        <v>&lt;li class="col-md-3"&gt;&lt;a class="text-cut" href="javascript:;"(click)="categoryEvent(2084061762)"&gt;{{"2084061762" | translate}}&lt;/a&gt;&lt;/li&gt;</v>
      </c>
    </row>
    <row r="52" spans="1:8" ht="14.25" customHeight="1">
      <c r="A52" s="2">
        <v>2084050160</v>
      </c>
      <c r="B52" s="2" t="s">
        <v>4331</v>
      </c>
      <c r="C52" s="2" t="s">
        <v>4332</v>
      </c>
      <c r="D52" s="2" t="s">
        <v>4333</v>
      </c>
      <c r="E52" s="3" t="str">
        <f ca="1">IFERROR(__xludf.DUMMYFUNCTION("GOOGLETRANSLATE(B52,""ja"",""vi"")"),"Và / Yu /")</f>
        <v>Và / Yu /</v>
      </c>
      <c r="F52" s="3" t="str">
        <f ca="1">IFERROR(__xludf.DUMMYFUNCTION("GOOGLETRANSLATE(C52,""ja"",""vi"")"),"Đấu giá&gt; Thời trang&gt; By Nhãn hiệu&gt; và / Yu /")</f>
        <v>Đấu giá&gt; Thời trang&gt; By Nhãn hiệu&gt; và / Yu /</v>
      </c>
      <c r="G52" s="229" t="str">
        <f t="shared" ca="1" si="0"/>
        <v>"2084050160" : "Và / Yu /",</v>
      </c>
      <c r="H52" s="229" t="str">
        <f t="shared" si="1"/>
        <v>&lt;li class="col-md-3"&gt;&lt;a class="text-cut" href="javascript:;"(click)="categoryEvent(2084050160)"&gt;{{"2084050160" | translate}}&lt;/a&gt;&lt;/li&gt;</v>
      </c>
    </row>
    <row r="53" spans="1:8" ht="14.25" customHeight="1">
      <c r="A53" s="2">
        <v>2084061764</v>
      </c>
      <c r="B53" s="2" t="s">
        <v>4340</v>
      </c>
      <c r="C53" s="2" t="s">
        <v>4341</v>
      </c>
      <c r="D53" s="2" t="s">
        <v>4345</v>
      </c>
      <c r="E53" s="3" t="str">
        <f ca="1">IFERROR(__xludf.DUMMYFUNCTION("GOOGLETRANSLATE(B53,""ja"",""vi"")"),"Et al.")</f>
        <v>Et al.</v>
      </c>
      <c r="F53" s="3" t="str">
        <f ca="1">IFERROR(__xludf.DUMMYFUNCTION("GOOGLETRANSLATE(C53,""ja"",""vi"")"),"Đấu giá&gt; Thời trang&gt; By Nhãn hiệu&gt; et al.")</f>
        <v>Đấu giá&gt; Thời trang&gt; By Nhãn hiệu&gt; et al.</v>
      </c>
      <c r="G53" s="229" t="str">
        <f t="shared" ca="1" si="0"/>
        <v>"2084061764" : "Et al.",</v>
      </c>
      <c r="H53" s="229" t="str">
        <f t="shared" si="1"/>
        <v>&lt;li class="col-md-3"&gt;&lt;a class="text-cut" href="javascript:;"(click)="categoryEvent(2084061764)"&gt;{{"2084061764" | translate}}&lt;/a&gt;&lt;/li&gt;</v>
      </c>
    </row>
    <row r="54" spans="1:8" ht="14.25" customHeight="1">
      <c r="A54" s="2">
        <v>2084061765</v>
      </c>
      <c r="B54" s="2" t="s">
        <v>4348</v>
      </c>
      <c r="C54" s="2" t="s">
        <v>4351</v>
      </c>
      <c r="D54" s="2" t="s">
        <v>4354</v>
      </c>
      <c r="E54" s="3" t="str">
        <f ca="1">IFERROR(__xludf.DUMMYFUNCTION("GOOGLETRANSLATE(B54,""ja"",""vi"")"),"Ri")</f>
        <v>Ri</v>
      </c>
      <c r="F54" s="3" t="str">
        <f ca="1">IFERROR(__xludf.DUMMYFUNCTION("GOOGLETRANSLATE(C54,""ja"",""vi"")"),"Đấu giá&gt; Thời trang&gt; By Nhãn hiệu&gt; Ri")</f>
        <v>Đấu giá&gt; Thời trang&gt; By Nhãn hiệu&gt; Ri</v>
      </c>
      <c r="G54" s="229" t="str">
        <f t="shared" ca="1" si="0"/>
        <v>"2084061765" : "Ri",</v>
      </c>
      <c r="H54" s="229" t="str">
        <f t="shared" si="1"/>
        <v>&lt;li class="col-md-3"&gt;&lt;a class="text-cut" href="javascript:;"(click)="categoryEvent(2084061765)"&gt;{{"2084061765" | translate}}&lt;/a&gt;&lt;/li&gt;</v>
      </c>
    </row>
    <row r="55" spans="1:8" ht="14.25" customHeight="1">
      <c r="A55" s="2">
        <v>2084061766</v>
      </c>
      <c r="B55" s="2" t="s">
        <v>4356</v>
      </c>
      <c r="C55" s="2" t="s">
        <v>4358</v>
      </c>
      <c r="D55" s="2" t="s">
        <v>4361</v>
      </c>
      <c r="E55" s="3" t="str">
        <f ca="1">IFERROR(__xludf.DUMMYFUNCTION("GOOGLETRANSLATE(B55,""ja"",""vi"")"),"điều đó")</f>
        <v>điều đó</v>
      </c>
      <c r="F55" s="3" t="str">
        <f ca="1">IFERROR(__xludf.DUMMYFUNCTION("GOOGLETRANSLATE(C55,""ja"",""vi"")"),"Đấu giá&gt; Thời trang&gt; By Nhãn hiệu&gt; Ru")</f>
        <v>Đấu giá&gt; Thời trang&gt; By Nhãn hiệu&gt; Ru</v>
      </c>
      <c r="G55" s="229" t="str">
        <f t="shared" ca="1" si="0"/>
        <v>"2084061766" : "điều đó",</v>
      </c>
      <c r="H55" s="229" t="str">
        <f t="shared" si="1"/>
        <v>&lt;li class="col-md-3"&gt;&lt;a class="text-cut" href="javascript:;"(click)="categoryEvent(2084061766)"&gt;{{"2084061766" | translate}}&lt;/a&gt;&lt;/li&gt;</v>
      </c>
    </row>
    <row r="56" spans="1:8" ht="14.25" customHeight="1">
      <c r="A56" s="2">
        <v>2084061767</v>
      </c>
      <c r="B56" s="2" t="s">
        <v>4363</v>
      </c>
      <c r="C56" s="2" t="s">
        <v>4365</v>
      </c>
      <c r="D56" s="2" t="s">
        <v>4367</v>
      </c>
      <c r="E56" s="3" t="str">
        <f ca="1">IFERROR(__xludf.DUMMYFUNCTION("GOOGLETRANSLATE(B56,""ja"",""vi"")"),"Re")</f>
        <v>Re</v>
      </c>
      <c r="F56" s="3" t="str">
        <f ca="1">IFERROR(__xludf.DUMMYFUNCTION("GOOGLETRANSLATE(C56,""ja"",""vi"")"),"Đấu giá&gt; Thời trang&gt; By Nhãn hiệu&gt; Re")</f>
        <v>Đấu giá&gt; Thời trang&gt; By Nhãn hiệu&gt; Re</v>
      </c>
      <c r="G56" s="229" t="str">
        <f t="shared" ca="1" si="0"/>
        <v>"2084061767" : "Re",</v>
      </c>
      <c r="H56" s="229" t="str">
        <f t="shared" si="1"/>
        <v>&lt;li class="col-md-3"&gt;&lt;a class="text-cut" href="javascript:;"(click)="categoryEvent(2084061767)"&gt;{{"2084061767" | translate}}&lt;/a&gt;&lt;/li&gt;</v>
      </c>
    </row>
    <row r="57" spans="1:8" ht="14.25" customHeight="1">
      <c r="A57" s="2">
        <v>2084061768</v>
      </c>
      <c r="B57" s="2" t="s">
        <v>4371</v>
      </c>
      <c r="C57" s="2" t="s">
        <v>4373</v>
      </c>
      <c r="D57" s="2" t="s">
        <v>4375</v>
      </c>
      <c r="E57" s="3" t="str">
        <f ca="1">IFERROR(__xludf.DUMMYFUNCTION("GOOGLETRANSLATE(B57,""ja"",""vi"")"),"Dịch lọc")</f>
        <v>Dịch lọc</v>
      </c>
      <c r="F57" s="3" t="str">
        <f ca="1">IFERROR(__xludf.DUMMYFUNCTION("GOOGLETRANSLATE(C57,""ja"",""vi"")"),"Đấu giá&gt; Thời trang&gt; By Nhãn hiệu&gt; lọc")</f>
        <v>Đấu giá&gt; Thời trang&gt; By Nhãn hiệu&gt; lọc</v>
      </c>
      <c r="G57" s="229" t="str">
        <f t="shared" ca="1" si="0"/>
        <v>"2084061768" : "Dịch lọc",</v>
      </c>
      <c r="H57" s="229" t="str">
        <f t="shared" si="1"/>
        <v>&lt;li class="col-md-3"&gt;&lt;a class="text-cut" href="javascript:;"(click)="categoryEvent(2084061768)"&gt;{{"2084061768" | translate}}&lt;/a&gt;&lt;/li&gt;</v>
      </c>
    </row>
    <row r="58" spans="1:8" ht="14.25" customHeight="1">
      <c r="A58" s="2">
        <v>2084050162</v>
      </c>
      <c r="B58" s="2" t="s">
        <v>4379</v>
      </c>
      <c r="C58" s="2" t="s">
        <v>4381</v>
      </c>
      <c r="D58" s="2" t="s">
        <v>4383</v>
      </c>
      <c r="E58" s="3" t="str">
        <f ca="1">IFERROR(__xludf.DUMMYFUNCTION("GOOGLETRANSLATE(B58,""ja"",""vi"")"),"")</f>
        <v/>
      </c>
      <c r="F58" s="3" t="str">
        <f ca="1">IFERROR(__xludf.DUMMYFUNCTION("GOOGLETRANSLATE(C58,""ja"",""vi"")"),"Đấu giá&gt; Thời trang&gt; By Nhãn hiệu&gt;")</f>
        <v>Đấu giá&gt; Thời trang&gt; By Nhãn hiệu&gt;</v>
      </c>
      <c r="G58" s="229" t="str">
        <f t="shared" ca="1" si="0"/>
        <v>"2084050162" : "",</v>
      </c>
      <c r="H58" s="229" t="str">
        <f t="shared" si="1"/>
        <v>&lt;li class="col-md-3"&gt;&lt;a class="text-cut" href="javascript:;"(click)="categoryEvent(2084050162)"&gt;{{"2084050162" | translate}}&lt;/a&gt;&lt;/li&gt;</v>
      </c>
    </row>
    <row r="59" spans="1:8" ht="14.25" customHeight="1">
      <c r="E59" s="3"/>
      <c r="F59" s="3"/>
      <c r="G59" s="229"/>
      <c r="H59" s="229"/>
    </row>
    <row r="60" spans="1:8" ht="14.25" customHeight="1">
      <c r="A60" s="239">
        <v>23288</v>
      </c>
      <c r="B60" s="232"/>
      <c r="C60" s="232"/>
      <c r="D60" s="233"/>
      <c r="E60" s="3"/>
      <c r="F60" s="3"/>
      <c r="G60" s="229"/>
      <c r="H60" s="229"/>
    </row>
    <row r="61" spans="1:8" ht="14.25" customHeight="1">
      <c r="A61" s="88">
        <v>2084005207</v>
      </c>
      <c r="B61" s="2" t="s">
        <v>4404</v>
      </c>
      <c r="C61" s="2" t="s">
        <v>4409</v>
      </c>
      <c r="D61" s="2" t="s">
        <v>4412</v>
      </c>
      <c r="E61" s="3" t="str">
        <f ca="1">IFERROR(__xludf.DUMMYFUNCTION("GOOGLETRANSLATE(B61,""ja"",""vi"")"),"áo")</f>
        <v>áo</v>
      </c>
      <c r="F61" s="3" t="str">
        <f ca="1">IFERROR(__xludf.DUMMYFUNCTION("GOOGLETRANSLATE(C61,""ja"",""vi"")"),"Đấu giá&gt; Thời trang&gt; Quần áo nữ&gt; áo")</f>
        <v>Đấu giá&gt; Thời trang&gt; Quần áo nữ&gt; áo</v>
      </c>
      <c r="G61" s="229" t="str">
        <f t="shared" ca="1" si="0"/>
        <v>"2084005207" : "áo",</v>
      </c>
      <c r="H61" s="229" t="str">
        <f t="shared" si="1"/>
        <v>&lt;li class="col-md-3"&gt;&lt;a class="text-cut" href="javascript:;"(click)="categoryEvent(2084005207)"&gt;{{"2084005207" | translate}}&lt;/a&gt;&lt;/li&gt;</v>
      </c>
    </row>
    <row r="62" spans="1:8" ht="14.25" customHeight="1">
      <c r="A62" s="88">
        <v>23308</v>
      </c>
      <c r="B62" s="2" t="s">
        <v>4414</v>
      </c>
      <c r="C62" s="2" t="s">
        <v>4415</v>
      </c>
      <c r="D62" s="2" t="s">
        <v>4416</v>
      </c>
      <c r="E62" s="3" t="str">
        <f ca="1">IFERROR(__xludf.DUMMYFUNCTION("GOOGLETRANSLATE(B62,""ja"",""vi"")"),"Áo khoác, áo khoác")</f>
        <v>Áo khoác, áo khoác</v>
      </c>
      <c r="F62" s="3" t="str">
        <f ca="1">IFERROR(__xludf.DUMMYFUNCTION("GOOGLETRANSLATE(C62,""ja"",""vi"")"),"Đấu giá&gt; Thời trang&gt; Phụ nữ thời trang&gt; áo khoác, áo khoác")</f>
        <v>Đấu giá&gt; Thời trang&gt; Phụ nữ thời trang&gt; áo khoác, áo khoác</v>
      </c>
      <c r="G62" s="229" t="str">
        <f t="shared" ca="1" si="0"/>
        <v>"23308" : "Áo khoác, áo khoác",</v>
      </c>
      <c r="H62" s="229" t="str">
        <f t="shared" si="1"/>
        <v>&lt;li class="col-md-3"&gt;&lt;a class="text-cut" href="javascript:;"(click)="categoryEvent(23308)"&gt;{{"23308" | translate}}&lt;/a&gt;&lt;/li&gt;</v>
      </c>
    </row>
    <row r="63" spans="1:8" ht="14.25" customHeight="1">
      <c r="A63" s="88">
        <v>2084005211</v>
      </c>
      <c r="B63" s="2" t="s">
        <v>4421</v>
      </c>
      <c r="C63" s="2" t="s">
        <v>4422</v>
      </c>
      <c r="D63" s="2" t="s">
        <v>4423</v>
      </c>
      <c r="E63" s="3" t="str">
        <f ca="1">IFERROR(__xludf.DUMMYFUNCTION("GOOGLETRANSLATE(B63,""ja"",""vi"")"),"áo nịt")</f>
        <v>áo nịt</v>
      </c>
      <c r="F63" s="3" t="str">
        <f ca="1">IFERROR(__xludf.DUMMYFUNCTION("GOOGLETRANSLATE(C63,""ja"",""vi"")"),"Đấu giá&gt; Thời trang&gt; Thời trang nữ&gt; cardigan")</f>
        <v>Đấu giá&gt; Thời trang&gt; Thời trang nữ&gt; cardigan</v>
      </c>
      <c r="G63" s="229" t="str">
        <f t="shared" ca="1" si="0"/>
        <v>"2084005211" : "áo nịt",</v>
      </c>
      <c r="H63" s="229" t="str">
        <f t="shared" si="1"/>
        <v>&lt;li class="col-md-3"&gt;&lt;a class="text-cut" href="javascript:;"(click)="categoryEvent(2084005211)"&gt;{{"2084005211" | translate}}&lt;/a&gt;&lt;/li&gt;</v>
      </c>
    </row>
    <row r="64" spans="1:8" ht="14.25" customHeight="1">
      <c r="A64" s="88">
        <v>2084007139</v>
      </c>
      <c r="B64" s="2" t="s">
        <v>4427</v>
      </c>
      <c r="C64" s="2" t="s">
        <v>4428</v>
      </c>
      <c r="D64" s="2" t="s">
        <v>4430</v>
      </c>
      <c r="E64" s="3" t="str">
        <f ca="1">IFERROR(__xludf.DUMMYFUNCTION("GOOGLETRANSLATE(B64,""ja"",""vi"")"),"đan Ensemble")</f>
        <v>đan Ensemble</v>
      </c>
      <c r="F64" s="3" t="str">
        <f ca="1">IFERROR(__xludf.DUMMYFUNCTION("GOOGLETRANSLATE(C64,""ja"",""vi"")"),"Đấu giá&gt; Thời trang&gt; Thời trang nữ&gt; đan quần")</f>
        <v>Đấu giá&gt; Thời trang&gt; Thời trang nữ&gt; đan quần</v>
      </c>
      <c r="G64" s="229" t="str">
        <f t="shared" ca="1" si="0"/>
        <v>"2084007139" : "đan Ensemble",</v>
      </c>
      <c r="H64" s="229" t="str">
        <f t="shared" si="1"/>
        <v>&lt;li class="col-md-3"&gt;&lt;a class="text-cut" href="javascript:;"(click)="categoryEvent(2084007139)"&gt;{{"2084007139" | translate}}&lt;/a&gt;&lt;/li&gt;</v>
      </c>
    </row>
    <row r="65" spans="1:8" ht="14.25" customHeight="1">
      <c r="A65" s="88">
        <v>2084005283</v>
      </c>
      <c r="B65" s="2" t="s">
        <v>4436</v>
      </c>
      <c r="C65" s="2" t="s">
        <v>4437</v>
      </c>
      <c r="D65" s="2" t="s">
        <v>4438</v>
      </c>
      <c r="E65" s="3" t="str">
        <f ca="1">IFERROR(__xludf.DUMMYFUNCTION("GOOGLETRANSLATE(B65,""ja"",""vi"")"),"Hàng dệt kim, áo len")</f>
        <v>Hàng dệt kim, áo len</v>
      </c>
      <c r="F65" s="3" t="str">
        <f ca="1">IFERROR(__xludf.DUMMYFUNCTION("GOOGLETRANSLATE(C65,""ja"",""vi"")"),"Đấu giá&gt; Thời trang&gt; Thời trang nữ&gt; dệt kim, áo len")</f>
        <v>Đấu giá&gt; Thời trang&gt; Thời trang nữ&gt; dệt kim, áo len</v>
      </c>
      <c r="G65" s="229" t="str">
        <f t="shared" ca="1" si="0"/>
        <v>"2084005283" : "Hàng dệt kim, áo len",</v>
      </c>
      <c r="H65" s="229" t="str">
        <f t="shared" si="1"/>
        <v>&lt;li class="col-md-3"&gt;&lt;a class="text-cut" href="javascript:;"(click)="categoryEvent(2084005283)"&gt;{{"2084005283" | translate}}&lt;/a&gt;&lt;/li&gt;</v>
      </c>
    </row>
    <row r="66" spans="1:8" ht="14.25" customHeight="1">
      <c r="A66" s="88">
        <v>2084007141</v>
      </c>
      <c r="B66" s="2" t="s">
        <v>4445</v>
      </c>
      <c r="C66" s="2" t="s">
        <v>4446</v>
      </c>
      <c r="D66" s="2" t="s">
        <v>4447</v>
      </c>
      <c r="E66" s="3" t="str">
        <f ca="1">IFERROR(__xludf.DUMMYFUNCTION("GOOGLETRANSLATE(B66,""ja"",""vi"")"),"tốt")</f>
        <v>tốt</v>
      </c>
      <c r="F66" s="3" t="str">
        <f ca="1">IFERROR(__xludf.DUMMYFUNCTION("GOOGLETRANSLATE(C66,""ja"",""vi"")"),"Đấu giá&gt; Thời trang&gt; Phụ nữ Quần áo&gt; xuất sắc nhất")</f>
        <v>Đấu giá&gt; Thời trang&gt; Phụ nữ Quần áo&gt; xuất sắc nhất</v>
      </c>
      <c r="G66" s="229" t="str">
        <f t="shared" ca="1" si="0"/>
        <v>"2084007141" : "tốt",</v>
      </c>
      <c r="H66" s="229" t="str">
        <f t="shared" si="1"/>
        <v>&lt;li class="col-md-3"&gt;&lt;a class="text-cut" href="javascript:;"(click)="categoryEvent(2084007141)"&gt;{{"2084007141" | translate}}&lt;/a&gt;&lt;/li&gt;</v>
      </c>
    </row>
    <row r="67" spans="1:8" ht="14.25" customHeight="1">
      <c r="A67" s="88">
        <v>2084007140</v>
      </c>
      <c r="B67" s="2" t="s">
        <v>4451</v>
      </c>
      <c r="C67" s="2" t="s">
        <v>4452</v>
      </c>
      <c r="D67" s="2" t="s">
        <v>4454</v>
      </c>
      <c r="E67" s="3" t="str">
        <f ca="1">IFERROR(__xludf.DUMMYFUNCTION("GOOGLETRANSLATE(B67,""ja"",""vi"")"),"huấn luyện viên")</f>
        <v>huấn luyện viên</v>
      </c>
      <c r="F67" s="3" t="str">
        <f ca="1">IFERROR(__xludf.DUMMYFUNCTION("GOOGLETRANSLATE(C67,""ja"",""vi"")"),"Đấu giá&gt; Thời trang&gt; Thời trang nữ&gt; huấn luyện viên")</f>
        <v>Đấu giá&gt; Thời trang&gt; Thời trang nữ&gt; huấn luyện viên</v>
      </c>
      <c r="G67" s="229" t="str">
        <f t="shared" ref="G67:G130" ca="1" si="2">CONCATENATE(CHAR(34)&amp;"",A67,""&amp;CHAR(34)," : ", CHAR(34)&amp;"",E67,""&amp;CHAR(34),",")</f>
        <v>"2084007140" : "huấn luyện viên",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href="javascript:;"(click)="categoryEvent(2084007140)"&gt;{{"2084007140" | translate}}&lt;/a&gt;&lt;/li&gt;</v>
      </c>
    </row>
    <row r="68" spans="1:8" ht="14.25" customHeight="1">
      <c r="A68" s="88">
        <v>2084007127</v>
      </c>
      <c r="B68" s="2" t="s">
        <v>4457</v>
      </c>
      <c r="C68" s="2" t="s">
        <v>4458</v>
      </c>
      <c r="D68" s="2" t="s">
        <v>4459</v>
      </c>
      <c r="E68" s="3" t="str">
        <f ca="1">IFERROR(__xludf.DUMMYFUNCTION("GOOGLETRANSLATE(B68,""ja"",""vi"")"),"cắt")</f>
        <v>cắt</v>
      </c>
      <c r="F68" s="3" t="str">
        <f ca="1">IFERROR(__xludf.DUMMYFUNCTION("GOOGLETRANSLATE(C68,""ja"",""vi"")"),"Đấu giá&gt; Thời trang&gt; Thời trang nữ&gt; Cut")</f>
        <v>Đấu giá&gt; Thời trang&gt; Thời trang nữ&gt; Cut</v>
      </c>
      <c r="G68" s="229" t="str">
        <f t="shared" ca="1" si="2"/>
        <v>"2084007127" : "cắt",</v>
      </c>
      <c r="H68" s="229" t="str">
        <f t="shared" si="3"/>
        <v>&lt;li class="col-md-3"&gt;&lt;a class="text-cut" href="javascript:;"(click)="categoryEvent(2084007127)"&gt;{{"2084007127" | translate}}&lt;/a&gt;&lt;/li&gt;</v>
      </c>
    </row>
    <row r="69" spans="1:8" ht="14.25" customHeight="1">
      <c r="A69" s="88">
        <v>42184</v>
      </c>
      <c r="B69" s="2" t="s">
        <v>4465</v>
      </c>
      <c r="C69" s="2" t="s">
        <v>4467</v>
      </c>
      <c r="D69" s="2" t="s">
        <v>4468</v>
      </c>
      <c r="E69" s="3" t="str">
        <f ca="1">IFERROR(__xludf.DUMMYFUNCTION("GOOGLETRANSLATE(B69,""ja"",""vi"")"),"Áo sơ mi và áo cánh")</f>
        <v>Áo sơ mi và áo cánh</v>
      </c>
      <c r="F69" s="3" t="str">
        <f ca="1">IFERROR(__xludf.DUMMYFUNCTION("GOOGLETRANSLATE(C69,""ja"",""vi"")"),"Đấu giá&gt; Thời trang&gt; Phụ nữ thời trang&gt; áo sơ mi, áo")</f>
        <v>Đấu giá&gt; Thời trang&gt; Phụ nữ thời trang&gt; áo sơ mi, áo</v>
      </c>
      <c r="G69" s="229" t="str">
        <f t="shared" ca="1" si="2"/>
        <v>"42184" : "Áo sơ mi và áo cánh",</v>
      </c>
      <c r="H69" s="229" t="str">
        <f t="shared" si="3"/>
        <v>&lt;li class="col-md-3"&gt;&lt;a class="text-cut" href="javascript:;"(click)="categoryEvent(42184)"&gt;{{"42184" | translate}}&lt;/a&gt;&lt;/li&gt;</v>
      </c>
    </row>
    <row r="70" spans="1:8" ht="14.25" customHeight="1">
      <c r="A70" s="88">
        <v>2084231768</v>
      </c>
      <c r="B70" s="2" t="s">
        <v>4475</v>
      </c>
      <c r="C70" s="2" t="s">
        <v>4477</v>
      </c>
      <c r="D70" s="2" t="s">
        <v>4480</v>
      </c>
      <c r="E70" s="3" t="str">
        <f ca="1">IFERROR(__xludf.DUMMYFUNCTION("GOOGLETRANSLATE(B70,""ja"",""vi"")"),"áo của giám mục")</f>
        <v>áo của giám mục</v>
      </c>
      <c r="F70" s="3" t="str">
        <f ca="1">IFERROR(__xludf.DUMMYFUNCTION("GOOGLETRANSLATE(C70,""ja"",""vi"")"),"Đấu giá&gt; Thời trang&gt; Thời trang nữ&gt; áo dài")</f>
        <v>Đấu giá&gt; Thời trang&gt; Thời trang nữ&gt; áo dài</v>
      </c>
      <c r="G70" s="229" t="str">
        <f t="shared" ca="1" si="2"/>
        <v>"2084231768" : "áo của giám mục",</v>
      </c>
      <c r="H70" s="229" t="str">
        <f t="shared" si="3"/>
        <v>&lt;li class="col-md-3"&gt;&lt;a class="text-cut" href="javascript:;"(click)="categoryEvent(2084231768)"&gt;{{"2084231768" | translate}}&lt;/a&gt;&lt;/li&gt;</v>
      </c>
    </row>
    <row r="71" spans="1:8" ht="14.25" customHeight="1">
      <c r="A71" s="88">
        <v>2084005452</v>
      </c>
      <c r="B71" s="2" t="s">
        <v>969</v>
      </c>
      <c r="C71" s="2" t="s">
        <v>4486</v>
      </c>
      <c r="D71" s="2" t="s">
        <v>4489</v>
      </c>
      <c r="E71" s="3" t="str">
        <f ca="1">IFERROR(__xludf.DUMMYFUNCTION("GOOGLETRANSLATE(B71,""ja"",""vi"")"),"Một T-shirt")</f>
        <v>Một T-shirt</v>
      </c>
      <c r="F71" s="3" t="str">
        <f ca="1">IFERROR(__xludf.DUMMYFUNCTION("GOOGLETRANSLATE(C71,""ja"",""vi"")"),"Đấu giá&gt; Thời trang&gt; Phụ nữ Quần áo&gt; T-Shirts")</f>
        <v>Đấu giá&gt; Thời trang&gt; Phụ nữ Quần áo&gt; T-Shirts</v>
      </c>
      <c r="G71" s="229" t="str">
        <f t="shared" ca="1" si="2"/>
        <v>"2084005452" : "Một T-shirt",</v>
      </c>
      <c r="H71" s="229" t="str">
        <f t="shared" si="3"/>
        <v>&lt;li class="col-md-3"&gt;&lt;a class="text-cut" href="javascript:;"(click)="categoryEvent(2084005452)"&gt;{{"2084005452" | translate}}&lt;/a&gt;&lt;/li&gt;</v>
      </c>
    </row>
    <row r="72" spans="1:8" ht="14.25" customHeight="1">
      <c r="A72" s="88">
        <v>2084007142</v>
      </c>
      <c r="B72" s="2" t="s">
        <v>4492</v>
      </c>
      <c r="C72" s="2" t="s">
        <v>4493</v>
      </c>
      <c r="D72" s="2" t="s">
        <v>4494</v>
      </c>
      <c r="E72" s="3" t="str">
        <f ca="1">IFERROR(__xludf.DUMMYFUNCTION("GOOGLETRANSLATE(B72,""ja"",""vi"")"),"Polo Shirt")</f>
        <v>Polo Shirt</v>
      </c>
      <c r="F72" s="3" t="str">
        <f ca="1">IFERROR(__xludf.DUMMYFUNCTION("GOOGLETRANSLATE(C72,""ja"",""vi"")"),"Đấu giá&gt; Thời trang&gt; Quần áo nữ&gt; Polo")</f>
        <v>Đấu giá&gt; Thời trang&gt; Quần áo nữ&gt; Polo</v>
      </c>
      <c r="G72" s="229" t="str">
        <f t="shared" ca="1" si="2"/>
        <v>"2084007142" : "Polo Shirt",</v>
      </c>
      <c r="H72" s="229" t="str">
        <f t="shared" si="3"/>
        <v>&lt;li class="col-md-3"&gt;&lt;a class="text-cut" href="javascript:;"(click)="categoryEvent(2084007142)"&gt;{{"2084007142" | translate}}&lt;/a&gt;&lt;/li&gt;</v>
      </c>
    </row>
    <row r="73" spans="1:8" ht="14.25" customHeight="1">
      <c r="A73" s="88">
        <v>2084064258</v>
      </c>
      <c r="B73" s="2" t="s">
        <v>4499</v>
      </c>
      <c r="C73" s="2" t="s">
        <v>4501</v>
      </c>
      <c r="D73" s="2" t="s">
        <v>4503</v>
      </c>
      <c r="E73" s="3" t="str">
        <f ca="1">IFERROR(__xludf.DUMMYFUNCTION("GOOGLETRANSLATE(B73,""ja"",""vi"")"),"yếm trong")</f>
        <v>yếm trong</v>
      </c>
      <c r="F73" s="3" t="str">
        <f ca="1">IFERROR(__xludf.DUMMYFUNCTION("GOOGLETRANSLATE(C73,""ja"",""vi"")"),"Đấu giá&gt; Thời trang&gt; Thời trang nữ&gt; yếm")</f>
        <v>Đấu giá&gt; Thời trang&gt; Thời trang nữ&gt; yếm</v>
      </c>
      <c r="G73" s="229" t="str">
        <f t="shared" ca="1" si="2"/>
        <v>"2084064258" : "yếm trong",</v>
      </c>
      <c r="H73" s="229" t="str">
        <f t="shared" si="3"/>
        <v>&lt;li class="col-md-3"&gt;&lt;a class="text-cut" href="javascript:;"(click)="categoryEvent(2084064258)"&gt;{{"2084064258" | translate}}&lt;/a&gt;&lt;/li&gt;</v>
      </c>
    </row>
    <row r="74" spans="1:8" ht="14.25" customHeight="1">
      <c r="A74" s="88">
        <v>2084064257</v>
      </c>
      <c r="B74" s="2" t="s">
        <v>4508</v>
      </c>
      <c r="C74" s="2" t="s">
        <v>4510</v>
      </c>
      <c r="D74" s="2" t="s">
        <v>4512</v>
      </c>
      <c r="E74" s="3" t="str">
        <f ca="1">IFERROR(__xludf.DUMMYFUNCTION("GOOGLETRANSLATE(B74,""ja"",""vi"")"),"tank top")</f>
        <v>tank top</v>
      </c>
      <c r="F74" s="3" t="str">
        <f ca="1">IFERROR(__xludf.DUMMYFUNCTION("GOOGLETRANSLATE(C74,""ja"",""vi"")"),"Quần áo đấu giá&gt; Thời trang&gt; Phụ nữ&gt; Tank Top")</f>
        <v>Quần áo đấu giá&gt; Thời trang&gt; Phụ nữ&gt; Tank Top</v>
      </c>
      <c r="G74" s="229" t="str">
        <f t="shared" ca="1" si="2"/>
        <v>"2084064257" : "tank top",</v>
      </c>
      <c r="H74" s="229" t="str">
        <f t="shared" si="3"/>
        <v>&lt;li class="col-md-3"&gt;&lt;a class="text-cut" href="javascript:;"(click)="categoryEvent(2084064257)"&gt;{{"2084064257" | translate}}&lt;/a&gt;&lt;/li&gt;</v>
      </c>
    </row>
    <row r="75" spans="1:8" ht="14.25" customHeight="1">
      <c r="A75" s="88">
        <v>2084243344</v>
      </c>
      <c r="B75" s="2" t="s">
        <v>4514</v>
      </c>
      <c r="C75" s="2" t="s">
        <v>4516</v>
      </c>
      <c r="D75" s="2" t="s">
        <v>4518</v>
      </c>
      <c r="E75" s="3" t="str">
        <f ca="1">IFERROR(__xludf.DUMMYFUNCTION("GOOGLETRANSLATE(B75,""ja"",""vi"")"),"Ống hàng đầu, đầu trọc")</f>
        <v>Ống hàng đầu, đầu trọc</v>
      </c>
      <c r="F75" s="3" t="str">
        <f ca="1">IFERROR(__xludf.DUMMYFUNCTION("GOOGLETRANSLATE(C75,""ja"",""vi"")"),"Đấu giá&gt; Thời trang&gt; Thời trang nữ&gt; ống hàng đầu, đầu trọc")</f>
        <v>Đấu giá&gt; Thời trang&gt; Thời trang nữ&gt; ống hàng đầu, đầu trọc</v>
      </c>
      <c r="G75" s="229" t="str">
        <f t="shared" ca="1" si="2"/>
        <v>"2084243344" : "Ống hàng đầu, đầu trọc",</v>
      </c>
      <c r="H75" s="229" t="str">
        <f t="shared" si="3"/>
        <v>&lt;li class="col-md-3"&gt;&lt;a class="text-cut" href="javascript:;"(click)="categoryEvent(2084243344)"&gt;{{"2084243344" | translate}}&lt;/a&gt;&lt;/li&gt;</v>
      </c>
    </row>
    <row r="76" spans="1:8" ht="14.25" customHeight="1">
      <c r="A76" s="88">
        <v>2084007151</v>
      </c>
      <c r="B76" s="2" t="s">
        <v>886</v>
      </c>
      <c r="C76" s="2" t="s">
        <v>4521</v>
      </c>
      <c r="D76" s="2" t="s">
        <v>4522</v>
      </c>
      <c r="E76" s="3" t="str">
        <f ca="1">IFERROR(__xludf.DUMMYFUNCTION("GOOGLETRANSLATE(B76,""ja"",""vi"")"),"One piece")</f>
        <v>One piece</v>
      </c>
      <c r="F76" s="3" t="str">
        <f ca="1">IFERROR(__xludf.DUMMYFUNCTION("GOOGLETRANSLATE(C76,""ja"",""vi"")"),"Đấu giá&gt; Thời trang&gt; Phụ nữ Quần áo&gt; One Piece")</f>
        <v>Đấu giá&gt; Thời trang&gt; Phụ nữ Quần áo&gt; One Piece</v>
      </c>
      <c r="G76" s="229" t="str">
        <f t="shared" ca="1" si="2"/>
        <v>"2084007151" : "One piece",</v>
      </c>
      <c r="H76" s="229" t="str">
        <f t="shared" si="3"/>
        <v>&lt;li class="col-md-3"&gt;&lt;a class="text-cut" href="javascript:;"(click)="categoryEvent(2084007151)"&gt;{{"2084007151" | translate}}&lt;/a&gt;&lt;/li&gt;</v>
      </c>
    </row>
    <row r="77" spans="1:8" ht="14.25" customHeight="1">
      <c r="A77" s="88">
        <v>42183</v>
      </c>
      <c r="B77" s="2" t="s">
        <v>4528</v>
      </c>
      <c r="C77" s="2" t="s">
        <v>4530</v>
      </c>
      <c r="D77" s="2" t="s">
        <v>4532</v>
      </c>
      <c r="E77" s="3" t="str">
        <f ca="1">IFERROR(__xludf.DUMMYFUNCTION("GOOGLETRANSLATE(B77,""ja"",""vi"")"),"váy")</f>
        <v>váy</v>
      </c>
      <c r="F77" s="3" t="str">
        <f ca="1">IFERROR(__xludf.DUMMYFUNCTION("GOOGLETRANSLATE(C77,""ja"",""vi"")"),"Đấu giá&gt; Thời trang&gt; Phụ nữ Quần áo&gt; Váy")</f>
        <v>Đấu giá&gt; Thời trang&gt; Phụ nữ Quần áo&gt; Váy</v>
      </c>
      <c r="G77" s="229" t="str">
        <f t="shared" ca="1" si="2"/>
        <v>"42183" : "váy",</v>
      </c>
      <c r="H77" s="229" t="str">
        <f t="shared" si="3"/>
        <v>&lt;li class="col-md-3"&gt;&lt;a class="text-cut" href="javascript:;"(click)="categoryEvent(42183)"&gt;{{"42183" | translate}}&lt;/a&gt;&lt;/li&gt;</v>
      </c>
    </row>
    <row r="78" spans="1:8" ht="14.25" customHeight="1">
      <c r="A78" s="88">
        <v>2084007160</v>
      </c>
      <c r="B78" s="2" t="s">
        <v>4535</v>
      </c>
      <c r="C78" s="2" t="s">
        <v>4537</v>
      </c>
      <c r="D78" s="2" t="s">
        <v>4539</v>
      </c>
      <c r="E78" s="3" t="str">
        <f ca="1">IFERROR(__xludf.DUMMYFUNCTION("GOOGLETRANSLATE(B78,""ja"",""vi"")"),"Quần, quần")</f>
        <v>Quần, quần</v>
      </c>
      <c r="F78" s="3" t="str">
        <f ca="1">IFERROR(__xludf.DUMMYFUNCTION("GOOGLETRANSLATE(C78,""ja"",""vi"")"),"Đấu giá&gt; Thời trang&gt; Phụ nữ thời trang&gt; quần, quần")</f>
        <v>Đấu giá&gt; Thời trang&gt; Phụ nữ thời trang&gt; quần, quần</v>
      </c>
      <c r="G78" s="229" t="str">
        <f t="shared" ca="1" si="2"/>
        <v>"2084007160" : "Quần, quần",</v>
      </c>
      <c r="H78" s="229" t="str">
        <f t="shared" si="3"/>
        <v>&lt;li class="col-md-3"&gt;&lt;a class="text-cut" href="javascript:;"(click)="categoryEvent(2084007160)"&gt;{{"2084007160" | translate}}&lt;/a&gt;&lt;/li&gt;</v>
      </c>
    </row>
    <row r="79" spans="1:8" ht="14.25" customHeight="1">
      <c r="A79" s="88">
        <v>23300</v>
      </c>
      <c r="B79" s="2" t="s">
        <v>4542</v>
      </c>
      <c r="C79" s="2" t="s">
        <v>4543</v>
      </c>
      <c r="D79" s="2" t="s">
        <v>4544</v>
      </c>
      <c r="E79" s="3" t="str">
        <f ca="1">IFERROR(__xludf.DUMMYFUNCTION("GOOGLETRANSLATE(B79,""ja"",""vi"")"),"Denim, quần jean")</f>
        <v>Denim, quần jean</v>
      </c>
      <c r="F79" s="3" t="str">
        <f ca="1">IFERROR(__xludf.DUMMYFUNCTION("GOOGLETRANSLATE(C79,""ja"",""vi"")"),"Đấu giá&gt; Thời trang&gt; Phụ nữ thời trang&gt; denim, quần jean")</f>
        <v>Đấu giá&gt; Thời trang&gt; Phụ nữ thời trang&gt; denim, quần jean</v>
      </c>
      <c r="G79" s="229" t="str">
        <f t="shared" ca="1" si="2"/>
        <v>"23300" : "Denim, quần jean",</v>
      </c>
      <c r="H79" s="229" t="str">
        <f t="shared" si="3"/>
        <v>&lt;li class="col-md-3"&gt;&lt;a class="text-cut" href="javascript:;"(click)="categoryEvent(23300)"&gt;{{"23300" | translate}}&lt;/a&gt;&lt;/li&gt;</v>
      </c>
    </row>
    <row r="80" spans="1:8" ht="14.25" customHeight="1">
      <c r="A80" s="88">
        <v>2084036998</v>
      </c>
      <c r="B80" s="2" t="s">
        <v>4550</v>
      </c>
      <c r="C80" s="2" t="s">
        <v>4556</v>
      </c>
      <c r="D80" s="2" t="s">
        <v>4557</v>
      </c>
      <c r="E80" s="3" t="str">
        <f ca="1">IFERROR(__xludf.DUMMYFUNCTION("GOOGLETRANSLATE(B80,""ja"",""vi"")"),"quần công việc, quần họa sĩ")</f>
        <v>quần công việc, quần họa sĩ</v>
      </c>
      <c r="F80" s="3" t="str">
        <f ca="1">IFERROR(__xludf.DUMMYFUNCTION("GOOGLETRANSLATE(C80,""ja"",""vi"")"),"Đấu giá&gt; Thời trang&gt; Thời trang nữ&gt; quần làm việc, quần họa sĩ")</f>
        <v>Đấu giá&gt; Thời trang&gt; Thời trang nữ&gt; quần làm việc, quần họa sĩ</v>
      </c>
      <c r="G80" s="229" t="str">
        <f t="shared" ca="1" si="2"/>
        <v>"2084036998" : "quần công việc, quần họa sĩ",</v>
      </c>
      <c r="H80" s="229" t="str">
        <f t="shared" si="3"/>
        <v>&lt;li class="col-md-3"&gt;&lt;a class="text-cut" href="javascript:;"(click)="categoryEvent(2084036998)"&gt;{{"2084036998" | translate}}&lt;/a&gt;&lt;/li&gt;</v>
      </c>
    </row>
    <row r="81" spans="1:8" ht="14.25" customHeight="1">
      <c r="A81" s="88">
        <v>2084007159</v>
      </c>
      <c r="B81" s="2" t="s">
        <v>4563</v>
      </c>
      <c r="C81" s="2" t="s">
        <v>4564</v>
      </c>
      <c r="D81" s="2" t="s">
        <v>4565</v>
      </c>
      <c r="E81" s="3" t="str">
        <f ca="1">IFERROR(__xludf.DUMMYFUNCTION("GOOGLETRANSLATE(B81,""ja"",""vi"")"),"quần short")</f>
        <v>quần short</v>
      </c>
      <c r="F81" s="3" t="str">
        <f ca="1">IFERROR(__xludf.DUMMYFUNCTION("GOOGLETRANSLATE(C81,""ja"",""vi"")"),"Đấu giá&gt; Thời trang&gt; Thời trang nữ&gt; Quần soóc")</f>
        <v>Đấu giá&gt; Thời trang&gt; Thời trang nữ&gt; Quần soóc</v>
      </c>
      <c r="G81" s="229" t="str">
        <f t="shared" ca="1" si="2"/>
        <v>"2084007159" : "quần short",</v>
      </c>
      <c r="H81" s="229" t="str">
        <f t="shared" si="3"/>
        <v>&lt;li class="col-md-3"&gt;&lt;a class="text-cut" href="javascript:;"(click)="categoryEvent(2084007159)"&gt;{{"2084007159" | translate}}&lt;/a&gt;&lt;/li&gt;</v>
      </c>
    </row>
    <row r="82" spans="1:8" ht="14.25" customHeight="1">
      <c r="A82" s="88">
        <v>2084007163</v>
      </c>
      <c r="B82" s="2" t="s">
        <v>4571</v>
      </c>
      <c r="C82" s="2" t="s">
        <v>4573</v>
      </c>
      <c r="D82" s="2" t="s">
        <v>4575</v>
      </c>
      <c r="E82" s="3" t="str">
        <f ca="1">IFERROR(__xludf.DUMMYFUNCTION("GOOGLETRANSLATE(B82,""ja"",""vi"")"),"Sabrina quần, quần capri")</f>
        <v>Sabrina quần, quần capri</v>
      </c>
      <c r="F82" s="3" t="str">
        <f ca="1">IFERROR(__xludf.DUMMYFUNCTION("GOOGLETRANSLATE(C82,""ja"",""vi"")"),"Đấu giá&gt; Thời trang&gt; Thời trang nữ&gt; Sabrina quần, quần capri")</f>
        <v>Đấu giá&gt; Thời trang&gt; Thời trang nữ&gt; Sabrina quần, quần capri</v>
      </c>
      <c r="G82" s="229" t="str">
        <f t="shared" ca="1" si="2"/>
        <v>"2084007163" : "Sabrina quần, quần capri",</v>
      </c>
      <c r="H82" s="229" t="str">
        <f t="shared" si="3"/>
        <v>&lt;li class="col-md-3"&gt;&lt;a class="text-cut" href="javascript:;"(click)="categoryEvent(2084007163)"&gt;{{"2084007163" | translate}}&lt;/a&gt;&lt;/li&gt;</v>
      </c>
    </row>
    <row r="83" spans="1:8" ht="14.25" customHeight="1">
      <c r="A83" s="88">
        <v>2084047537</v>
      </c>
      <c r="B83" s="2" t="s">
        <v>4580</v>
      </c>
      <c r="C83" s="2" t="s">
        <v>4582</v>
      </c>
      <c r="D83" s="2" t="s">
        <v>4584</v>
      </c>
      <c r="E83" s="3" t="str">
        <f ca="1">IFERROR(__xludf.DUMMYFUNCTION("GOOGLETRANSLATE(B83,""ja"",""vi"")"),"Quần yếm, bộ áo liền quần")</f>
        <v>Quần yếm, bộ áo liền quần</v>
      </c>
      <c r="F83" s="3" t="str">
        <f ca="1">IFERROR(__xludf.DUMMYFUNCTION("GOOGLETRANSLATE(C83,""ja"",""vi"")"),"Đấu giá&gt; Thời trang&gt; Phụ nữ thời trang&gt; yếm, bộ áo liền quần")</f>
        <v>Đấu giá&gt; Thời trang&gt; Phụ nữ thời trang&gt; yếm, bộ áo liền quần</v>
      </c>
      <c r="G83" s="229" t="str">
        <f t="shared" ca="1" si="2"/>
        <v>"2084047537" : "Quần yếm, bộ áo liền quần",</v>
      </c>
      <c r="H83" s="229" t="str">
        <f t="shared" si="3"/>
        <v>&lt;li class="col-md-3"&gt;&lt;a class="text-cut" href="javascript:;"(click)="categoryEvent(2084047537)"&gt;{{"2084047537" | translate}}&lt;/a&gt;&lt;/li&gt;</v>
      </c>
    </row>
    <row r="84" spans="1:8" ht="14.25" customHeight="1">
      <c r="A84" s="88">
        <v>2084007158</v>
      </c>
      <c r="B84" s="2" t="s">
        <v>4586</v>
      </c>
      <c r="C84" s="2" t="s">
        <v>4589</v>
      </c>
      <c r="D84" s="2" t="s">
        <v>4590</v>
      </c>
      <c r="E84" s="3" t="str">
        <f ca="1">IFERROR(__xludf.DUMMYFUNCTION("GOOGLETRANSLATE(B84,""ja"",""vi"")"),"culottes")</f>
        <v>culottes</v>
      </c>
      <c r="F84" s="3" t="str">
        <f ca="1">IFERROR(__xludf.DUMMYFUNCTION("GOOGLETRANSLATE(C84,""ja"",""vi"")"),"Đấu giá&gt; Thời trang&gt; Phụ nữ Quần áo&gt; culottes")</f>
        <v>Đấu giá&gt; Thời trang&gt; Phụ nữ Quần áo&gt; culottes</v>
      </c>
      <c r="G84" s="229" t="str">
        <f t="shared" ca="1" si="2"/>
        <v>"2084007158" : "culottes",</v>
      </c>
      <c r="H84" s="229" t="str">
        <f t="shared" si="3"/>
        <v>&lt;li class="col-md-3"&gt;&lt;a class="text-cut" href="javascript:;"(click)="categoryEvent(2084007158)"&gt;{{"2084007158" | translate}}&lt;/a&gt;&lt;/li&gt;</v>
      </c>
    </row>
    <row r="85" spans="1:8" ht="14.25" customHeight="1">
      <c r="A85" s="88">
        <v>2084007162</v>
      </c>
      <c r="B85" s="2" t="s">
        <v>4596</v>
      </c>
      <c r="C85" s="2" t="s">
        <v>4597</v>
      </c>
      <c r="D85" s="2" t="s">
        <v>4598</v>
      </c>
      <c r="E85" s="3" t="str">
        <f ca="1">IFERROR(__xludf.DUMMYFUNCTION("GOOGLETRANSLATE(B85,""ja"",""vi"")"),"Chino")</f>
        <v>Chino</v>
      </c>
      <c r="F85" s="3" t="str">
        <f ca="1">IFERROR(__xludf.DUMMYFUNCTION("GOOGLETRANSLATE(C85,""ja"",""vi"")"),"Đấu giá&gt; Thời trang&gt; Phụ nữ Quần áo&gt; quần")</f>
        <v>Đấu giá&gt; Thời trang&gt; Phụ nữ Quần áo&gt; quần</v>
      </c>
      <c r="G85" s="229" t="str">
        <f t="shared" ca="1" si="2"/>
        <v>"2084007162" : "Chino",</v>
      </c>
      <c r="H85" s="229" t="str">
        <f t="shared" si="3"/>
        <v>&lt;li class="col-md-3"&gt;&lt;a class="text-cut" href="javascript:;"(click)="categoryEvent(2084007162)"&gt;{{"2084007162" | translate}}&lt;/a&gt;&lt;/li&gt;</v>
      </c>
    </row>
    <row r="86" spans="1:8" ht="14.25" customHeight="1">
      <c r="A86" s="88">
        <v>2084246107</v>
      </c>
      <c r="B86" s="2" t="s">
        <v>4604</v>
      </c>
      <c r="C86" s="2" t="s">
        <v>4605</v>
      </c>
      <c r="D86" s="2" t="s">
        <v>4606</v>
      </c>
      <c r="E86" s="3" t="str">
        <f ca="1">IFERROR(__xludf.DUMMYFUNCTION("GOOGLETRANSLATE(B86,""ja"",""vi"")"),"Saruerupantsu")</f>
        <v>Saruerupantsu</v>
      </c>
      <c r="F86" s="3" t="str">
        <f ca="1">IFERROR(__xludf.DUMMYFUNCTION("GOOGLETRANSLATE(C86,""ja"",""vi"")"),"Đấu giá&gt; Thời trang&gt; Thời trang nữ&gt; Saruerupantsu")</f>
        <v>Đấu giá&gt; Thời trang&gt; Thời trang nữ&gt; Saruerupantsu</v>
      </c>
      <c r="G86" s="229" t="str">
        <f t="shared" ca="1" si="2"/>
        <v>"2084246107" : "Saruerupantsu",</v>
      </c>
      <c r="H86" s="229" t="str">
        <f t="shared" si="3"/>
        <v>&lt;li class="col-md-3"&gt;&lt;a class="text-cut" href="javascript:;"(click)="categoryEvent(2084246107)"&gt;{{"2084246107" | translate}}&lt;/a&gt;&lt;/li&gt;</v>
      </c>
    </row>
    <row r="87" spans="1:8" ht="14.25" customHeight="1">
      <c r="A87" s="88">
        <v>2084007153</v>
      </c>
      <c r="B87" s="2" t="s">
        <v>4612</v>
      </c>
      <c r="C87" s="2" t="s">
        <v>4613</v>
      </c>
      <c r="D87" s="2" t="s">
        <v>4615</v>
      </c>
      <c r="E87" s="3" t="str">
        <f ca="1">IFERROR(__xludf.DUMMYFUNCTION("GOOGLETRANSLATE(B87,""ja"",""vi"")"),"bộ đồ")</f>
        <v>bộ đồ</v>
      </c>
      <c r="F87" s="3" t="str">
        <f ca="1">IFERROR(__xludf.DUMMYFUNCTION("GOOGLETRANSLATE(C87,""ja"",""vi"")"),"Đấu giá&gt; Thời trang&gt; Thời trang nữ&gt; Suits")</f>
        <v>Đấu giá&gt; Thời trang&gt; Thời trang nữ&gt; Suits</v>
      </c>
      <c r="G87" s="229" t="str">
        <f t="shared" ca="1" si="2"/>
        <v>"2084007153" : "bộ đồ",</v>
      </c>
      <c r="H87" s="229" t="str">
        <f t="shared" si="3"/>
        <v>&lt;li class="col-md-3"&gt;&lt;a class="text-cut" href="javascript:;"(click)="categoryEvent(2084007153)"&gt;{{"2084007153" | translate}}&lt;/a&gt;&lt;/li&gt;</v>
      </c>
    </row>
    <row r="88" spans="1:8" ht="14.25" customHeight="1">
      <c r="A88" s="88">
        <v>23292</v>
      </c>
      <c r="B88" s="2" t="s">
        <v>874</v>
      </c>
      <c r="C88" s="2" t="s">
        <v>4620</v>
      </c>
      <c r="D88" s="2" t="s">
        <v>4621</v>
      </c>
      <c r="E88" s="3" t="str">
        <f ca="1">IFERROR(__xludf.DUMMYFUNCTION("GOOGLETRANSLATE(B88,""ja"",""vi"")"),"Formal")</f>
        <v>Formal</v>
      </c>
      <c r="F88" s="3" t="str">
        <f ca="1">IFERROR(__xludf.DUMMYFUNCTION("GOOGLETRANSLATE(C88,""ja"",""vi"")"),"Đấu giá&gt; Thời trang&gt; Phụ nữ Quần áo&gt; chính")</f>
        <v>Đấu giá&gt; Thời trang&gt; Phụ nữ Quần áo&gt; chính</v>
      </c>
      <c r="G88" s="229" t="str">
        <f t="shared" ca="1" si="2"/>
        <v>"23292" : "Formal",</v>
      </c>
      <c r="H88" s="229" t="str">
        <f t="shared" si="3"/>
        <v>&lt;li class="col-md-3"&gt;&lt;a class="text-cut" href="javascript:;"(click)="categoryEvent(23292)"&gt;{{"23292" | translate}}&lt;/a&gt;&lt;/li&gt;</v>
      </c>
    </row>
    <row r="89" spans="1:8" ht="14.25" customHeight="1">
      <c r="A89" s="88">
        <v>2084007161</v>
      </c>
      <c r="B89" s="2" t="s">
        <v>4626</v>
      </c>
      <c r="C89" s="2" t="s">
        <v>4627</v>
      </c>
      <c r="D89" s="2" t="s">
        <v>4628</v>
      </c>
      <c r="E89" s="3" t="str">
        <f ca="1">IFERROR(__xludf.DUMMYFUNCTION("GOOGLETRANSLATE(B89,""ja"",""vi"")"),"Xà cạp, Torenka")</f>
        <v>Xà cạp, Torenka</v>
      </c>
      <c r="F89" s="3" t="str">
        <f ca="1">IFERROR(__xludf.DUMMYFUNCTION("GOOGLETRANSLATE(C89,""ja"",""vi"")"),"Đấu giá&gt; Thời trang&gt; Thời trang nữ&gt; xà cạp, Torenka")</f>
        <v>Đấu giá&gt; Thời trang&gt; Thời trang nữ&gt; xà cạp, Torenka</v>
      </c>
      <c r="G89" s="229" t="str">
        <f t="shared" ca="1" si="2"/>
        <v>"2084007161" : "Xà cạp, Torenka",</v>
      </c>
      <c r="H89" s="229" t="str">
        <f t="shared" si="3"/>
        <v>&lt;li class="col-md-3"&gt;&lt;a class="text-cut" href="javascript:;"(click)="categoryEvent(2084007161)"&gt;{{"2084007161" | translate}}&lt;/a&gt;&lt;/li&gt;</v>
      </c>
    </row>
    <row r="90" spans="1:8" ht="14.25" customHeight="1">
      <c r="A90" s="88">
        <v>2084053081</v>
      </c>
      <c r="B90" s="2" t="s">
        <v>832</v>
      </c>
      <c r="C90" s="2" t="s">
        <v>4634</v>
      </c>
      <c r="D90" s="2" t="s">
        <v>4635</v>
      </c>
      <c r="E90" s="3" t="str">
        <f ca="1">IFERROR(__xludf.DUMMYFUNCTION("GOOGLETRANSLATE(B90,""ja"",""vi"")"),"Mang nội")</f>
        <v>Mang nội</v>
      </c>
      <c r="F90" s="3" t="str">
        <f ca="1">IFERROR(__xludf.DUMMYFUNCTION("GOOGLETRANSLATE(C90,""ja"",""vi"")"),"Đấu giá&gt; Thời trang&gt; Thời trang nữ&gt; mặc bên trong")</f>
        <v>Đấu giá&gt; Thời trang&gt; Thời trang nữ&gt; mặc bên trong</v>
      </c>
      <c r="G90" s="229" t="str">
        <f t="shared" ca="1" si="2"/>
        <v>"2084053081" : "Mang nội",</v>
      </c>
      <c r="H90" s="229" t="str">
        <f t="shared" si="3"/>
        <v>&lt;li class="col-md-3"&gt;&lt;a class="text-cut" href="javascript:;"(click)="categoryEvent(2084053081)"&gt;{{"2084053081" | translate}}&lt;/a&gt;&lt;/li&gt;</v>
      </c>
    </row>
    <row r="91" spans="1:8" ht="14.25" customHeight="1">
      <c r="A91" s="88">
        <v>2084053160</v>
      </c>
      <c r="B91" s="2" t="s">
        <v>4640</v>
      </c>
      <c r="C91" s="2" t="s">
        <v>4641</v>
      </c>
      <c r="D91" s="2" t="s">
        <v>4642</v>
      </c>
      <c r="E91" s="3" t="str">
        <f ca="1">IFERROR(__xludf.DUMMYFUNCTION("GOOGLETRANSLATE(B91,""ja"",""vi"")"),"Quần áo ngủ, đồ ngủ")</f>
        <v>Quần áo ngủ, đồ ngủ</v>
      </c>
      <c r="F91" s="3" t="str">
        <f ca="1">IFERROR(__xludf.DUMMYFUNCTION("GOOGLETRANSLATE(C91,""ja"",""vi"")"),"Đấu giá&gt; Thời trang&gt; Phụ nữ quần áo&gt; quần áo ngủ, đồ ngủ")</f>
        <v>Đấu giá&gt; Thời trang&gt; Phụ nữ quần áo&gt; quần áo ngủ, đồ ngủ</v>
      </c>
      <c r="G91" s="229" t="str">
        <f t="shared" ca="1" si="2"/>
        <v>"2084053160" : "Quần áo ngủ, đồ ngủ",</v>
      </c>
      <c r="H91" s="229" t="str">
        <f t="shared" si="3"/>
        <v>&lt;li class="col-md-3"&gt;&lt;a class="text-cut" href="javascript:;"(click)="categoryEvent(2084053160)"&gt;{{"2084053160" | translate}}&lt;/a&gt;&lt;/li&gt;</v>
      </c>
    </row>
    <row r="92" spans="1:8" ht="14.25" customHeight="1">
      <c r="A92" s="88">
        <v>2084051829</v>
      </c>
      <c r="B92" s="2" t="s">
        <v>548</v>
      </c>
      <c r="C92" s="2" t="s">
        <v>4644</v>
      </c>
      <c r="D92" s="2" t="s">
        <v>4647</v>
      </c>
      <c r="E92" s="3" t="str">
        <f ca="1">IFERROR(__xludf.DUMMYFUNCTION("GOOGLETRANSLATE(B92,""ja"",""vi"")"),"áo bơi liền mảnh")</f>
        <v>áo bơi liền mảnh</v>
      </c>
      <c r="F92" s="3" t="str">
        <f ca="1">IFERROR(__xludf.DUMMYFUNCTION("GOOGLETRANSLATE(C92,""ja"",""vi"")"),"Đấu giá&gt; Thời trang&gt; Thời trang nữ&gt; Đồ bơi")</f>
        <v>Đấu giá&gt; Thời trang&gt; Thời trang nữ&gt; Đồ bơi</v>
      </c>
      <c r="G92" s="229" t="str">
        <f t="shared" ca="1" si="2"/>
        <v>"2084051829" : "áo bơi liền mảnh",</v>
      </c>
      <c r="H92" s="229" t="str">
        <f t="shared" si="3"/>
        <v>&lt;li class="col-md-3"&gt;&lt;a class="text-cut" href="javascript:;"(click)="categoryEvent(2084051829)"&gt;{{"2084051829" | translate}}&lt;/a&gt;&lt;/li&gt;</v>
      </c>
    </row>
    <row r="93" spans="1:8" ht="14.25" customHeight="1">
      <c r="A93" s="88">
        <v>2084006309</v>
      </c>
      <c r="B93" s="2" t="s">
        <v>929</v>
      </c>
      <c r="C93" s="2" t="s">
        <v>4650</v>
      </c>
      <c r="D93" s="2" t="s">
        <v>4652</v>
      </c>
      <c r="E93" s="3" t="str">
        <f ca="1">IFERROR(__xludf.DUMMYFUNCTION("GOOGLETRANSLATE(B93,""ja"",""vi"")"),"Áo đầm bầu")</f>
        <v>Áo đầm bầu</v>
      </c>
      <c r="F93" s="3" t="str">
        <f ca="1">IFERROR(__xludf.DUMMYFUNCTION("GOOGLETRANSLATE(C93,""ja"",""vi"")"),"Đấu giá&gt; Thời trang&gt; Phụ nữ Quần áo&gt; Mang thai sản")</f>
        <v>Đấu giá&gt; Thời trang&gt; Phụ nữ Quần áo&gt; Mang thai sản</v>
      </c>
      <c r="G93" s="229" t="str">
        <f t="shared" ca="1" si="2"/>
        <v>"2084006309" : "Áo đầm bầu",</v>
      </c>
      <c r="H93" s="229" t="str">
        <f t="shared" si="3"/>
        <v>&lt;li class="col-md-3"&gt;&lt;a class="text-cut" href="javascript:;"(click)="categoryEvent(2084006309)"&gt;{{"2084006309" | translate}}&lt;/a&gt;&lt;/li&gt;</v>
      </c>
    </row>
    <row r="94" spans="1:8" ht="14.25" customHeight="1">
      <c r="A94" s="88">
        <v>2084005287</v>
      </c>
      <c r="B94" s="2" t="s">
        <v>3874</v>
      </c>
      <c r="C94" s="2" t="s">
        <v>4656</v>
      </c>
      <c r="D94" s="2" t="s">
        <v>4657</v>
      </c>
      <c r="E94" s="3" t="str">
        <f ca="1">IFERROR(__xludf.DUMMYFUNCTION("GOOGLETRANSLATE(B94,""ja"",""vi"")"),"Phụ kiện thời trang")</f>
        <v>Phụ kiện thời trang</v>
      </c>
      <c r="F94" s="3" t="str">
        <f ca="1">IFERROR(__xludf.DUMMYFUNCTION("GOOGLETRANSLATE(C94,""ja"",""vi"")"),"Quần áo đấu giá&gt; Thời trang&gt; Phụ nữ&gt; Phụ kiện thời trang")</f>
        <v>Quần áo đấu giá&gt; Thời trang&gt; Phụ nữ&gt; Phụ kiện thời trang</v>
      </c>
      <c r="G94" s="229" t="str">
        <f t="shared" ca="1" si="2"/>
        <v>"2084005287" : "Phụ kiện thời trang",</v>
      </c>
      <c r="H94" s="229" t="str">
        <f t="shared" si="3"/>
        <v>&lt;li class="col-md-3"&gt;&lt;a class="text-cut" href="javascript:;"(click)="categoryEvent(2084005287)"&gt;{{"2084005287" | translate}}&lt;/a&gt;&lt;/li&gt;</v>
      </c>
    </row>
    <row r="95" spans="1:8" ht="14.25" customHeight="1">
      <c r="A95" s="88">
        <v>2084047504</v>
      </c>
      <c r="B95" s="2" t="s">
        <v>2877</v>
      </c>
      <c r="C95" s="2" t="s">
        <v>4660</v>
      </c>
      <c r="D95" s="2" t="s">
        <v>4661</v>
      </c>
      <c r="E95" s="3" t="str">
        <f ca="1">IFERROR(__xludf.DUMMYFUNCTION("GOOGLETRANSLATE(B95,""ja"",""vi"")"),"quần áo làm việc")</f>
        <v>quần áo làm việc</v>
      </c>
      <c r="F95" s="3" t="str">
        <f ca="1">IFERROR(__xludf.DUMMYFUNCTION("GOOGLETRANSLATE(C95,""ja"",""vi"")"),"Đấu giá&gt; Thời trang&gt; Phụ nữ quần áo&gt; quần áo làm việc")</f>
        <v>Đấu giá&gt; Thời trang&gt; Phụ nữ quần áo&gt; quần áo làm việc</v>
      </c>
      <c r="G95" s="229" t="str">
        <f t="shared" ca="1" si="2"/>
        <v>"2084047504" : "quần áo làm việc",</v>
      </c>
      <c r="H95" s="229" t="str">
        <f t="shared" si="3"/>
        <v>&lt;li class="col-md-3"&gt;&lt;a class="text-cut" href="javascript:;"(click)="categoryEvent(2084047504)"&gt;{{"2084047504" | translate}}&lt;/a&gt;&lt;/li&gt;</v>
      </c>
    </row>
    <row r="96" spans="1:8" ht="14.25" customHeight="1">
      <c r="A96" s="88">
        <v>2084307771</v>
      </c>
      <c r="B96" s="2" t="s">
        <v>4665</v>
      </c>
      <c r="C96" s="2" t="s">
        <v>4667</v>
      </c>
      <c r="D96" s="2" t="s">
        <v>4669</v>
      </c>
      <c r="E96" s="3" t="str">
        <f ca="1">IFERROR(__xludf.DUMMYFUNCTION("GOOGLETRANSLATE(B96,""ja"",""vi"")"),"Quần áo cho thuê của phụ nữ")</f>
        <v>Quần áo cho thuê của phụ nữ</v>
      </c>
      <c r="F96" s="3" t="str">
        <f ca="1">IFERROR(__xludf.DUMMYFUNCTION("GOOGLETRANSLATE(C96,""ja"",""vi"")"),"Đấu giá&gt; Thời trang&gt; Phụ nữ Quần áo&gt; cho thuê quần áo nữ")</f>
        <v>Đấu giá&gt; Thời trang&gt; Phụ nữ Quần áo&gt; cho thuê quần áo nữ</v>
      </c>
      <c r="G96" s="229" t="str">
        <f t="shared" ca="1" si="2"/>
        <v>"2084307771" : "Quần áo cho thuê của phụ nữ",</v>
      </c>
      <c r="H96" s="229" t="str">
        <f t="shared" si="3"/>
        <v>&lt;li class="col-md-3"&gt;&lt;a class="text-cut" href="javascript:;"(click)="categoryEvent(2084307771)"&gt;{{"2084307771" | translate}}&lt;/a&gt;&lt;/li&gt;</v>
      </c>
    </row>
    <row r="97" spans="1:8" ht="14.25" customHeight="1">
      <c r="A97" s="88">
        <v>23316</v>
      </c>
      <c r="B97" s="2" t="s">
        <v>16</v>
      </c>
      <c r="C97" s="2" t="s">
        <v>4674</v>
      </c>
      <c r="D97" s="2" t="s">
        <v>4676</v>
      </c>
      <c r="E97" s="3" t="str">
        <f ca="1">IFERROR(__xludf.DUMMYFUNCTION("GOOGLETRANSLATE(B97,""ja"",""vi"")"),"nếu không thì")</f>
        <v>nếu không thì</v>
      </c>
      <c r="F97" s="3" t="str">
        <f ca="1">IFERROR(__xludf.DUMMYFUNCTION("GOOGLETRANSLATE(C97,""ja"",""vi"")"),"Đấu giá&gt; Thời trang&gt; Phụ nữ Quần áo&gt; Khác")</f>
        <v>Đấu giá&gt; Thời trang&gt; Phụ nữ Quần áo&gt; Khác</v>
      </c>
      <c r="G97" s="229" t="str">
        <f t="shared" ca="1" si="2"/>
        <v>"23316" : "nếu không thì",</v>
      </c>
      <c r="H97" s="229" t="str">
        <f t="shared" si="3"/>
        <v>&lt;li class="col-md-3"&gt;&lt;a class="text-cut" href="javascript:;"(click)="categoryEvent(23316)"&gt;{{"23316" | translate}}&lt;/a&gt;&lt;/li&gt;</v>
      </c>
    </row>
    <row r="98" spans="1:8" ht="14.25" customHeight="1">
      <c r="E98" s="3"/>
      <c r="F98" s="3"/>
      <c r="G98" s="229"/>
      <c r="H98" s="229"/>
    </row>
    <row r="99" spans="1:8" ht="14.25" customHeight="1">
      <c r="A99" s="240">
        <v>2084005069</v>
      </c>
      <c r="B99" s="232"/>
      <c r="C99" s="232"/>
      <c r="D99" s="233"/>
      <c r="E99" s="3"/>
      <c r="F99" s="3"/>
      <c r="G99" s="229"/>
      <c r="H99" s="229"/>
    </row>
    <row r="100" spans="1:8" ht="14.25" customHeight="1">
      <c r="A100" s="2">
        <v>2084008313</v>
      </c>
      <c r="B100" s="2" t="s">
        <v>4689</v>
      </c>
      <c r="C100" s="2" t="s">
        <v>4691</v>
      </c>
      <c r="D100" s="2" t="s">
        <v>4694</v>
      </c>
      <c r="E100" s="3" t="str">
        <f ca="1">IFERROR(__xludf.DUMMYFUNCTION("GOOGLETRANSLATE(B100,""ja"",""vi"")"),"túi vai")</f>
        <v>túi vai</v>
      </c>
      <c r="F100" s="3" t="str">
        <f ca="1">IFERROR(__xludf.DUMMYFUNCTION("GOOGLETRANSLATE(C100,""ja"",""vi"")"),"Đấu giá&gt; Thời trang&gt; Túi xách nữ&gt; túi vai")</f>
        <v>Đấu giá&gt; Thời trang&gt; Túi xách nữ&gt; túi vai</v>
      </c>
      <c r="G100" s="229" t="str">
        <f t="shared" ca="1" si="2"/>
        <v>"2084008313" : "túi vai",</v>
      </c>
      <c r="H100" s="229" t="str">
        <f t="shared" si="3"/>
        <v>&lt;li class="col-md-3"&gt;&lt;a class="text-cut" href="javascript:;"(click)="categoryEvent(2084008313)"&gt;{{"2084008313" | translate}}&lt;/a&gt;&lt;/li&gt;</v>
      </c>
    </row>
    <row r="101" spans="1:8" ht="14.25" customHeight="1">
      <c r="A101" s="2">
        <v>2084008314</v>
      </c>
      <c r="B101" s="2" t="s">
        <v>4701</v>
      </c>
      <c r="C101" s="2" t="s">
        <v>4702</v>
      </c>
      <c r="D101" s="2" t="s">
        <v>4703</v>
      </c>
      <c r="E101" s="3" t="str">
        <f ca="1">IFERROR(__xludf.DUMMYFUNCTION("GOOGLETRANSLATE(B101,""ja"",""vi"")"),"túi tote")</f>
        <v>túi tote</v>
      </c>
      <c r="F101" s="3" t="str">
        <f ca="1">IFERROR(__xludf.DUMMYFUNCTION("GOOGLETRANSLATE(C101,""ja"",""vi"")"),"Đấu giá&gt; Thời trang&gt; Túi xách nữ&gt; Tote Bag")</f>
        <v>Đấu giá&gt; Thời trang&gt; Túi xách nữ&gt; Tote Bag</v>
      </c>
      <c r="G101" s="229" t="str">
        <f t="shared" ca="1" si="2"/>
        <v>"2084008314" : "túi tote",</v>
      </c>
      <c r="H101" s="229" t="str">
        <f t="shared" si="3"/>
        <v>&lt;li class="col-md-3"&gt;&lt;a class="text-cut" href="javascript:;"(click)="categoryEvent(2084008314)"&gt;{{"2084008314" | translate}}&lt;/a&gt;&lt;/li&gt;</v>
      </c>
    </row>
    <row r="102" spans="1:8" ht="14.25" customHeight="1">
      <c r="A102" s="2">
        <v>2084008315</v>
      </c>
      <c r="B102" s="2" t="s">
        <v>4707</v>
      </c>
      <c r="C102" s="2" t="s">
        <v>4710</v>
      </c>
      <c r="D102" s="2" t="s">
        <v>4711</v>
      </c>
      <c r="E102" s="3" t="str">
        <f ca="1">IFERROR(__xludf.DUMMYFUNCTION("GOOGLETRANSLATE(B102,""ja"",""vi"")"),"túi xách tay")</f>
        <v>túi xách tay</v>
      </c>
      <c r="F102" s="3" t="str">
        <f ca="1">IFERROR(__xludf.DUMMYFUNCTION("GOOGLETRANSLATE(C102,""ja"",""vi"")"),"Đấu giá&gt; Thời trang&gt; Phụ nữ Túi xách&gt; túi xách")</f>
        <v>Đấu giá&gt; Thời trang&gt; Phụ nữ Túi xách&gt; túi xách</v>
      </c>
      <c r="G102" s="229" t="str">
        <f t="shared" ca="1" si="2"/>
        <v>"2084008315" : "túi xách tay",</v>
      </c>
      <c r="H102" s="229" t="str">
        <f t="shared" si="3"/>
        <v>&lt;li class="col-md-3"&gt;&lt;a class="text-cut" href="javascript:;"(click)="categoryEvent(2084008315)"&gt;{{"2084008315" | translate}}&lt;/a&gt;&lt;/li&gt;</v>
      </c>
    </row>
    <row r="103" spans="1:8" ht="14.25" customHeight="1">
      <c r="A103" s="2">
        <v>2084007482</v>
      </c>
      <c r="B103" s="2" t="s">
        <v>2755</v>
      </c>
      <c r="C103" s="2" t="s">
        <v>4716</v>
      </c>
      <c r="D103" s="2" t="s">
        <v>4718</v>
      </c>
      <c r="E103" s="3" t="str">
        <f ca="1">IFERROR(__xludf.DUMMYFUNCTION("GOOGLETRANSLATE(B103,""ja"",""vi"")"),"túi")</f>
        <v>túi</v>
      </c>
      <c r="F103" s="3" t="str">
        <f ca="1">IFERROR(__xludf.DUMMYFUNCTION("GOOGLETRANSLATE(C103,""ja"",""vi"")"),"Đấu giá&gt; Thời trang&gt; Túi xách nữ&gt; Pouch")</f>
        <v>Đấu giá&gt; Thời trang&gt; Túi xách nữ&gt; Pouch</v>
      </c>
      <c r="G103" s="229" t="str">
        <f t="shared" ca="1" si="2"/>
        <v>"2084007482" : "túi",</v>
      </c>
      <c r="H103" s="229" t="str">
        <f t="shared" si="3"/>
        <v>&lt;li class="col-md-3"&gt;&lt;a class="text-cut" href="javascript:;"(click)="categoryEvent(2084007482)"&gt;{{"2084007482" | translate}}&lt;/a&gt;&lt;/li&gt;</v>
      </c>
    </row>
    <row r="104" spans="1:8" ht="14.25" customHeight="1">
      <c r="A104" s="2">
        <v>2084233235</v>
      </c>
      <c r="B104" s="2" t="s">
        <v>4724</v>
      </c>
      <c r="C104" s="2" t="s">
        <v>4726</v>
      </c>
      <c r="D104" s="2" t="s">
        <v>4727</v>
      </c>
      <c r="E104" s="3" t="str">
        <f ca="1">IFERROR(__xludf.DUMMYFUNCTION("GOOGLETRANSLATE(B104,""ja"",""vi"")"),"Eco-bag")</f>
        <v>Eco-bag</v>
      </c>
      <c r="F104" s="3" t="str">
        <f ca="1">IFERROR(__xludf.DUMMYFUNCTION("GOOGLETRANSLATE(C104,""ja"",""vi"")"),"Đấu giá&gt; Thời trang&gt; Túi xách nữ&gt; Eco-túi")</f>
        <v>Đấu giá&gt; Thời trang&gt; Túi xách nữ&gt; Eco-túi</v>
      </c>
      <c r="G104" s="229" t="str">
        <f t="shared" ca="1" si="2"/>
        <v>"2084233235" : "Eco-bag",</v>
      </c>
      <c r="H104" s="229" t="str">
        <f t="shared" si="3"/>
        <v>&lt;li class="col-md-3"&gt;&lt;a class="text-cut" href="javascript:;"(click)="categoryEvent(2084233235)"&gt;{{"2084233235" | translate}}&lt;/a&gt;&lt;/li&gt;</v>
      </c>
    </row>
    <row r="105" spans="1:8" ht="14.25" customHeight="1">
      <c r="A105" s="2">
        <v>2084008337</v>
      </c>
      <c r="B105" s="2" t="s">
        <v>2282</v>
      </c>
      <c r="C105" s="2" t="s">
        <v>4735</v>
      </c>
      <c r="D105" s="2" t="s">
        <v>4738</v>
      </c>
      <c r="E105" s="3" t="str">
        <f ca="1">IFERROR(__xludf.DUMMYFUNCTION("GOOGLETRANSLATE(B105,""ja"",""vi"")"),"tùy viên")</f>
        <v>tùy viên</v>
      </c>
      <c r="F105" s="3" t="str">
        <f ca="1">IFERROR(__xludf.DUMMYFUNCTION("GOOGLETRANSLATE(C105,""ja"",""vi"")"),"Đấu giá&gt; Thời trang&gt; Túi xách nữ&gt; Attache")</f>
        <v>Đấu giá&gt; Thời trang&gt; Túi xách nữ&gt; Attache</v>
      </c>
      <c r="G105" s="229" t="str">
        <f t="shared" ca="1" si="2"/>
        <v>"2084008337" : "tùy viên",</v>
      </c>
      <c r="H105" s="229" t="str">
        <f t="shared" si="3"/>
        <v>&lt;li class="col-md-3"&gt;&lt;a class="text-cut" href="javascript:;"(click)="categoryEvent(2084008337)"&gt;{{"2084008337" | translate}}&lt;/a&gt;&lt;/li&gt;</v>
      </c>
    </row>
    <row r="106" spans="1:8" ht="14.25" customHeight="1">
      <c r="A106" s="2">
        <v>2084008312</v>
      </c>
      <c r="B106" s="2" t="s">
        <v>4744</v>
      </c>
      <c r="C106" s="2" t="s">
        <v>4747</v>
      </c>
      <c r="D106" s="2" t="s">
        <v>4748</v>
      </c>
      <c r="E106" s="3" t="str">
        <f ca="1">IFERROR(__xludf.DUMMYFUNCTION("GOOGLETRANSLATE(B106,""ja"",""vi"")"),"eo Bag")</f>
        <v>eo Bag</v>
      </c>
      <c r="F106" s="3" t="str">
        <f ca="1">IFERROR(__xludf.DUMMYFUNCTION("GOOGLETRANSLATE(C106,""ja"",""vi"")"),"Đấu giá&gt; Thời trang&gt; Túi xách phụ nữ của&gt; túi eo")</f>
        <v>Đấu giá&gt; Thời trang&gt; Túi xách phụ nữ của&gt; túi eo</v>
      </c>
      <c r="G106" s="229" t="str">
        <f t="shared" ca="1" si="2"/>
        <v>"2084008312" : "eo Bag",</v>
      </c>
      <c r="H106" s="229" t="str">
        <f t="shared" si="3"/>
        <v>&lt;li class="col-md-3"&gt;&lt;a class="text-cut" href="javascript:;"(click)="categoryEvent(2084008312)"&gt;{{"2084008312" | translate}}&lt;/a&gt;&lt;/li&gt;</v>
      </c>
    </row>
    <row r="107" spans="1:8" ht="14.25" customHeight="1">
      <c r="A107" s="2">
        <v>2084008347</v>
      </c>
      <c r="B107" s="2" t="s">
        <v>4752</v>
      </c>
      <c r="C107" s="2" t="s">
        <v>4755</v>
      </c>
      <c r="D107" s="2" t="s">
        <v>4757</v>
      </c>
      <c r="E107" s="3" t="str">
        <f ca="1">IFERROR(__xludf.DUMMYFUNCTION("GOOGLETRANSLATE(B107,""ja"",""vi"")"),"túi ly hợp, túi bên")</f>
        <v>túi ly hợp, túi bên</v>
      </c>
      <c r="F107" s="3" t="str">
        <f ca="1">IFERROR(__xludf.DUMMYFUNCTION("GOOGLETRANSLATE(C107,""ja"",""vi"")"),"Đấu giá&gt; Thời trang&gt; Túi xách nữ&gt; ly hợp túi xách, túi bên")</f>
        <v>Đấu giá&gt; Thời trang&gt; Túi xách nữ&gt; ly hợp túi xách, túi bên</v>
      </c>
      <c r="G107" s="229" t="str">
        <f t="shared" ca="1" si="2"/>
        <v>"2084008347" : "túi ly hợp, túi bên",</v>
      </c>
      <c r="H107" s="229" t="str">
        <f t="shared" si="3"/>
        <v>&lt;li class="col-md-3"&gt;&lt;a class="text-cut" href="javascript:;"(click)="categoryEvent(2084008347)"&gt;{{"2084008347" | translate}}&lt;/a&gt;&lt;/li&gt;</v>
      </c>
    </row>
    <row r="108" spans="1:8" ht="14.25" customHeight="1">
      <c r="A108" s="2">
        <v>2084008297</v>
      </c>
      <c r="B108" s="2" t="s">
        <v>2290</v>
      </c>
      <c r="C108" s="2" t="s">
        <v>4764</v>
      </c>
      <c r="D108" s="2" t="s">
        <v>4766</v>
      </c>
      <c r="E108" s="3" t="str">
        <f ca="1">IFERROR(__xludf.DUMMYFUNCTION("GOOGLETRANSLATE(B108,""ja"",""vi"")"),"Vali, thân cây")</f>
        <v>Vali, thân cây</v>
      </c>
      <c r="F108" s="3" t="str">
        <f ca="1">IFERROR(__xludf.DUMMYFUNCTION("GOOGLETRANSLATE(C108,""ja"",""vi"")"),"Đấu giá&gt; Thời trang&gt; Phụ nữ Túi xách&gt; va li, thân cây")</f>
        <v>Đấu giá&gt; Thời trang&gt; Phụ nữ Túi xách&gt; va li, thân cây</v>
      </c>
      <c r="G108" s="229" t="str">
        <f t="shared" ca="1" si="2"/>
        <v>"2084008297" : "Vali, thân cây",</v>
      </c>
      <c r="H108" s="229" t="str">
        <f t="shared" si="3"/>
        <v>&lt;li class="col-md-3"&gt;&lt;a class="text-cut" href="javascript:;"(click)="categoryEvent(2084008297)"&gt;{{"2084008297" | translate}}&lt;/a&gt;&lt;/li&gt;</v>
      </c>
    </row>
    <row r="109" spans="1:8" ht="14.25" customHeight="1">
      <c r="A109" s="2">
        <v>2084008318</v>
      </c>
      <c r="B109" s="2" t="s">
        <v>4774</v>
      </c>
      <c r="C109" s="2" t="s">
        <v>4777</v>
      </c>
      <c r="D109" s="2" t="s">
        <v>4778</v>
      </c>
      <c r="E109" s="3" t="str">
        <f ca="1">IFERROR(__xludf.DUMMYFUNCTION("GOOGLETRANSLATE(B109,""ja"",""vi"")"),"túi thứ hai")</f>
        <v>túi thứ hai</v>
      </c>
      <c r="F109" s="3" t="str">
        <f ca="1">IFERROR(__xludf.DUMMYFUNCTION("GOOGLETRANSLATE(C109,""ja"",""vi"")"),"Đấu giá&gt; Thời trang&gt; Túi xách phụ nữ của&gt; túi thứ hai")</f>
        <v>Đấu giá&gt; Thời trang&gt; Túi xách phụ nữ của&gt; túi thứ hai</v>
      </c>
      <c r="G109" s="229" t="str">
        <f t="shared" ca="1" si="2"/>
        <v>"2084008318" : "túi thứ hai",</v>
      </c>
      <c r="H109" s="229" t="str">
        <f t="shared" si="3"/>
        <v>&lt;li class="col-md-3"&gt;&lt;a class="text-cut" href="javascript:;"(click)="categoryEvent(2084008318)"&gt;{{"2084008318" | translate}}&lt;/a&gt;&lt;/li&gt;</v>
      </c>
    </row>
    <row r="110" spans="1:8" ht="14.25" customHeight="1">
      <c r="A110" s="2">
        <v>2084008307</v>
      </c>
      <c r="B110" s="2" t="s">
        <v>4787</v>
      </c>
      <c r="C110" s="2" t="s">
        <v>4790</v>
      </c>
      <c r="D110" s="2" t="s">
        <v>4792</v>
      </c>
      <c r="E110" s="3" t="str">
        <f ca="1">IFERROR(__xludf.DUMMYFUNCTION("GOOGLETRANSLATE(B110,""ja"",""vi"")"),"Giỏ, giỏ wicker")</f>
        <v>Giỏ, giỏ wicker</v>
      </c>
      <c r="F110" s="3" t="str">
        <f ca="1">IFERROR(__xludf.DUMMYFUNCTION("GOOGLETRANSLATE(C110,""ja"",""vi"")"),"Đấu giá&gt; Thời trang&gt; Túi xách&gt; giỏ, giỏ wicker nữ")</f>
        <v>Đấu giá&gt; Thời trang&gt; Túi xách&gt; giỏ, giỏ wicker nữ</v>
      </c>
      <c r="G110" s="229" t="str">
        <f t="shared" ca="1" si="2"/>
        <v>"2084008307" : "Giỏ, giỏ wicker",</v>
      </c>
      <c r="H110" s="229" t="str">
        <f t="shared" si="3"/>
        <v>&lt;li class="col-md-3"&gt;&lt;a class="text-cut" href="javascript:;"(click)="categoryEvent(2084008307)"&gt;{{"2084008307" | translate}}&lt;/a&gt;&lt;/li&gt;</v>
      </c>
    </row>
    <row r="111" spans="1:8" ht="14.25" customHeight="1">
      <c r="A111" s="2">
        <v>2084008306</v>
      </c>
      <c r="B111" s="2" t="s">
        <v>4799</v>
      </c>
      <c r="C111" s="2" t="s">
        <v>4802</v>
      </c>
      <c r="D111" s="2" t="s">
        <v>4804</v>
      </c>
      <c r="E111" s="3" t="str">
        <f ca="1">IFERROR(__xludf.DUMMYFUNCTION("GOOGLETRANSLATE(B111,""ja"",""vi"")"),"túi vanity")</f>
        <v>túi vanity</v>
      </c>
      <c r="F111" s="3" t="str">
        <f ca="1">IFERROR(__xludf.DUMMYFUNCTION("GOOGLETRANSLATE(C111,""ja"",""vi"")"),"Đấu giá&gt; Thời trang&gt; Túi xách nữ&gt; túi Vanity")</f>
        <v>Đấu giá&gt; Thời trang&gt; Túi xách nữ&gt; túi Vanity</v>
      </c>
      <c r="G111" s="229" t="str">
        <f t="shared" ca="1" si="2"/>
        <v>"2084008306" : "túi vanity",</v>
      </c>
      <c r="H111" s="229" t="str">
        <f t="shared" si="3"/>
        <v>&lt;li class="col-md-3"&gt;&lt;a class="text-cut" href="javascript:;"(click)="categoryEvent(2084008306)"&gt;{{"2084008306" | translate}}&lt;/a&gt;&lt;/li&gt;</v>
      </c>
    </row>
    <row r="112" spans="1:8" ht="14.25" customHeight="1">
      <c r="A112" s="2">
        <v>2084008333</v>
      </c>
      <c r="B112" s="2" t="s">
        <v>4809</v>
      </c>
      <c r="C112" s="2" t="s">
        <v>4810</v>
      </c>
      <c r="D112" s="2" t="s">
        <v>4811</v>
      </c>
      <c r="E112" s="3" t="str">
        <f ca="1">IFERROR(__xludf.DUMMYFUNCTION("GOOGLETRANSLATE(B112,""ja"",""vi"")"),"Cặp, vali")</f>
        <v>Cặp, vali</v>
      </c>
      <c r="F112" s="3" t="str">
        <f ca="1">IFERROR(__xludf.DUMMYFUNCTION("GOOGLETRANSLATE(C112,""ja"",""vi"")"),"Đấu giá&gt; Thời trang&gt; Phụ nữ Túi xách&gt; vali, vali")</f>
        <v>Đấu giá&gt; Thời trang&gt; Phụ nữ Túi xách&gt; vali, vali</v>
      </c>
      <c r="G112" s="229" t="str">
        <f t="shared" ca="1" si="2"/>
        <v>"2084008333" : "Cặp, vali",</v>
      </c>
      <c r="H112" s="229" t="str">
        <f t="shared" si="3"/>
        <v>&lt;li class="col-md-3"&gt;&lt;a class="text-cut" href="javascript:;"(click)="categoryEvent(2084008333)"&gt;{{"2084008333" | translate}}&lt;/a&gt;&lt;/li&gt;</v>
      </c>
    </row>
    <row r="113" spans="1:8" ht="14.25" customHeight="1">
      <c r="A113" s="2">
        <v>2084008310</v>
      </c>
      <c r="B113" s="2" t="s">
        <v>4817</v>
      </c>
      <c r="C113" s="2" t="s">
        <v>4820</v>
      </c>
      <c r="D113" s="2" t="s">
        <v>4822</v>
      </c>
      <c r="E113" s="3" t="str">
        <f ca="1">IFERROR(__xludf.DUMMYFUNCTION("GOOGLETRANSLATE(B113,""ja"",""vi"")"),"túi Boston")</f>
        <v>túi Boston</v>
      </c>
      <c r="F113" s="3" t="str">
        <f ca="1">IFERROR(__xludf.DUMMYFUNCTION("GOOGLETRANSLATE(C113,""ja"",""vi"")"),"Đấu giá&gt; Thời trang&gt; Túi xách nữ&gt; túi Boston")</f>
        <v>Đấu giá&gt; Thời trang&gt; Túi xách nữ&gt; túi Boston</v>
      </c>
      <c r="G113" s="229" t="str">
        <f t="shared" ca="1" si="2"/>
        <v>"2084008310" : "túi Boston",</v>
      </c>
      <c r="H113" s="229" t="str">
        <f t="shared" si="3"/>
        <v>&lt;li class="col-md-3"&gt;&lt;a class="text-cut" href="javascript:;"(click)="categoryEvent(2084008310)"&gt;{{"2084008310" | translate}}&lt;/a&gt;&lt;/li&gt;</v>
      </c>
    </row>
    <row r="114" spans="1:8" ht="14.25" customHeight="1">
      <c r="A114" s="2">
        <v>2084008348</v>
      </c>
      <c r="B114" s="2" t="s">
        <v>4829</v>
      </c>
      <c r="C114" s="2" t="s">
        <v>4831</v>
      </c>
      <c r="D114" s="2" t="s">
        <v>4833</v>
      </c>
      <c r="E114" s="3" t="str">
        <f ca="1">IFERROR(__xludf.DUMMYFUNCTION("GOOGLETRANSLATE(B114,""ja"",""vi"")"),"Body Bag")</f>
        <v>Body Bag</v>
      </c>
      <c r="F114" s="3" t="str">
        <f ca="1">IFERROR(__xludf.DUMMYFUNCTION("GOOGLETRANSLATE(C114,""ja"",""vi"")"),"Đấu giá&gt; Thời trang&gt; Túi xách nữ&gt; Body Bag")</f>
        <v>Đấu giá&gt; Thời trang&gt; Túi xách nữ&gt; Body Bag</v>
      </c>
      <c r="G114" s="229" t="str">
        <f t="shared" ca="1" si="2"/>
        <v>"2084008348" : "Body Bag",</v>
      </c>
      <c r="H114" s="229" t="str">
        <f t="shared" si="3"/>
        <v>&lt;li class="col-md-3"&gt;&lt;a class="text-cut" href="javascript:;"(click)="categoryEvent(2084008348)"&gt;{{"2084008348" | translate}}&lt;/a&gt;&lt;/li&gt;</v>
      </c>
    </row>
    <row r="115" spans="1:8" ht="14.25" customHeight="1">
      <c r="A115" s="2">
        <v>2084050512</v>
      </c>
      <c r="B115" s="2" t="s">
        <v>4842</v>
      </c>
      <c r="C115" s="2" t="s">
        <v>4845</v>
      </c>
      <c r="D115" s="2" t="s">
        <v>4848</v>
      </c>
      <c r="E115" s="3" t="str">
        <f ca="1">IFERROR(__xludf.DUMMYFUNCTION("GOOGLETRANSLATE(B115,""ja"",""vi"")"),"Pochette")</f>
        <v>Pochette</v>
      </c>
      <c r="F115" s="3" t="str">
        <f ca="1">IFERROR(__xludf.DUMMYFUNCTION("GOOGLETRANSLATE(C115,""ja"",""vi"")"),"Đấu giá&gt; Thời trang&gt; Túi xách nữ&gt; pochette")</f>
        <v>Đấu giá&gt; Thời trang&gt; Túi xách nữ&gt; pochette</v>
      </c>
      <c r="G115" s="229" t="str">
        <f t="shared" ca="1" si="2"/>
        <v>"2084050512" : "Pochette",</v>
      </c>
      <c r="H115" s="229" t="str">
        <f t="shared" si="3"/>
        <v>&lt;li class="col-md-3"&gt;&lt;a class="text-cut" href="javascript:;"(click)="categoryEvent(2084050512)"&gt;{{"2084050512" | translate}}&lt;/a&gt;&lt;/li&gt;</v>
      </c>
    </row>
    <row r="116" spans="1:8" ht="14.25" customHeight="1">
      <c r="A116" s="2">
        <v>2084047405</v>
      </c>
      <c r="B116" s="2" t="s">
        <v>1049</v>
      </c>
      <c r="C116" s="2" t="s">
        <v>4859</v>
      </c>
      <c r="D116" s="2" t="s">
        <v>4861</v>
      </c>
      <c r="E116" s="3" t="str">
        <f ca="1">IFERROR(__xludf.DUMMYFUNCTION("GOOGLETRANSLATE(B116,""ja"",""vi"")"),"túi mẹ")</f>
        <v>túi mẹ</v>
      </c>
      <c r="F116" s="3" t="str">
        <f ca="1">IFERROR(__xludf.DUMMYFUNCTION("GOOGLETRANSLATE(C116,""ja"",""vi"")"),"Đấu giá&gt; Thời trang&gt; Túi xách nữ&gt; túi bà mẹ")</f>
        <v>Đấu giá&gt; Thời trang&gt; Túi xách nữ&gt; túi bà mẹ</v>
      </c>
      <c r="G116" s="229" t="str">
        <f t="shared" ca="1" si="2"/>
        <v>"2084047405" : "túi mẹ",</v>
      </c>
      <c r="H116" s="229" t="str">
        <f t="shared" si="3"/>
        <v>&lt;li class="col-md-3"&gt;&lt;a class="text-cut" href="javascript:;"(click)="categoryEvent(2084047405)"&gt;{{"2084047405" | translate}}&lt;/a&gt;&lt;/li&gt;</v>
      </c>
    </row>
    <row r="117" spans="1:8" ht="14.25" customHeight="1">
      <c r="A117" s="2">
        <v>2084008316</v>
      </c>
      <c r="B117" s="2" t="s">
        <v>4868</v>
      </c>
      <c r="C117" s="2" t="s">
        <v>4869</v>
      </c>
      <c r="D117" s="2" t="s">
        <v>4870</v>
      </c>
      <c r="E117" s="3" t="str">
        <f ca="1">IFERROR(__xludf.DUMMYFUNCTION("GOOGLETRANSLATE(B117,""ja"",""vi"")"),"Ba lô, daypack")</f>
        <v>Ba lô, daypack</v>
      </c>
      <c r="F117" s="3" t="str">
        <f ca="1">IFERROR(__xludf.DUMMYFUNCTION("GOOGLETRANSLATE(C117,""ja"",""vi"")"),"Đấu giá&gt; Thời trang&gt; Phụ nữ túi&gt; ba lô, daypack")</f>
        <v>Đấu giá&gt; Thời trang&gt; Phụ nữ túi&gt; ba lô, daypack</v>
      </c>
      <c r="G117" s="229" t="str">
        <f t="shared" ca="1" si="2"/>
        <v>"2084008316" : "Ba lô, daypack",</v>
      </c>
      <c r="H117" s="229" t="str">
        <f t="shared" si="3"/>
        <v>&lt;li class="col-md-3"&gt;&lt;a class="text-cut" href="javascript:;"(click)="categoryEvent(2084008316)"&gt;{{"2084008316" | translate}}&lt;/a&gt;&lt;/li&gt;</v>
      </c>
    </row>
    <row r="118" spans="1:8" ht="14.25" customHeight="1">
      <c r="A118" s="2">
        <v>2084008317</v>
      </c>
      <c r="B118" s="2" t="s">
        <v>4876</v>
      </c>
      <c r="C118" s="2" t="s">
        <v>4879</v>
      </c>
      <c r="D118" s="2" t="s">
        <v>4880</v>
      </c>
      <c r="E118" s="3" t="str">
        <f ca="1">IFERROR(__xludf.DUMMYFUNCTION("GOOGLETRANSLATE(B118,""ja"",""vi"")"),"túi")</f>
        <v>túi</v>
      </c>
      <c r="F118" s="3" t="str">
        <f ca="1">IFERROR(__xludf.DUMMYFUNCTION("GOOGLETRANSLATE(C118,""ja"",""vi"")"),"Đấu giá&gt; Thời trang&gt; Túi xách nữ&gt; ví")</f>
        <v>Đấu giá&gt; Thời trang&gt; Túi xách nữ&gt; ví</v>
      </c>
      <c r="G118" s="229" t="str">
        <f t="shared" ca="1" si="2"/>
        <v>"2084008317" : "túi",</v>
      </c>
      <c r="H118" s="229" t="str">
        <f t="shared" si="3"/>
        <v>&lt;li class="col-md-3"&gt;&lt;a class="text-cut" href="javascript:;"(click)="categoryEvent(2084008317)"&gt;{{"2084008317" | translate}}&lt;/a&gt;&lt;/li&gt;</v>
      </c>
    </row>
    <row r="119" spans="1:8" ht="14.25" customHeight="1">
      <c r="A119" s="2">
        <v>2084005470</v>
      </c>
      <c r="B119" s="2" t="s">
        <v>4887</v>
      </c>
      <c r="C119" s="2" t="s">
        <v>4888</v>
      </c>
      <c r="D119" s="2" t="s">
        <v>4890</v>
      </c>
      <c r="E119" s="3" t="str">
        <f ca="1">IFERROR(__xludf.DUMMYFUNCTION("GOOGLETRANSLATE(B119,""ja"",""vi"")"),"túi kimono")</f>
        <v>túi kimono</v>
      </c>
      <c r="F119" s="3" t="str">
        <f ca="1">IFERROR(__xludf.DUMMYFUNCTION("GOOGLETRANSLATE(C119,""ja"",""vi"")"),"Đấu giá&gt; Thời trang&gt; Túi xách nữ&gt; túi kimono")</f>
        <v>Đấu giá&gt; Thời trang&gt; Túi xách nữ&gt; túi kimono</v>
      </c>
      <c r="G119" s="229" t="str">
        <f t="shared" ca="1" si="2"/>
        <v>"2084005470" : "túi kimono",</v>
      </c>
      <c r="H119" s="229" t="str">
        <f t="shared" si="3"/>
        <v>&lt;li class="col-md-3"&gt;&lt;a class="text-cut" href="javascript:;"(click)="categoryEvent(2084005470)"&gt;{{"2084005470" | translate}}&lt;/a&gt;&lt;/li&gt;</v>
      </c>
    </row>
    <row r="120" spans="1:8" ht="14.25" customHeight="1">
      <c r="A120" s="2">
        <v>2084012476</v>
      </c>
      <c r="B120" s="2" t="s">
        <v>4895</v>
      </c>
      <c r="C120" s="2" t="s">
        <v>4897</v>
      </c>
      <c r="D120" s="2" t="s">
        <v>4901</v>
      </c>
      <c r="E120" s="3" t="str">
        <f ca="1">IFERROR(__xludf.DUMMYFUNCTION("GOOGLETRANSLATE(B120,""ja"",""vi"")"),"trường hợp chủ chốt")</f>
        <v>trường hợp chủ chốt</v>
      </c>
      <c r="F120" s="3" t="str">
        <f ca="1">IFERROR(__xludf.DUMMYFUNCTION("GOOGLETRANSLATE(C120,""ja"",""vi"")"),"Đấu giá&gt; Thời trang&gt; Túi xách nữ&gt; trường hợp chủ chốt")</f>
        <v>Đấu giá&gt; Thời trang&gt; Túi xách nữ&gt; trường hợp chủ chốt</v>
      </c>
      <c r="G120" s="229" t="str">
        <f t="shared" ca="1" si="2"/>
        <v>"2084012476" : "trường hợp chủ chốt",</v>
      </c>
      <c r="H120" s="229" t="str">
        <f t="shared" si="3"/>
        <v>&lt;li class="col-md-3"&gt;&lt;a class="text-cut" href="javascript:;"(click)="categoryEvent(2084012476)"&gt;{{"2084012476" | translate}}&lt;/a&gt;&lt;/li&gt;</v>
      </c>
    </row>
    <row r="121" spans="1:8" ht="14.25" customHeight="1">
      <c r="A121" s="2">
        <v>2084008418</v>
      </c>
      <c r="B121" s="2" t="s">
        <v>4279</v>
      </c>
      <c r="C121" s="2" t="s">
        <v>4903</v>
      </c>
      <c r="D121" s="2" t="s">
        <v>4905</v>
      </c>
      <c r="E121" s="3" t="str">
        <f ca="1">IFERROR(__xludf.DUMMYFUNCTION("GOOGLETRANSLATE(B121,""ja"",""vi"")"),"Trường hợp điện thoại di động")</f>
        <v>Trường hợp điện thoại di động</v>
      </c>
      <c r="F121" s="3" t="str">
        <f ca="1">IFERROR(__xludf.DUMMYFUNCTION("GOOGLETRANSLATE(C121,""ja"",""vi"")"),"Đấu giá&gt; Thời trang&gt; Túi xách nữ&gt; Điện thoại di động Điện thoại trường hợp")</f>
        <v>Đấu giá&gt; Thời trang&gt; Túi xách nữ&gt; Điện thoại di động Điện thoại trường hợp</v>
      </c>
      <c r="G121" s="229" t="str">
        <f t="shared" ca="1" si="2"/>
        <v>"2084008418" : "Trường hợp điện thoại di động",</v>
      </c>
      <c r="H121" s="229" t="str">
        <f t="shared" si="3"/>
        <v>&lt;li class="col-md-3"&gt;&lt;a class="text-cut" href="javascript:;"(click)="categoryEvent(2084008418)"&gt;{{"2084008418" | translate}}&lt;/a&gt;&lt;/li&gt;</v>
      </c>
    </row>
    <row r="122" spans="1:8" ht="14.25" customHeight="1">
      <c r="A122" s="2">
        <v>2084005289</v>
      </c>
      <c r="B122" s="2" t="s">
        <v>4910</v>
      </c>
      <c r="C122" s="2" t="s">
        <v>4911</v>
      </c>
      <c r="D122" s="2" t="s">
        <v>4912</v>
      </c>
      <c r="E122" s="3" t="str">
        <f ca="1">IFERROR(__xludf.DUMMYFUNCTION("GOOGLETRANSLATE(B122,""ja"",""vi"")"),"ví")</f>
        <v>ví</v>
      </c>
      <c r="F122" s="3" t="str">
        <f ca="1">IFERROR(__xludf.DUMMYFUNCTION("GOOGLETRANSLATE(C122,""ja"",""vi"")"),"Đấu giá&gt; Thời trang&gt; Túi xách nữ&gt; ví")</f>
        <v>Đấu giá&gt; Thời trang&gt; Túi xách nữ&gt; ví</v>
      </c>
      <c r="G122" s="229" t="str">
        <f t="shared" ca="1" si="2"/>
        <v>"2084005289" : "ví",</v>
      </c>
      <c r="H122" s="229" t="str">
        <f t="shared" si="3"/>
        <v>&lt;li class="col-md-3"&gt;&lt;a class="text-cut" href="javascript:;"(click)="categoryEvent(2084005289)"&gt;{{"2084005289" | translate}}&lt;/a&gt;&lt;/li&gt;</v>
      </c>
    </row>
    <row r="123" spans="1:8" ht="14.25" customHeight="1">
      <c r="A123" s="2">
        <v>2084012475</v>
      </c>
      <c r="B123" s="2" t="s">
        <v>4916</v>
      </c>
      <c r="C123" s="2" t="s">
        <v>4917</v>
      </c>
      <c r="D123" s="2" t="s">
        <v>4919</v>
      </c>
      <c r="E123" s="3" t="str">
        <f ca="1">IFERROR(__xludf.DUMMYFUNCTION("GOOGLETRANSLATE(B123,""ja"",""vi"")"),"giữ đèo")</f>
        <v>giữ đèo</v>
      </c>
      <c r="F123" s="3" t="str">
        <f ca="1">IFERROR(__xludf.DUMMYFUNCTION("GOOGLETRANSLATE(C123,""ja"",""vi"")"),"Đấu giá&gt; Thời trang&gt; Túi xách nữ&gt; giữ qua")</f>
        <v>Đấu giá&gt; Thời trang&gt; Túi xách nữ&gt; giữ qua</v>
      </c>
      <c r="G123" s="229" t="str">
        <f t="shared" ca="1" si="2"/>
        <v>"2084012475" : "giữ đèo",</v>
      </c>
      <c r="H123" s="229" t="str">
        <f t="shared" si="3"/>
        <v>&lt;li class="col-md-3"&gt;&lt;a class="text-cut" href="javascript:;"(click)="categoryEvent(2084012475)"&gt;{{"2084012475" | translate}}&lt;/a&gt;&lt;/li&gt;</v>
      </c>
    </row>
    <row r="124" spans="1:8" ht="14.25" customHeight="1">
      <c r="A124" s="2">
        <v>2084307774</v>
      </c>
      <c r="B124" s="2" t="s">
        <v>4921</v>
      </c>
      <c r="C124" s="2" t="s">
        <v>4922</v>
      </c>
      <c r="D124" s="2" t="s">
        <v>4924</v>
      </c>
      <c r="E124" s="3" t="str">
        <f ca="1">IFERROR(__xludf.DUMMYFUNCTION("GOOGLETRANSLATE(B124,""ja"",""vi"")"),"cho thuê túi")</f>
        <v>cho thuê túi</v>
      </c>
      <c r="F124" s="3" t="str">
        <f ca="1">IFERROR(__xludf.DUMMYFUNCTION("GOOGLETRANSLATE(C124,""ja"",""vi"")"),"Đấu giá&gt; Thời trang&gt; Túi xách nữ&gt; cho thuê túi")</f>
        <v>Đấu giá&gt; Thời trang&gt; Túi xách nữ&gt; cho thuê túi</v>
      </c>
      <c r="G124" s="229" t="str">
        <f t="shared" ca="1" si="2"/>
        <v>"2084307774" : "cho thuê túi",</v>
      </c>
      <c r="H124" s="229" t="str">
        <f t="shared" si="3"/>
        <v>&lt;li class="col-md-3"&gt;&lt;a class="text-cut" href="javascript:;"(click)="categoryEvent(2084307774)"&gt;{{"2084307774" | translate}}&lt;/a&gt;&lt;/li&gt;</v>
      </c>
    </row>
    <row r="125" spans="1:8" ht="14.25" customHeight="1">
      <c r="E125" s="3"/>
      <c r="F125" s="3"/>
      <c r="G125" s="229"/>
      <c r="H125" s="229"/>
    </row>
    <row r="126" spans="1:8" ht="14.25" customHeight="1">
      <c r="A126" s="237">
        <v>23312</v>
      </c>
      <c r="B126" s="232"/>
      <c r="C126" s="232"/>
      <c r="D126" s="233"/>
      <c r="E126" s="3"/>
      <c r="F126" s="3"/>
      <c r="G126" s="229"/>
      <c r="H126" s="229"/>
    </row>
    <row r="127" spans="1:8" ht="14.25" customHeight="1">
      <c r="A127" s="2">
        <v>2084023781</v>
      </c>
      <c r="B127" s="2" t="s">
        <v>4933</v>
      </c>
      <c r="C127" s="2" t="s">
        <v>4934</v>
      </c>
      <c r="D127" s="2" t="s">
        <v>4936</v>
      </c>
      <c r="E127" s="3" t="str">
        <f ca="1">IFERROR(__xludf.DUMMYFUNCTION("GOOGLETRANSLATE(B127,""ja"",""vi"")"),"giày đi bộ")</f>
        <v>giày đi bộ</v>
      </c>
      <c r="F127" s="3" t="str">
        <f ca="1">IFERROR(__xludf.DUMMYFUNCTION("GOOGLETRANSLATE(C127,""ja"",""vi"")"),"Đấu giá&gt; giày thời trang&gt; Phụ nữ&gt; giày đi bộ")</f>
        <v>Đấu giá&gt; giày thời trang&gt; Phụ nữ&gt; giày đi bộ</v>
      </c>
      <c r="G127" s="229" t="str">
        <f t="shared" ca="1" si="2"/>
        <v>"2084023781" : "giày đi bộ",</v>
      </c>
      <c r="H127" s="229" t="str">
        <f t="shared" si="3"/>
        <v>&lt;li class="col-md-3"&gt;&lt;a class="text-cut" href="javascript:;"(click)="categoryEvent(2084023781)"&gt;{{"2084023781" | translate}}&lt;/a&gt;&lt;/li&gt;</v>
      </c>
    </row>
    <row r="128" spans="1:8" ht="14.25" customHeight="1">
      <c r="A128" s="2">
        <v>2084005497</v>
      </c>
      <c r="B128" s="2" t="s">
        <v>4939</v>
      </c>
      <c r="C128" s="2" t="s">
        <v>4940</v>
      </c>
      <c r="D128" s="2" t="s">
        <v>4941</v>
      </c>
      <c r="E128" s="3" t="str">
        <f ca="1">IFERROR(__xludf.DUMMYFUNCTION("GOOGLETRANSLATE(B128,""ja"",""vi"")"),"dép xăng đan")</f>
        <v>dép xăng đan</v>
      </c>
      <c r="F128" s="3" t="str">
        <f ca="1">IFERROR(__xludf.DUMMYFUNCTION("GOOGLETRANSLATE(C128,""ja"",""vi"")"),"Đấu giá&gt; Thời trang&gt; Phụ nữ Giày dép&gt; dép")</f>
        <v>Đấu giá&gt; Thời trang&gt; Phụ nữ Giày dép&gt; dép</v>
      </c>
      <c r="G128" s="229" t="str">
        <f t="shared" ca="1" si="2"/>
        <v>"2084005497" : "dép xăng đan",</v>
      </c>
      <c r="H128" s="229" t="str">
        <f t="shared" si="3"/>
        <v>&lt;li class="col-md-3"&gt;&lt;a class="text-cut" href="javascript:;"(click)="categoryEvent(2084005497)"&gt;{{"2084005497" | translate}}&lt;/a&gt;&lt;/li&gt;</v>
      </c>
    </row>
    <row r="129" spans="1:8" ht="14.25" customHeight="1">
      <c r="A129" s="2">
        <v>2084005494</v>
      </c>
      <c r="B129" s="2" t="s">
        <v>4945</v>
      </c>
      <c r="C129" s="2" t="s">
        <v>4946</v>
      </c>
      <c r="D129" s="2" t="s">
        <v>4947</v>
      </c>
      <c r="E129" s="3" t="str">
        <f ca="1">IFERROR(__xludf.DUMMYFUNCTION("GOOGLETRANSLATE(B129,""ja"",""vi"")"),"giày thể thao")</f>
        <v>giày thể thao</v>
      </c>
      <c r="F129" s="3" t="str">
        <f ca="1">IFERROR(__xludf.DUMMYFUNCTION("GOOGLETRANSLATE(C129,""ja"",""vi"")"),"Đấu giá&gt; Thời trang&gt; Phụ nữ giày&gt; giày")</f>
        <v>Đấu giá&gt; Thời trang&gt; Phụ nữ giày&gt; giày</v>
      </c>
      <c r="G129" s="229" t="str">
        <f t="shared" ca="1" si="2"/>
        <v>"2084005494" : "giày thể thao",</v>
      </c>
      <c r="H129" s="229" t="str">
        <f t="shared" si="3"/>
        <v>&lt;li class="col-md-3"&gt;&lt;a class="text-cut" href="javascript:;"(click)="categoryEvent(2084005494)"&gt;{{"2084005494" | translate}}&lt;/a&gt;&lt;/li&gt;</v>
      </c>
    </row>
    <row r="130" spans="1:8" ht="14.25" customHeight="1">
      <c r="A130" s="2">
        <v>2084023780</v>
      </c>
      <c r="B130" s="2" t="s">
        <v>4951</v>
      </c>
      <c r="C130" s="2" t="s">
        <v>4952</v>
      </c>
      <c r="D130" s="2" t="s">
        <v>4953</v>
      </c>
      <c r="E130" s="3" t="str">
        <f ca="1">IFERROR(__xludf.DUMMYFUNCTION("GOOGLETRANSLATE(B130,""ja"",""vi"")"),"dép múa ba lê")</f>
        <v>dép múa ba lê</v>
      </c>
      <c r="F130" s="3" t="str">
        <f ca="1">IFERROR(__xludf.DUMMYFUNCTION("GOOGLETRANSLATE(C130,""ja"",""vi"")"),"Đấu giá&gt; Thời trang&gt; Giày dép nữ&gt; Ballet Shoes")</f>
        <v>Đấu giá&gt; Thời trang&gt; Giày dép nữ&gt; Ballet Shoes</v>
      </c>
      <c r="G130" s="229" t="str">
        <f t="shared" ca="1" si="2"/>
        <v>"2084023780" : "dép múa ba lê",</v>
      </c>
      <c r="H130" s="229" t="str">
        <f t="shared" si="3"/>
        <v>&lt;li class="col-md-3"&gt;&lt;a class="text-cut" href="javascript:;"(click)="categoryEvent(2084023780)"&gt;{{"2084023780" | translate}}&lt;/a&gt;&lt;/li&gt;</v>
      </c>
    </row>
    <row r="131" spans="1:8" ht="14.25" customHeight="1">
      <c r="A131" s="2">
        <v>2084005493</v>
      </c>
      <c r="B131" s="2" t="s">
        <v>4957</v>
      </c>
      <c r="C131" s="2" t="s">
        <v>4958</v>
      </c>
      <c r="D131" s="2" t="s">
        <v>4959</v>
      </c>
      <c r="E131" s="3" t="str">
        <f ca="1">IFERROR(__xludf.DUMMYFUNCTION("GOOGLETRANSLATE(B131,""ja"",""vi"")"),"bơm")</f>
        <v>bơm</v>
      </c>
      <c r="F131" s="3" t="str">
        <f ca="1">IFERROR(__xludf.DUMMYFUNCTION("GOOGLETRANSLATE(C131,""ja"",""vi"")"),"Đấu giá&gt; Thời trang&gt; Phụ nữ Giày dép&gt; Bơm")</f>
        <v>Đấu giá&gt; Thời trang&gt; Phụ nữ Giày dép&gt; Bơm</v>
      </c>
      <c r="G131" s="229" t="str">
        <f t="shared" ref="G131:G194" ca="1" si="4">CONCATENATE(CHAR(34)&amp;"",A131,""&amp;CHAR(34)," : ", CHAR(34)&amp;"",E131,""&amp;CHAR(34),",")</f>
        <v>"2084005493" : "bơm",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href="javascript:;"(click)="categoryEvent(2084005493)"&gt;{{"2084005493" | translate}}&lt;/a&gt;&lt;/li&gt;</v>
      </c>
    </row>
    <row r="132" spans="1:8" ht="14.25" customHeight="1">
      <c r="A132" s="2">
        <v>2084005495</v>
      </c>
      <c r="B132" s="2" t="s">
        <v>4963</v>
      </c>
      <c r="C132" s="2" t="s">
        <v>4964</v>
      </c>
      <c r="D132" s="2" t="s">
        <v>4965</v>
      </c>
      <c r="E132" s="3" t="str">
        <f ca="1">IFERROR(__xludf.DUMMYFUNCTION("GOOGLETRANSLATE(B132,""ja"",""vi"")"),"giày ống")</f>
        <v>giày ống</v>
      </c>
      <c r="F132" s="3" t="str">
        <f ca="1">IFERROR(__xludf.DUMMYFUNCTION("GOOGLETRANSLATE(C132,""ja"",""vi"")"),"Đấu giá&gt; Thời trang&gt; Phụ nữ Giày dép&gt; Boots")</f>
        <v>Đấu giá&gt; Thời trang&gt; Phụ nữ Giày dép&gt; Boots</v>
      </c>
      <c r="G132" s="229" t="str">
        <f t="shared" ca="1" si="4"/>
        <v>"2084005495" : "giày ống",</v>
      </c>
      <c r="H132" s="229" t="str">
        <f t="shared" si="5"/>
        <v>&lt;li class="col-md-3"&gt;&lt;a class="text-cut" href="javascript:;"(click)="categoryEvent(2084005495)"&gt;{{"2084005495" | translate}}&lt;/a&gt;&lt;/li&gt;</v>
      </c>
    </row>
    <row r="133" spans="1:8" ht="14.25" customHeight="1">
      <c r="A133" s="2">
        <v>2084005496</v>
      </c>
      <c r="B133" s="2" t="s">
        <v>4966</v>
      </c>
      <c r="C133" s="2" t="s">
        <v>4968</v>
      </c>
      <c r="D133" s="2" t="s">
        <v>4970</v>
      </c>
      <c r="E133" s="3" t="str">
        <f ca="1">IFERROR(__xludf.DUMMYFUNCTION("GOOGLETRANSLATE(B133,""ja"",""vi"")"),"con la")</f>
        <v>con la</v>
      </c>
      <c r="F133" s="3" t="str">
        <f ca="1">IFERROR(__xludf.DUMMYFUNCTION("GOOGLETRANSLATE(C133,""ja"",""vi"")"),"Đấu giá&gt; Thời trang&gt; Giày dép nữ&gt; Mule")</f>
        <v>Đấu giá&gt; Thời trang&gt; Giày dép nữ&gt; Mule</v>
      </c>
      <c r="G133" s="229" t="str">
        <f t="shared" ca="1" si="4"/>
        <v>"2084005496" : "con la",</v>
      </c>
      <c r="H133" s="229" t="str">
        <f t="shared" si="5"/>
        <v>&lt;li class="col-md-3"&gt;&lt;a class="text-cut" href="javascript:;"(click)="categoryEvent(2084005496)"&gt;{{"2084005496" | translate}}&lt;/a&gt;&lt;/li&gt;</v>
      </c>
    </row>
    <row r="134" spans="1:8" ht="14.25" customHeight="1">
      <c r="A134" s="2">
        <v>2084007894</v>
      </c>
      <c r="B134" s="2" t="s">
        <v>4975</v>
      </c>
      <c r="C134" s="2" t="s">
        <v>4976</v>
      </c>
      <c r="D134" s="2" t="s">
        <v>4977</v>
      </c>
      <c r="E134" s="3" t="str">
        <f ca="1">IFERROR(__xludf.DUMMYFUNCTION("GOOGLETRANSLATE(B134,""ja"",""vi"")"),"Giày đi dạo, giày da đanh")</f>
        <v>Giày đi dạo, giày da đanh</v>
      </c>
      <c r="F134" s="3" t="str">
        <f ca="1">IFERROR(__xludf.DUMMYFUNCTION("GOOGLETRANSLATE(C134,""ja"",""vi"")"),"Đấu giá&gt; Thời trang&gt; Phụ nữ giày&gt; giày da, giày da đanh")</f>
        <v>Đấu giá&gt; Thời trang&gt; Phụ nữ giày&gt; giày da, giày da đanh</v>
      </c>
      <c r="G134" s="229" t="str">
        <f t="shared" ca="1" si="4"/>
        <v>"2084007894" : "Giày đi dạo, giày da đanh",</v>
      </c>
      <c r="H134" s="229" t="str">
        <f t="shared" si="5"/>
        <v>&lt;li class="col-md-3"&gt;&lt;a class="text-cut" href="javascript:;"(click)="categoryEvent(2084007894)"&gt;{{"2084007894" | translate}}&lt;/a&gt;&lt;/li&gt;</v>
      </c>
    </row>
    <row r="135" spans="1:8" ht="14.25" customHeight="1">
      <c r="A135" s="2">
        <v>2084005469</v>
      </c>
      <c r="B135" s="2" t="s">
        <v>4980</v>
      </c>
      <c r="C135" s="2" t="s">
        <v>4981</v>
      </c>
      <c r="D135" s="2" t="s">
        <v>4984</v>
      </c>
      <c r="E135" s="3" t="str">
        <f ca="1">IFERROR(__xludf.DUMMYFUNCTION("GOOGLETRANSLATE(B135,""ja"",""vi"")"),"Geta, dép")</f>
        <v>Geta, dép</v>
      </c>
      <c r="F135" s="3" t="str">
        <f ca="1">IFERROR(__xludf.DUMMYFUNCTION("GOOGLETRANSLATE(C135,""ja"",""vi"")"),"Đấu giá&gt; Thời trang&gt; Phụ nữ Giày dép&gt; guốc, dép")</f>
        <v>Đấu giá&gt; Thời trang&gt; Phụ nữ Giày dép&gt; guốc, dép</v>
      </c>
      <c r="G135" s="229" t="str">
        <f t="shared" ca="1" si="4"/>
        <v>"2084005469" : "Geta, dép",</v>
      </c>
      <c r="H135" s="229" t="str">
        <f t="shared" si="5"/>
        <v>&lt;li class="col-md-3"&gt;&lt;a class="text-cut" href="javascript:;"(click)="categoryEvent(2084005469)"&gt;{{"2084005469" | translate}}&lt;/a&gt;&lt;/li&gt;</v>
      </c>
    </row>
    <row r="136" spans="1:8" ht="14.25" customHeight="1">
      <c r="A136" s="2">
        <v>42187</v>
      </c>
      <c r="B136" s="2" t="s">
        <v>4990</v>
      </c>
      <c r="C136" s="2" t="s">
        <v>4991</v>
      </c>
      <c r="D136" s="2" t="s">
        <v>4992</v>
      </c>
      <c r="E136" s="3" t="str">
        <f ca="1">IFERROR(__xludf.DUMMYFUNCTION("GOOGLETRANSLATE(B136,""ja"",""vi"")"),"bít tất")</f>
        <v>bít tất</v>
      </c>
      <c r="F136" s="3" t="str">
        <f ca="1">IFERROR(__xludf.DUMMYFUNCTION("GOOGLETRANSLATE(C136,""ja"",""vi"")"),"Đấu giá&gt; Thời trang&gt; Phụ nữ Giày dép&gt; Socks")</f>
        <v>Đấu giá&gt; Thời trang&gt; Phụ nữ Giày dép&gt; Socks</v>
      </c>
      <c r="G136" s="229" t="str">
        <f t="shared" ca="1" si="4"/>
        <v>"42187" : "bít tất",</v>
      </c>
      <c r="H136" s="229" t="str">
        <f t="shared" si="5"/>
        <v>&lt;li class="col-md-3"&gt;&lt;a class="text-cut" href="javascript:;"(click)="categoryEvent(42187)"&gt;{{"42187" | translate}}&lt;/a&gt;&lt;/li&gt;</v>
      </c>
    </row>
    <row r="137" spans="1:8" ht="14.25" customHeight="1">
      <c r="A137" s="2">
        <v>2084048894</v>
      </c>
      <c r="B137" s="2" t="s">
        <v>2886</v>
      </c>
      <c r="C137" s="2" t="s">
        <v>4995</v>
      </c>
      <c r="D137" s="2" t="s">
        <v>4997</v>
      </c>
      <c r="E137" s="3" t="str">
        <f ca="1">IFERROR(__xludf.DUMMYFUNCTION("GOOGLETRANSLATE(B137,""ja"",""vi"")"),"giày dép chuyên dụng")</f>
        <v>giày dép chuyên dụng</v>
      </c>
      <c r="F137" s="3" t="str">
        <f ca="1">IFERROR(__xludf.DUMMYFUNCTION("GOOGLETRANSLATE(C137,""ja"",""vi"")"),"Đấu giá&gt; Thời trang&gt; Giày dép nữ&gt; giày công việc")</f>
        <v>Đấu giá&gt; Thời trang&gt; Giày dép nữ&gt; giày công việc</v>
      </c>
      <c r="G137" s="229" t="str">
        <f t="shared" ca="1" si="4"/>
        <v>"2084048894" : "giày dép chuyên dụng",</v>
      </c>
      <c r="H137" s="229" t="str">
        <f t="shared" si="5"/>
        <v>&lt;li class="col-md-3"&gt;&lt;a class="text-cut" href="javascript:;"(click)="categoryEvent(2084048894)"&gt;{{"2084048894" | translate}}&lt;/a&gt;&lt;/li&gt;</v>
      </c>
    </row>
    <row r="138" spans="1:8" ht="14.25" customHeight="1">
      <c r="A138" s="2">
        <v>2084023779</v>
      </c>
      <c r="B138" s="2" t="s">
        <v>5002</v>
      </c>
      <c r="C138" s="2" t="s">
        <v>5004</v>
      </c>
      <c r="D138" s="2" t="s">
        <v>5006</v>
      </c>
      <c r="E138" s="3" t="str">
        <f ca="1">IFERROR(__xludf.DUMMYFUNCTION("GOOGLETRANSLATE(B138,""ja"",""vi"")"),"Boots, giày mưa")</f>
        <v>Boots, giày mưa</v>
      </c>
      <c r="F138" s="3" t="str">
        <f ca="1">IFERROR(__xludf.DUMMYFUNCTION("GOOGLETRANSLATE(C138,""ja"",""vi"")"),"Đấu giá&gt; Thời trang&gt; giày&gt; giày, giày mưa nữ")</f>
        <v>Đấu giá&gt; Thời trang&gt; giày&gt; giày, giày mưa nữ</v>
      </c>
      <c r="G138" s="229" t="str">
        <f t="shared" ca="1" si="4"/>
        <v>"2084023779" : "Boots, giày mưa",</v>
      </c>
      <c r="H138" s="229" t="str">
        <f t="shared" si="5"/>
        <v>&lt;li class="col-md-3"&gt;&lt;a class="text-cut" href="javascript:;"(click)="categoryEvent(2084023779)"&gt;{{"2084023779" | translate}}&lt;/a&gt;&lt;/li&gt;</v>
      </c>
    </row>
    <row r="139" spans="1:8" ht="14.25" customHeight="1">
      <c r="A139" s="2">
        <v>2084048872</v>
      </c>
      <c r="B139" s="2" t="s">
        <v>5010</v>
      </c>
      <c r="C139" s="2" t="s">
        <v>5011</v>
      </c>
      <c r="D139" s="2" t="s">
        <v>5013</v>
      </c>
      <c r="E139" s="3" t="str">
        <f ca="1">IFERROR(__xludf.DUMMYFUNCTION("GOOGLETRANSLATE(B139,""ja"",""vi"")"),"Giày dép ngoài trời")</f>
        <v>Giày dép ngoài trời</v>
      </c>
      <c r="F139" s="3" t="str">
        <f ca="1">IFERROR(__xludf.DUMMYFUNCTION("GOOGLETRANSLATE(C139,""ja"",""vi"")"),"Đấu giá&gt; Thời trang&gt; Giày dép nữ&gt; giày ngoài trời")</f>
        <v>Đấu giá&gt; Thời trang&gt; Giày dép nữ&gt; giày ngoài trời</v>
      </c>
      <c r="G139" s="229" t="str">
        <f t="shared" ca="1" si="4"/>
        <v>"2084048872" : "Giày dép ngoài trời",</v>
      </c>
      <c r="H139" s="229" t="str">
        <f t="shared" si="5"/>
        <v>&lt;li class="col-md-3"&gt;&lt;a class="text-cut" href="javascript:;"(click)="categoryEvent(2084048872)"&gt;{{"2084048872" | translate}}&lt;/a&gt;&lt;/li&gt;</v>
      </c>
    </row>
    <row r="140" spans="1:8" ht="14.25" customHeight="1">
      <c r="A140" s="2">
        <v>2084005299</v>
      </c>
      <c r="B140" s="2" t="s">
        <v>5020</v>
      </c>
      <c r="C140" s="2" t="s">
        <v>5022</v>
      </c>
      <c r="D140" s="2" t="s">
        <v>5024</v>
      </c>
      <c r="E140" s="3" t="str">
        <f ca="1">IFERROR(__xludf.DUMMYFUNCTION("GOOGLETRANSLATE(B140,""ja"",""vi"")"),"Chân Sản phẩm chăm sóc")</f>
        <v>Chân Sản phẩm chăm sóc</v>
      </c>
      <c r="F140" s="3" t="str">
        <f ca="1">IFERROR(__xludf.DUMMYFUNCTION("GOOGLETRANSLATE(C140,""ja"",""vi"")"),"Đấu giá&gt; Thời trang&gt; Phụ nữ Giày dép&gt; Foot Sản phẩm chăm sóc")</f>
        <v>Đấu giá&gt; Thời trang&gt; Phụ nữ Giày dép&gt; Foot Sản phẩm chăm sóc</v>
      </c>
      <c r="G140" s="229" t="str">
        <f t="shared" ca="1" si="4"/>
        <v>"2084005299" : "Chân Sản phẩm chăm sóc",</v>
      </c>
      <c r="H140" s="229" t="str">
        <f t="shared" si="5"/>
        <v>&lt;li class="col-md-3"&gt;&lt;a class="text-cut" href="javascript:;"(click)="categoryEvent(2084005299)"&gt;{{"2084005299" | translate}}&lt;/a&gt;&lt;/li&gt;</v>
      </c>
    </row>
    <row r="141" spans="1:8" ht="14.25" customHeight="1">
      <c r="A141" s="2">
        <v>2084238534</v>
      </c>
      <c r="B141" s="2" t="s">
        <v>2359</v>
      </c>
      <c r="C141" s="2" t="s">
        <v>5031</v>
      </c>
      <c r="D141" s="2" t="s">
        <v>5032</v>
      </c>
      <c r="E141" s="3" t="str">
        <f ca="1">IFERROR(__xludf.DUMMYFUNCTION("GOOGLETRANSLATE(B141,""ja"",""vi"")"),"giày nguồn cung cấp")</f>
        <v>giày nguồn cung cấp</v>
      </c>
      <c r="F141" s="3" t="str">
        <f ca="1">IFERROR(__xludf.DUMMYFUNCTION("GOOGLETRANSLATE(C141,""ja"",""vi"")"),"Đấu giá&gt; Thời trang&gt; Giày dép nữ&gt; giày cung cấp")</f>
        <v>Đấu giá&gt; Thời trang&gt; Giày dép nữ&gt; giày cung cấp</v>
      </c>
      <c r="G141" s="229" t="str">
        <f t="shared" ca="1" si="4"/>
        <v>"2084238534" : "giày nguồn cung cấp",</v>
      </c>
      <c r="H141" s="229" t="str">
        <f t="shared" si="5"/>
        <v>&lt;li class="col-md-3"&gt;&lt;a class="text-cut" href="javascript:;"(click)="categoryEvent(2084238534)"&gt;{{"2084238534" | translate}}&lt;/a&gt;&lt;/li&gt;</v>
      </c>
    </row>
    <row r="142" spans="1:8" ht="14.25" customHeight="1">
      <c r="A142" s="2">
        <v>2084005499</v>
      </c>
      <c r="B142" s="2" t="s">
        <v>16</v>
      </c>
      <c r="C142" s="2" t="s">
        <v>5039</v>
      </c>
      <c r="D142" s="2" t="s">
        <v>5041</v>
      </c>
      <c r="E142" s="3" t="str">
        <f ca="1">IFERROR(__xludf.DUMMYFUNCTION("GOOGLETRANSLATE(B142,""ja"",""vi"")"),"nếu không thì")</f>
        <v>nếu không thì</v>
      </c>
      <c r="F142" s="3" t="str">
        <f ca="1">IFERROR(__xludf.DUMMYFUNCTION("GOOGLETRANSLATE(C142,""ja"",""vi"")"),"Đấu giá&gt; Thời trang&gt; Phụ nữ Giày dép&gt; Khác")</f>
        <v>Đấu giá&gt; Thời trang&gt; Phụ nữ Giày dép&gt; Khác</v>
      </c>
      <c r="G142" s="229" t="str">
        <f t="shared" ca="1" si="4"/>
        <v>"2084005499" : "nếu không thì",</v>
      </c>
      <c r="H142" s="229" t="str">
        <f t="shared" si="5"/>
        <v>&lt;li class="col-md-3"&gt;&lt;a class="text-cut" href="javascript:;"(click)="categoryEvent(2084005499)"&gt;{{"2084005499" | translate}}&lt;/a&gt;&lt;/li&gt;</v>
      </c>
    </row>
    <row r="143" spans="1:8" ht="14.25" customHeight="1">
      <c r="E143" s="3"/>
      <c r="F143" s="3"/>
      <c r="G143" s="229"/>
      <c r="H143" s="229"/>
    </row>
    <row r="144" spans="1:8" ht="14.25" customHeight="1">
      <c r="A144" s="241">
        <v>2084005204</v>
      </c>
      <c r="B144" s="232"/>
      <c r="C144" s="232"/>
      <c r="D144" s="233"/>
      <c r="E144" s="3"/>
      <c r="F144" s="3"/>
      <c r="G144" s="229"/>
      <c r="H144" s="229"/>
    </row>
    <row r="145" spans="1:8" ht="14.25" customHeight="1">
      <c r="A145" s="2">
        <v>2084048833</v>
      </c>
      <c r="B145" s="2" t="s">
        <v>5053</v>
      </c>
      <c r="C145" s="2" t="s">
        <v>5055</v>
      </c>
      <c r="D145" s="2" t="s">
        <v>5057</v>
      </c>
      <c r="E145" s="3" t="str">
        <f ca="1">IFERROR(__xludf.DUMMYFUNCTION("GOOGLETRANSLATE(B145,""ja"",""vi"")"),"kẹp tóc")</f>
        <v>kẹp tóc</v>
      </c>
      <c r="F145" s="3" t="str">
        <f ca="1">IFERROR(__xludf.DUMMYFUNCTION("GOOGLETRANSLATE(C145,""ja"",""vi"")"),"Đấu giá&gt; Thời trang&gt; Kimono, kimono&gt; kẹp tóc")</f>
        <v>Đấu giá&gt; Thời trang&gt; Kimono, kimono&gt; kẹp tóc</v>
      </c>
      <c r="G145" s="229" t="str">
        <f t="shared" ca="1" si="4"/>
        <v>"2084048833" : "kẹp tóc",</v>
      </c>
      <c r="H145" s="229" t="str">
        <f t="shared" si="5"/>
        <v>&lt;li class="col-md-3"&gt;&lt;a class="text-cut" href="javascript:;"(click)="categoryEvent(2084048833)"&gt;{{"2084048833" | translate}}&lt;/a&gt;&lt;/li&gt;</v>
      </c>
    </row>
    <row r="146" spans="1:8" ht="14.25" customHeight="1">
      <c r="A146" s="2">
        <v>2084005470</v>
      </c>
      <c r="B146" s="2" t="s">
        <v>5061</v>
      </c>
      <c r="C146" s="2" t="s">
        <v>5063</v>
      </c>
      <c r="D146" s="2" t="s">
        <v>5064</v>
      </c>
      <c r="E146" s="3" t="str">
        <f ca="1">IFERROR(__xludf.DUMMYFUNCTION("GOOGLETRANSLATE(B146,""ja"",""vi"")"),"Ví, túi xách")</f>
        <v>Ví, túi xách</v>
      </c>
      <c r="F146" s="3" t="str">
        <f ca="1">IFERROR(__xludf.DUMMYFUNCTION("GOOGLETRANSLATE(C146,""ja"",""vi"")"),"Đấu giá&gt; Thời trang&gt; Kimono, kimono&gt; ví, túi xách")</f>
        <v>Đấu giá&gt; Thời trang&gt; Kimono, kimono&gt; ví, túi xách</v>
      </c>
      <c r="G146" s="229" t="str">
        <f t="shared" ca="1" si="4"/>
        <v>"2084005470" : "Ví, túi xách",</v>
      </c>
      <c r="H146" s="229" t="str">
        <f t="shared" si="5"/>
        <v>&lt;li class="col-md-3"&gt;&lt;a class="text-cut" href="javascript:;"(click)="categoryEvent(2084005470)"&gt;{{"2084005470" | translate}}&lt;/a&gt;&lt;/li&gt;</v>
      </c>
    </row>
    <row r="147" spans="1:8" ht="14.25" customHeight="1">
      <c r="A147" s="2">
        <v>2084005473</v>
      </c>
      <c r="B147" s="2" t="s">
        <v>5069</v>
      </c>
      <c r="C147" s="2" t="s">
        <v>5071</v>
      </c>
      <c r="D147" s="2" t="s">
        <v>5072</v>
      </c>
      <c r="E147" s="3" t="str">
        <f ca="1">IFERROR(__xludf.DUMMYFUNCTION("GOOGLETRANSLATE(B147,""ja"",""vi"")"),"Áo khoác, trên đường đi để mặc")</f>
        <v>Áo khoác, trên đường đi để mặc</v>
      </c>
      <c r="F147" s="3" t="str">
        <f ca="1">IFERROR(__xludf.DUMMYFUNCTION("GOOGLETRANSLATE(C147,""ja"",""vi"")"),"Đấu giá&gt; Thời trang&gt; Kimono, kimono&gt; áo, trên đường đi để mặc")</f>
        <v>Đấu giá&gt; Thời trang&gt; Kimono, kimono&gt; áo, trên đường đi để mặc</v>
      </c>
      <c r="G147" s="229" t="str">
        <f t="shared" ca="1" si="4"/>
        <v>"2084005473" : "Áo khoác, trên đường đi để mặc",</v>
      </c>
      <c r="H147" s="229" t="str">
        <f t="shared" si="5"/>
        <v>&lt;li class="col-md-3"&gt;&lt;a class="text-cut" href="javascript:;"(click)="categoryEvent(2084005473)"&gt;{{"2084005473" | translate}}&lt;/a&gt;&lt;/li&gt;</v>
      </c>
    </row>
    <row r="148" spans="1:8" ht="14.25" customHeight="1">
      <c r="A148" s="2">
        <v>2084005469</v>
      </c>
      <c r="B148" s="2" t="s">
        <v>4980</v>
      </c>
      <c r="C148" s="2" t="s">
        <v>5078</v>
      </c>
      <c r="D148" s="2" t="s">
        <v>5079</v>
      </c>
      <c r="E148" s="3" t="str">
        <f ca="1">IFERROR(__xludf.DUMMYFUNCTION("GOOGLETRANSLATE(B148,""ja"",""vi"")"),"Geta, dép")</f>
        <v>Geta, dép</v>
      </c>
      <c r="F148" s="3" t="str">
        <f ca="1">IFERROR(__xludf.DUMMYFUNCTION("GOOGLETRANSLATE(C148,""ja"",""vi"")"),"Đấu giá&gt; Thời trang&gt; Kimono, kimono&gt; geta, dép")</f>
        <v>Đấu giá&gt; Thời trang&gt; Kimono, kimono&gt; geta, dép</v>
      </c>
      <c r="G148" s="229" t="str">
        <f t="shared" ca="1" si="4"/>
        <v>"2084005469" : "Geta, dép",</v>
      </c>
      <c r="H148" s="229" t="str">
        <f t="shared" si="5"/>
        <v>&lt;li class="col-md-3"&gt;&lt;a class="text-cut" href="javascript:;"(click)="categoryEvent(2084005469)"&gt;{{"2084005469" | translate}}&lt;/a&gt;&lt;/li&gt;</v>
      </c>
    </row>
    <row r="149" spans="1:8" ht="14.25" customHeight="1">
      <c r="A149" s="2">
        <v>2084005465</v>
      </c>
      <c r="B149" s="2" t="s">
        <v>5082</v>
      </c>
      <c r="C149" s="2" t="s">
        <v>5083</v>
      </c>
      <c r="D149" s="2" t="s">
        <v>5084</v>
      </c>
      <c r="E149" s="3" t="str">
        <f ca="1">IFERROR(__xludf.DUMMYFUNCTION("GOOGLETRANSLATE(B149,""ja"",""vi"")"),"Komon")</f>
        <v>Komon</v>
      </c>
      <c r="F149" s="3" t="str">
        <f ca="1">IFERROR(__xludf.DUMMYFUNCTION("GOOGLETRANSLATE(C149,""ja"",""vi"")"),"Đấu giá&gt; Thời trang&gt; Kimono, kimono&gt; Komon")</f>
        <v>Đấu giá&gt; Thời trang&gt; Kimono, kimono&gt; Komon</v>
      </c>
      <c r="G149" s="229" t="str">
        <f t="shared" ca="1" si="4"/>
        <v>"2084005465" : "Komon",</v>
      </c>
      <c r="H149" s="229" t="str">
        <f t="shared" si="5"/>
        <v>&lt;li class="col-md-3"&gt;&lt;a class="text-cut" href="javascript:;"(click)="categoryEvent(2084005465)"&gt;{{"2084005465" | translate}}&lt;/a&gt;&lt;/li&gt;</v>
      </c>
    </row>
    <row r="150" spans="1:8" ht="14.25" customHeight="1">
      <c r="A150" s="2">
        <v>2084005466</v>
      </c>
      <c r="B150" s="2" t="s">
        <v>5091</v>
      </c>
      <c r="C150" s="2" t="s">
        <v>5092</v>
      </c>
      <c r="D150" s="2" t="s">
        <v>5094</v>
      </c>
      <c r="E150" s="3" t="str">
        <f ca="1">IFERROR(__xludf.DUMMYFUNCTION("GOOGLETRANSLATE(B150,""ja"",""vi"")"),"màu đồng bằng")</f>
        <v>màu đồng bằng</v>
      </c>
      <c r="F150" s="3" t="str">
        <f ca="1">IFERROR(__xludf.DUMMYFUNCTION("GOOGLETRANSLATE(C150,""ja"",""vi"")"),"Đấu giá&gt; Thời trang&gt; Kimono, kimono&gt; đồng bằng màu")</f>
        <v>Đấu giá&gt; Thời trang&gt; Kimono, kimono&gt; đồng bằng màu</v>
      </c>
      <c r="G150" s="229" t="str">
        <f t="shared" ca="1" si="4"/>
        <v>"2084005466" : "màu đồng bằng",</v>
      </c>
      <c r="H150" s="229" t="str">
        <f t="shared" si="5"/>
        <v>&lt;li class="col-md-3"&gt;&lt;a class="text-cut" href="javascript:;"(click)="categoryEvent(2084005466)"&gt;{{"2084005466" | translate}}&lt;/a&gt;&lt;/li&gt;</v>
      </c>
    </row>
    <row r="151" spans="1:8" ht="14.25" customHeight="1">
      <c r="A151" s="2">
        <v>2084005461</v>
      </c>
      <c r="B151" s="2" t="s">
        <v>5102</v>
      </c>
      <c r="C151" s="2" t="s">
        <v>5104</v>
      </c>
      <c r="D151" s="2" t="s">
        <v>5105</v>
      </c>
      <c r="E151" s="3" t="str">
        <f ca="1">IFERROR(__xludf.DUMMYFUNCTION("GOOGLETRANSLATE(B151,""ja"",""vi"")"),"Dài tay áo kimono")</f>
        <v>Dài tay áo kimono</v>
      </c>
      <c r="F151" s="3" t="str">
        <f ca="1">IFERROR(__xludf.DUMMYFUNCTION("GOOGLETRANSLATE(C151,""ja"",""vi"")"),"Đấu giá&gt; Thời trang&gt; Kimono, kimono&gt; kimono")</f>
        <v>Đấu giá&gt; Thời trang&gt; Kimono, kimono&gt; kimono</v>
      </c>
      <c r="G151" s="229" t="str">
        <f t="shared" ca="1" si="4"/>
        <v>"2084005461" : "Dài tay áo kimono",</v>
      </c>
      <c r="H151" s="229" t="str">
        <f t="shared" si="5"/>
        <v>&lt;li class="col-md-3"&gt;&lt;a class="text-cut" href="javascript:;"(click)="categoryEvent(2084005461)"&gt;{{"2084005461" | translate}}&lt;/a&gt;&lt;/li&gt;</v>
      </c>
    </row>
    <row r="152" spans="1:8" ht="14.25" customHeight="1">
      <c r="A152" s="2">
        <v>2084005468</v>
      </c>
      <c r="B152" s="2" t="s">
        <v>5111</v>
      </c>
      <c r="C152" s="2" t="s">
        <v>5113</v>
      </c>
      <c r="D152" s="2" t="s">
        <v>5116</v>
      </c>
      <c r="E152" s="3" t="str">
        <f ca="1">IFERROR(__xludf.DUMMYFUNCTION("GOOGLETRANSLATE(B152,""ja"",""vi"")"),"dây lưng lụa")</f>
        <v>dây lưng lụa</v>
      </c>
      <c r="F152" s="3" t="str">
        <f ca="1">IFERROR(__xludf.DUMMYFUNCTION("GOOGLETRANSLATE(C152,""ja"",""vi"")"),"Đấu giá&gt; Thời trang&gt; Kimono, kimono&gt; band")</f>
        <v>Đấu giá&gt; Thời trang&gt; Kimono, kimono&gt; band</v>
      </c>
      <c r="G152" s="229" t="str">
        <f t="shared" ca="1" si="4"/>
        <v>"2084005468" : "dây lưng lụa",</v>
      </c>
      <c r="H152" s="229" t="str">
        <f t="shared" si="5"/>
        <v>&lt;li class="col-md-3"&gt;&lt;a class="text-cut" href="javascript:;"(click)="categoryEvent(2084005468)"&gt;{{"2084005468" | translate}}&lt;/a&gt;&lt;/li&gt;</v>
      </c>
    </row>
    <row r="153" spans="1:8" ht="14.25" customHeight="1">
      <c r="A153" s="2">
        <v>2084048387</v>
      </c>
      <c r="B153" s="2" t="s">
        <v>5123</v>
      </c>
      <c r="C153" s="2" t="s">
        <v>5124</v>
      </c>
      <c r="D153" s="2" t="s">
        <v>5125</v>
      </c>
      <c r="E153" s="3" t="str">
        <f ca="1">IFERROR(__xludf.DUMMYFUNCTION("GOOGLETRANSLATE(B153,""ja"",""vi"")"),"Loại tơ sống, giấy triệu tập")</f>
        <v>Loại tơ sống, giấy triệu tập</v>
      </c>
      <c r="F153" s="3" t="str">
        <f ca="1">IFERROR(__xludf.DUMMYFUNCTION("GOOGLETRANSLATE(C153,""ja"",""vi"")"),"Đấu giá&gt; Thời trang&gt; Kimono, kimono&gt; loại tơ sống, giấy triệu tập")</f>
        <v>Đấu giá&gt; Thời trang&gt; Kimono, kimono&gt; loại tơ sống, giấy triệu tập</v>
      </c>
      <c r="G153" s="229" t="str">
        <f t="shared" ca="1" si="4"/>
        <v>"2084048387" : "Loại tơ sống, giấy triệu tập",</v>
      </c>
      <c r="H153" s="229" t="str">
        <f t="shared" si="5"/>
        <v>&lt;li class="col-md-3"&gt;&lt;a class="text-cut" href="javascript:;"(click)="categoryEvent(2084048387)"&gt;{{"2084048387" | translate}}&lt;/a&gt;&lt;/li&gt;</v>
      </c>
    </row>
    <row r="154" spans="1:8" ht="14.25" customHeight="1">
      <c r="A154" s="2">
        <v>2084005464</v>
      </c>
      <c r="B154" s="2" t="s">
        <v>5132</v>
      </c>
      <c r="C154" s="2" t="s">
        <v>5133</v>
      </c>
      <c r="D154" s="2" t="s">
        <v>5134</v>
      </c>
      <c r="E154" s="3" t="str">
        <f ca="1">IFERROR(__xludf.DUMMYFUNCTION("GOOGLETRANSLATE(B154,""ja"",""vi"")"),"Tsukesage")</f>
        <v>Tsukesage</v>
      </c>
      <c r="F154" s="3" t="str">
        <f ca="1">IFERROR(__xludf.DUMMYFUNCTION("GOOGLETRANSLATE(C154,""ja"",""vi"")"),"Đấu giá&gt; Thời trang&gt; Kimono, kimono&gt; Tsukesage")</f>
        <v>Đấu giá&gt; Thời trang&gt; Kimono, kimono&gt; Tsukesage</v>
      </c>
      <c r="G154" s="229" t="str">
        <f t="shared" ca="1" si="4"/>
        <v>"2084005464" : "Tsukesage",</v>
      </c>
      <c r="H154" s="229" t="str">
        <f t="shared" si="5"/>
        <v>&lt;li class="col-md-3"&gt;&lt;a class="text-cut" href="javascript:;"(click)="categoryEvent(2084005464)"&gt;{{"2084005464" | translate}}&lt;/a&gt;&lt;/li&gt;</v>
      </c>
    </row>
    <row r="155" spans="1:8" ht="14.25" customHeight="1">
      <c r="A155" s="2">
        <v>2084005463</v>
      </c>
      <c r="B155" s="2" t="s">
        <v>5140</v>
      </c>
      <c r="C155" s="2" t="s">
        <v>5141</v>
      </c>
      <c r="D155" s="2" t="s">
        <v>5142</v>
      </c>
      <c r="E155" s="3" t="str">
        <f ca="1">IFERROR(__xludf.DUMMYFUNCTION("GOOGLETRANSLATE(B155,""ja"",""vi"")"),"Houmongi")</f>
        <v>Houmongi</v>
      </c>
      <c r="F155" s="3" t="str">
        <f ca="1">IFERROR(__xludf.DUMMYFUNCTION("GOOGLETRANSLATE(C155,""ja"",""vi"")"),"Đấu giá&gt; Thời trang&gt; Kimono, kimono&gt; Houmongi")</f>
        <v>Đấu giá&gt; Thời trang&gt; Kimono, kimono&gt; Houmongi</v>
      </c>
      <c r="G155" s="229" t="str">
        <f t="shared" ca="1" si="4"/>
        <v>"2084005463" : "Houmongi",</v>
      </c>
      <c r="H155" s="229" t="str">
        <f t="shared" si="5"/>
        <v>&lt;li class="col-md-3"&gt;&lt;a class="text-cut" href="javascript:;"(click)="categoryEvent(2084005463)"&gt;{{"2084005463" | translate}}&lt;/a&gt;&lt;/li&gt;</v>
      </c>
    </row>
    <row r="156" spans="1:8" ht="14.25" customHeight="1">
      <c r="A156" s="2">
        <v>2084005467</v>
      </c>
      <c r="B156" s="2" t="s">
        <v>898</v>
      </c>
      <c r="C156" s="2" t="s">
        <v>5149</v>
      </c>
      <c r="D156" s="2" t="s">
        <v>5150</v>
      </c>
      <c r="E156" s="3" t="str">
        <f ca="1">IFERROR(__xludf.DUMMYFUNCTION("GOOGLETRANSLATE(B156,""ja"",""vi"")"),"yukata")</f>
        <v>yukata</v>
      </c>
      <c r="F156" s="3" t="str">
        <f ca="1">IFERROR(__xludf.DUMMYFUNCTION("GOOGLETRANSLATE(C156,""ja"",""vi"")"),"Đấu giá&gt; Thời trang&gt; Kimono, kimono&gt; yukata")</f>
        <v>Đấu giá&gt; Thời trang&gt; Kimono, kimono&gt; yukata</v>
      </c>
      <c r="G156" s="229" t="str">
        <f t="shared" ca="1" si="4"/>
        <v>"2084005467" : "yukata",</v>
      </c>
      <c r="H156" s="229" t="str">
        <f t="shared" si="5"/>
        <v>&lt;li class="col-md-3"&gt;&lt;a class="text-cut" href="javascript:;"(click)="categoryEvent(2084005467)"&gt;{{"2084005467" | translate}}&lt;/a&gt;&lt;/li&gt;</v>
      </c>
    </row>
    <row r="157" spans="1:8" ht="14.25" customHeight="1">
      <c r="A157" s="2">
        <v>2084005462</v>
      </c>
      <c r="B157" s="2" t="s">
        <v>5157</v>
      </c>
      <c r="C157" s="2" t="s">
        <v>5158</v>
      </c>
      <c r="D157" s="2" t="s">
        <v>5159</v>
      </c>
      <c r="E157" s="3" t="str">
        <f ca="1">IFERROR(__xludf.DUMMYFUNCTION("GOOGLETRANSLATE(B157,""ja"",""vi"")"),"Tomesode")</f>
        <v>Tomesode</v>
      </c>
      <c r="F157" s="3" t="str">
        <f ca="1">IFERROR(__xludf.DUMMYFUNCTION("GOOGLETRANSLATE(C157,""ja"",""vi"")"),"Đấu giá&gt; Thời trang&gt; Kimono, kimono&gt; tomesode")</f>
        <v>Đấu giá&gt; Thời trang&gt; Kimono, kimono&gt; tomesode</v>
      </c>
      <c r="G157" s="229" t="str">
        <f t="shared" ca="1" si="4"/>
        <v>"2084005462" : "Tomesode",</v>
      </c>
      <c r="H157" s="229" t="str">
        <f t="shared" si="5"/>
        <v>&lt;li class="col-md-3"&gt;&lt;a class="text-cut" href="javascript:;"(click)="categoryEvent(2084005462)"&gt;{{"2084005462" | translate}}&lt;/a&gt;&lt;/li&gt;</v>
      </c>
    </row>
    <row r="158" spans="1:8" ht="14.25" customHeight="1">
      <c r="A158" s="2">
        <v>2084059847</v>
      </c>
      <c r="B158" s="2" t="s">
        <v>5165</v>
      </c>
      <c r="C158" s="2" t="s">
        <v>5166</v>
      </c>
      <c r="D158" s="2" t="s">
        <v>5167</v>
      </c>
      <c r="E158" s="3" t="str">
        <f ca="1">IFERROR(__xludf.DUMMYFUNCTION("GOOGLETRANSLATE(B158,""ja"",""vi"")"),"Nagajuban")</f>
        <v>Nagajuban</v>
      </c>
      <c r="F158" s="3" t="str">
        <f ca="1">IFERROR(__xludf.DUMMYFUNCTION("GOOGLETRANSLATE(C158,""ja"",""vi"")"),"Đấu giá&gt; Thời trang&gt; Kimono, kimono&gt; Nagajuban")</f>
        <v>Đấu giá&gt; Thời trang&gt; Kimono, kimono&gt; Nagajuban</v>
      </c>
      <c r="G158" s="229" t="str">
        <f t="shared" ca="1" si="4"/>
        <v>"2084059847" : "Nagajuban",</v>
      </c>
      <c r="H158" s="229" t="str">
        <f t="shared" si="5"/>
        <v>&lt;li class="col-md-3"&gt;&lt;a class="text-cut" href="javascript:;"(click)="categoryEvent(2084059847)"&gt;{{"2084059847" | translate}}&lt;/a&gt;&lt;/li&gt;</v>
      </c>
    </row>
    <row r="159" spans="1:8" ht="14.25" customHeight="1">
      <c r="A159" s="2">
        <v>2084061635</v>
      </c>
      <c r="B159" s="2" t="s">
        <v>5174</v>
      </c>
      <c r="C159" s="2" t="s">
        <v>5175</v>
      </c>
      <c r="D159" s="2" t="s">
        <v>5176</v>
      </c>
      <c r="E159" s="3" t="str">
        <f ca="1">IFERROR(__xludf.DUMMYFUNCTION("GOOGLETRANSLATE(B159,""ja"",""vi"")"),"Kimono cho Inner Mang")</f>
        <v>Kimono cho Inner Mang</v>
      </c>
      <c r="F159" s="3" t="str">
        <f ca="1">IFERROR(__xludf.DUMMYFUNCTION("GOOGLETRANSLATE(C159,""ja"",""vi"")"),"Đấu giá&gt; Thời trang&gt; Kimono, kimono&gt; mặc bên trong quần áo của Nhật Bản")</f>
        <v>Đấu giá&gt; Thời trang&gt; Kimono, kimono&gt; mặc bên trong quần áo của Nhật Bản</v>
      </c>
      <c r="G159" s="229" t="str">
        <f t="shared" ca="1" si="4"/>
        <v>"2084061635" : "Kimono cho Inner Mang",</v>
      </c>
      <c r="H159" s="229" t="str">
        <f t="shared" si="5"/>
        <v>&lt;li class="col-md-3"&gt;&lt;a class="text-cut" href="javascript:;"(click)="categoryEvent(2084061635)"&gt;{{"2084061635" | translate}}&lt;/a&gt;&lt;/li&gt;</v>
      </c>
    </row>
    <row r="160" spans="1:8" ht="14.25" customHeight="1">
      <c r="A160" s="2">
        <v>2084005472</v>
      </c>
      <c r="B160" s="2" t="s">
        <v>5180</v>
      </c>
      <c r="C160" s="2" t="s">
        <v>5182</v>
      </c>
      <c r="D160" s="2" t="s">
        <v>5184</v>
      </c>
      <c r="E160" s="3" t="str">
        <f ca="1">IFERROR(__xludf.DUMMYFUNCTION("GOOGLETRANSLATE(B160,""ja"",""vi"")"),"phụ kiện kimono")</f>
        <v>phụ kiện kimono</v>
      </c>
      <c r="F160" s="3" t="str">
        <f ca="1">IFERROR(__xludf.DUMMYFUNCTION("GOOGLETRANSLATE(C160,""ja"",""vi"")"),"Đấu giá&gt; Thời trang&gt; Kimono, kimono&gt; kimono phụ kiện")</f>
        <v>Đấu giá&gt; Thời trang&gt; Kimono, kimono&gt; kimono phụ kiện</v>
      </c>
      <c r="G160" s="229" t="str">
        <f t="shared" ca="1" si="4"/>
        <v>"2084005472" : "phụ kiện kimono",</v>
      </c>
      <c r="H160" s="229" t="str">
        <f t="shared" si="5"/>
        <v>&lt;li class="col-md-3"&gt;&lt;a class="text-cut" href="javascript:;"(click)="categoryEvent(2084005472)"&gt;{{"2084005472" | translate}}&lt;/a&gt;&lt;/li&gt;</v>
      </c>
    </row>
    <row r="161" spans="1:8" ht="14.25" customHeight="1">
      <c r="A161" s="2">
        <v>2084311305</v>
      </c>
      <c r="B161" s="2" t="s">
        <v>5188</v>
      </c>
      <c r="C161" s="2" t="s">
        <v>5190</v>
      </c>
      <c r="D161" s="2" t="s">
        <v>5192</v>
      </c>
      <c r="E161" s="3" t="str">
        <f ca="1">IFERROR(__xludf.DUMMYFUNCTION("GOOGLETRANSLATE(B161,""ja"",""vi"")"),"đồ cổ")</f>
        <v>đồ cổ</v>
      </c>
      <c r="F161" s="3" t="str">
        <f ca="1">IFERROR(__xludf.DUMMYFUNCTION("GOOGLETRANSLATE(C161,""ja"",""vi"")"),"Đấu giá&gt; Thời trang&gt; Kimono, kimono&gt; Antique")</f>
        <v>Đấu giá&gt; Thời trang&gt; Kimono, kimono&gt; Antique</v>
      </c>
      <c r="G161" s="229" t="str">
        <f t="shared" ca="1" si="4"/>
        <v>"2084311305" : "đồ cổ",</v>
      </c>
      <c r="H161" s="229" t="str">
        <f t="shared" si="5"/>
        <v>&lt;li class="col-md-3"&gt;&lt;a class="text-cut" href="javascript:;"(click)="categoryEvent(2084311305)"&gt;{{"2084311305" | translate}}&lt;/a&gt;&lt;/li&gt;</v>
      </c>
    </row>
    <row r="162" spans="1:8" ht="14.25" customHeight="1">
      <c r="A162" s="2">
        <v>2084307760</v>
      </c>
      <c r="B162" s="2" t="s">
        <v>5195</v>
      </c>
      <c r="C162" s="2" t="s">
        <v>5197</v>
      </c>
      <c r="D162" s="2" t="s">
        <v>5200</v>
      </c>
      <c r="E162" s="3" t="str">
        <f ca="1">IFERROR(__xludf.DUMMYFUNCTION("GOOGLETRANSLATE(B162,""ja"",""vi"")"),"mặc quần áo")</f>
        <v>mặc quần áo</v>
      </c>
      <c r="F162" s="3" t="str">
        <f ca="1">IFERROR(__xludf.DUMMYFUNCTION("GOOGLETRANSLATE(C162,""ja"",""vi"")"),"Đấu giá&gt; Thời trang&gt; Kimono, kimono&gt; thay đồ")</f>
        <v>Đấu giá&gt; Thời trang&gt; Kimono, kimono&gt; thay đồ</v>
      </c>
      <c r="G162" s="229" t="str">
        <f t="shared" ca="1" si="4"/>
        <v>"2084307760" : "mặc quần áo",</v>
      </c>
      <c r="H162" s="229" t="str">
        <f t="shared" si="5"/>
        <v>&lt;li class="col-md-3"&gt;&lt;a class="text-cut" href="javascript:;"(click)="categoryEvent(2084307760)"&gt;{{"2084307760" | translate}}&lt;/a&gt;&lt;/li&gt;</v>
      </c>
    </row>
    <row r="163" spans="1:8" ht="14.25" customHeight="1">
      <c r="A163" s="2">
        <v>2084005474</v>
      </c>
      <c r="B163" s="2" t="s">
        <v>16</v>
      </c>
      <c r="C163" s="2" t="s">
        <v>5203</v>
      </c>
      <c r="D163" s="2" t="s">
        <v>5207</v>
      </c>
      <c r="E163" s="3" t="str">
        <f ca="1">IFERROR(__xludf.DUMMYFUNCTION("GOOGLETRANSLATE(B163,""ja"",""vi"")"),"nếu không thì")</f>
        <v>nếu không thì</v>
      </c>
      <c r="F163" s="3" t="str">
        <f ca="1">IFERROR(__xludf.DUMMYFUNCTION("GOOGLETRANSLATE(C163,""ja"",""vi"")"),"Đấu giá&gt; Thời trang&gt; Kimono, kimono&gt; Khác")</f>
        <v>Đấu giá&gt; Thời trang&gt; Kimono, kimono&gt; Khác</v>
      </c>
      <c r="G163" s="229" t="str">
        <f t="shared" ca="1" si="4"/>
        <v>"2084005474" : "nếu không thì",</v>
      </c>
      <c r="H163" s="229" t="str">
        <f t="shared" si="5"/>
        <v>&lt;li class="col-md-3"&gt;&lt;a class="text-cut" href="javascript:;"(click)="categoryEvent(2084005474)"&gt;{{"2084005474" | translate}}&lt;/a&gt;&lt;/li&gt;</v>
      </c>
    </row>
    <row r="164" spans="1:8" ht="14.25" customHeight="1">
      <c r="E164" s="3"/>
      <c r="F164" s="3"/>
      <c r="G164" s="229"/>
      <c r="H164" s="229"/>
    </row>
    <row r="165" spans="1:8" ht="14.25" customHeight="1">
      <c r="A165" s="238">
        <v>23176</v>
      </c>
      <c r="B165" s="232"/>
      <c r="C165" s="232"/>
      <c r="D165" s="233"/>
      <c r="E165" s="3"/>
      <c r="F165" s="3"/>
      <c r="G165" s="229"/>
      <c r="H165" s="229"/>
    </row>
    <row r="166" spans="1:8" ht="14.25" customHeight="1">
      <c r="A166" s="2">
        <v>2084007042</v>
      </c>
      <c r="B166" s="2" t="s">
        <v>4404</v>
      </c>
      <c r="C166" s="2" t="s">
        <v>5216</v>
      </c>
      <c r="D166" s="2" t="s">
        <v>5217</v>
      </c>
      <c r="E166" s="3" t="str">
        <f ca="1">IFERROR(__xludf.DUMMYFUNCTION("GOOGLETRANSLATE(B166,""ja"",""vi"")"),"áo")</f>
        <v>áo</v>
      </c>
      <c r="F166" s="3" t="str">
        <f ca="1">IFERROR(__xludf.DUMMYFUNCTION("GOOGLETRANSLATE(C166,""ja"",""vi"")"),"Đấu giá&gt; Thời trang&gt; Quần áo nam&gt; áo")</f>
        <v>Đấu giá&gt; Thời trang&gt; Quần áo nam&gt; áo</v>
      </c>
      <c r="G166" s="229" t="str">
        <f t="shared" ca="1" si="4"/>
        <v>"2084007042" : "áo",</v>
      </c>
      <c r="H166" s="229" t="str">
        <f t="shared" si="5"/>
        <v>&lt;li class="col-md-3"&gt;&lt;a class="text-cut" href="javascript:;"(click)="categoryEvent(2084007042)"&gt;{{"2084007042" | translate}}&lt;/a&gt;&lt;/li&gt;</v>
      </c>
    </row>
    <row r="167" spans="1:8" ht="14.25" customHeight="1">
      <c r="A167" s="2">
        <v>23196</v>
      </c>
      <c r="B167" s="2" t="s">
        <v>4414</v>
      </c>
      <c r="C167" s="2" t="s">
        <v>5218</v>
      </c>
      <c r="D167" s="2" t="s">
        <v>5219</v>
      </c>
      <c r="E167" s="3" t="str">
        <f ca="1">IFERROR(__xludf.DUMMYFUNCTION("GOOGLETRANSLATE(B167,""ja"",""vi"")"),"Áo khoác, áo khoác")</f>
        <v>Áo khoác, áo khoác</v>
      </c>
      <c r="F167" s="3" t="str">
        <f ca="1">IFERROR(__xludf.DUMMYFUNCTION("GOOGLETRANSLATE(C167,""ja"",""vi"")"),"Đấu giá&gt; Thời trang&gt; nam thời trang&gt; áo khoác, áo khoác")</f>
        <v>Đấu giá&gt; Thời trang&gt; nam thời trang&gt; áo khoác, áo khoác</v>
      </c>
      <c r="G167" s="229" t="str">
        <f t="shared" ca="1" si="4"/>
        <v>"23196" : "Áo khoác, áo khoác",</v>
      </c>
      <c r="H167" s="229" t="str">
        <f t="shared" si="5"/>
        <v>&lt;li class="col-md-3"&gt;&lt;a class="text-cut" href="javascript:;"(click)="categoryEvent(23196)"&gt;{{"23196" | translate}}&lt;/a&gt;&lt;/li&gt;</v>
      </c>
    </row>
    <row r="168" spans="1:8" ht="14.25" customHeight="1">
      <c r="A168" s="2">
        <v>2084007052</v>
      </c>
      <c r="B168" s="2" t="s">
        <v>4421</v>
      </c>
      <c r="C168" s="2" t="s">
        <v>5222</v>
      </c>
      <c r="D168" s="2" t="s">
        <v>5225</v>
      </c>
      <c r="E168" s="3" t="str">
        <f ca="1">IFERROR(__xludf.DUMMYFUNCTION("GOOGLETRANSLATE(B168,""ja"",""vi"")"),"áo nịt")</f>
        <v>áo nịt</v>
      </c>
      <c r="F168" s="3" t="str">
        <f ca="1">IFERROR(__xludf.DUMMYFUNCTION("GOOGLETRANSLATE(C168,""ja"",""vi"")"),"Đấu giá&gt; Thời trang&gt; thời trang nam&gt; cardigan")</f>
        <v>Đấu giá&gt; Thời trang&gt; thời trang nam&gt; cardigan</v>
      </c>
      <c r="G168" s="229" t="str">
        <f t="shared" ca="1" si="4"/>
        <v>"2084007052" : "áo nịt",</v>
      </c>
      <c r="H168" s="229" t="str">
        <f t="shared" si="5"/>
        <v>&lt;li class="col-md-3"&gt;&lt;a class="text-cut" href="javascript:;"(click)="categoryEvent(2084007052)"&gt;{{"2084007052" | translate}}&lt;/a&gt;&lt;/li&gt;</v>
      </c>
    </row>
    <row r="169" spans="1:8" ht="14.25" customHeight="1">
      <c r="A169" s="2">
        <v>2084005282</v>
      </c>
      <c r="B169" s="2" t="s">
        <v>4436</v>
      </c>
      <c r="C169" s="2" t="s">
        <v>5231</v>
      </c>
      <c r="D169" s="2" t="s">
        <v>5233</v>
      </c>
      <c r="E169" s="3" t="str">
        <f ca="1">IFERROR(__xludf.DUMMYFUNCTION("GOOGLETRANSLATE(B169,""ja"",""vi"")"),"Hàng dệt kim, áo len")</f>
        <v>Hàng dệt kim, áo len</v>
      </c>
      <c r="F169" s="3" t="str">
        <f ca="1">IFERROR(__xludf.DUMMYFUNCTION("GOOGLETRANSLATE(C169,""ja"",""vi"")"),"Đấu giá&gt; Thời trang&gt; thời trang nam&gt; dệt kim, áo len")</f>
        <v>Đấu giá&gt; Thời trang&gt; thời trang nam&gt; dệt kim, áo len</v>
      </c>
      <c r="G169" s="229" t="str">
        <f t="shared" ca="1" si="4"/>
        <v>"2084005282" : "Hàng dệt kim, áo len",</v>
      </c>
      <c r="H169" s="229" t="str">
        <f t="shared" si="5"/>
        <v>&lt;li class="col-md-3"&gt;&lt;a class="text-cut" href="javascript:;"(click)="categoryEvent(2084005282)"&gt;{{"2084005282" | translate}}&lt;/a&gt;&lt;/li&gt;</v>
      </c>
    </row>
    <row r="170" spans="1:8" ht="14.25" customHeight="1">
      <c r="A170" s="2">
        <v>2084007053</v>
      </c>
      <c r="B170" s="2" t="s">
        <v>4445</v>
      </c>
      <c r="C170" s="2" t="s">
        <v>5240</v>
      </c>
      <c r="D170" s="2" t="s">
        <v>5241</v>
      </c>
      <c r="E170" s="3" t="str">
        <f ca="1">IFERROR(__xludf.DUMMYFUNCTION("GOOGLETRANSLATE(B170,""ja"",""vi"")"),"tốt")</f>
        <v>tốt</v>
      </c>
      <c r="F170" s="3" t="str">
        <f ca="1">IFERROR(__xludf.DUMMYFUNCTION("GOOGLETRANSLATE(C170,""ja"",""vi"")"),"Đấu giá&gt; Thời trang&gt; Quần áo nam&gt; xuất sắc nhất")</f>
        <v>Đấu giá&gt; Thời trang&gt; Quần áo nam&gt; xuất sắc nhất</v>
      </c>
      <c r="G170" s="229" t="str">
        <f t="shared" ca="1" si="4"/>
        <v>"2084007053" : "tốt",</v>
      </c>
      <c r="H170" s="229" t="str">
        <f t="shared" si="5"/>
        <v>&lt;li class="col-md-3"&gt;&lt;a class="text-cut" href="javascript:;"(click)="categoryEvent(2084007053)"&gt;{{"2084007053" | translate}}&lt;/a&gt;&lt;/li&gt;</v>
      </c>
    </row>
    <row r="171" spans="1:8" ht="14.25" customHeight="1">
      <c r="A171" s="2">
        <v>2084007051</v>
      </c>
      <c r="B171" s="2" t="s">
        <v>4451</v>
      </c>
      <c r="C171" s="2" t="s">
        <v>5248</v>
      </c>
      <c r="D171" s="2" t="s">
        <v>5250</v>
      </c>
      <c r="E171" s="3" t="str">
        <f ca="1">IFERROR(__xludf.DUMMYFUNCTION("GOOGLETRANSLATE(B171,""ja"",""vi"")"),"huấn luyện viên")</f>
        <v>huấn luyện viên</v>
      </c>
      <c r="F171" s="3" t="str">
        <f ca="1">IFERROR(__xludf.DUMMYFUNCTION("GOOGLETRANSLATE(C171,""ja"",""vi"")"),"Đấu giá&gt; Thời trang&gt; Quần áo nam&gt; huấn luyện viên")</f>
        <v>Đấu giá&gt; Thời trang&gt; Quần áo nam&gt; huấn luyện viên</v>
      </c>
      <c r="G171" s="229" t="str">
        <f t="shared" ca="1" si="4"/>
        <v>"2084007051" : "huấn luyện viên",</v>
      </c>
      <c r="H171" s="229" t="str">
        <f t="shared" si="5"/>
        <v>&lt;li class="col-md-3"&gt;&lt;a class="text-cut" href="javascript:;"(click)="categoryEvent(2084007051)"&gt;{{"2084007051" | translate}}&lt;/a&gt;&lt;/li&gt;</v>
      </c>
    </row>
    <row r="172" spans="1:8" ht="14.25" customHeight="1">
      <c r="A172" s="2">
        <v>42189</v>
      </c>
      <c r="B172" s="2" t="s">
        <v>5258</v>
      </c>
      <c r="C172" s="2" t="s">
        <v>5261</v>
      </c>
      <c r="D172" s="2" t="s">
        <v>5263</v>
      </c>
      <c r="E172" s="3" t="str">
        <f ca="1">IFERROR(__xludf.DUMMYFUNCTION("GOOGLETRANSLATE(B172,""ja"",""vi"")"),"áo sơ mi")</f>
        <v>áo sơ mi</v>
      </c>
      <c r="F172" s="3" t="str">
        <f ca="1">IFERROR(__xludf.DUMMYFUNCTION("GOOGLETRANSLATE(C172,""ja"",""vi"")"),"Đấu giá&gt; Thời trang&gt; Quần áo nam&gt; Áo sơ mi")</f>
        <v>Đấu giá&gt; Thời trang&gt; Quần áo nam&gt; Áo sơ mi</v>
      </c>
      <c r="G172" s="229" t="str">
        <f t="shared" ca="1" si="4"/>
        <v>"42189" : "áo sơ mi",</v>
      </c>
      <c r="H172" s="229" t="str">
        <f t="shared" si="5"/>
        <v>&lt;li class="col-md-3"&gt;&lt;a class="text-cut" href="javascript:;"(click)="categoryEvent(42189)"&gt;{{"42189" | translate}}&lt;/a&gt;&lt;/li&gt;</v>
      </c>
    </row>
    <row r="173" spans="1:8" ht="14.25" customHeight="1">
      <c r="A173" s="2">
        <v>2084007048</v>
      </c>
      <c r="B173" s="2" t="s">
        <v>4492</v>
      </c>
      <c r="C173" s="2" t="s">
        <v>5270</v>
      </c>
      <c r="D173" s="2" t="s">
        <v>5271</v>
      </c>
      <c r="E173" s="3" t="str">
        <f ca="1">IFERROR(__xludf.DUMMYFUNCTION("GOOGLETRANSLATE(B173,""ja"",""vi"")"),"Polo Shirt")</f>
        <v>Polo Shirt</v>
      </c>
      <c r="F173" s="3" t="str">
        <f ca="1">IFERROR(__xludf.DUMMYFUNCTION("GOOGLETRANSLATE(C173,""ja"",""vi"")"),"Đấu giá&gt; Thời trang&gt; Quần áo nam&gt; áo sơ mi polo")</f>
        <v>Đấu giá&gt; Thời trang&gt; Quần áo nam&gt; áo sơ mi polo</v>
      </c>
      <c r="G173" s="229" t="str">
        <f t="shared" ca="1" si="4"/>
        <v>"2084007048" : "Polo Shirt",</v>
      </c>
      <c r="H173" s="229" t="str">
        <f t="shared" si="5"/>
        <v>&lt;li class="col-md-3"&gt;&lt;a class="text-cut" href="javascript:;"(click)="categoryEvent(2084007048)"&gt;{{"2084007048" | translate}}&lt;/a&gt;&lt;/li&gt;</v>
      </c>
    </row>
    <row r="174" spans="1:8" ht="14.25" customHeight="1">
      <c r="A174" s="2">
        <v>2084005451</v>
      </c>
      <c r="B174" s="2" t="s">
        <v>969</v>
      </c>
      <c r="C174" s="2" t="s">
        <v>5278</v>
      </c>
      <c r="D174" s="2" t="s">
        <v>5279</v>
      </c>
      <c r="E174" s="3" t="str">
        <f ca="1">IFERROR(__xludf.DUMMYFUNCTION("GOOGLETRANSLATE(B174,""ja"",""vi"")"),"Một T-shirt")</f>
        <v>Một T-shirt</v>
      </c>
      <c r="F174" s="3" t="str">
        <f ca="1">IFERROR(__xludf.DUMMYFUNCTION("GOOGLETRANSLATE(C174,""ja"",""vi"")"),"Đấu giá&gt; Thời trang&gt; Quần áo&gt; T-Shirts")</f>
        <v>Đấu giá&gt; Thời trang&gt; Quần áo&gt; T-Shirts</v>
      </c>
      <c r="G174" s="229" t="str">
        <f t="shared" ca="1" si="4"/>
        <v>"2084005451" : "Một T-shirt",</v>
      </c>
      <c r="H174" s="229" t="str">
        <f t="shared" si="5"/>
        <v>&lt;li class="col-md-3"&gt;&lt;a class="text-cut" href="javascript:;"(click)="categoryEvent(2084005451)"&gt;{{"2084005451" | translate}}&lt;/a&gt;&lt;/li&gt;</v>
      </c>
    </row>
    <row r="175" spans="1:8" ht="14.25" customHeight="1">
      <c r="A175" s="2">
        <v>2084007047</v>
      </c>
      <c r="B175" s="2" t="s">
        <v>4508</v>
      </c>
      <c r="C175" s="2" t="s">
        <v>5285</v>
      </c>
      <c r="D175" s="2" t="s">
        <v>5286</v>
      </c>
      <c r="E175" s="3" t="str">
        <f ca="1">IFERROR(__xludf.DUMMYFUNCTION("GOOGLETRANSLATE(B175,""ja"",""vi"")"),"tank top")</f>
        <v>tank top</v>
      </c>
      <c r="F175" s="3" t="str">
        <f ca="1">IFERROR(__xludf.DUMMYFUNCTION("GOOGLETRANSLATE(C175,""ja"",""vi"")"),"Đấu giá&gt; Quần áo thời trang&gt; nam&gt; Tank Top")</f>
        <v>Đấu giá&gt; Quần áo thời trang&gt; nam&gt; Tank Top</v>
      </c>
      <c r="G175" s="229" t="str">
        <f t="shared" ca="1" si="4"/>
        <v>"2084007047" : "tank top",</v>
      </c>
      <c r="H175" s="229" t="str">
        <f t="shared" si="5"/>
        <v>&lt;li class="col-md-3"&gt;&lt;a class="text-cut" href="javascript:;"(click)="categoryEvent(2084007047)"&gt;{{"2084007047" | translate}}&lt;/a&gt;&lt;/li&gt;</v>
      </c>
    </row>
    <row r="176" spans="1:8" ht="14.25" customHeight="1">
      <c r="A176" s="2">
        <v>23188</v>
      </c>
      <c r="B176" s="2" t="s">
        <v>5292</v>
      </c>
      <c r="C176" s="2" t="s">
        <v>5293</v>
      </c>
      <c r="D176" s="2" t="s">
        <v>5294</v>
      </c>
      <c r="E176" s="3" t="str">
        <f ca="1">IFERROR(__xludf.DUMMYFUNCTION("GOOGLETRANSLATE(B176,""ja"",""vi"")"),"quần jean")</f>
        <v>quần jean</v>
      </c>
      <c r="F176" s="3" t="str">
        <f ca="1">IFERROR(__xludf.DUMMYFUNCTION("GOOGLETRANSLATE(C176,""ja"",""vi"")"),"Đấu giá&gt; Thời trang&gt; Quần áo nam&gt; Quần bò")</f>
        <v>Đấu giá&gt; Thời trang&gt; Quần áo nam&gt; Quần bò</v>
      </c>
      <c r="G176" s="229" t="str">
        <f t="shared" ca="1" si="4"/>
        <v>"23188" : "quần jean",</v>
      </c>
      <c r="H176" s="229" t="str">
        <f t="shared" si="5"/>
        <v>&lt;li class="col-md-3"&gt;&lt;a class="text-cut" href="javascript:;"(click)="categoryEvent(23188)"&gt;{{"23188" | translate}}&lt;/a&gt;&lt;/li&gt;</v>
      </c>
    </row>
    <row r="177" spans="1:8" ht="14.25" customHeight="1">
      <c r="A177" s="2">
        <v>2084007077</v>
      </c>
      <c r="B177" s="2" t="s">
        <v>4535</v>
      </c>
      <c r="C177" s="2" t="s">
        <v>5300</v>
      </c>
      <c r="D177" s="2" t="s">
        <v>5301</v>
      </c>
      <c r="E177" s="3" t="str">
        <f ca="1">IFERROR(__xludf.DUMMYFUNCTION("GOOGLETRANSLATE(B177,""ja"",""vi"")"),"Quần, quần")</f>
        <v>Quần, quần</v>
      </c>
      <c r="F177" s="3" t="str">
        <f ca="1">IFERROR(__xludf.DUMMYFUNCTION("GOOGLETRANSLATE(C177,""ja"",""vi"")"),"Đấu giá&gt; Thời trang&gt; nam thời trang&gt; quần, quần")</f>
        <v>Đấu giá&gt; Thời trang&gt; nam thời trang&gt; quần, quần</v>
      </c>
      <c r="G177" s="229" t="str">
        <f t="shared" ca="1" si="4"/>
        <v>"2084007077" : "Quần, quần",</v>
      </c>
      <c r="H177" s="229" t="str">
        <f t="shared" si="5"/>
        <v>&lt;li class="col-md-3"&gt;&lt;a class="text-cut" href="javascript:;"(click)="categoryEvent(2084007077)"&gt;{{"2084007077" | translate}}&lt;/a&gt;&lt;/li&gt;</v>
      </c>
    </row>
    <row r="178" spans="1:8" ht="14.25" customHeight="1">
      <c r="A178" s="2">
        <v>2084036999</v>
      </c>
      <c r="B178" s="2" t="s">
        <v>4550</v>
      </c>
      <c r="C178" s="2" t="s">
        <v>5308</v>
      </c>
      <c r="D178" s="2" t="s">
        <v>5309</v>
      </c>
      <c r="E178" s="3" t="str">
        <f ca="1">IFERROR(__xludf.DUMMYFUNCTION("GOOGLETRANSLATE(B178,""ja"",""vi"")"),"quần công việc, quần họa sĩ")</f>
        <v>quần công việc, quần họa sĩ</v>
      </c>
      <c r="F178" s="3" t="str">
        <f ca="1">IFERROR(__xludf.DUMMYFUNCTION("GOOGLETRANSLATE(C178,""ja"",""vi"")"),"Đấu giá&gt; Thời trang&gt; nam thời trang&gt; quần làm việc, quần họa sĩ")</f>
        <v>Đấu giá&gt; Thời trang&gt; nam thời trang&gt; quần làm việc, quần họa sĩ</v>
      </c>
      <c r="G178" s="229" t="str">
        <f t="shared" ca="1" si="4"/>
        <v>"2084036999" : "quần công việc, quần họa sĩ",</v>
      </c>
      <c r="H178" s="229" t="str">
        <f t="shared" si="5"/>
        <v>&lt;li class="col-md-3"&gt;&lt;a class="text-cut" href="javascript:;"(click)="categoryEvent(2084036999)"&gt;{{"2084036999" | translate}}&lt;/a&gt;&lt;/li&gt;</v>
      </c>
    </row>
    <row r="179" spans="1:8" ht="14.25" customHeight="1">
      <c r="A179" s="2">
        <v>2084007082</v>
      </c>
      <c r="B179" s="2" t="s">
        <v>4596</v>
      </c>
      <c r="C179" s="2" t="s">
        <v>5313</v>
      </c>
      <c r="D179" s="2" t="s">
        <v>5314</v>
      </c>
      <c r="E179" s="3" t="str">
        <f ca="1">IFERROR(__xludf.DUMMYFUNCTION("GOOGLETRANSLATE(B179,""ja"",""vi"")"),"Chino")</f>
        <v>Chino</v>
      </c>
      <c r="F179" s="3" t="str">
        <f ca="1">IFERROR(__xludf.DUMMYFUNCTION("GOOGLETRANSLATE(C179,""ja"",""vi"")"),"Đấu giá&gt; Thời trang&gt; Quần áo nam&gt; quần")</f>
        <v>Đấu giá&gt; Thời trang&gt; Quần áo nam&gt; quần</v>
      </c>
      <c r="G179" s="229" t="str">
        <f t="shared" ca="1" si="4"/>
        <v>"2084007082" : "Chino",</v>
      </c>
      <c r="H179" s="229" t="str">
        <f t="shared" si="5"/>
        <v>&lt;li class="col-md-3"&gt;&lt;a class="text-cut" href="javascript:;"(click)="categoryEvent(2084007082)"&gt;{{"2084007082" | translate}}&lt;/a&gt;&lt;/li&gt;</v>
      </c>
    </row>
    <row r="180" spans="1:8" ht="14.25" customHeight="1">
      <c r="A180" s="2">
        <v>2084007081</v>
      </c>
      <c r="B180" s="2" t="s">
        <v>4563</v>
      </c>
      <c r="C180" s="2" t="s">
        <v>5322</v>
      </c>
      <c r="D180" s="2" t="s">
        <v>5324</v>
      </c>
      <c r="E180" s="3" t="str">
        <f ca="1">IFERROR(__xludf.DUMMYFUNCTION("GOOGLETRANSLATE(B180,""ja"",""vi"")"),"quần short")</f>
        <v>quần short</v>
      </c>
      <c r="F180" s="3" t="str">
        <f ca="1">IFERROR(__xludf.DUMMYFUNCTION("GOOGLETRANSLATE(C180,""ja"",""vi"")"),"Đấu giá&gt; Thời trang&gt; Quần áo nam&gt; Quần soóc")</f>
        <v>Đấu giá&gt; Thời trang&gt; Quần áo nam&gt; Quần soóc</v>
      </c>
      <c r="G180" s="229" t="str">
        <f t="shared" ca="1" si="4"/>
        <v>"2084007081" : "quần short",</v>
      </c>
      <c r="H180" s="229" t="str">
        <f t="shared" si="5"/>
        <v>&lt;li class="col-md-3"&gt;&lt;a class="text-cut" href="javascript:;"(click)="categoryEvent(2084007081)"&gt;{{"2084007081" | translate}}&lt;/a&gt;&lt;/li&gt;</v>
      </c>
    </row>
    <row r="181" spans="1:8" ht="14.25" customHeight="1">
      <c r="A181" s="2">
        <v>2084047538</v>
      </c>
      <c r="B181" s="2" t="s">
        <v>5329</v>
      </c>
      <c r="C181" s="2" t="s">
        <v>5331</v>
      </c>
      <c r="D181" s="2" t="s">
        <v>5334</v>
      </c>
      <c r="E181" s="3" t="str">
        <f ca="1">IFERROR(__xludf.DUMMYFUNCTION("GOOGLETRANSLATE(B181,""ja"",""vi"")"),"Quần yếm")</f>
        <v>Quần yếm</v>
      </c>
      <c r="F181" s="3" t="str">
        <f ca="1">IFERROR(__xludf.DUMMYFUNCTION("GOOGLETRANSLATE(C181,""ja"",""vi"")"),"Đấu giá&gt; Thời trang&gt; Quần áo nam&gt; yếm")</f>
        <v>Đấu giá&gt; Thời trang&gt; Quần áo nam&gt; yếm</v>
      </c>
      <c r="G181" s="229" t="str">
        <f t="shared" ca="1" si="4"/>
        <v>"2084047538" : "Quần yếm",</v>
      </c>
      <c r="H181" s="229" t="str">
        <f t="shared" si="5"/>
        <v>&lt;li class="col-md-3"&gt;&lt;a class="text-cut" href="javascript:;"(click)="categoryEvent(2084047538)"&gt;{{"2084047538" | translate}}&lt;/a&gt;&lt;/li&gt;</v>
      </c>
    </row>
    <row r="182" spans="1:8" ht="14.25" customHeight="1">
      <c r="A182" s="2">
        <v>2084246078</v>
      </c>
      <c r="B182" s="2" t="s">
        <v>4604</v>
      </c>
      <c r="C182" s="2" t="s">
        <v>5343</v>
      </c>
      <c r="D182" s="2" t="s">
        <v>5344</v>
      </c>
      <c r="E182" s="3" t="str">
        <f ca="1">IFERROR(__xludf.DUMMYFUNCTION("GOOGLETRANSLATE(B182,""ja"",""vi"")"),"Saruerupantsu")</f>
        <v>Saruerupantsu</v>
      </c>
      <c r="F182" s="3" t="str">
        <f ca="1">IFERROR(__xludf.DUMMYFUNCTION("GOOGLETRANSLATE(C182,""ja"",""vi"")"),"Đấu giá&gt; Thời trang&gt; Quần áo nam&gt; Saruerupantsu")</f>
        <v>Đấu giá&gt; Thời trang&gt; Quần áo nam&gt; Saruerupantsu</v>
      </c>
      <c r="G182" s="229" t="str">
        <f t="shared" ca="1" si="4"/>
        <v>"2084246078" : "Saruerupantsu",</v>
      </c>
      <c r="H182" s="229" t="str">
        <f t="shared" si="5"/>
        <v>&lt;li class="col-md-3"&gt;&lt;a class="text-cut" href="javascript:;"(click)="categoryEvent(2084246078)"&gt;{{"2084246078" | translate}}&lt;/a&gt;&lt;/li&gt;</v>
      </c>
    </row>
    <row r="183" spans="1:8" ht="14.25" customHeight="1">
      <c r="A183" s="2">
        <v>2084007041</v>
      </c>
      <c r="B183" s="2" t="s">
        <v>4612</v>
      </c>
      <c r="C183" s="2" t="s">
        <v>5351</v>
      </c>
      <c r="D183" s="2" t="s">
        <v>5352</v>
      </c>
      <c r="E183" s="3" t="str">
        <f ca="1">IFERROR(__xludf.DUMMYFUNCTION("GOOGLETRANSLATE(B183,""ja"",""vi"")"),"bộ đồ")</f>
        <v>bộ đồ</v>
      </c>
      <c r="F183" s="3" t="str">
        <f ca="1">IFERROR(__xludf.DUMMYFUNCTION("GOOGLETRANSLATE(C183,""ja"",""vi"")"),"Đấu giá&gt; Thời trang&gt; Quần áo nam&gt; Suits")</f>
        <v>Đấu giá&gt; Thời trang&gt; Quần áo nam&gt; Suits</v>
      </c>
      <c r="G183" s="229" t="str">
        <f t="shared" ca="1" si="4"/>
        <v>"2084007041" : "bộ đồ",</v>
      </c>
      <c r="H183" s="229" t="str">
        <f t="shared" si="5"/>
        <v>&lt;li class="col-md-3"&gt;&lt;a class="text-cut" href="javascript:;"(click)="categoryEvent(2084007041)"&gt;{{"2084007041" | translate}}&lt;/a&gt;&lt;/li&gt;</v>
      </c>
    </row>
    <row r="184" spans="1:8" ht="14.25" customHeight="1">
      <c r="A184" s="2">
        <v>2084005270</v>
      </c>
      <c r="B184" s="2" t="s">
        <v>3874</v>
      </c>
      <c r="C184" s="2" t="s">
        <v>5356</v>
      </c>
      <c r="D184" s="2" t="s">
        <v>5358</v>
      </c>
      <c r="E184" s="3" t="str">
        <f ca="1">IFERROR(__xludf.DUMMYFUNCTION("GOOGLETRANSLATE(B184,""ja"",""vi"")"),"Phụ kiện thời trang")</f>
        <v>Phụ kiện thời trang</v>
      </c>
      <c r="F184" s="3" t="str">
        <f ca="1">IFERROR(__xludf.DUMMYFUNCTION("GOOGLETRANSLATE(C184,""ja"",""vi"")"),"Đấu giá&gt; Quần áo thời trang&gt; nam&gt; Phụ kiện thời trang")</f>
        <v>Đấu giá&gt; Quần áo thời trang&gt; nam&gt; Phụ kiện thời trang</v>
      </c>
      <c r="G184" s="229" t="str">
        <f t="shared" ca="1" si="4"/>
        <v>"2084005270" : "Phụ kiện thời trang",</v>
      </c>
      <c r="H184" s="229" t="str">
        <f t="shared" si="5"/>
        <v>&lt;li class="col-md-3"&gt;&lt;a class="text-cut" href="javascript:;"(click)="categoryEvent(2084005270)"&gt;{{"2084005270" | translate}}&lt;/a&gt;&lt;/li&gt;</v>
      </c>
    </row>
    <row r="185" spans="1:8" ht="14.25" customHeight="1">
      <c r="A185" s="2">
        <v>42190</v>
      </c>
      <c r="B185" s="2" t="s">
        <v>832</v>
      </c>
      <c r="C185" s="2" t="s">
        <v>5366</v>
      </c>
      <c r="D185" s="2" t="s">
        <v>5367</v>
      </c>
      <c r="E185" s="3" t="str">
        <f ca="1">IFERROR(__xludf.DUMMYFUNCTION("GOOGLETRANSLATE(B185,""ja"",""vi"")"),"Mang nội")</f>
        <v>Mang nội</v>
      </c>
      <c r="F185" s="3" t="str">
        <f ca="1">IFERROR(__xludf.DUMMYFUNCTION("GOOGLETRANSLATE(C185,""ja"",""vi"")"),"Đấu giá&gt; Thời trang&gt; thời trang nam&gt; mặc bên trong")</f>
        <v>Đấu giá&gt; Thời trang&gt; thời trang nam&gt; mặc bên trong</v>
      </c>
      <c r="G185" s="229" t="str">
        <f t="shared" ca="1" si="4"/>
        <v>"42190" : "Mang nội",</v>
      </c>
      <c r="H185" s="229" t="str">
        <f t="shared" si="5"/>
        <v>&lt;li class="col-md-3"&gt;&lt;a class="text-cut" href="javascript:;"(click)="categoryEvent(42190)"&gt;{{"42190" | translate}}&lt;/a&gt;&lt;/li&gt;</v>
      </c>
    </row>
    <row r="186" spans="1:8" ht="14.25" customHeight="1">
      <c r="A186" s="2">
        <v>2084006762</v>
      </c>
      <c r="B186" s="2" t="s">
        <v>867</v>
      </c>
      <c r="C186" s="2" t="s">
        <v>5374</v>
      </c>
      <c r="D186" s="2" t="s">
        <v>5376</v>
      </c>
      <c r="E186" s="3" t="str">
        <f ca="1">IFERROR(__xludf.DUMMYFUNCTION("GOOGLETRANSLATE(B186,""ja"",""vi"")"),"áo ngủ")</f>
        <v>áo ngủ</v>
      </c>
      <c r="F186" s="3" t="str">
        <f ca="1">IFERROR(__xludf.DUMMYFUNCTION("GOOGLETRANSLATE(C186,""ja"",""vi"")"),"Đấu giá&gt; Thời trang&gt; Quần áo nam&gt; Pyjama")</f>
        <v>Đấu giá&gt; Thời trang&gt; Quần áo nam&gt; Pyjama</v>
      </c>
      <c r="G186" s="229" t="str">
        <f t="shared" ca="1" si="4"/>
        <v>"2084006762" : "áo ngủ",</v>
      </c>
      <c r="H186" s="229" t="str">
        <f t="shared" si="5"/>
        <v>&lt;li class="col-md-3"&gt;&lt;a class="text-cut" href="javascript:;"(click)="categoryEvent(2084006762)"&gt;{{"2084006762" | translate}}&lt;/a&gt;&lt;/li&gt;</v>
      </c>
    </row>
    <row r="187" spans="1:8" ht="14.25" customHeight="1">
      <c r="A187" s="2">
        <v>23180</v>
      </c>
      <c r="B187" s="2" t="s">
        <v>874</v>
      </c>
      <c r="C187" s="2" t="s">
        <v>5384</v>
      </c>
      <c r="D187" s="2" t="s">
        <v>5386</v>
      </c>
      <c r="E187" s="3" t="str">
        <f ca="1">IFERROR(__xludf.DUMMYFUNCTION("GOOGLETRANSLATE(B187,""ja"",""vi"")"),"Formal")</f>
        <v>Formal</v>
      </c>
      <c r="F187" s="3" t="str">
        <f ca="1">IFERROR(__xludf.DUMMYFUNCTION("GOOGLETRANSLATE(C187,""ja"",""vi"")"),"Đấu giá&gt; Thời trang&gt; Quần áo nam&gt; chính")</f>
        <v>Đấu giá&gt; Thời trang&gt; Quần áo nam&gt; chính</v>
      </c>
      <c r="G187" s="229" t="str">
        <f t="shared" ca="1" si="4"/>
        <v>"23180" : "Formal",</v>
      </c>
      <c r="H187" s="229" t="str">
        <f t="shared" si="5"/>
        <v>&lt;li class="col-md-3"&gt;&lt;a class="text-cut" href="javascript:;"(click)="categoryEvent(23180)"&gt;{{"23180" | translate}}&lt;/a&gt;&lt;/li&gt;</v>
      </c>
    </row>
    <row r="188" spans="1:8" ht="14.25" customHeight="1">
      <c r="A188" s="2">
        <v>2084051828</v>
      </c>
      <c r="B188" s="2" t="s">
        <v>548</v>
      </c>
      <c r="C188" s="2" t="s">
        <v>5393</v>
      </c>
      <c r="D188" s="2" t="s">
        <v>5394</v>
      </c>
      <c r="E188" s="3" t="str">
        <f ca="1">IFERROR(__xludf.DUMMYFUNCTION("GOOGLETRANSLATE(B188,""ja"",""vi"")"),"áo bơi liền mảnh")</f>
        <v>áo bơi liền mảnh</v>
      </c>
      <c r="F188" s="3" t="str">
        <f ca="1">IFERROR(__xludf.DUMMYFUNCTION("GOOGLETRANSLATE(C188,""ja"",""vi"")"),"Đấu giá&gt; Thời trang&gt; Quần áo nam&gt; Đồ bơi")</f>
        <v>Đấu giá&gt; Thời trang&gt; Quần áo nam&gt; Đồ bơi</v>
      </c>
      <c r="G188" s="229" t="str">
        <f t="shared" ca="1" si="4"/>
        <v>"2084051828" : "áo bơi liền mảnh",</v>
      </c>
      <c r="H188" s="229" t="str">
        <f t="shared" si="5"/>
        <v>&lt;li class="col-md-3"&gt;&lt;a class="text-cut" href="javascript:;"(click)="categoryEvent(2084051828)"&gt;{{"2084051828" | translate}}&lt;/a&gt;&lt;/li&gt;</v>
      </c>
    </row>
    <row r="189" spans="1:8" ht="14.25" customHeight="1">
      <c r="A189" s="2">
        <v>2084047504</v>
      </c>
      <c r="B189" s="2" t="s">
        <v>2877</v>
      </c>
      <c r="C189" s="2" t="s">
        <v>5400</v>
      </c>
      <c r="D189" s="2" t="s">
        <v>5401</v>
      </c>
      <c r="E189" s="3" t="str">
        <f ca="1">IFERROR(__xludf.DUMMYFUNCTION("GOOGLETRANSLATE(B189,""ja"",""vi"")"),"quần áo làm việc")</f>
        <v>quần áo làm việc</v>
      </c>
      <c r="F189" s="3" t="str">
        <f ca="1">IFERROR(__xludf.DUMMYFUNCTION("GOOGLETRANSLATE(C189,""ja"",""vi"")"),"Đấu giá&gt; Thời trang&gt; Quần áo nam&gt; quần áo làm việc")</f>
        <v>Đấu giá&gt; Thời trang&gt; Quần áo nam&gt; quần áo làm việc</v>
      </c>
      <c r="G189" s="229" t="str">
        <f t="shared" ca="1" si="4"/>
        <v>"2084047504" : "quần áo làm việc",</v>
      </c>
      <c r="H189" s="229" t="str">
        <f t="shared" si="5"/>
        <v>&lt;li class="col-md-3"&gt;&lt;a class="text-cut" href="javascript:;"(click)="categoryEvent(2084047504)"&gt;{{"2084047504" | translate}}&lt;/a&gt;&lt;/li&gt;</v>
      </c>
    </row>
    <row r="190" spans="1:8" ht="14.25" customHeight="1">
      <c r="A190" s="2">
        <v>2084307770</v>
      </c>
      <c r="B190" s="2" t="s">
        <v>5404</v>
      </c>
      <c r="C190" s="2" t="s">
        <v>5406</v>
      </c>
      <c r="D190" s="2" t="s">
        <v>5407</v>
      </c>
      <c r="E190" s="3" t="str">
        <f ca="1">IFERROR(__xludf.DUMMYFUNCTION("GOOGLETRANSLATE(B190,""ja"",""vi"")"),"Quần áo cho thuê")</f>
        <v>Quần áo cho thuê</v>
      </c>
      <c r="F190" s="3" t="str">
        <f ca="1">IFERROR(__xludf.DUMMYFUNCTION("GOOGLETRANSLATE(C190,""ja"",""vi"")"),"Đấu giá&gt; Thời trang&gt; Thời trang nam&gt; Quần áo cho thuê")</f>
        <v>Đấu giá&gt; Thời trang&gt; Thời trang nam&gt; Quần áo cho thuê</v>
      </c>
      <c r="G190" s="229" t="str">
        <f t="shared" ca="1" si="4"/>
        <v>"2084307770" : "Quần áo cho thuê",</v>
      </c>
      <c r="H190" s="229" t="str">
        <f t="shared" si="5"/>
        <v>&lt;li class="col-md-3"&gt;&lt;a class="text-cut" href="javascript:;"(click)="categoryEvent(2084307770)"&gt;{{"2084307770" | translate}}&lt;/a&gt;&lt;/li&gt;</v>
      </c>
    </row>
    <row r="191" spans="1:8" ht="14.25" customHeight="1">
      <c r="A191" s="2">
        <v>2084207680</v>
      </c>
      <c r="B191" s="2" t="s">
        <v>16</v>
      </c>
      <c r="C191" s="2" t="s">
        <v>5409</v>
      </c>
      <c r="D191" s="2" t="s">
        <v>5410</v>
      </c>
      <c r="E191" s="3" t="str">
        <f ca="1">IFERROR(__xludf.DUMMYFUNCTION("GOOGLETRANSLATE(B191,""ja"",""vi"")"),"nếu không thì")</f>
        <v>nếu không thì</v>
      </c>
      <c r="F191" s="3" t="str">
        <f ca="1">IFERROR(__xludf.DUMMYFUNCTION("GOOGLETRANSLATE(C191,""ja"",""vi"")"),"Đấu giá&gt; Thời trang&gt; Quần áo nam&gt; Khác")</f>
        <v>Đấu giá&gt; Thời trang&gt; Quần áo nam&gt; Khác</v>
      </c>
      <c r="G191" s="229" t="str">
        <f t="shared" ca="1" si="4"/>
        <v>"2084207680" : "nếu không thì",</v>
      </c>
      <c r="H191" s="229" t="str">
        <f t="shared" si="5"/>
        <v>&lt;li class="col-md-3"&gt;&lt;a class="text-cut" href="javascript:;"(click)="categoryEvent(2084207680)"&gt;{{"2084207680" | translate}}&lt;/a&gt;&lt;/li&gt;</v>
      </c>
    </row>
    <row r="192" spans="1:8" ht="14.25" customHeight="1">
      <c r="E192" s="3"/>
      <c r="F192" s="3"/>
      <c r="G192" s="229"/>
      <c r="H192" s="229"/>
    </row>
    <row r="193" spans="1:8" ht="14.25" customHeight="1">
      <c r="A193" s="256">
        <v>2084006467</v>
      </c>
      <c r="B193" s="232"/>
      <c r="C193" s="232"/>
      <c r="D193" s="233"/>
      <c r="E193" s="3"/>
      <c r="F193" s="3"/>
      <c r="G193" s="229"/>
      <c r="H193" s="229"/>
    </row>
    <row r="194" spans="1:8" ht="14.25" customHeight="1">
      <c r="A194" s="2">
        <v>2084008300</v>
      </c>
      <c r="B194" s="2" t="s">
        <v>4689</v>
      </c>
      <c r="C194" s="2" t="s">
        <v>5422</v>
      </c>
      <c r="D194" s="2" t="s">
        <v>5424</v>
      </c>
      <c r="E194" s="3" t="str">
        <f ca="1">IFERROR(__xludf.DUMMYFUNCTION("GOOGLETRANSLATE(B194,""ja"",""vi"")"),"túi vai")</f>
        <v>túi vai</v>
      </c>
      <c r="F194" s="3" t="str">
        <f ca="1">IFERROR(__xludf.DUMMYFUNCTION("GOOGLETRANSLATE(C194,""ja"",""vi"")"),"Đấu giá&gt; Thời trang&gt; túi nam&gt; túi vai")</f>
        <v>Đấu giá&gt; Thời trang&gt; túi nam&gt; túi vai</v>
      </c>
      <c r="G194" s="229" t="str">
        <f t="shared" ca="1" si="4"/>
        <v>"2084008300" : "túi vai",</v>
      </c>
      <c r="H194" s="229" t="str">
        <f t="shared" si="5"/>
        <v>&lt;li class="col-md-3"&gt;&lt;a class="text-cut" href="javascript:;"(click)="categoryEvent(2084008300)"&gt;{{"2084008300" | translate}}&lt;/a&gt;&lt;/li&gt;</v>
      </c>
    </row>
    <row r="195" spans="1:8" ht="14.25" customHeight="1">
      <c r="A195" s="2">
        <v>2084008334</v>
      </c>
      <c r="B195" s="2" t="s">
        <v>4809</v>
      </c>
      <c r="C195" s="2" t="s">
        <v>5427</v>
      </c>
      <c r="D195" s="2" t="s">
        <v>5428</v>
      </c>
      <c r="E195" s="3" t="str">
        <f ca="1">IFERROR(__xludf.DUMMYFUNCTION("GOOGLETRANSLATE(B195,""ja"",""vi"")"),"Cặp, vali")</f>
        <v>Cặp, vali</v>
      </c>
      <c r="F195" s="3" t="str">
        <f ca="1">IFERROR(__xludf.DUMMYFUNCTION("GOOGLETRANSLATE(C195,""ja"",""vi"")"),"Đấu giá&gt; Thời trang&gt; nam túi&gt; vali, vali")</f>
        <v>Đấu giá&gt; Thời trang&gt; nam túi&gt; vali, vali</v>
      </c>
      <c r="G195" s="229" t="str">
        <f t="shared" ref="G195:G258" ca="1" si="6">CONCATENATE(CHAR(34)&amp;"",A195,""&amp;CHAR(34)," : ", CHAR(34)&amp;"",E195,""&amp;CHAR(34),",")</f>
        <v>"2084008334" : "Cặp, vali",</v>
      </c>
      <c r="H195" s="229" t="str">
        <f t="shared" ref="H195:H258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href="javascript:;"(click)="categoryEvent(2084008334)"&gt;{{"2084008334" | translate}}&lt;/a&gt;&lt;/li&gt;</v>
      </c>
    </row>
    <row r="196" spans="1:8" ht="14.25" customHeight="1">
      <c r="A196" s="2">
        <v>2084008303</v>
      </c>
      <c r="B196" s="2" t="s">
        <v>4868</v>
      </c>
      <c r="C196" s="2" t="s">
        <v>5434</v>
      </c>
      <c r="D196" s="2" t="s">
        <v>5436</v>
      </c>
      <c r="E196" s="3" t="str">
        <f ca="1">IFERROR(__xludf.DUMMYFUNCTION("GOOGLETRANSLATE(B196,""ja"",""vi"")"),"Ba lô, daypack")</f>
        <v>Ba lô, daypack</v>
      </c>
      <c r="F196" s="3" t="str">
        <f ca="1">IFERROR(__xludf.DUMMYFUNCTION("GOOGLETRANSLATE(C196,""ja"",""vi"")"),"Đấu giá&gt; Thời trang&gt; nam túi&gt; ba lô, daypack")</f>
        <v>Đấu giá&gt; Thời trang&gt; nam túi&gt; ba lô, daypack</v>
      </c>
      <c r="G196" s="229" t="str">
        <f t="shared" ca="1" si="6"/>
        <v>"2084008303" : "Ba lô, daypack",</v>
      </c>
      <c r="H196" s="229" t="str">
        <f t="shared" si="7"/>
        <v>&lt;li class="col-md-3"&gt;&lt;a class="text-cut" href="javascript:;"(click)="categoryEvent(2084008303)"&gt;{{"2084008303" | translate}}&lt;/a&gt;&lt;/li&gt;</v>
      </c>
    </row>
    <row r="197" spans="1:8" ht="14.25" customHeight="1">
      <c r="A197" s="2">
        <v>2084008299</v>
      </c>
      <c r="B197" s="2" t="s">
        <v>4744</v>
      </c>
      <c r="C197" s="2" t="s">
        <v>5441</v>
      </c>
      <c r="D197" s="2" t="s">
        <v>5442</v>
      </c>
      <c r="E197" s="3" t="str">
        <f ca="1">IFERROR(__xludf.DUMMYFUNCTION("GOOGLETRANSLATE(B197,""ja"",""vi"")"),"eo Bag")</f>
        <v>eo Bag</v>
      </c>
      <c r="F197" s="3" t="str">
        <f ca="1">IFERROR(__xludf.DUMMYFUNCTION("GOOGLETRANSLATE(C197,""ja"",""vi"")"),"Đấu giá&gt; Thời trang&gt; túi nam&gt; túi eo")</f>
        <v>Đấu giá&gt; Thời trang&gt; túi nam&gt; túi eo</v>
      </c>
      <c r="G197" s="229" t="str">
        <f t="shared" ca="1" si="6"/>
        <v>"2084008299" : "eo Bag",</v>
      </c>
      <c r="H197" s="229" t="str">
        <f t="shared" si="7"/>
        <v>&lt;li class="col-md-3"&gt;&lt;a class="text-cut" href="javascript:;"(click)="categoryEvent(2084008299)"&gt;{{"2084008299" | translate}}&lt;/a&gt;&lt;/li&gt;</v>
      </c>
    </row>
    <row r="198" spans="1:8" ht="14.25" customHeight="1">
      <c r="A198" s="2">
        <v>2084008301</v>
      </c>
      <c r="B198" s="2" t="s">
        <v>4701</v>
      </c>
      <c r="C198" s="2" t="s">
        <v>5448</v>
      </c>
      <c r="D198" s="2" t="s">
        <v>5449</v>
      </c>
      <c r="E198" s="3" t="str">
        <f ca="1">IFERROR(__xludf.DUMMYFUNCTION("GOOGLETRANSLATE(B198,""ja"",""vi"")"),"túi tote")</f>
        <v>túi tote</v>
      </c>
      <c r="F198" s="3" t="str">
        <f ca="1">IFERROR(__xludf.DUMMYFUNCTION("GOOGLETRANSLATE(C198,""ja"",""vi"")"),"Đấu giá&gt; Thời trang&gt; Túi xách nam&gt; Tote Bag")</f>
        <v>Đấu giá&gt; Thời trang&gt; Túi xách nam&gt; Tote Bag</v>
      </c>
      <c r="G198" s="229" t="str">
        <f t="shared" ca="1" si="6"/>
        <v>"2084008301" : "túi tote",</v>
      </c>
      <c r="H198" s="229" t="str">
        <f t="shared" si="7"/>
        <v>&lt;li class="col-md-3"&gt;&lt;a class="text-cut" href="javascript:;"(click)="categoryEvent(2084008301)"&gt;{{"2084008301" | translate}}&lt;/a&gt;&lt;/li&gt;</v>
      </c>
    </row>
    <row r="199" spans="1:8" ht="14.25" customHeight="1">
      <c r="A199" s="2">
        <v>2084008337</v>
      </c>
      <c r="B199" s="2" t="s">
        <v>2282</v>
      </c>
      <c r="C199" s="2" t="s">
        <v>5455</v>
      </c>
      <c r="D199" s="2" t="s">
        <v>5456</v>
      </c>
      <c r="E199" s="3" t="str">
        <f ca="1">IFERROR(__xludf.DUMMYFUNCTION("GOOGLETRANSLATE(B199,""ja"",""vi"")"),"tùy viên")</f>
        <v>tùy viên</v>
      </c>
      <c r="F199" s="3" t="str">
        <f ca="1">IFERROR(__xludf.DUMMYFUNCTION("GOOGLETRANSLATE(C199,""ja"",""vi"")"),"Đấu giá&gt; Thời trang&gt; Túi xách nam&gt; Attache")</f>
        <v>Đấu giá&gt; Thời trang&gt; Túi xách nam&gt; Attache</v>
      </c>
      <c r="G199" s="229" t="str">
        <f t="shared" ca="1" si="6"/>
        <v>"2084008337" : "tùy viên",</v>
      </c>
      <c r="H199" s="229" t="str">
        <f t="shared" si="7"/>
        <v>&lt;li class="col-md-3"&gt;&lt;a class="text-cut" href="javascript:;"(click)="categoryEvent(2084008337)"&gt;{{"2084008337" | translate}}&lt;/a&gt;&lt;/li&gt;</v>
      </c>
    </row>
    <row r="200" spans="1:8" ht="14.25" customHeight="1">
      <c r="A200" s="2">
        <v>2084008297</v>
      </c>
      <c r="B200" s="2" t="s">
        <v>2290</v>
      </c>
      <c r="C200" s="2" t="s">
        <v>5462</v>
      </c>
      <c r="D200" s="2" t="s">
        <v>5463</v>
      </c>
      <c r="E200" s="3" t="str">
        <f ca="1">IFERROR(__xludf.DUMMYFUNCTION("GOOGLETRANSLATE(B200,""ja"",""vi"")"),"Vali, thân cây")</f>
        <v>Vali, thân cây</v>
      </c>
      <c r="F200" s="3" t="str">
        <f ca="1">IFERROR(__xludf.DUMMYFUNCTION("GOOGLETRANSLATE(C200,""ja"",""vi"")"),"Đấu giá&gt; Thời trang&gt; Túi xách nam&gt; va li, thân cây")</f>
        <v>Đấu giá&gt; Thời trang&gt; Túi xách nam&gt; va li, thân cây</v>
      </c>
      <c r="G200" s="229" t="str">
        <f t="shared" ca="1" si="6"/>
        <v>"2084008297" : "Vali, thân cây",</v>
      </c>
      <c r="H200" s="229" t="str">
        <f t="shared" si="7"/>
        <v>&lt;li class="col-md-3"&gt;&lt;a class="text-cut" href="javascript:;"(click)="categoryEvent(2084008297)"&gt;{{"2084008297" | translate}}&lt;/a&gt;&lt;/li&gt;</v>
      </c>
    </row>
    <row r="201" spans="1:8" ht="14.25" customHeight="1">
      <c r="A201" s="2">
        <v>2084008304</v>
      </c>
      <c r="B201" s="2" t="s">
        <v>4774</v>
      </c>
      <c r="C201" s="2" t="s">
        <v>5466</v>
      </c>
      <c r="D201" s="2" t="s">
        <v>5468</v>
      </c>
      <c r="E201" s="3" t="str">
        <f ca="1">IFERROR(__xludf.DUMMYFUNCTION("GOOGLETRANSLATE(B201,""ja"",""vi"")"),"túi thứ hai")</f>
        <v>túi thứ hai</v>
      </c>
      <c r="F201" s="3" t="str">
        <f ca="1">IFERROR(__xludf.DUMMYFUNCTION("GOOGLETRANSLATE(C201,""ja"",""vi"")"),"Đấu giá&gt; Thời trang&gt; túi nam&gt; túi thứ hai")</f>
        <v>Đấu giá&gt; Thời trang&gt; túi nam&gt; túi thứ hai</v>
      </c>
      <c r="G201" s="229" t="str">
        <f t="shared" ca="1" si="6"/>
        <v>"2084008304" : "túi thứ hai",</v>
      </c>
      <c r="H201" s="229" t="str">
        <f t="shared" si="7"/>
        <v>&lt;li class="col-md-3"&gt;&lt;a class="text-cut" href="javascript:;"(click)="categoryEvent(2084008304)"&gt;{{"2084008304" | translate}}&lt;/a&gt;&lt;/li&gt;</v>
      </c>
    </row>
    <row r="202" spans="1:8" ht="14.25" customHeight="1">
      <c r="A202" s="2">
        <v>2084008302</v>
      </c>
      <c r="B202" s="2" t="s">
        <v>4707</v>
      </c>
      <c r="C202" s="2" t="s">
        <v>5473</v>
      </c>
      <c r="D202" s="2" t="s">
        <v>5475</v>
      </c>
      <c r="E202" s="3" t="str">
        <f ca="1">IFERROR(__xludf.DUMMYFUNCTION("GOOGLETRANSLATE(B202,""ja"",""vi"")"),"túi xách tay")</f>
        <v>túi xách tay</v>
      </c>
      <c r="F202" s="3" t="str">
        <f ca="1">IFERROR(__xludf.DUMMYFUNCTION("GOOGLETRANSLATE(C202,""ja"",""vi"")"),"Đấu giá&gt; Thời trang&gt; túi nam&gt; túi xách")</f>
        <v>Đấu giá&gt; Thời trang&gt; túi nam&gt; túi xách</v>
      </c>
      <c r="G202" s="229" t="str">
        <f t="shared" ca="1" si="6"/>
        <v>"2084008302" : "túi xách tay",</v>
      </c>
      <c r="H202" s="229" t="str">
        <f t="shared" si="7"/>
        <v>&lt;li class="col-md-3"&gt;&lt;a class="text-cut" href="javascript:;"(click)="categoryEvent(2084008302)"&gt;{{"2084008302" | translate}}&lt;/a&gt;&lt;/li&gt;</v>
      </c>
    </row>
    <row r="203" spans="1:8" ht="14.25" customHeight="1">
      <c r="A203" s="2">
        <v>2084008298</v>
      </c>
      <c r="B203" s="2" t="s">
        <v>4817</v>
      </c>
      <c r="C203" s="2" t="s">
        <v>5482</v>
      </c>
      <c r="D203" s="2" t="s">
        <v>5484</v>
      </c>
      <c r="E203" s="3" t="str">
        <f ca="1">IFERROR(__xludf.DUMMYFUNCTION("GOOGLETRANSLATE(B203,""ja"",""vi"")"),"túi Boston")</f>
        <v>túi Boston</v>
      </c>
      <c r="F203" s="3" t="str">
        <f ca="1">IFERROR(__xludf.DUMMYFUNCTION("GOOGLETRANSLATE(C203,""ja"",""vi"")"),"Đấu giá&gt; Thời trang&gt; túi nam&gt; túi Boston")</f>
        <v>Đấu giá&gt; Thời trang&gt; túi nam&gt; túi Boston</v>
      </c>
      <c r="G203" s="229" t="str">
        <f t="shared" ca="1" si="6"/>
        <v>"2084008298" : "túi Boston",</v>
      </c>
      <c r="H203" s="229" t="str">
        <f t="shared" si="7"/>
        <v>&lt;li class="col-md-3"&gt;&lt;a class="text-cut" href="javascript:;"(click)="categoryEvent(2084008298)"&gt;{{"2084008298" | translate}}&lt;/a&gt;&lt;/li&gt;</v>
      </c>
    </row>
    <row r="204" spans="1:8" ht="14.25" customHeight="1">
      <c r="A204" s="2">
        <v>2084008349</v>
      </c>
      <c r="B204" s="2" t="s">
        <v>4829</v>
      </c>
      <c r="C204" s="2" t="s">
        <v>5489</v>
      </c>
      <c r="D204" s="2" t="s">
        <v>5491</v>
      </c>
      <c r="E204" s="3" t="str">
        <f ca="1">IFERROR(__xludf.DUMMYFUNCTION("GOOGLETRANSLATE(B204,""ja"",""vi"")"),"Body Bag")</f>
        <v>Body Bag</v>
      </c>
      <c r="F204" s="3" t="str">
        <f ca="1">IFERROR(__xludf.DUMMYFUNCTION("GOOGLETRANSLATE(C204,""ja"",""vi"")"),"Đấu giá&gt; Thời trang&gt; Túi xách nam&gt; Body Bag")</f>
        <v>Đấu giá&gt; Thời trang&gt; Túi xách nam&gt; Body Bag</v>
      </c>
      <c r="G204" s="229" t="str">
        <f t="shared" ca="1" si="6"/>
        <v>"2084008349" : "Body Bag",</v>
      </c>
      <c r="H204" s="229" t="str">
        <f t="shared" si="7"/>
        <v>&lt;li class="col-md-3"&gt;&lt;a class="text-cut" href="javascript:;"(click)="categoryEvent(2084008349)"&gt;{{"2084008349" | translate}}&lt;/a&gt;&lt;/li&gt;</v>
      </c>
    </row>
    <row r="205" spans="1:8" ht="14.25" customHeight="1">
      <c r="A205" s="2">
        <v>2084227171</v>
      </c>
      <c r="B205" s="2" t="s">
        <v>5494</v>
      </c>
      <c r="C205" s="2" t="s">
        <v>5497</v>
      </c>
      <c r="D205" s="2" t="s">
        <v>5500</v>
      </c>
      <c r="E205" s="3" t="str">
        <f ca="1">IFERROR(__xludf.DUMMYFUNCTION("GOOGLETRANSLATE(B205,""ja"",""vi"")"),"túi messenger")</f>
        <v>túi messenger</v>
      </c>
      <c r="F205" s="3" t="str">
        <f ca="1">IFERROR(__xludf.DUMMYFUNCTION("GOOGLETRANSLATE(C205,""ja"",""vi"")"),"Đấu giá&gt; Thời trang&gt; Túi xách nam&gt; Messenger Bag")</f>
        <v>Đấu giá&gt; Thời trang&gt; Túi xách nam&gt; Messenger Bag</v>
      </c>
      <c r="G205" s="229" t="str">
        <f t="shared" ca="1" si="6"/>
        <v>"2084227171" : "túi messenger",</v>
      </c>
      <c r="H205" s="229" t="str">
        <f t="shared" si="7"/>
        <v>&lt;li class="col-md-3"&gt;&lt;a class="text-cut" href="javascript:;"(click)="categoryEvent(2084227171)"&gt;{{"2084227171" | translate}}&lt;/a&gt;&lt;/li&gt;</v>
      </c>
    </row>
    <row r="206" spans="1:8" ht="14.25" customHeight="1">
      <c r="A206" s="2">
        <v>2084235254</v>
      </c>
      <c r="B206" s="2" t="s">
        <v>5503</v>
      </c>
      <c r="C206" s="2" t="s">
        <v>5505</v>
      </c>
      <c r="D206" s="2" t="s">
        <v>5507</v>
      </c>
      <c r="E206" s="3" t="str">
        <f ca="1">IFERROR(__xludf.DUMMYFUNCTION("GOOGLETRANSLATE(B206,""ja"",""vi"")"),"bao đựng thuốc")</f>
        <v>bao đựng thuốc</v>
      </c>
      <c r="F206" s="3" t="str">
        <f ca="1">IFERROR(__xludf.DUMMYFUNCTION("GOOGLETRANSLATE(C206,""ja"",""vi"")"),"Đấu giá&gt; Thời trang&gt; Túi xách nam&gt; túi Y")</f>
        <v>Đấu giá&gt; Thời trang&gt; Túi xách nam&gt; túi Y</v>
      </c>
      <c r="G206" s="229" t="str">
        <f t="shared" ca="1" si="6"/>
        <v>"2084235254" : "bao đựng thuốc",</v>
      </c>
      <c r="H206" s="229" t="str">
        <f t="shared" si="7"/>
        <v>&lt;li class="col-md-3"&gt;&lt;a class="text-cut" href="javascript:;"(click)="categoryEvent(2084235254)"&gt;{{"2084235254" | translate}}&lt;/a&gt;&lt;/li&gt;</v>
      </c>
    </row>
    <row r="207" spans="1:8" ht="14.25" customHeight="1">
      <c r="A207" s="2">
        <v>2084008418</v>
      </c>
      <c r="B207" s="2" t="s">
        <v>4279</v>
      </c>
      <c r="C207" s="2" t="s">
        <v>5512</v>
      </c>
      <c r="D207" s="2" t="s">
        <v>5515</v>
      </c>
      <c r="E207" s="3" t="str">
        <f ca="1">IFERROR(__xludf.DUMMYFUNCTION("GOOGLETRANSLATE(B207,""ja"",""vi"")"),"Trường hợp điện thoại di động")</f>
        <v>Trường hợp điện thoại di động</v>
      </c>
      <c r="F207" s="3" t="str">
        <f ca="1">IFERROR(__xludf.DUMMYFUNCTION("GOOGLETRANSLATE(C207,""ja"",""vi"")"),"Đấu giá&gt; Thời trang&gt; Túi xách nam&gt; điện thoại di động Trường hợp")</f>
        <v>Đấu giá&gt; Thời trang&gt; Túi xách nam&gt; điện thoại di động Trường hợp</v>
      </c>
      <c r="G207" s="229" t="str">
        <f t="shared" ca="1" si="6"/>
        <v>"2084008418" : "Trường hợp điện thoại di động",</v>
      </c>
      <c r="H207" s="229" t="str">
        <f t="shared" si="7"/>
        <v>&lt;li class="col-md-3"&gt;&lt;a class="text-cut" href="javascript:;"(click)="categoryEvent(2084008418)"&gt;{{"2084008418" | translate}}&lt;/a&gt;&lt;/li&gt;</v>
      </c>
    </row>
    <row r="208" spans="1:8" ht="14.25" customHeight="1">
      <c r="A208" s="2">
        <v>2084012476</v>
      </c>
      <c r="B208" s="2" t="s">
        <v>4895</v>
      </c>
      <c r="C208" s="2" t="s">
        <v>5520</v>
      </c>
      <c r="D208" s="2" t="s">
        <v>5524</v>
      </c>
      <c r="E208" s="3" t="str">
        <f ca="1">IFERROR(__xludf.DUMMYFUNCTION("GOOGLETRANSLATE(B208,""ja"",""vi"")"),"trường hợp chủ chốt")</f>
        <v>trường hợp chủ chốt</v>
      </c>
      <c r="F208" s="3" t="str">
        <f ca="1">IFERROR(__xludf.DUMMYFUNCTION("GOOGLETRANSLATE(C208,""ja"",""vi"")"),"Đấu giá&gt; Thời trang&gt; Túi xách nam&gt; trường hợp chủ chốt")</f>
        <v>Đấu giá&gt; Thời trang&gt; Túi xách nam&gt; trường hợp chủ chốt</v>
      </c>
      <c r="G208" s="229" t="str">
        <f t="shared" ca="1" si="6"/>
        <v>"2084012476" : "trường hợp chủ chốt",</v>
      </c>
      <c r="H208" s="229" t="str">
        <f t="shared" si="7"/>
        <v>&lt;li class="col-md-3"&gt;&lt;a class="text-cut" href="javascript:;"(click)="categoryEvent(2084012476)"&gt;{{"2084012476" | translate}}&lt;/a&gt;&lt;/li&gt;</v>
      </c>
    </row>
    <row r="209" spans="1:8" ht="14.25" customHeight="1">
      <c r="A209" s="2">
        <v>2084005274</v>
      </c>
      <c r="B209" s="2" t="s">
        <v>4910</v>
      </c>
      <c r="C209" s="2" t="s">
        <v>5529</v>
      </c>
      <c r="D209" s="2" t="s">
        <v>5530</v>
      </c>
      <c r="E209" s="3" t="str">
        <f ca="1">IFERROR(__xludf.DUMMYFUNCTION("GOOGLETRANSLATE(B209,""ja"",""vi"")"),"ví")</f>
        <v>ví</v>
      </c>
      <c r="F209" s="3" t="str">
        <f ca="1">IFERROR(__xludf.DUMMYFUNCTION("GOOGLETRANSLATE(C209,""ja"",""vi"")"),"Đấu giá&gt; Thời trang&gt; Túi xách nam&gt; ví")</f>
        <v>Đấu giá&gt; Thời trang&gt; Túi xách nam&gt; ví</v>
      </c>
      <c r="G209" s="229" t="str">
        <f t="shared" ca="1" si="6"/>
        <v>"2084005274" : "ví",</v>
      </c>
      <c r="H209" s="229" t="str">
        <f t="shared" si="7"/>
        <v>&lt;li class="col-md-3"&gt;&lt;a class="text-cut" href="javascript:;"(click)="categoryEvent(2084005274)"&gt;{{"2084005274" | translate}}&lt;/a&gt;&lt;/li&gt;</v>
      </c>
    </row>
    <row r="210" spans="1:8" ht="14.25" customHeight="1">
      <c r="A210" s="2">
        <v>2084012475</v>
      </c>
      <c r="B210" s="2" t="s">
        <v>4916</v>
      </c>
      <c r="C210" s="2" t="s">
        <v>5531</v>
      </c>
      <c r="D210" s="2" t="s">
        <v>5532</v>
      </c>
      <c r="E210" s="3" t="str">
        <f ca="1">IFERROR(__xludf.DUMMYFUNCTION("GOOGLETRANSLATE(B210,""ja"",""vi"")"),"giữ đèo")</f>
        <v>giữ đèo</v>
      </c>
      <c r="F210" s="3" t="str">
        <f ca="1">IFERROR(__xludf.DUMMYFUNCTION("GOOGLETRANSLATE(C210,""ja"",""vi"")"),"Đấu giá&gt; Thời trang&gt; Túi xách nam&gt; giữ qua")</f>
        <v>Đấu giá&gt; Thời trang&gt; Túi xách nam&gt; giữ qua</v>
      </c>
      <c r="G210" s="229" t="str">
        <f t="shared" ca="1" si="6"/>
        <v>"2084012475" : "giữ đèo",</v>
      </c>
      <c r="H210" s="229" t="str">
        <f t="shared" si="7"/>
        <v>&lt;li class="col-md-3"&gt;&lt;a class="text-cut" href="javascript:;"(click)="categoryEvent(2084012475)"&gt;{{"2084012475" | translate}}&lt;/a&gt;&lt;/li&gt;</v>
      </c>
    </row>
    <row r="211" spans="1:8" ht="14.25" customHeight="1">
      <c r="A211" s="2">
        <v>2084307774</v>
      </c>
      <c r="B211" s="2" t="s">
        <v>4921</v>
      </c>
      <c r="C211" s="2" t="s">
        <v>5541</v>
      </c>
      <c r="D211" s="2" t="s">
        <v>5542</v>
      </c>
      <c r="E211" s="3" t="str">
        <f ca="1">IFERROR(__xludf.DUMMYFUNCTION("GOOGLETRANSLATE(B211,""ja"",""vi"")"),"cho thuê túi")</f>
        <v>cho thuê túi</v>
      </c>
      <c r="F211" s="3" t="str">
        <f ca="1">IFERROR(__xludf.DUMMYFUNCTION("GOOGLETRANSLATE(C211,""ja"",""vi"")"),"Đấu giá&gt; Thời trang&gt; Túi xách nam&gt; cho thuê túi")</f>
        <v>Đấu giá&gt; Thời trang&gt; Túi xách nam&gt; cho thuê túi</v>
      </c>
      <c r="G211" s="229" t="str">
        <f t="shared" ca="1" si="6"/>
        <v>"2084307774" : "cho thuê túi",</v>
      </c>
      <c r="H211" s="229" t="str">
        <f t="shared" si="7"/>
        <v>&lt;li class="col-md-3"&gt;&lt;a class="text-cut" href="javascript:;"(click)="categoryEvent(2084307774)"&gt;{{"2084307774" | translate}}&lt;/a&gt;&lt;/li&gt;</v>
      </c>
    </row>
    <row r="212" spans="1:8" ht="14.25" customHeight="1">
      <c r="E212" s="3"/>
      <c r="F212" s="3"/>
      <c r="G212" s="229"/>
      <c r="H212" s="229"/>
    </row>
    <row r="213" spans="1:8" ht="14.25" customHeight="1">
      <c r="A213" s="252">
        <v>23200</v>
      </c>
      <c r="B213" s="232"/>
      <c r="C213" s="232"/>
      <c r="D213" s="233"/>
      <c r="E213" s="3"/>
      <c r="F213" s="3"/>
      <c r="G213" s="229"/>
      <c r="H213" s="229"/>
    </row>
    <row r="214" spans="1:8" ht="14.25" customHeight="1">
      <c r="A214" s="2">
        <v>2084005483</v>
      </c>
      <c r="B214" s="2" t="s">
        <v>4945</v>
      </c>
      <c r="C214" s="2" t="s">
        <v>5556</v>
      </c>
      <c r="D214" s="2" t="s">
        <v>5557</v>
      </c>
      <c r="E214" s="3" t="str">
        <f ca="1">IFERROR(__xludf.DUMMYFUNCTION("GOOGLETRANSLATE(B214,""ja"",""vi"")"),"giày thể thao")</f>
        <v>giày thể thao</v>
      </c>
      <c r="F214" s="3" t="str">
        <f ca="1">IFERROR(__xludf.DUMMYFUNCTION("GOOGLETRANSLATE(C214,""ja"",""vi"")"),"Đấu giá&gt; Thời trang&gt; Giày&gt; giày")</f>
        <v>Đấu giá&gt; Thời trang&gt; Giày&gt; giày</v>
      </c>
      <c r="G214" s="229" t="str">
        <f t="shared" ca="1" si="6"/>
        <v>"2084005483" : "giày thể thao",</v>
      </c>
      <c r="H214" s="229" t="str">
        <f t="shared" si="7"/>
        <v>&lt;li class="col-md-3"&gt;&lt;a class="text-cut" href="javascript:;"(click)="categoryEvent(2084005483)"&gt;{{"2084005483" | translate}}&lt;/a&gt;&lt;/li&gt;</v>
      </c>
    </row>
    <row r="215" spans="1:8" ht="14.25" customHeight="1">
      <c r="A215" s="2">
        <v>2084005485</v>
      </c>
      <c r="B215" s="2" t="s">
        <v>4939</v>
      </c>
      <c r="C215" s="2" t="s">
        <v>5565</v>
      </c>
      <c r="D215" s="2" t="s">
        <v>5567</v>
      </c>
      <c r="E215" s="3" t="str">
        <f ca="1">IFERROR(__xludf.DUMMYFUNCTION("GOOGLETRANSLATE(B215,""ja"",""vi"")"),"dép xăng đan")</f>
        <v>dép xăng đan</v>
      </c>
      <c r="F215" s="3" t="str">
        <f ca="1">IFERROR(__xludf.DUMMYFUNCTION("GOOGLETRANSLATE(C215,""ja"",""vi"")"),"Đấu giá&gt; Thời trang&gt; Giày dép nam&gt; Sandals")</f>
        <v>Đấu giá&gt; Thời trang&gt; Giày dép nam&gt; Sandals</v>
      </c>
      <c r="G215" s="229" t="str">
        <f t="shared" ca="1" si="6"/>
        <v>"2084005485" : "dép xăng đan",</v>
      </c>
      <c r="H215" s="229" t="str">
        <f t="shared" si="7"/>
        <v>&lt;li class="col-md-3"&gt;&lt;a class="text-cut" href="javascript:;"(click)="categoryEvent(2084005485)"&gt;{{"2084005485" | translate}}&lt;/a&gt;&lt;/li&gt;</v>
      </c>
    </row>
    <row r="216" spans="1:8" ht="14.25" customHeight="1">
      <c r="A216" s="2">
        <v>2084005484</v>
      </c>
      <c r="B216" s="2" t="s">
        <v>4963</v>
      </c>
      <c r="C216" s="2" t="s">
        <v>5575</v>
      </c>
      <c r="D216" s="2" t="s">
        <v>5577</v>
      </c>
      <c r="E216" s="3" t="str">
        <f ca="1">IFERROR(__xludf.DUMMYFUNCTION("GOOGLETRANSLATE(B216,""ja"",""vi"")"),"giày ống")</f>
        <v>giày ống</v>
      </c>
      <c r="F216" s="3" t="str">
        <f ca="1">IFERROR(__xludf.DUMMYFUNCTION("GOOGLETRANSLATE(C216,""ja"",""vi"")"),"Đấu giá&gt; Thời trang&gt; Giày dép nam&gt; Boots")</f>
        <v>Đấu giá&gt; Thời trang&gt; Giày dép nam&gt; Boots</v>
      </c>
      <c r="G216" s="229" t="str">
        <f t="shared" ca="1" si="6"/>
        <v>"2084005484" : "giày ống",</v>
      </c>
      <c r="H216" s="229" t="str">
        <f t="shared" si="7"/>
        <v>&lt;li class="col-md-3"&gt;&lt;a class="text-cut" href="javascript:;"(click)="categoryEvent(2084005484)"&gt;{{"2084005484" | translate}}&lt;/a&gt;&lt;/li&gt;</v>
      </c>
    </row>
    <row r="217" spans="1:8" ht="14.25" customHeight="1">
      <c r="A217" s="2">
        <v>2084237296</v>
      </c>
      <c r="B217" s="2" t="s">
        <v>5580</v>
      </c>
      <c r="C217" s="2" t="s">
        <v>5583</v>
      </c>
      <c r="D217" s="2" t="s">
        <v>5585</v>
      </c>
      <c r="E217" s="3" t="str">
        <f ca="1">IFERROR(__xludf.DUMMYFUNCTION("GOOGLETRANSLATE(B217,""ja"",""vi"")"),"Giày đi dạo, trượt")</f>
        <v>Giày đi dạo, trượt</v>
      </c>
      <c r="F217" s="3" t="str">
        <f ca="1">IFERROR(__xludf.DUMMYFUNCTION("GOOGLETRANSLATE(C217,""ja"",""vi"")"),"Đấu giá&gt; Thời trang&gt; Giày&gt; giày đi dạo, slip-on")</f>
        <v>Đấu giá&gt; Thời trang&gt; Giày&gt; giày đi dạo, slip-on</v>
      </c>
      <c r="G217" s="229" t="str">
        <f t="shared" ca="1" si="6"/>
        <v>"2084237296" : "Giày đi dạo, trượt",</v>
      </c>
      <c r="H217" s="229" t="str">
        <f t="shared" si="7"/>
        <v>&lt;li class="col-md-3"&gt;&lt;a class="text-cut" href="javascript:;"(click)="categoryEvent(2084237296)"&gt;{{"2084237296" | translate}}&lt;/a&gt;&lt;/li&gt;</v>
      </c>
    </row>
    <row r="218" spans="1:8" ht="14.25" customHeight="1">
      <c r="A218" s="2">
        <v>2084005482</v>
      </c>
      <c r="B218" s="2" t="s">
        <v>5589</v>
      </c>
      <c r="C218" s="2" t="s">
        <v>5592</v>
      </c>
      <c r="D218" s="2" t="s">
        <v>5593</v>
      </c>
      <c r="E218" s="3" t="str">
        <f ca="1">IFERROR(__xludf.DUMMYFUNCTION("GOOGLETRANSLATE(B218,""ja"",""vi"")"),"giày kinh doanh")</f>
        <v>giày kinh doanh</v>
      </c>
      <c r="F218" s="3" t="str">
        <f ca="1">IFERROR(__xludf.DUMMYFUNCTION("GOOGLETRANSLATE(C218,""ja"",""vi"")"),"Đấu giá&gt; giày thời trang&gt; nam&gt; giày kinh doanh")</f>
        <v>Đấu giá&gt; giày thời trang&gt; nam&gt; giày kinh doanh</v>
      </c>
      <c r="G218" s="229" t="str">
        <f t="shared" ca="1" si="6"/>
        <v>"2084005482" : "giày kinh doanh",</v>
      </c>
      <c r="H218" s="229" t="str">
        <f t="shared" si="7"/>
        <v>&lt;li class="col-md-3"&gt;&lt;a class="text-cut" href="javascript:;"(click)="categoryEvent(2084005482)"&gt;{{"2084005482" | translate}}&lt;/a&gt;&lt;/li&gt;</v>
      </c>
    </row>
    <row r="219" spans="1:8" ht="14.25" customHeight="1">
      <c r="A219" s="2">
        <v>2084232919</v>
      </c>
      <c r="B219" s="2" t="s">
        <v>5597</v>
      </c>
      <c r="C219" s="2" t="s">
        <v>5600</v>
      </c>
      <c r="D219" s="2" t="s">
        <v>5602</v>
      </c>
      <c r="E219" s="3" t="str">
        <f ca="1">IFERROR(__xludf.DUMMYFUNCTION("GOOGLETRANSLATE(B219,""ja"",""vi"")"),"giày boong")</f>
        <v>giày boong</v>
      </c>
      <c r="F219" s="3" t="str">
        <f ca="1">IFERROR(__xludf.DUMMYFUNCTION("GOOGLETRANSLATE(C219,""ja"",""vi"")"),"Đấu giá&gt; Thời trang&gt; Giày dép nam&gt; giày boong")</f>
        <v>Đấu giá&gt; Thời trang&gt; Giày dép nam&gt; giày boong</v>
      </c>
      <c r="G219" s="229" t="str">
        <f t="shared" ca="1" si="6"/>
        <v>"2084232919" : "giày boong",</v>
      </c>
      <c r="H219" s="229" t="str">
        <f t="shared" si="7"/>
        <v>&lt;li class="col-md-3"&gt;&lt;a class="text-cut" href="javascript:;"(click)="categoryEvent(2084232919)"&gt;{{"2084232919" | translate}}&lt;/a&gt;&lt;/li&gt;</v>
      </c>
    </row>
    <row r="220" spans="1:8" ht="14.25" customHeight="1">
      <c r="A220" s="2">
        <v>2084062282</v>
      </c>
      <c r="B220" s="2" t="s">
        <v>4933</v>
      </c>
      <c r="C220" s="2" t="s">
        <v>5603</v>
      </c>
      <c r="D220" s="2" t="s">
        <v>5604</v>
      </c>
      <c r="E220" s="3" t="str">
        <f ca="1">IFERROR(__xludf.DUMMYFUNCTION("GOOGLETRANSLATE(B220,""ja"",""vi"")"),"giày đi bộ")</f>
        <v>giày đi bộ</v>
      </c>
      <c r="F220" s="3" t="str">
        <f ca="1">IFERROR(__xludf.DUMMYFUNCTION("GOOGLETRANSLATE(C220,""ja"",""vi"")"),"Đấu giá&gt; giày thời trang&gt; nam&gt; giày đi bộ")</f>
        <v>Đấu giá&gt; giày thời trang&gt; nam&gt; giày đi bộ</v>
      </c>
      <c r="G220" s="229" t="str">
        <f t="shared" ca="1" si="6"/>
        <v>"2084062282" : "giày đi bộ",</v>
      </c>
      <c r="H220" s="229" t="str">
        <f t="shared" si="7"/>
        <v>&lt;li class="col-md-3"&gt;&lt;a class="text-cut" href="javascript:;"(click)="categoryEvent(2084062282)"&gt;{{"2084062282" | translate}}&lt;/a&gt;&lt;/li&gt;</v>
      </c>
    </row>
    <row r="221" spans="1:8" ht="14.25" customHeight="1">
      <c r="A221" s="2">
        <v>2084023778</v>
      </c>
      <c r="B221" s="2" t="s">
        <v>5002</v>
      </c>
      <c r="C221" s="2" t="s">
        <v>5608</v>
      </c>
      <c r="D221" s="2" t="s">
        <v>5611</v>
      </c>
      <c r="E221" s="3" t="str">
        <f ca="1">IFERROR(__xludf.DUMMYFUNCTION("GOOGLETRANSLATE(B221,""ja"",""vi"")"),"Boots, giày mưa")</f>
        <v>Boots, giày mưa</v>
      </c>
      <c r="F221" s="3" t="str">
        <f ca="1">IFERROR(__xludf.DUMMYFUNCTION("GOOGLETRANSLATE(C221,""ja"",""vi"")"),"Đấu giá&gt; Thời trang&gt; Giày&gt; giày, giày mưa")</f>
        <v>Đấu giá&gt; Thời trang&gt; Giày&gt; giày, giày mưa</v>
      </c>
      <c r="G221" s="229" t="str">
        <f t="shared" ca="1" si="6"/>
        <v>"2084023778" : "Boots, giày mưa",</v>
      </c>
      <c r="H221" s="229" t="str">
        <f t="shared" si="7"/>
        <v>&lt;li class="col-md-3"&gt;&lt;a class="text-cut" href="javascript:;"(click)="categoryEvent(2084023778)"&gt;{{"2084023778" | translate}}&lt;/a&gt;&lt;/li&gt;</v>
      </c>
    </row>
    <row r="222" spans="1:8" ht="14.25" customHeight="1">
      <c r="A222" s="2">
        <v>2084048894</v>
      </c>
      <c r="B222" s="2" t="s">
        <v>2886</v>
      </c>
      <c r="C222" s="2" t="s">
        <v>5616</v>
      </c>
      <c r="D222" s="2" t="s">
        <v>5618</v>
      </c>
      <c r="E222" s="3" t="str">
        <f ca="1">IFERROR(__xludf.DUMMYFUNCTION("GOOGLETRANSLATE(B222,""ja"",""vi"")"),"giày dép chuyên dụng")</f>
        <v>giày dép chuyên dụng</v>
      </c>
      <c r="F222" s="3" t="str">
        <f ca="1">IFERROR(__xludf.DUMMYFUNCTION("GOOGLETRANSLATE(C222,""ja"",""vi"")"),"Đấu giá&gt; Thời trang&gt; Giày dép nam&gt; giày công việc")</f>
        <v>Đấu giá&gt; Thời trang&gt; Giày dép nam&gt; giày công việc</v>
      </c>
      <c r="G222" s="229" t="str">
        <f t="shared" ca="1" si="6"/>
        <v>"2084048894" : "giày dép chuyên dụng",</v>
      </c>
      <c r="H222" s="229" t="str">
        <f t="shared" si="7"/>
        <v>&lt;li class="col-md-3"&gt;&lt;a class="text-cut" href="javascript:;"(click)="categoryEvent(2084048894)"&gt;{{"2084048894" | translate}}&lt;/a&gt;&lt;/li&gt;</v>
      </c>
    </row>
    <row r="223" spans="1:8" ht="14.25" customHeight="1">
      <c r="A223" s="2">
        <v>2084005558</v>
      </c>
      <c r="B223" s="2" t="s">
        <v>5623</v>
      </c>
      <c r="C223" s="2" t="s">
        <v>5625</v>
      </c>
      <c r="D223" s="2" t="s">
        <v>5626</v>
      </c>
      <c r="E223" s="3" t="str">
        <f ca="1">IFERROR(__xludf.DUMMYFUNCTION("GOOGLETRANSLATE(B223,""ja"",""vi"")"),"giày quân đội")</f>
        <v>giày quân đội</v>
      </c>
      <c r="F223" s="3" t="str">
        <f ca="1">IFERROR(__xludf.DUMMYFUNCTION("GOOGLETRANSLATE(C223,""ja"",""vi"")"),"Đấu giá&gt; Thời trang&gt; Giày dép nam&gt; Giày quân đội")</f>
        <v>Đấu giá&gt; Thời trang&gt; Giày dép nam&gt; Giày quân đội</v>
      </c>
      <c r="G223" s="229" t="str">
        <f t="shared" ca="1" si="6"/>
        <v>"2084005558" : "giày quân đội",</v>
      </c>
      <c r="H223" s="229" t="str">
        <f t="shared" si="7"/>
        <v>&lt;li class="col-md-3"&gt;&lt;a class="text-cut" href="javascript:;"(click)="categoryEvent(2084005558)"&gt;{{"2084005558" | translate}}&lt;/a&gt;&lt;/li&gt;</v>
      </c>
    </row>
    <row r="224" spans="1:8" ht="14.25" customHeight="1">
      <c r="A224" s="2">
        <v>2084045102</v>
      </c>
      <c r="B224" s="2" t="s">
        <v>4980</v>
      </c>
      <c r="C224" s="2" t="s">
        <v>5632</v>
      </c>
      <c r="D224" s="2" t="s">
        <v>5633</v>
      </c>
      <c r="E224" s="3" t="str">
        <f ca="1">IFERROR(__xludf.DUMMYFUNCTION("GOOGLETRANSLATE(B224,""ja"",""vi"")"),"Geta, dép")</f>
        <v>Geta, dép</v>
      </c>
      <c r="F224" s="3" t="str">
        <f ca="1">IFERROR(__xludf.DUMMYFUNCTION("GOOGLETRANSLATE(C224,""ja"",""vi"")"),"Đấu giá&gt; Thời trang&gt; Giày dép nam&gt; guốc, dép")</f>
        <v>Đấu giá&gt; Thời trang&gt; Giày dép nam&gt; guốc, dép</v>
      </c>
      <c r="G224" s="229" t="str">
        <f t="shared" ca="1" si="6"/>
        <v>"2084045102" : "Geta, dép",</v>
      </c>
      <c r="H224" s="229" t="str">
        <f t="shared" si="7"/>
        <v>&lt;li class="col-md-3"&gt;&lt;a class="text-cut" href="javascript:;"(click)="categoryEvent(2084045102)"&gt;{{"2084045102" | translate}}&lt;/a&gt;&lt;/li&gt;</v>
      </c>
    </row>
    <row r="225" spans="1:8" ht="14.25" customHeight="1">
      <c r="A225" s="2">
        <v>2084048872</v>
      </c>
      <c r="B225" s="2" t="s">
        <v>5010</v>
      </c>
      <c r="C225" s="2" t="s">
        <v>5638</v>
      </c>
      <c r="D225" s="2" t="s">
        <v>5639</v>
      </c>
      <c r="E225" s="3" t="str">
        <f ca="1">IFERROR(__xludf.DUMMYFUNCTION("GOOGLETRANSLATE(B225,""ja"",""vi"")"),"Giày dép ngoài trời")</f>
        <v>Giày dép ngoài trời</v>
      </c>
      <c r="F225" s="3" t="str">
        <f ca="1">IFERROR(__xludf.DUMMYFUNCTION("GOOGLETRANSLATE(C225,""ja"",""vi"")"),"Đấu giá xe&gt; Thời trang&gt; Giày dép nam&gt; Giày dép ngoài trời")</f>
        <v>Đấu giá xe&gt; Thời trang&gt; Giày dép nam&gt; Giày dép ngoài trời</v>
      </c>
      <c r="G225" s="229" t="str">
        <f t="shared" ca="1" si="6"/>
        <v>"2084048872" : "Giày dép ngoài trời",</v>
      </c>
      <c r="H225" s="229" t="str">
        <f t="shared" si="7"/>
        <v>&lt;li class="col-md-3"&gt;&lt;a class="text-cut" href="javascript:;"(click)="categoryEvent(2084048872)"&gt;{{"2084048872" | translate}}&lt;/a&gt;&lt;/li&gt;</v>
      </c>
    </row>
    <row r="226" spans="1:8" ht="14.25" customHeight="1">
      <c r="A226" s="2">
        <v>2084005299</v>
      </c>
      <c r="B226" s="2" t="s">
        <v>5020</v>
      </c>
      <c r="C226" s="2" t="s">
        <v>5645</v>
      </c>
      <c r="D226" s="2" t="s">
        <v>5646</v>
      </c>
      <c r="E226" s="3" t="str">
        <f ca="1">IFERROR(__xludf.DUMMYFUNCTION("GOOGLETRANSLATE(B226,""ja"",""vi"")"),"Chân Sản phẩm chăm sóc")</f>
        <v>Chân Sản phẩm chăm sóc</v>
      </c>
      <c r="F226" s="3" t="str">
        <f ca="1">IFERROR(__xludf.DUMMYFUNCTION("GOOGLETRANSLATE(C226,""ja"",""vi"")"),"Đấu giá&gt; Thời trang&gt; Giày dép nam&gt; Foot Sản phẩm chăm sóc")</f>
        <v>Đấu giá&gt; Thời trang&gt; Giày dép nam&gt; Foot Sản phẩm chăm sóc</v>
      </c>
      <c r="G226" s="229" t="str">
        <f t="shared" ca="1" si="6"/>
        <v>"2084005299" : "Chân Sản phẩm chăm sóc",</v>
      </c>
      <c r="H226" s="229" t="str">
        <f t="shared" si="7"/>
        <v>&lt;li class="col-md-3"&gt;&lt;a class="text-cut" href="javascript:;"(click)="categoryEvent(2084005299)"&gt;{{"2084005299" | translate}}&lt;/a&gt;&lt;/li&gt;</v>
      </c>
    </row>
    <row r="227" spans="1:8" ht="14.25" customHeight="1">
      <c r="A227" s="2">
        <v>42191</v>
      </c>
      <c r="B227" s="2" t="s">
        <v>4990</v>
      </c>
      <c r="C227" s="2" t="s">
        <v>5651</v>
      </c>
      <c r="D227" s="2" t="s">
        <v>5652</v>
      </c>
      <c r="E227" s="3" t="str">
        <f ca="1">IFERROR(__xludf.DUMMYFUNCTION("GOOGLETRANSLATE(B227,""ja"",""vi"")"),"bít tất")</f>
        <v>bít tất</v>
      </c>
      <c r="F227" s="3" t="str">
        <f ca="1">IFERROR(__xludf.DUMMYFUNCTION("GOOGLETRANSLATE(C227,""ja"",""vi"")"),"Đấu giá&gt; Thời trang&gt; Giày dép nam&gt; vớ")</f>
        <v>Đấu giá&gt; Thời trang&gt; Giày dép nam&gt; vớ</v>
      </c>
      <c r="G227" s="229" t="str">
        <f t="shared" ca="1" si="6"/>
        <v>"42191" : "bít tất",</v>
      </c>
      <c r="H227" s="229" t="str">
        <f t="shared" si="7"/>
        <v>&lt;li class="col-md-3"&gt;&lt;a class="text-cut" href="javascript:;"(click)="categoryEvent(42191)"&gt;{{"42191" | translate}}&lt;/a&gt;&lt;/li&gt;</v>
      </c>
    </row>
    <row r="228" spans="1:8" ht="14.25" customHeight="1">
      <c r="A228" s="2">
        <v>2084238534</v>
      </c>
      <c r="B228" s="2" t="s">
        <v>2359</v>
      </c>
      <c r="C228" s="2" t="s">
        <v>5655</v>
      </c>
      <c r="D228" s="2" t="s">
        <v>5656</v>
      </c>
      <c r="E228" s="3" t="str">
        <f ca="1">IFERROR(__xludf.DUMMYFUNCTION("GOOGLETRANSLATE(B228,""ja"",""vi"")"),"giày nguồn cung cấp")</f>
        <v>giày nguồn cung cấp</v>
      </c>
      <c r="F228" s="3" t="str">
        <f ca="1">IFERROR(__xludf.DUMMYFUNCTION("GOOGLETRANSLATE(C228,""ja"",""vi"")"),"Đấu giá&gt; Thời trang&gt; Giày&gt; giày cung cấp")</f>
        <v>Đấu giá&gt; Thời trang&gt; Giày&gt; giày cung cấp</v>
      </c>
      <c r="G228" s="229" t="str">
        <f t="shared" ca="1" si="6"/>
        <v>"2084238534" : "giày nguồn cung cấp",</v>
      </c>
      <c r="H228" s="229" t="str">
        <f t="shared" si="7"/>
        <v>&lt;li class="col-md-3"&gt;&lt;a class="text-cut" href="javascript:;"(click)="categoryEvent(2084238534)"&gt;{{"2084238534" | translate}}&lt;/a&gt;&lt;/li&gt;</v>
      </c>
    </row>
    <row r="229" spans="1:8" ht="14.25" customHeight="1">
      <c r="A229" s="2">
        <v>2084005486</v>
      </c>
      <c r="B229" s="2" t="s">
        <v>16</v>
      </c>
      <c r="C229" s="2" t="s">
        <v>5660</v>
      </c>
      <c r="D229" s="2" t="s">
        <v>5662</v>
      </c>
      <c r="E229" s="3" t="str">
        <f ca="1">IFERROR(__xludf.DUMMYFUNCTION("GOOGLETRANSLATE(B229,""ja"",""vi"")"),"nếu không thì")</f>
        <v>nếu không thì</v>
      </c>
      <c r="F229" s="3" t="str">
        <f ca="1">IFERROR(__xludf.DUMMYFUNCTION("GOOGLETRANSLATE(C229,""ja"",""vi"")"),"Đấu giá&gt; Thời trang&gt; Giày dép nam&gt; Khác")</f>
        <v>Đấu giá&gt; Thời trang&gt; Giày dép nam&gt; Khác</v>
      </c>
      <c r="G229" s="229" t="str">
        <f t="shared" ca="1" si="6"/>
        <v>"2084005486" : "nếu không thì",</v>
      </c>
      <c r="H229" s="229" t="str">
        <f t="shared" si="7"/>
        <v>&lt;li class="col-md-3"&gt;&lt;a class="text-cut" href="javascript:;"(click)="categoryEvent(2084005486)"&gt;{{"2084005486" | translate}}&lt;/a&gt;&lt;/li&gt;</v>
      </c>
    </row>
    <row r="230" spans="1:8" ht="14.25" customHeight="1">
      <c r="E230" s="3"/>
      <c r="F230" s="3"/>
      <c r="G230" s="229"/>
      <c r="H230" s="229"/>
    </row>
    <row r="231" spans="1:8" ht="14.25" customHeight="1">
      <c r="A231" s="261">
        <v>2084005479</v>
      </c>
      <c r="B231" s="232"/>
      <c r="C231" s="232"/>
      <c r="D231" s="233"/>
      <c r="E231" s="3"/>
      <c r="F231" s="3"/>
      <c r="G231" s="229"/>
      <c r="H231" s="229"/>
    </row>
    <row r="232" spans="1:8" ht="14.25" customHeight="1">
      <c r="A232" s="2">
        <v>2084045098</v>
      </c>
      <c r="B232" s="2" t="s">
        <v>1842</v>
      </c>
      <c r="C232" s="2" t="s">
        <v>5671</v>
      </c>
      <c r="D232" s="2" t="s">
        <v>5673</v>
      </c>
      <c r="E232" s="3" t="str">
        <f ca="1">IFERROR(__xludf.DUMMYFUNCTION("GOOGLETRANSLATE(B232,""ja"",""vi"")"),"chung")</f>
        <v>chung</v>
      </c>
      <c r="F232" s="3" t="str">
        <f ca="1">IFERROR(__xludf.DUMMYFUNCTION("GOOGLETRANSLATE(C232,""ja"",""vi"")"),"Đấu giá&gt; thời trang&gt; man quần áo Nhật Bản, kimono&gt; General")</f>
        <v>Đấu giá&gt; thời trang&gt; man quần áo Nhật Bản, kimono&gt; General</v>
      </c>
      <c r="G232" s="229" t="str">
        <f t="shared" ca="1" si="6"/>
        <v>"2084045098" : "chung",</v>
      </c>
      <c r="H232" s="229" t="str">
        <f t="shared" si="7"/>
        <v>&lt;li class="col-md-3"&gt;&lt;a class="text-cut" href="javascript:;"(click)="categoryEvent(2084045098)"&gt;{{"2084045098" | translate}}&lt;/a&gt;&lt;/li&gt;</v>
      </c>
    </row>
    <row r="233" spans="1:8" ht="14.25" customHeight="1">
      <c r="A233" s="2">
        <v>2084045102</v>
      </c>
      <c r="B233" s="2" t="s">
        <v>4980</v>
      </c>
      <c r="C233" s="2" t="s">
        <v>5678</v>
      </c>
      <c r="D233" s="2" t="s">
        <v>5679</v>
      </c>
      <c r="E233" s="3" t="str">
        <f ca="1">IFERROR(__xludf.DUMMYFUNCTION("GOOGLETRANSLATE(B233,""ja"",""vi"")"),"Geta, dép")</f>
        <v>Geta, dép</v>
      </c>
      <c r="F233" s="3" t="str">
        <f ca="1">IFERROR(__xludf.DUMMYFUNCTION("GOOGLETRANSLATE(C233,""ja"",""vi"")"),"Đấu giá&gt; thời trang&gt; man quần áo Nhật Bản, kimono&gt; geta, dép")</f>
        <v>Đấu giá&gt; thời trang&gt; man quần áo Nhật Bản, kimono&gt; geta, dép</v>
      </c>
      <c r="G233" s="229" t="str">
        <f t="shared" ca="1" si="6"/>
        <v>"2084045102" : "Geta, dép",</v>
      </c>
      <c r="H233" s="229" t="str">
        <f t="shared" si="7"/>
        <v>&lt;li class="col-md-3"&gt;&lt;a class="text-cut" href="javascript:;"(click)="categoryEvent(2084045102)"&gt;{{"2084045102" | translate}}&lt;/a&gt;&lt;/li&gt;</v>
      </c>
    </row>
    <row r="234" spans="1:8" ht="14.25" customHeight="1">
      <c r="A234" s="2">
        <v>2084045101</v>
      </c>
      <c r="B234" s="2" t="s">
        <v>5683</v>
      </c>
      <c r="C234" s="2" t="s">
        <v>5684</v>
      </c>
      <c r="D234" s="2" t="s">
        <v>5685</v>
      </c>
      <c r="E234" s="3" t="str">
        <f ca="1">IFERROR(__xludf.DUMMYFUNCTION("GOOGLETRANSLATE(B234,""ja"",""vi"")"),"quần áo làm việc Monk")</f>
        <v>quần áo làm việc Monk</v>
      </c>
      <c r="F234" s="3" t="str">
        <f ca="1">IFERROR(__xludf.DUMMYFUNCTION("GOOGLETRANSLATE(C234,""ja"",""vi"")"),"Đấu giá&gt; thời trang&gt; man quần áo Nhật Bản, kimono&gt; Samue")</f>
        <v>Đấu giá&gt; thời trang&gt; man quần áo Nhật Bản, kimono&gt; Samue</v>
      </c>
      <c r="G234" s="229" t="str">
        <f t="shared" ca="1" si="6"/>
        <v>"2084045101" : "quần áo làm việc Monk",</v>
      </c>
      <c r="H234" s="229" t="str">
        <f t="shared" si="7"/>
        <v>&lt;li class="col-md-3"&gt;&lt;a class="text-cut" href="javascript:;"(click)="categoryEvent(2084045101)"&gt;{{"2084045101" | translate}}&lt;/a&gt;&lt;/li&gt;</v>
      </c>
    </row>
    <row r="235" spans="1:8" ht="14.25" customHeight="1">
      <c r="A235" s="2">
        <v>2084045100</v>
      </c>
      <c r="B235" s="2" t="s">
        <v>892</v>
      </c>
      <c r="C235" s="2" t="s">
        <v>5693</v>
      </c>
      <c r="D235" s="2" t="s">
        <v>5694</v>
      </c>
      <c r="E235" s="3" t="str">
        <f ca="1">IFERROR(__xludf.DUMMYFUNCTION("GOOGLETRANSLATE(B235,""ja"",""vi"")"),"Jinbei")</f>
        <v>Jinbei</v>
      </c>
      <c r="F235" s="3" t="str">
        <f ca="1">IFERROR(__xludf.DUMMYFUNCTION("GOOGLETRANSLATE(C235,""ja"",""vi"")"),"Đấu giá&gt; thời trang&gt; man quần áo Nhật Bản, kimono&gt; Jinbei")</f>
        <v>Đấu giá&gt; thời trang&gt; man quần áo Nhật Bản, kimono&gt; Jinbei</v>
      </c>
      <c r="G235" s="229" t="str">
        <f t="shared" ca="1" si="6"/>
        <v>"2084045100" : "Jinbei",</v>
      </c>
      <c r="H235" s="229" t="str">
        <f t="shared" si="7"/>
        <v>&lt;li class="col-md-3"&gt;&lt;a class="text-cut" href="javascript:;"(click)="categoryEvent(2084045100)"&gt;{{"2084045100" | translate}}&lt;/a&gt;&lt;/li&gt;</v>
      </c>
    </row>
    <row r="236" spans="1:8" ht="14.25" customHeight="1">
      <c r="A236" s="2">
        <v>2084045103</v>
      </c>
      <c r="B236" s="2" t="s">
        <v>5111</v>
      </c>
      <c r="C236" s="2" t="s">
        <v>5702</v>
      </c>
      <c r="D236" s="2" t="s">
        <v>5703</v>
      </c>
      <c r="E236" s="3" t="str">
        <f ca="1">IFERROR(__xludf.DUMMYFUNCTION("GOOGLETRANSLATE(B236,""ja"",""vi"")"),"dây lưng lụa")</f>
        <v>dây lưng lụa</v>
      </c>
      <c r="F236" s="3" t="str">
        <f ca="1">IFERROR(__xludf.DUMMYFUNCTION("GOOGLETRANSLATE(C236,""ja"",""vi"")"),"Đấu giá&gt; thời trang&gt; man quần áo Nhật Bản, kimono&gt; band")</f>
        <v>Đấu giá&gt; thời trang&gt; man quần áo Nhật Bản, kimono&gt; band</v>
      </c>
      <c r="G236" s="229" t="str">
        <f t="shared" ca="1" si="6"/>
        <v>"2084045103" : "dây lưng lụa",</v>
      </c>
      <c r="H236" s="229" t="str">
        <f t="shared" si="7"/>
        <v>&lt;li class="col-md-3"&gt;&lt;a class="text-cut" href="javascript:;"(click)="categoryEvent(2084045103)"&gt;{{"2084045103" | translate}}&lt;/a&gt;&lt;/li&gt;</v>
      </c>
    </row>
    <row r="237" spans="1:8" ht="14.25" customHeight="1">
      <c r="A237" s="2">
        <v>2084045099</v>
      </c>
      <c r="B237" s="2" t="s">
        <v>898</v>
      </c>
      <c r="C237" s="2" t="s">
        <v>5709</v>
      </c>
      <c r="D237" s="2" t="s">
        <v>5710</v>
      </c>
      <c r="E237" s="3" t="str">
        <f ca="1">IFERROR(__xludf.DUMMYFUNCTION("GOOGLETRANSLATE(B237,""ja"",""vi"")"),"yukata")</f>
        <v>yukata</v>
      </c>
      <c r="F237" s="3" t="str">
        <f ca="1">IFERROR(__xludf.DUMMYFUNCTION("GOOGLETRANSLATE(C237,""ja"",""vi"")"),"Đấu giá&gt; thời trang&gt; man quần áo Nhật Bản, kimono&gt; yukata")</f>
        <v>Đấu giá&gt; thời trang&gt; man quần áo Nhật Bản, kimono&gt; yukata</v>
      </c>
      <c r="G237" s="229" t="str">
        <f t="shared" ca="1" si="6"/>
        <v>"2084045099" : "yukata",</v>
      </c>
      <c r="H237" s="229" t="str">
        <f t="shared" si="7"/>
        <v>&lt;li class="col-md-3"&gt;&lt;a class="text-cut" href="javascript:;"(click)="categoryEvent(2084045099)"&gt;{{"2084045099" | translate}}&lt;/a&gt;&lt;/li&gt;</v>
      </c>
    </row>
    <row r="238" spans="1:8" ht="14.25" customHeight="1">
      <c r="A238" s="2">
        <v>2084059848</v>
      </c>
      <c r="B238" s="2" t="s">
        <v>5165</v>
      </c>
      <c r="C238" s="2" t="s">
        <v>5717</v>
      </c>
      <c r="D238" s="2" t="s">
        <v>5718</v>
      </c>
      <c r="E238" s="3" t="str">
        <f ca="1">IFERROR(__xludf.DUMMYFUNCTION("GOOGLETRANSLATE(B238,""ja"",""vi"")"),"Nagajuban")</f>
        <v>Nagajuban</v>
      </c>
      <c r="F238" s="3" t="str">
        <f ca="1">IFERROR(__xludf.DUMMYFUNCTION("GOOGLETRANSLATE(C238,""ja"",""vi"")"),"Đấu giá&gt; thời trang&gt; man quần áo Nhật Bản, kimono&gt; Nagajuban")</f>
        <v>Đấu giá&gt; thời trang&gt; man quần áo Nhật Bản, kimono&gt; Nagajuban</v>
      </c>
      <c r="G238" s="229" t="str">
        <f t="shared" ca="1" si="6"/>
        <v>"2084059848" : "Nagajuban",</v>
      </c>
      <c r="H238" s="229" t="str">
        <f t="shared" si="7"/>
        <v>&lt;li class="col-md-3"&gt;&lt;a class="text-cut" href="javascript:;"(click)="categoryEvent(2084059848)"&gt;{{"2084059848" | translate}}&lt;/a&gt;&lt;/li&gt;</v>
      </c>
    </row>
    <row r="239" spans="1:8" ht="14.25" customHeight="1">
      <c r="A239" s="2">
        <v>2084061633</v>
      </c>
      <c r="B239" s="2" t="s">
        <v>5724</v>
      </c>
      <c r="C239" s="2" t="s">
        <v>5725</v>
      </c>
      <c r="D239" s="2" t="s">
        <v>5726</v>
      </c>
      <c r="E239" s="3" t="str">
        <f ca="1">IFERROR(__xludf.DUMMYFUNCTION("GOOGLETRANSLATE(B239,""ja"",""vi"")"),"khố")</f>
        <v>khố</v>
      </c>
      <c r="F239" s="3" t="str">
        <f ca="1">IFERROR(__xludf.DUMMYFUNCTION("GOOGLETRANSLATE(C239,""ja"",""vi"")"),"Đấu giá&gt; thời trang&gt; man quần áo Nhật Bản, kimono&gt; khố")</f>
        <v>Đấu giá&gt; thời trang&gt; man quần áo Nhật Bản, kimono&gt; khố</v>
      </c>
      <c r="G239" s="229" t="str">
        <f t="shared" ca="1" si="6"/>
        <v>"2084061633" : "khố",</v>
      </c>
      <c r="H239" s="229" t="str">
        <f t="shared" si="7"/>
        <v>&lt;li class="col-md-3"&gt;&lt;a class="text-cut" href="javascript:;"(click)="categoryEvent(2084061633)"&gt;{{"2084061633" | translate}}&lt;/a&gt;&lt;/li&gt;</v>
      </c>
    </row>
    <row r="240" spans="1:8" ht="14.25" customHeight="1">
      <c r="A240" s="2">
        <v>2084061631</v>
      </c>
      <c r="B240" s="2" t="s">
        <v>5180</v>
      </c>
      <c r="C240" s="2" t="s">
        <v>5733</v>
      </c>
      <c r="D240" s="2" t="s">
        <v>5734</v>
      </c>
      <c r="E240" s="3" t="str">
        <f ca="1">IFERROR(__xludf.DUMMYFUNCTION("GOOGLETRANSLATE(B240,""ja"",""vi"")"),"phụ kiện kimono")</f>
        <v>phụ kiện kimono</v>
      </c>
      <c r="F240" s="3" t="str">
        <f ca="1">IFERROR(__xludf.DUMMYFUNCTION("GOOGLETRANSLATE(C240,""ja"",""vi"")"),"Đấu giá&gt; thời trang&gt; man quần áo Nhật Bản, kimono&gt; kimono phụ kiện")</f>
        <v>Đấu giá&gt; thời trang&gt; man quần áo Nhật Bản, kimono&gt; kimono phụ kiện</v>
      </c>
      <c r="G240" s="229" t="str">
        <f t="shared" ca="1" si="6"/>
        <v>"2084061631" : "phụ kiện kimono",</v>
      </c>
      <c r="H240" s="229" t="str">
        <f t="shared" si="7"/>
        <v>&lt;li class="col-md-3"&gt;&lt;a class="text-cut" href="javascript:;"(click)="categoryEvent(2084061631)"&gt;{{"2084061631" | translate}}&lt;/a&gt;&lt;/li&gt;</v>
      </c>
    </row>
    <row r="241" spans="1:8" ht="14.25" customHeight="1">
      <c r="E241" s="3"/>
      <c r="F241" s="3"/>
      <c r="G241" s="229"/>
      <c r="H241" s="229"/>
    </row>
    <row r="242" spans="1:8" ht="14.25" customHeight="1">
      <c r="A242" s="253">
        <v>2084233229</v>
      </c>
      <c r="B242" s="232"/>
      <c r="C242" s="232"/>
      <c r="D242" s="233"/>
      <c r="E242" s="3"/>
      <c r="F242" s="3"/>
      <c r="G242" s="229"/>
      <c r="H242" s="229"/>
    </row>
    <row r="243" spans="1:8" ht="14.25" customHeight="1">
      <c r="A243" s="2">
        <v>2084233230</v>
      </c>
      <c r="B243" s="2" t="s">
        <v>4744</v>
      </c>
      <c r="C243" s="2" t="s">
        <v>5743</v>
      </c>
      <c r="D243" s="2" t="s">
        <v>5745</v>
      </c>
      <c r="E243" s="3" t="str">
        <f ca="1">IFERROR(__xludf.DUMMYFUNCTION("GOOGLETRANSLATE(B243,""ja"",""vi"")"),"eo Bag")</f>
        <v>eo Bag</v>
      </c>
      <c r="F243" s="3" t="str">
        <f ca="1">IFERROR(__xludf.DUMMYFUNCTION("GOOGLETRANSLATE(C243,""ja"",""vi"")"),"Đấu giá&gt; Thời trang&gt; túi Unisex&gt; túi eo")</f>
        <v>Đấu giá&gt; Thời trang&gt; túi Unisex&gt; túi eo</v>
      </c>
      <c r="G243" s="229" t="str">
        <f t="shared" ca="1" si="6"/>
        <v>"2084233230" : "eo Bag",</v>
      </c>
      <c r="H243" s="229" t="str">
        <f t="shared" si="7"/>
        <v>&lt;li class="col-md-3"&gt;&lt;a class="text-cut" href="javascript:;"(click)="categoryEvent(2084233230)"&gt;{{"2084233230" | translate}}&lt;/a&gt;&lt;/li&gt;</v>
      </c>
    </row>
    <row r="244" spans="1:8" ht="14.25" customHeight="1">
      <c r="A244" s="2">
        <v>2084233235</v>
      </c>
      <c r="B244" s="2" t="s">
        <v>4724</v>
      </c>
      <c r="C244" s="2" t="s">
        <v>5753</v>
      </c>
      <c r="D244" s="2" t="s">
        <v>5756</v>
      </c>
      <c r="E244" s="3" t="str">
        <f ca="1">IFERROR(__xludf.DUMMYFUNCTION("GOOGLETRANSLATE(B244,""ja"",""vi"")"),"Eco-bag")</f>
        <v>Eco-bag</v>
      </c>
      <c r="F244" s="3" t="str">
        <f ca="1">IFERROR(__xludf.DUMMYFUNCTION("GOOGLETRANSLATE(C244,""ja"",""vi"")"),"Đấu giá&gt; Thời trang&gt; Túi xách kiểu unisex&gt; Eco-túi")</f>
        <v>Đấu giá&gt; Thời trang&gt; Túi xách kiểu unisex&gt; Eco-túi</v>
      </c>
      <c r="G244" s="229" t="str">
        <f t="shared" ca="1" si="6"/>
        <v>"2084233235" : "Eco-bag",</v>
      </c>
      <c r="H244" s="229" t="str">
        <f t="shared" si="7"/>
        <v>&lt;li class="col-md-3"&gt;&lt;a class="text-cut" href="javascript:;"(click)="categoryEvent(2084233235)"&gt;{{"2084233235" | translate}}&lt;/a&gt;&lt;/li&gt;</v>
      </c>
    </row>
    <row r="245" spans="1:8" ht="14.25" customHeight="1">
      <c r="A245" s="2">
        <v>2084233231</v>
      </c>
      <c r="B245" s="2" t="s">
        <v>4689</v>
      </c>
      <c r="C245" s="2" t="s">
        <v>5763</v>
      </c>
      <c r="D245" s="2" t="s">
        <v>5765</v>
      </c>
      <c r="E245" s="3" t="str">
        <f ca="1">IFERROR(__xludf.DUMMYFUNCTION("GOOGLETRANSLATE(B245,""ja"",""vi"")"),"túi vai")</f>
        <v>túi vai</v>
      </c>
      <c r="F245" s="3" t="str">
        <f ca="1">IFERROR(__xludf.DUMMYFUNCTION("GOOGLETRANSLATE(C245,""ja"",""vi"")"),"Đấu giá&gt; Thời trang&gt; túi Unisex&gt; túi vai")</f>
        <v>Đấu giá&gt; Thời trang&gt; túi Unisex&gt; túi vai</v>
      </c>
      <c r="G245" s="229" t="str">
        <f t="shared" ca="1" si="6"/>
        <v>"2084233231" : "túi vai",</v>
      </c>
      <c r="H245" s="229" t="str">
        <f t="shared" si="7"/>
        <v>&lt;li class="col-md-3"&gt;&lt;a class="text-cut" href="javascript:;"(click)="categoryEvent(2084233231)"&gt;{{"2084233231" | translate}}&lt;/a&gt;&lt;/li&gt;</v>
      </c>
    </row>
    <row r="246" spans="1:8" ht="14.25" customHeight="1">
      <c r="A246" s="2">
        <v>2084233232</v>
      </c>
      <c r="B246" s="2" t="s">
        <v>4701</v>
      </c>
      <c r="C246" s="2" t="s">
        <v>5773</v>
      </c>
      <c r="D246" s="2" t="s">
        <v>5777</v>
      </c>
      <c r="E246" s="3" t="str">
        <f ca="1">IFERROR(__xludf.DUMMYFUNCTION("GOOGLETRANSLATE(B246,""ja"",""vi"")"),"túi tote")</f>
        <v>túi tote</v>
      </c>
      <c r="F246" s="3" t="str">
        <f ca="1">IFERROR(__xludf.DUMMYFUNCTION("GOOGLETRANSLATE(C246,""ja"",""vi"")"),"Đấu giá&gt; Thời trang&gt; Túi xách kiểu unisex&gt; Tote Bag")</f>
        <v>Đấu giá&gt; Thời trang&gt; Túi xách kiểu unisex&gt; Tote Bag</v>
      </c>
      <c r="G246" s="229" t="str">
        <f t="shared" ca="1" si="6"/>
        <v>"2084233232" : "túi tote",</v>
      </c>
      <c r="H246" s="229" t="str">
        <f t="shared" si="7"/>
        <v>&lt;li class="col-md-3"&gt;&lt;a class="text-cut" href="javascript:;"(click)="categoryEvent(2084233232)"&gt;{{"2084233232" | translate}}&lt;/a&gt;&lt;/li&gt;</v>
      </c>
    </row>
    <row r="247" spans="1:8" ht="14.25" customHeight="1">
      <c r="A247" s="2">
        <v>2084233234</v>
      </c>
      <c r="B247" s="2" t="s">
        <v>4817</v>
      </c>
      <c r="C247" s="2" t="s">
        <v>5781</v>
      </c>
      <c r="D247" s="2" t="s">
        <v>5783</v>
      </c>
      <c r="E247" s="3" t="str">
        <f ca="1">IFERROR(__xludf.DUMMYFUNCTION("GOOGLETRANSLATE(B247,""ja"",""vi"")"),"túi Boston")</f>
        <v>túi Boston</v>
      </c>
      <c r="F247" s="3" t="str">
        <f ca="1">IFERROR(__xludf.DUMMYFUNCTION("GOOGLETRANSLATE(C247,""ja"",""vi"")"),"Đấu giá&gt; Thời trang&gt; túi Unisex&gt; túi Boston")</f>
        <v>Đấu giá&gt; Thời trang&gt; túi Unisex&gt; túi Boston</v>
      </c>
      <c r="G247" s="229" t="str">
        <f t="shared" ca="1" si="6"/>
        <v>"2084233234" : "túi Boston",</v>
      </c>
      <c r="H247" s="229" t="str">
        <f t="shared" si="7"/>
        <v>&lt;li class="col-md-3"&gt;&lt;a class="text-cut" href="javascript:;"(click)="categoryEvent(2084233234)"&gt;{{"2084233234" | translate}}&lt;/a&gt;&lt;/li&gt;</v>
      </c>
    </row>
    <row r="248" spans="1:8" ht="14.25" customHeight="1">
      <c r="A248" s="2">
        <v>2084235254</v>
      </c>
      <c r="B248" s="2" t="s">
        <v>5503</v>
      </c>
      <c r="C248" s="2" t="s">
        <v>5789</v>
      </c>
      <c r="D248" s="2" t="s">
        <v>5790</v>
      </c>
      <c r="E248" s="3" t="str">
        <f ca="1">IFERROR(__xludf.DUMMYFUNCTION("GOOGLETRANSLATE(B248,""ja"",""vi"")"),"bao đựng thuốc")</f>
        <v>bao đựng thuốc</v>
      </c>
      <c r="F248" s="3" t="str">
        <f ca="1">IFERROR(__xludf.DUMMYFUNCTION("GOOGLETRANSLATE(C248,""ja"",""vi"")"),"Đấu giá&gt; Thời trang&gt; Túi xách kiểu unisex&gt; túi Y")</f>
        <v>Đấu giá&gt; Thời trang&gt; Túi xách kiểu unisex&gt; túi Y</v>
      </c>
      <c r="G248" s="229" t="str">
        <f t="shared" ca="1" si="6"/>
        <v>"2084235254" : "bao đựng thuốc",</v>
      </c>
      <c r="H248" s="229" t="str">
        <f t="shared" si="7"/>
        <v>&lt;li class="col-md-3"&gt;&lt;a class="text-cut" href="javascript:;"(click)="categoryEvent(2084235254)"&gt;{{"2084235254" | translate}}&lt;/a&gt;&lt;/li&gt;</v>
      </c>
    </row>
    <row r="249" spans="1:8" ht="14.25" customHeight="1">
      <c r="A249" s="2">
        <v>2084233233</v>
      </c>
      <c r="B249" s="2" t="s">
        <v>4868</v>
      </c>
      <c r="C249" s="2" t="s">
        <v>5796</v>
      </c>
      <c r="D249" s="2" t="s">
        <v>5798</v>
      </c>
      <c r="E249" s="3" t="str">
        <f ca="1">IFERROR(__xludf.DUMMYFUNCTION("GOOGLETRANSLATE(B249,""ja"",""vi"")"),"Ba lô, daypack")</f>
        <v>Ba lô, daypack</v>
      </c>
      <c r="F249" s="3" t="str">
        <f ca="1">IFERROR(__xludf.DUMMYFUNCTION("GOOGLETRANSLATE(C249,""ja"",""vi"")"),"Đấu giá&gt; Thời trang&gt; túi Unisex&gt; ba lô, daypack")</f>
        <v>Đấu giá&gt; Thời trang&gt; túi Unisex&gt; ba lô, daypack</v>
      </c>
      <c r="G249" s="229" t="str">
        <f t="shared" ca="1" si="6"/>
        <v>"2084233233" : "Ba lô, daypack",</v>
      </c>
      <c r="H249" s="229" t="str">
        <f t="shared" si="7"/>
        <v>&lt;li class="col-md-3"&gt;&lt;a class="text-cut" href="javascript:;"(click)="categoryEvent(2084233233)"&gt;{{"2084233233" | translate}}&lt;/a&gt;&lt;/li&gt;</v>
      </c>
    </row>
    <row r="250" spans="1:8" ht="14.25" customHeight="1">
      <c r="E250" s="3"/>
      <c r="F250" s="3"/>
      <c r="G250" s="229"/>
      <c r="H250" s="229"/>
    </row>
    <row r="251" spans="1:8" ht="14.25" customHeight="1">
      <c r="A251" s="264">
        <v>2084293011</v>
      </c>
      <c r="B251" s="232"/>
      <c r="C251" s="232"/>
      <c r="D251" s="233"/>
      <c r="E251" s="3"/>
      <c r="F251" s="3"/>
      <c r="G251" s="229"/>
      <c r="H251" s="229"/>
    </row>
    <row r="252" spans="1:8" ht="14.25" customHeight="1">
      <c r="A252" s="2">
        <v>2084293012</v>
      </c>
      <c r="B252" s="2" t="s">
        <v>2586</v>
      </c>
      <c r="C252" s="2" t="s">
        <v>5810</v>
      </c>
      <c r="D252" s="2" t="s">
        <v>5812</v>
      </c>
      <c r="E252" s="3" t="str">
        <f ca="1">IFERROR(__xludf.DUMMYFUNCTION("GOOGLETRANSLATE(B252,""ja"",""vi"")"),"by Nhãn hiệu")</f>
        <v>by Nhãn hiệu</v>
      </c>
      <c r="F252" s="3" t="str">
        <f ca="1">IFERROR(__xludf.DUMMYFUNCTION("GOOGLETRANSLATE(C252,""ja"",""vi"")"),"Đấu giá&gt; Thời trang&gt; Kids, Baby Thời trang&gt; By Nhãn hiệu")</f>
        <v>Đấu giá&gt; Thời trang&gt; Kids, Baby Thời trang&gt; By Nhãn hiệu</v>
      </c>
      <c r="G252" s="229" t="str">
        <f t="shared" ca="1" si="6"/>
        <v>"2084293012" : "by Nhãn hiệu",</v>
      </c>
      <c r="H252" s="229" t="str">
        <f t="shared" si="7"/>
        <v>&lt;li class="col-md-3"&gt;&lt;a class="text-cut" href="javascript:;"(click)="categoryEvent(2084293012)"&gt;{{"2084293012" | translate}}&lt;/a&gt;&lt;/li&gt;</v>
      </c>
    </row>
    <row r="253" spans="1:8" ht="14.25" customHeight="1">
      <c r="A253" s="2">
        <v>2084006381</v>
      </c>
      <c r="B253" s="2" t="s">
        <v>5817</v>
      </c>
      <c r="C253" s="2" t="s">
        <v>5818</v>
      </c>
      <c r="D253" s="2" t="s">
        <v>5819</v>
      </c>
      <c r="E253" s="3" t="str">
        <f ca="1">IFERROR(__xludf.DUMMYFUNCTION("GOOGLETRANSLATE(B253,""ja"",""vi"")"),"quần áo trẻ em (cho con gái)")</f>
        <v>quần áo trẻ em (cho con gái)</v>
      </c>
      <c r="F253" s="3" t="str">
        <f ca="1">IFERROR(__xludf.DUMMYFUNCTION("GOOGLETRANSLATE(C253,""ja"",""vi"")"),"Đấu giá&gt; Thời trang&gt; Kids, em bé thời trang&gt; quần áo trẻ em (cho con gái)")</f>
        <v>Đấu giá&gt; Thời trang&gt; Kids, em bé thời trang&gt; quần áo trẻ em (cho con gái)</v>
      </c>
      <c r="G253" s="229" t="str">
        <f t="shared" ca="1" si="6"/>
        <v>"2084006381" : "quần áo trẻ em (cho con gái)",</v>
      </c>
      <c r="H253" s="229" t="str">
        <f t="shared" si="7"/>
        <v>&lt;li class="col-md-3"&gt;&lt;a class="text-cut" href="javascript:;"(click)="categoryEvent(2084006381)"&gt;{{"2084006381" | translate}}&lt;/a&gt;&lt;/li&gt;</v>
      </c>
    </row>
    <row r="254" spans="1:8" ht="14.25" customHeight="1">
      <c r="A254" s="2">
        <v>2084006380</v>
      </c>
      <c r="B254" s="2" t="s">
        <v>5822</v>
      </c>
      <c r="C254" s="2" t="s">
        <v>5824</v>
      </c>
      <c r="D254" s="2" t="s">
        <v>5826</v>
      </c>
      <c r="E254" s="3" t="str">
        <f ca="1">IFERROR(__xludf.DUMMYFUNCTION("GOOGLETRANSLATE(B254,""ja"",""vi"")"),"quần áo trẻ em (đối với nam)")</f>
        <v>quần áo trẻ em (đối với nam)</v>
      </c>
      <c r="F254" s="3" t="str">
        <f ca="1">IFERROR(__xludf.DUMMYFUNCTION("GOOGLETRANSLATE(C254,""ja"",""vi"")"),"Đấu giá&gt; Thời trang&gt; Kids, em bé thời trang&gt; quần áo trẻ em (đối với nam)")</f>
        <v>Đấu giá&gt; Thời trang&gt; Kids, em bé thời trang&gt; quần áo trẻ em (đối với nam)</v>
      </c>
      <c r="G254" s="229" t="str">
        <f t="shared" ca="1" si="6"/>
        <v>"2084006380" : "quần áo trẻ em (đối với nam)",</v>
      </c>
      <c r="H254" s="229" t="str">
        <f t="shared" si="7"/>
        <v>&lt;li class="col-md-3"&gt;&lt;a class="text-cut" href="javascript:;"(click)="categoryEvent(2084006380)"&gt;{{"2084006380" | translate}}&lt;/a&gt;&lt;/li&gt;</v>
      </c>
    </row>
    <row r="255" spans="1:8" ht="14.25" customHeight="1">
      <c r="A255" s="2">
        <v>2084053274</v>
      </c>
      <c r="B255" s="2" t="s">
        <v>5831</v>
      </c>
      <c r="C255" s="2" t="s">
        <v>5833</v>
      </c>
      <c r="D255" s="2" t="s">
        <v>5835</v>
      </c>
      <c r="E255" s="3" t="str">
        <f ca="1">IFERROR(__xludf.DUMMYFUNCTION("GOOGLETRANSLATE(B255,""ja"",""vi"")"),"quần áo trẻ em (cả nam và nữ)")</f>
        <v>quần áo trẻ em (cả nam và nữ)</v>
      </c>
      <c r="F255" s="3" t="str">
        <f ca="1">IFERROR(__xludf.DUMMYFUNCTION("GOOGLETRANSLATE(C255,""ja"",""vi"")"),"Đấu giá&gt; Thời trang&gt; Kids, em bé thời trang&gt; quần áo trẻ em (cả nam và nữ)")</f>
        <v>Đấu giá&gt; Thời trang&gt; Kids, em bé thời trang&gt; quần áo trẻ em (cả nam và nữ)</v>
      </c>
      <c r="G255" s="229" t="str">
        <f t="shared" ca="1" si="6"/>
        <v>"2084053274" : "quần áo trẻ em (cả nam và nữ)",</v>
      </c>
      <c r="H255" s="229" t="str">
        <f t="shared" si="7"/>
        <v>&lt;li class="col-md-3"&gt;&lt;a class="text-cut" href="javascript:;"(click)="categoryEvent(2084053274)"&gt;{{"2084053274" | translate}}&lt;/a&gt;&lt;/li&gt;</v>
      </c>
    </row>
    <row r="256" spans="1:8" ht="14.25" customHeight="1">
      <c r="A256" s="2">
        <v>42195</v>
      </c>
      <c r="B256" s="2" t="s">
        <v>5842</v>
      </c>
      <c r="C256" s="2" t="s">
        <v>5843</v>
      </c>
      <c r="D256" s="2" t="s">
        <v>5844</v>
      </c>
      <c r="E256" s="3" t="str">
        <f ca="1">IFERROR(__xludf.DUMMYFUNCTION("GOOGLETRANSLATE(B256,""ja"",""vi"")"),"Giày dép cho trẻ em")</f>
        <v>Giày dép cho trẻ em</v>
      </c>
      <c r="F256" s="3" t="str">
        <f ca="1">IFERROR(__xludf.DUMMYFUNCTION("GOOGLETRANSLATE(C256,""ja"",""vi"")"),"Đấu giá&gt; thời trang&gt; trẻ em, giày dép thời trang cho bé&gt; trẻ em")</f>
        <v>Đấu giá&gt; thời trang&gt; trẻ em, giày dép thời trang cho bé&gt; trẻ em</v>
      </c>
      <c r="G256" s="229" t="str">
        <f t="shared" ca="1" si="6"/>
        <v>"42195" : "Giày dép cho trẻ em",</v>
      </c>
      <c r="H256" s="229" t="str">
        <f t="shared" si="7"/>
        <v>&lt;li class="col-md-3"&gt;&lt;a class="text-cut" href="javascript:;"(click)="categoryEvent(42195)"&gt;{{"42195" | translate}}&lt;/a&gt;&lt;/li&gt;</v>
      </c>
    </row>
    <row r="257" spans="1:8" ht="14.25" customHeight="1">
      <c r="A257" s="2">
        <v>2084007058</v>
      </c>
      <c r="B257" s="2" t="s">
        <v>5849</v>
      </c>
      <c r="C257" s="2" t="s">
        <v>5850</v>
      </c>
      <c r="D257" s="2" t="s">
        <v>5851</v>
      </c>
      <c r="E257" s="3" t="str">
        <f ca="1">IFERROR(__xludf.DUMMYFUNCTION("GOOGLETRANSLATE(B257,""ja"",""vi"")"),"Túi cho trẻ em")</f>
        <v>Túi cho trẻ em</v>
      </c>
      <c r="F257" s="3" t="str">
        <f ca="1">IFERROR(__xludf.DUMMYFUNCTION("GOOGLETRANSLATE(C257,""ja"",""vi"")"),"Đấu giá&gt; Thời trang&gt; Kids, túi thời trang cho bé&gt; trẻ em")</f>
        <v>Đấu giá&gt; Thời trang&gt; Kids, túi thời trang cho bé&gt; trẻ em</v>
      </c>
      <c r="G257" s="229" t="str">
        <f t="shared" ca="1" si="6"/>
        <v>"2084007058" : "Túi cho trẻ em",</v>
      </c>
      <c r="H257" s="229" t="str">
        <f t="shared" si="7"/>
        <v>&lt;li class="col-md-3"&gt;&lt;a class="text-cut" href="javascript:;"(click)="categoryEvent(2084007058)"&gt;{{"2084007058" | translate}}&lt;/a&gt;&lt;/li&gt;</v>
      </c>
    </row>
    <row r="258" spans="1:8" ht="14.25" customHeight="1">
      <c r="A258" s="2">
        <v>2084006428</v>
      </c>
      <c r="B258" s="2" t="s">
        <v>5856</v>
      </c>
      <c r="C258" s="2" t="s">
        <v>5857</v>
      </c>
      <c r="D258" s="2" t="s">
        <v>5858</v>
      </c>
      <c r="E258" s="3" t="str">
        <f ca="1">IFERROR(__xludf.DUMMYFUNCTION("GOOGLETRANSLATE(B258,""ja"",""vi"")"),"phụ kiện thời trang cho trẻ em")</f>
        <v>phụ kiện thời trang cho trẻ em</v>
      </c>
      <c r="F258" s="3" t="str">
        <f ca="1">IFERROR(__xludf.DUMMYFUNCTION("GOOGLETRANSLATE(C258,""ja"",""vi"")"),"Đấu giá&gt; Thời trang&gt; Kids, Baby Thời trang&gt; Phụ kiện thời trang cho trẻ em")</f>
        <v>Đấu giá&gt; Thời trang&gt; Kids, Baby Thời trang&gt; Phụ kiện thời trang cho trẻ em</v>
      </c>
      <c r="G258" s="229" t="str">
        <f t="shared" ca="1" si="6"/>
        <v>"2084006428" : "phụ kiện thời trang cho trẻ em",</v>
      </c>
      <c r="H258" s="229" t="str">
        <f t="shared" si="7"/>
        <v>&lt;li class="col-md-3"&gt;&lt;a class="text-cut" href="javascript:;"(click)="categoryEvent(2084006428)"&gt;{{"2084006428" | translate}}&lt;/a&gt;&lt;/li&gt;</v>
      </c>
    </row>
    <row r="259" spans="1:8" ht="14.25" customHeight="1">
      <c r="A259" s="2">
        <v>24210</v>
      </c>
      <c r="B259" s="2" t="s">
        <v>5864</v>
      </c>
      <c r="C259" s="2" t="s">
        <v>5865</v>
      </c>
      <c r="D259" s="2" t="s">
        <v>5866</v>
      </c>
      <c r="E259" s="3" t="str">
        <f ca="1">IFERROR(__xludf.DUMMYFUNCTION("GOOGLETRANSLATE(B259,""ja"",""vi"")"),"quần áo trẻ em")</f>
        <v>quần áo trẻ em</v>
      </c>
      <c r="F259" s="3" t="str">
        <f ca="1">IFERROR(__xludf.DUMMYFUNCTION("GOOGLETRANSLATE(C259,""ja"",""vi"")"),"Đấu giá&gt; Thời trang&gt; Kids, Baby Thời trang&gt; Quần áo trẻ em")</f>
        <v>Đấu giá&gt; Thời trang&gt; Kids, Baby Thời trang&gt; Quần áo trẻ em</v>
      </c>
      <c r="G259" s="229" t="str">
        <f t="shared" ref="G259:G322" ca="1" si="8">CONCATENATE(CHAR(34)&amp;"",A259,""&amp;CHAR(34)," : ", CHAR(34)&amp;"",E259,""&amp;CHAR(34),",")</f>
        <v>"24210" : "quần áo trẻ em",</v>
      </c>
      <c r="H259" s="229" t="str">
        <f t="shared" ref="H259:H322" si="9">CONCATENATE("&lt;li class=",CHAR(34)&amp;"","col-md-3",""&amp;CHAR(34),"&gt;","&lt;a class=",CHAR(34)&amp;"","text-cut",""&amp;CHAR(34)," href=",CHAR(34)&amp;"","javascript:;",""&amp;CHAR(34), "(click)=",CHAR(34)&amp;"","categoryEvent(",A259,")",""&amp;CHAR(34),"&gt;{{",CHAR(34)&amp;"",A259,""&amp;CHAR(34)," | translate}}&lt;/a&gt;&lt;/li&gt;")</f>
        <v>&lt;li class="col-md-3"&gt;&lt;a class="text-cut" href="javascript:;"(click)="categoryEvent(24210)"&gt;{{"24210" | translate}}&lt;/a&gt;&lt;/li&gt;</v>
      </c>
    </row>
    <row r="260" spans="1:8" ht="14.25" customHeight="1">
      <c r="A260" s="2">
        <v>2084005310</v>
      </c>
      <c r="B260" s="2" t="s">
        <v>5872</v>
      </c>
      <c r="C260" s="2" t="s">
        <v>5873</v>
      </c>
      <c r="D260" s="2" t="s">
        <v>5874</v>
      </c>
      <c r="E260" s="3" t="str">
        <f ca="1">IFERROR(__xludf.DUMMYFUNCTION("GOOGLETRANSLATE(B260,""ja"",""vi"")"),"giày bé")</f>
        <v>giày bé</v>
      </c>
      <c r="F260" s="3" t="str">
        <f ca="1">IFERROR(__xludf.DUMMYFUNCTION("GOOGLETRANSLATE(C260,""ja"",""vi"")"),"Đấu giá&gt; Thời trang&gt; Kids, em bé thời trang&gt; giày bé")</f>
        <v>Đấu giá&gt; Thời trang&gt; Kids, em bé thời trang&gt; giày bé</v>
      </c>
      <c r="G260" s="229" t="str">
        <f t="shared" ca="1" si="8"/>
        <v>"2084005310" : "giày bé",</v>
      </c>
      <c r="H260" s="229" t="str">
        <f t="shared" si="9"/>
        <v>&lt;li class="col-md-3"&gt;&lt;a class="text-cut" href="javascript:;"(click)="categoryEvent(2084005310)"&gt;{{"2084005310" | translate}}&lt;/a&gt;&lt;/li&gt;</v>
      </c>
    </row>
    <row r="261" spans="1:8" ht="14.25" customHeight="1">
      <c r="A261" s="2">
        <v>2084007254</v>
      </c>
      <c r="B261" s="2" t="s">
        <v>5880</v>
      </c>
      <c r="C261" s="2" t="s">
        <v>5881</v>
      </c>
      <c r="D261" s="2" t="s">
        <v>5882</v>
      </c>
      <c r="E261" s="3" t="str">
        <f ca="1">IFERROR(__xludf.DUMMYFUNCTION("GOOGLETRANSLATE(B261,""ja"",""vi"")"),"Phụ kiện thời trang cho bé")</f>
        <v>Phụ kiện thời trang cho bé</v>
      </c>
      <c r="F261" s="3" t="str">
        <f ca="1">IFERROR(__xludf.DUMMYFUNCTION("GOOGLETRANSLATE(C261,""ja"",""vi"")"),"Đấu giá&gt; Thời trang&gt; Kids, Baby Thời trang&gt; Phụ kiện thời trang cho bé")</f>
        <v>Đấu giá&gt; Thời trang&gt; Kids, Baby Thời trang&gt; Phụ kiện thời trang cho bé</v>
      </c>
      <c r="G261" s="229" t="str">
        <f t="shared" ca="1" si="8"/>
        <v>"2084007254" : "Phụ kiện thời trang cho bé",</v>
      </c>
      <c r="H261" s="229" t="str">
        <f t="shared" si="9"/>
        <v>&lt;li class="col-md-3"&gt;&lt;a class="text-cut" href="javascript:;"(click)="categoryEvent(2084007254)"&gt;{{"2084007254" | translate}}&lt;/a&gt;&lt;/li&gt;</v>
      </c>
    </row>
    <row r="262" spans="1:8" ht="14.25" customHeight="1">
      <c r="A262" s="2">
        <v>2084307772</v>
      </c>
      <c r="B262" s="2" t="s">
        <v>5885</v>
      </c>
      <c r="C262" s="2" t="s">
        <v>5887</v>
      </c>
      <c r="D262" s="2" t="s">
        <v>5889</v>
      </c>
      <c r="E262" s="3" t="str">
        <f ca="1">IFERROR(__xludf.DUMMYFUNCTION("GOOGLETRANSLATE(B262,""ja"",""vi"")"),"Thuê Kids Fashion")</f>
        <v>Thuê Kids Fashion</v>
      </c>
      <c r="F262" s="3" t="str">
        <f ca="1">IFERROR(__xludf.DUMMYFUNCTION("GOOGLETRANSLATE(C262,""ja"",""vi"")"),"Đấu giá&gt; Thời trang&gt; Kids, Baby Thời trang&gt; Số thuê Kids Fashion")</f>
        <v>Đấu giá&gt; Thời trang&gt; Kids, Baby Thời trang&gt; Số thuê Kids Fashion</v>
      </c>
      <c r="G262" s="229" t="str">
        <f t="shared" ca="1" si="8"/>
        <v>"2084307772" : "Thuê Kids Fashion",</v>
      </c>
      <c r="H262" s="229" t="str">
        <f t="shared" si="9"/>
        <v>&lt;li class="col-md-3"&gt;&lt;a class="text-cut" href="javascript:;"(click)="categoryEvent(2084307772)"&gt;{{"2084307772" | translate}}&lt;/a&gt;&lt;/li&gt;</v>
      </c>
    </row>
    <row r="263" spans="1:8" ht="14.25" customHeight="1">
      <c r="E263" s="3"/>
      <c r="F263" s="3"/>
      <c r="G263" s="229"/>
      <c r="H263" s="229"/>
    </row>
    <row r="264" spans="1:8" ht="14.25" customHeight="1">
      <c r="A264" s="254">
        <v>2084061614</v>
      </c>
      <c r="B264" s="232"/>
      <c r="C264" s="232"/>
      <c r="D264" s="233"/>
      <c r="E264" s="3"/>
      <c r="F264" s="3"/>
      <c r="G264" s="229"/>
      <c r="H264" s="229"/>
    </row>
    <row r="265" spans="1:8" ht="14.25" customHeight="1">
      <c r="A265" s="2">
        <v>2084005204</v>
      </c>
      <c r="B265" s="2" t="s">
        <v>2266</v>
      </c>
      <c r="C265" s="2" t="s">
        <v>5902</v>
      </c>
      <c r="D265" s="2" t="s">
        <v>5904</v>
      </c>
      <c r="E265" s="3" t="str">
        <f ca="1">IFERROR(__xludf.DUMMYFUNCTION("GOOGLETRANSLATE(B265,""ja"",""vi"")"),"Đối với phụ nữ")</f>
        <v>Đối với phụ nữ</v>
      </c>
      <c r="F265" s="3" t="str">
        <f ca="1">IFERROR(__xludf.DUMMYFUNCTION("GOOGLETRANSLATE(C265,""ja"",""vi"")"),"Đấu giá&gt; thời trang&gt; quần áo Nhật Bản, kimono&gt; cho phụ nữ")</f>
        <v>Đấu giá&gt; thời trang&gt; quần áo Nhật Bản, kimono&gt; cho phụ nữ</v>
      </c>
      <c r="G265" s="229" t="str">
        <f t="shared" ca="1" si="8"/>
        <v>"2084005204" : "Đối với phụ nữ",</v>
      </c>
      <c r="H265" s="229" t="str">
        <f t="shared" si="9"/>
        <v>&lt;li class="col-md-3"&gt;&lt;a class="text-cut" href="javascript:;"(click)="categoryEvent(2084005204)"&gt;{{"2084005204" | translate}}&lt;/a&gt;&lt;/li&gt;</v>
      </c>
    </row>
    <row r="266" spans="1:8" ht="14.25" customHeight="1">
      <c r="A266" s="2">
        <v>2084005479</v>
      </c>
      <c r="B266" s="2" t="s">
        <v>570</v>
      </c>
      <c r="C266" s="2" t="s">
        <v>5906</v>
      </c>
      <c r="D266" s="2" t="s">
        <v>5908</v>
      </c>
      <c r="E266" s="3" t="str">
        <f ca="1">IFERROR(__xludf.DUMMYFUNCTION("GOOGLETRANSLATE(B266,""ja"",""vi"")"),"Đối với nam giới")</f>
        <v>Đối với nam giới</v>
      </c>
      <c r="F266" s="3" t="str">
        <f ca="1">IFERROR(__xludf.DUMMYFUNCTION("GOOGLETRANSLATE(C266,""ja"",""vi"")"),"Đấu giá&gt; thời trang&gt; quần áo Nhật Bản, kimono&gt; dành cho nam giới")</f>
        <v>Đấu giá&gt; thời trang&gt; quần áo Nhật Bản, kimono&gt; dành cho nam giới</v>
      </c>
      <c r="G266" s="229" t="str">
        <f t="shared" ca="1" si="8"/>
        <v>"2084005479" : "Đối với nam giới",</v>
      </c>
      <c r="H266" s="229" t="str">
        <f t="shared" si="9"/>
        <v>&lt;li class="col-md-3"&gt;&lt;a class="text-cut" href="javascript:;"(click)="categoryEvent(2084005479)"&gt;{{"2084005479" | translate}}&lt;/a&gt;&lt;/li&gt;</v>
      </c>
    </row>
    <row r="267" spans="1:8" ht="14.25" customHeight="1">
      <c r="A267" s="2">
        <v>2084061615</v>
      </c>
      <c r="B267" s="2" t="s">
        <v>5912</v>
      </c>
      <c r="C267" s="2" t="s">
        <v>5915</v>
      </c>
      <c r="D267" s="2" t="s">
        <v>5916</v>
      </c>
      <c r="E267" s="3" t="str">
        <f ca="1">IFERROR(__xludf.DUMMYFUNCTION("GOOGLETRANSLATE(B267,""ja"",""vi"")"),"for Boys")</f>
        <v>for Boys</v>
      </c>
      <c r="F267" s="3" t="str">
        <f ca="1">IFERROR(__xludf.DUMMYFUNCTION("GOOGLETRANSLATE(C267,""ja"",""vi"")"),"Đấu giá&gt; thời trang&gt; quần áo Nhật Bản, kimono&gt; Cần trai")</f>
        <v>Đấu giá&gt; thời trang&gt; quần áo Nhật Bản, kimono&gt; Cần trai</v>
      </c>
      <c r="G267" s="229" t="str">
        <f t="shared" ca="1" si="8"/>
        <v>"2084061615" : "for Boys",</v>
      </c>
      <c r="H267" s="229" t="str">
        <f t="shared" si="9"/>
        <v>&lt;li class="col-md-3"&gt;&lt;a class="text-cut" href="javascript:;"(click)="categoryEvent(2084061615)"&gt;{{"2084061615" | translate}}&lt;/a&gt;&lt;/li&gt;</v>
      </c>
    </row>
    <row r="268" spans="1:8" ht="14.25" customHeight="1">
      <c r="A268" s="2">
        <v>2084061616</v>
      </c>
      <c r="B268" s="2" t="s">
        <v>5920</v>
      </c>
      <c r="C268" s="2" t="s">
        <v>5922</v>
      </c>
      <c r="D268" s="2" t="s">
        <v>5925</v>
      </c>
      <c r="E268" s="3" t="str">
        <f ca="1">IFERROR(__xludf.DUMMYFUNCTION("GOOGLETRANSLATE(B268,""ja"",""vi"")"),"Đối với cô gái")</f>
        <v>Đối với cô gái</v>
      </c>
      <c r="F268" s="3" t="str">
        <f ca="1">IFERROR(__xludf.DUMMYFUNCTION("GOOGLETRANSLATE(C268,""ja"",""vi"")"),"Đấu giá&gt; thời trang&gt; quần áo Nhật Bản, kimono&gt; cho trẻ em gái")</f>
        <v>Đấu giá&gt; thời trang&gt; quần áo Nhật Bản, kimono&gt; cho trẻ em gái</v>
      </c>
      <c r="G268" s="229" t="str">
        <f t="shared" ca="1" si="8"/>
        <v>"2084061616" : "Đối với cô gái",</v>
      </c>
      <c r="H268" s="229" t="str">
        <f t="shared" si="9"/>
        <v>&lt;li class="col-md-3"&gt;&lt;a class="text-cut" href="javascript:;"(click)="categoryEvent(2084061616)"&gt;{{"2084061616" | translate}}&lt;/a&gt;&lt;/li&gt;</v>
      </c>
    </row>
    <row r="269" spans="1:8" ht="14.25" customHeight="1">
      <c r="A269" s="2">
        <v>2084061617</v>
      </c>
      <c r="B269" s="2" t="s">
        <v>5929</v>
      </c>
      <c r="C269" s="2" t="s">
        <v>5932</v>
      </c>
      <c r="D269" s="2" t="s">
        <v>5935</v>
      </c>
      <c r="E269" s="3" t="str">
        <f ca="1">IFERROR(__xludf.DUMMYFUNCTION("GOOGLETRANSLATE(B269,""ja"",""vi"")"),"đứa bé")</f>
        <v>đứa bé</v>
      </c>
      <c r="F269" s="3" t="str">
        <f ca="1">IFERROR(__xludf.DUMMYFUNCTION("GOOGLETRANSLATE(C269,""ja"",""vi"")"),"Đấu giá&gt; thời trang&gt; quần áo Nhật Bản, kimono&gt; Baby")</f>
        <v>Đấu giá&gt; thời trang&gt; quần áo Nhật Bản, kimono&gt; Baby</v>
      </c>
      <c r="G269" s="229" t="str">
        <f t="shared" ca="1" si="8"/>
        <v>"2084061617" : "đứa bé",</v>
      </c>
      <c r="H269" s="229" t="str">
        <f t="shared" si="9"/>
        <v>&lt;li class="col-md-3"&gt;&lt;a class="text-cut" href="javascript:;"(click)="categoryEvent(2084061617)"&gt;{{"2084061617" | translate}}&lt;/a&gt;&lt;/li&gt;</v>
      </c>
    </row>
    <row r="270" spans="1:8" ht="14.25" customHeight="1">
      <c r="A270" s="2">
        <v>2084057846</v>
      </c>
      <c r="B270" s="2" t="s">
        <v>5938</v>
      </c>
      <c r="C270" s="2" t="s">
        <v>5940</v>
      </c>
      <c r="D270" s="2" t="s">
        <v>5943</v>
      </c>
      <c r="E270" s="3" t="str">
        <f ca="1">IFERROR(__xludf.DUMMYFUNCTION("GOOGLETRANSLATE(B270,""ja"",""vi"")"),"Dragonfly bóng")</f>
        <v>Dragonfly bóng</v>
      </c>
      <c r="F270" s="3" t="str">
        <f ca="1">IFERROR(__xludf.DUMMYFUNCTION("GOOGLETRANSLATE(C270,""ja"",""vi"")"),"Đấu giá&gt; thời trang&gt; quần áo Nhật Bản, kimono&gt; chuồn chuồn bóng")</f>
        <v>Đấu giá&gt; thời trang&gt; quần áo Nhật Bản, kimono&gt; chuồn chuồn bóng</v>
      </c>
      <c r="G270" s="229" t="str">
        <f t="shared" ca="1" si="8"/>
        <v>"2084057846" : "Dragonfly bóng",</v>
      </c>
      <c r="H270" s="229" t="str">
        <f t="shared" si="9"/>
        <v>&lt;li class="col-md-3"&gt;&lt;a class="text-cut" href="javascript:;"(click)="categoryEvent(2084057846)"&gt;{{"2084057846" | translate}}&lt;/a&gt;&lt;/li&gt;</v>
      </c>
    </row>
    <row r="271" spans="1:8" ht="14.25" customHeight="1">
      <c r="A271" s="2">
        <v>2084057811</v>
      </c>
      <c r="B271" s="2" t="s">
        <v>5944</v>
      </c>
      <c r="C271" s="2" t="s">
        <v>5946</v>
      </c>
      <c r="D271" s="2" t="s">
        <v>5947</v>
      </c>
      <c r="E271" s="3" t="str">
        <f ca="1">IFERROR(__xludf.DUMMYFUNCTION("GOOGLETRANSLATE(B271,""ja"",""vi"")"),"netsuke")</f>
        <v>netsuke</v>
      </c>
      <c r="F271" s="3" t="str">
        <f ca="1">IFERROR(__xludf.DUMMYFUNCTION("GOOGLETRANSLATE(C271,""ja"",""vi"")"),"Đấu giá&gt; thời trang&gt; quần áo Nhật Bản, kimono&gt; netsuke")</f>
        <v>Đấu giá&gt; thời trang&gt; quần áo Nhật Bản, kimono&gt; netsuke</v>
      </c>
      <c r="G271" s="229" t="str">
        <f t="shared" ca="1" si="8"/>
        <v>"2084057811" : "netsuke",</v>
      </c>
      <c r="H271" s="229" t="str">
        <f t="shared" si="9"/>
        <v>&lt;li class="col-md-3"&gt;&lt;a class="text-cut" href="javascript:;"(click)="categoryEvent(2084057811)"&gt;{{"2084057811" | translate}}&lt;/a&gt;&lt;/li&gt;</v>
      </c>
    </row>
    <row r="272" spans="1:8" ht="14.25" customHeight="1">
      <c r="E272" s="3"/>
      <c r="F272" s="3"/>
      <c r="G272" s="229"/>
      <c r="H272" s="229"/>
    </row>
    <row r="273" spans="1:8" ht="14.25" customHeight="1">
      <c r="A273" s="250">
        <v>2084240597</v>
      </c>
      <c r="B273" s="232"/>
      <c r="C273" s="232"/>
      <c r="D273" s="233"/>
      <c r="E273" s="3"/>
      <c r="F273" s="3"/>
      <c r="G273" s="229"/>
      <c r="H273" s="229"/>
    </row>
    <row r="274" spans="1:8" ht="14.25" customHeight="1">
      <c r="A274" s="2">
        <v>2084240602</v>
      </c>
      <c r="B274" s="89" t="s">
        <v>5929</v>
      </c>
      <c r="C274" s="2" t="s">
        <v>5957</v>
      </c>
      <c r="D274" s="2" t="s">
        <v>5959</v>
      </c>
      <c r="E274" s="3" t="str">
        <f ca="1">IFERROR(__xludf.DUMMYFUNCTION("GOOGLETRANSLATE(B274,""ja"",""vi"")"),"đứa bé")</f>
        <v>đứa bé</v>
      </c>
      <c r="F274" s="3" t="str">
        <f ca="1">IFERROR(__xludf.DUMMYFUNCTION("GOOGLETRANSLATE(C274,""ja"",""vi"")"),"Đấu giá&gt; Thời trang&gt; handmade&gt; Baby")</f>
        <v>Đấu giá&gt; Thời trang&gt; handmade&gt; Baby</v>
      </c>
      <c r="G274" s="229" t="str">
        <f t="shared" ca="1" si="8"/>
        <v>"2084240602" : "đứa bé",</v>
      </c>
      <c r="H274" s="229" t="str">
        <f t="shared" si="9"/>
        <v>&lt;li class="col-md-3"&gt;&lt;a class="text-cut" href="javascript:;"(click)="categoryEvent(2084240602)"&gt;{{"2084240602" | translate}}&lt;/a&gt;&lt;/li&gt;</v>
      </c>
    </row>
    <row r="275" spans="1:8" ht="14.25" customHeight="1">
      <c r="A275" s="2">
        <v>2084240603</v>
      </c>
      <c r="B275" s="89" t="s">
        <v>5960</v>
      </c>
      <c r="C275" s="2" t="s">
        <v>5963</v>
      </c>
      <c r="D275" s="2" t="s">
        <v>5965</v>
      </c>
      <c r="E275" s="3" t="str">
        <f ca="1">IFERROR(__xludf.DUMMYFUNCTION("GOOGLETRANSLATE(B275,""ja"",""vi"")"),"Đối với trẻ em")</f>
        <v>Đối với trẻ em</v>
      </c>
      <c r="F275" s="3" t="str">
        <f ca="1">IFERROR(__xludf.DUMMYFUNCTION("GOOGLETRANSLATE(C275,""ja"",""vi"")"),"Đấu giá&gt; Thời trang&gt; handmade&gt; cho trẻ em")</f>
        <v>Đấu giá&gt; Thời trang&gt; handmade&gt; cho trẻ em</v>
      </c>
      <c r="G275" s="229" t="str">
        <f t="shared" ca="1" si="8"/>
        <v>"2084240603" : "Đối với trẻ em",</v>
      </c>
      <c r="H275" s="229" t="str">
        <f t="shared" si="9"/>
        <v>&lt;li class="col-md-3"&gt;&lt;a class="text-cut" href="javascript:;"(click)="categoryEvent(2084240603)"&gt;{{"2084240603" | translate}}&lt;/a&gt;&lt;/li&gt;</v>
      </c>
    </row>
    <row r="276" spans="1:8" ht="14.25" customHeight="1">
      <c r="A276" s="2">
        <v>2084240604</v>
      </c>
      <c r="B276" s="89" t="s">
        <v>2266</v>
      </c>
      <c r="C276" s="2" t="s">
        <v>5969</v>
      </c>
      <c r="D276" s="2" t="s">
        <v>5972</v>
      </c>
      <c r="E276" s="3" t="str">
        <f ca="1">IFERROR(__xludf.DUMMYFUNCTION("GOOGLETRANSLATE(B276,""ja"",""vi"")"),"Đối với phụ nữ")</f>
        <v>Đối với phụ nữ</v>
      </c>
      <c r="F276" s="3" t="str">
        <f ca="1">IFERROR(__xludf.DUMMYFUNCTION("GOOGLETRANSLATE(C276,""ja"",""vi"")"),"Đấu giá&gt; thời trang&gt; handmade&gt; cho phụ nữ")</f>
        <v>Đấu giá&gt; thời trang&gt; handmade&gt; cho phụ nữ</v>
      </c>
      <c r="G276" s="229" t="str">
        <f t="shared" ca="1" si="8"/>
        <v>"2084240604" : "Đối với phụ nữ",</v>
      </c>
      <c r="H276" s="229" t="str">
        <f t="shared" si="9"/>
        <v>&lt;li class="col-md-3"&gt;&lt;a class="text-cut" href="javascript:;"(click)="categoryEvent(2084240604)"&gt;{{"2084240604" | translate}}&lt;/a&gt;&lt;/li&gt;</v>
      </c>
    </row>
    <row r="277" spans="1:8" ht="14.25" customHeight="1">
      <c r="A277" s="2">
        <v>2084240610</v>
      </c>
      <c r="B277" s="89" t="s">
        <v>570</v>
      </c>
      <c r="C277" s="2" t="s">
        <v>5977</v>
      </c>
      <c r="D277" s="2" t="s">
        <v>5979</v>
      </c>
      <c r="E277" s="3" t="str">
        <f ca="1">IFERROR(__xludf.DUMMYFUNCTION("GOOGLETRANSLATE(B277,""ja"",""vi"")"),"Đối với nam giới")</f>
        <v>Đối với nam giới</v>
      </c>
      <c r="F277" s="3" t="str">
        <f ca="1">IFERROR(__xludf.DUMMYFUNCTION("GOOGLETRANSLATE(C277,""ja"",""vi"")"),"Đấu giá&gt; Thời trang&gt; handmade&gt; dành cho nam giới")</f>
        <v>Đấu giá&gt; Thời trang&gt; handmade&gt; dành cho nam giới</v>
      </c>
      <c r="G277" s="229" t="str">
        <f t="shared" ca="1" si="8"/>
        <v>"2084240610" : "Đối với nam giới",</v>
      </c>
      <c r="H277" s="229" t="str">
        <f t="shared" si="9"/>
        <v>&lt;li class="col-md-3"&gt;&lt;a class="text-cut" href="javascript:;"(click)="categoryEvent(2084240610)"&gt;{{"2084240610" | translate}}&lt;/a&gt;&lt;/li&gt;</v>
      </c>
    </row>
    <row r="278" spans="1:8" ht="14.25" customHeight="1">
      <c r="A278" s="2">
        <v>2084240611</v>
      </c>
      <c r="B278" s="89" t="s">
        <v>5983</v>
      </c>
      <c r="C278" s="2" t="s">
        <v>5985</v>
      </c>
      <c r="D278" s="2" t="s">
        <v>5986</v>
      </c>
      <c r="E278" s="3" t="str">
        <f ca="1">IFERROR(__xludf.DUMMYFUNCTION("GOOGLETRANSLATE(B278,""ja"",""vi"")"),"Quần áo Phụ kiện")</f>
        <v>Quần áo Phụ kiện</v>
      </c>
      <c r="F278" s="3" t="str">
        <f ca="1">IFERROR(__xludf.DUMMYFUNCTION("GOOGLETRANSLATE(C278,""ja"",""vi"")"),"Đấu giá&gt; Thời trang&gt; handmade&gt; Quần áo Phụ kiện")</f>
        <v>Đấu giá&gt; Thời trang&gt; handmade&gt; Quần áo Phụ kiện</v>
      </c>
      <c r="G278" s="229" t="str">
        <f t="shared" ca="1" si="8"/>
        <v>"2084240611" : "Quần áo Phụ kiện",</v>
      </c>
      <c r="H278" s="229" t="str">
        <f t="shared" si="9"/>
        <v>&lt;li class="col-md-3"&gt;&lt;a class="text-cut" href="javascript:;"(click)="categoryEvent(2084240611)"&gt;{{"2084240611" | translate}}&lt;/a&gt;&lt;/li&gt;</v>
      </c>
    </row>
    <row r="279" spans="1:8" ht="14.25" customHeight="1">
      <c r="A279" s="2">
        <v>2084240598</v>
      </c>
      <c r="B279" s="89" t="s">
        <v>5989</v>
      </c>
      <c r="C279" s="2" t="s">
        <v>5990</v>
      </c>
      <c r="D279" s="2" t="s">
        <v>5991</v>
      </c>
      <c r="E279" s="3" t="str">
        <f ca="1">IFERROR(__xludf.DUMMYFUNCTION("GOOGLETRANSLATE(B279,""ja"",""vi"")"),"Túi xách, túi")</f>
        <v>Túi xách, túi</v>
      </c>
      <c r="F279" s="3" t="str">
        <f ca="1">IFERROR(__xludf.DUMMYFUNCTION("GOOGLETRANSLATE(C279,""ja"",""vi"")"),"Đấu giá&gt; Thời trang&gt; handmade&gt; túi, túi")</f>
        <v>Đấu giá&gt; Thời trang&gt; handmade&gt; túi, túi</v>
      </c>
      <c r="G279" s="229" t="str">
        <f t="shared" ca="1" si="8"/>
        <v>"2084240598" : "Túi xách, túi",</v>
      </c>
      <c r="H279" s="229" t="str">
        <f t="shared" si="9"/>
        <v>&lt;li class="col-md-3"&gt;&lt;a class="text-cut" href="javascript:;"(click)="categoryEvent(2084240598)"&gt;{{"2084240598" | translate}}&lt;/a&gt;&lt;/li&gt;</v>
      </c>
    </row>
    <row r="280" spans="1:8" ht="14.25" customHeight="1">
      <c r="A280" s="2">
        <v>2084240616</v>
      </c>
      <c r="B280" s="89" t="s">
        <v>2182</v>
      </c>
      <c r="C280" s="2" t="s">
        <v>5998</v>
      </c>
      <c r="D280" s="2" t="s">
        <v>6000</v>
      </c>
      <c r="E280" s="3" t="str">
        <f ca="1">IFERROR(__xludf.DUMMYFUNCTION("GOOGLETRANSLATE(B280,""ja"",""vi"")"),"phụ kiện")</f>
        <v>phụ kiện</v>
      </c>
      <c r="F280" s="3" t="str">
        <f ca="1">IFERROR(__xludf.DUMMYFUNCTION("GOOGLETRANSLATE(C280,""ja"",""vi"")"),"Đấu giá&gt; Thời trang&gt; handmade&gt; Accessories")</f>
        <v>Đấu giá&gt; Thời trang&gt; handmade&gt; Accessories</v>
      </c>
      <c r="G280" s="229" t="str">
        <f t="shared" ca="1" si="8"/>
        <v>"2084240616" : "phụ kiện",</v>
      </c>
      <c r="H280" s="229" t="str">
        <f t="shared" si="9"/>
        <v>&lt;li class="col-md-3"&gt;&lt;a class="text-cut" href="javascript:;"(click)="categoryEvent(2084240616)"&gt;{{"2084240616" | translate}}&lt;/a&gt;&lt;/li&gt;</v>
      </c>
    </row>
    <row r="281" spans="1:8" ht="14.25" customHeight="1">
      <c r="A281" s="2">
        <v>2084240626</v>
      </c>
      <c r="B281" s="89" t="s">
        <v>6005</v>
      </c>
      <c r="C281" s="2" t="s">
        <v>6007</v>
      </c>
      <c r="D281" s="2" t="s">
        <v>6008</v>
      </c>
      <c r="E281" s="3" t="str">
        <f ca="1">IFERROR(__xludf.DUMMYFUNCTION("GOOGLETRANSLATE(B281,""ja"",""vi"")"),"hàng gia dụng, nội thất")</f>
        <v>hàng gia dụng, nội thất</v>
      </c>
      <c r="F281" s="3" t="str">
        <f ca="1">IFERROR(__xludf.DUMMYFUNCTION("GOOGLETRANSLATE(C281,""ja"",""vi"")"),"Đấu giá&gt; Thời trang&gt; handmade&gt; hàng gia dụng, nội thất")</f>
        <v>Đấu giá&gt; Thời trang&gt; handmade&gt; hàng gia dụng, nội thất</v>
      </c>
      <c r="G281" s="229" t="str">
        <f t="shared" ca="1" si="8"/>
        <v>"2084240626" : "hàng gia dụng, nội thất",</v>
      </c>
      <c r="H281" s="229" t="str">
        <f t="shared" si="9"/>
        <v>&lt;li class="col-md-3"&gt;&lt;a class="text-cut" href="javascript:;"(click)="categoryEvent(2084240626)"&gt;{{"2084240626" | translate}}&lt;/a&gt;&lt;/li&gt;</v>
      </c>
    </row>
    <row r="282" spans="1:8" ht="14.25" customHeight="1">
      <c r="A282" s="2">
        <v>20924</v>
      </c>
      <c r="B282" s="89" t="s">
        <v>2760</v>
      </c>
      <c r="C282" s="2" t="s">
        <v>6013</v>
      </c>
      <c r="D282" s="2" t="s">
        <v>6014</v>
      </c>
      <c r="E282" s="3" t="str">
        <f ca="1">IFERROR(__xludf.DUMMYFUNCTION("GOOGLETRANSLATE(B282,""ja"",""vi"")"),"Làm bằng tay chất liệu")</f>
        <v>Làm bằng tay chất liệu</v>
      </c>
      <c r="F282" s="3" t="str">
        <f ca="1">IFERROR(__xludf.DUMMYFUNCTION("GOOGLETRANSLATE(C282,""ja"",""vi"")"),"Đấu giá&gt; Thời trang&gt; handmade&gt; nguyên liệu handmade")</f>
        <v>Đấu giá&gt; Thời trang&gt; handmade&gt; nguyên liệu handmade</v>
      </c>
      <c r="G282" s="229" t="str">
        <f t="shared" ca="1" si="8"/>
        <v>"20924" : "Làm bằng tay chất liệu",</v>
      </c>
      <c r="H282" s="229" t="str">
        <f t="shared" si="9"/>
        <v>&lt;li class="col-md-3"&gt;&lt;a class="text-cut" href="javascript:;"(click)="categoryEvent(20924)"&gt;{{"20924" | translate}}&lt;/a&gt;&lt;/li&gt;</v>
      </c>
    </row>
    <row r="283" spans="1:8" ht="14.25" customHeight="1">
      <c r="E283" s="3"/>
      <c r="F283" s="3"/>
      <c r="G283" s="229"/>
      <c r="H283" s="229"/>
    </row>
    <row r="284" spans="1:8" ht="14.25" customHeight="1">
      <c r="A284" s="251">
        <v>23140</v>
      </c>
      <c r="B284" s="232"/>
      <c r="C284" s="232"/>
      <c r="D284" s="233"/>
      <c r="E284" s="3"/>
      <c r="F284" s="3"/>
      <c r="G284" s="229"/>
      <c r="H284" s="229"/>
    </row>
    <row r="285" spans="1:8" ht="14.25" customHeight="1">
      <c r="A285" s="2">
        <v>2084052553</v>
      </c>
      <c r="B285" s="2" t="s">
        <v>3523</v>
      </c>
      <c r="C285" s="2" t="s">
        <v>3524</v>
      </c>
      <c r="D285" s="2" t="s">
        <v>3525</v>
      </c>
      <c r="E285" s="3" t="str">
        <f ca="1">IFERROR(__xludf.DUMMYFUNCTION("GOOGLETRANSLATE(B285,""ja"",""vi"")"),"phụ kiện thương hiệu")</f>
        <v>phụ kiện thương hiệu</v>
      </c>
      <c r="F285" s="3" t="str">
        <f ca="1">IFERROR(__xludf.DUMMYFUNCTION("GOOGLETRANSLATE(C285,""ja"",""vi"")"),"Đấu giá&gt; phụ kiện, đồng hồ&gt; phụ kiện thương hiệu")</f>
        <v>Đấu giá&gt; phụ kiện, đồng hồ&gt; phụ kiện thương hiệu</v>
      </c>
      <c r="G285" s="229" t="str">
        <f t="shared" ca="1" si="8"/>
        <v>"2084052553" : "phụ kiện thương hiệu",</v>
      </c>
      <c r="H285" s="229" t="str">
        <f t="shared" si="9"/>
        <v>&lt;li class="col-md-3"&gt;&lt;a class="text-cut" href="javascript:;"(click)="categoryEvent(2084052553)"&gt;{{"2084052553" | translate}}&lt;/a&gt;&lt;/li&gt;</v>
      </c>
    </row>
    <row r="286" spans="1:8" ht="14.25" customHeight="1">
      <c r="A286" s="2">
        <v>2084005359</v>
      </c>
      <c r="B286" s="2" t="s">
        <v>3529</v>
      </c>
      <c r="C286" s="2" t="s">
        <v>3530</v>
      </c>
      <c r="D286" s="2" t="s">
        <v>3531</v>
      </c>
      <c r="E286" s="3" t="str">
        <f ca="1">IFERROR(__xludf.DUMMYFUNCTION("GOOGLETRANSLATE(B286,""ja"",""vi"")"),"dùng cho phụ nữ")</f>
        <v>dùng cho phụ nữ</v>
      </c>
      <c r="F286" s="3" t="str">
        <f ca="1">IFERROR(__xludf.DUMMYFUNCTION("GOOGLETRANSLATE(C286,""ja"",""vi"")"),"Đấu giá&gt; Accessories, Đồng hồ&gt; dùng cho phụ nữ")</f>
        <v>Đấu giá&gt; Accessories, Đồng hồ&gt; dùng cho phụ nữ</v>
      </c>
      <c r="G286" s="229" t="str">
        <f t="shared" ca="1" si="8"/>
        <v>"2084005359" : "dùng cho phụ nữ",</v>
      </c>
      <c r="H286" s="229" t="str">
        <f t="shared" si="9"/>
        <v>&lt;li class="col-md-3"&gt;&lt;a class="text-cut" href="javascript:;"(click)="categoryEvent(2084005359)"&gt;{{"2084005359" | translate}}&lt;/a&gt;&lt;/li&gt;</v>
      </c>
    </row>
    <row r="287" spans="1:8" ht="14.25" customHeight="1">
      <c r="A287" s="2">
        <v>2084005358</v>
      </c>
      <c r="B287" s="2" t="s">
        <v>3532</v>
      </c>
      <c r="C287" s="2" t="s">
        <v>3534</v>
      </c>
      <c r="D287" s="2" t="s">
        <v>3535</v>
      </c>
      <c r="E287" s="3" t="str">
        <f ca="1">IFERROR(__xludf.DUMMYFUNCTION("GOOGLETRANSLATE(B287,""ja"",""vi"")"),"Phụ kiện nam")</f>
        <v>Phụ kiện nam</v>
      </c>
      <c r="F287" s="3" t="str">
        <f ca="1">IFERROR(__xludf.DUMMYFUNCTION("GOOGLETRANSLATE(C287,""ja"",""vi"")"),"Đấu giá&gt; Accessories, Đồng hồ&gt; Phụ kiện nam")</f>
        <v>Đấu giá&gt; Accessories, Đồng hồ&gt; Phụ kiện nam</v>
      </c>
      <c r="G287" s="229" t="str">
        <f t="shared" ca="1" si="8"/>
        <v>"2084005358" : "Phụ kiện nam",</v>
      </c>
      <c r="H287" s="229" t="str">
        <f t="shared" si="9"/>
        <v>&lt;li class="col-md-3"&gt;&lt;a class="text-cut" href="javascript:;"(click)="categoryEvent(2084005358)"&gt;{{"2084005358" | translate}}&lt;/a&gt;&lt;/li&gt;</v>
      </c>
    </row>
    <row r="288" spans="1:8" ht="14.25" customHeight="1">
      <c r="A288" s="2">
        <v>2084006476</v>
      </c>
      <c r="B288" s="2" t="s">
        <v>3538</v>
      </c>
      <c r="C288" s="2" t="s">
        <v>3539</v>
      </c>
      <c r="D288" s="2" t="s">
        <v>3540</v>
      </c>
      <c r="E288" s="3" t="str">
        <f ca="1">IFERROR(__xludf.DUMMYFUNCTION("GOOGLETRANSLATE(B288,""ja"",""vi"")"),"Phụ kiện cho trẻ em")</f>
        <v>Phụ kiện cho trẻ em</v>
      </c>
      <c r="F288" s="3" t="str">
        <f ca="1">IFERROR(__xludf.DUMMYFUNCTION("GOOGLETRANSLATE(C288,""ja"",""vi"")"),"Đấu giá&gt; phụ kiện, đồng hồ&gt; phụ kiện dành cho trẻ em")</f>
        <v>Đấu giá&gt; phụ kiện, đồng hồ&gt; phụ kiện dành cho trẻ em</v>
      </c>
      <c r="G288" s="229" t="str">
        <f t="shared" ca="1" si="8"/>
        <v>"2084006476" : "Phụ kiện cho trẻ em",</v>
      </c>
      <c r="H288" s="229" t="str">
        <f t="shared" si="9"/>
        <v>&lt;li class="col-md-3"&gt;&lt;a class="text-cut" href="javascript:;"(click)="categoryEvent(2084006476)"&gt;{{"2084006476" | translate}}&lt;/a&gt;&lt;/li&gt;</v>
      </c>
    </row>
    <row r="289" spans="1:8" ht="14.25" customHeight="1">
      <c r="A289" s="2">
        <v>23260</v>
      </c>
      <c r="B289" s="2" t="s">
        <v>3544</v>
      </c>
      <c r="C289" s="2" t="s">
        <v>3547</v>
      </c>
      <c r="D289" s="2" t="s">
        <v>3549</v>
      </c>
      <c r="E289" s="3" t="str">
        <f ca="1">IFERROR(__xludf.DUMMYFUNCTION("GOOGLETRANSLATE(B289,""ja"",""vi"")"),"đồng hồ thương hiệu")</f>
        <v>đồng hồ thương hiệu</v>
      </c>
      <c r="F289" s="3" t="str">
        <f ca="1">IFERROR(__xludf.DUMMYFUNCTION("GOOGLETRANSLATE(C289,""ja"",""vi"")"),"Đấu giá&gt; Accessories, Đồng hồ&gt; Đồng hồ")</f>
        <v>Đấu giá&gt; Accessories, Đồng hồ&gt; Đồng hồ</v>
      </c>
      <c r="G289" s="229" t="str">
        <f t="shared" ca="1" si="8"/>
        <v>"23260" : "đồng hồ thương hiệu",</v>
      </c>
      <c r="H289" s="229" t="str">
        <f t="shared" si="9"/>
        <v>&lt;li class="col-md-3"&gt;&lt;a class="text-cut" href="javascript:;"(click)="categoryEvent(23260)"&gt;{{"23260" | translate}}&lt;/a&gt;&lt;/li&gt;</v>
      </c>
    </row>
    <row r="290" spans="1:8" ht="14.25" customHeight="1">
      <c r="A290" s="2">
        <v>23264</v>
      </c>
      <c r="B290" s="2" t="s">
        <v>3552</v>
      </c>
      <c r="C290" s="2" t="s">
        <v>3555</v>
      </c>
      <c r="D290" s="2" t="s">
        <v>3557</v>
      </c>
      <c r="E290" s="3" t="str">
        <f ca="1">IFERROR(__xludf.DUMMYFUNCTION("GOOGLETRANSLATE(B290,""ja"",""vi"")"),"Đồng hồ nam")</f>
        <v>Đồng hồ nam</v>
      </c>
      <c r="F290" s="3" t="str">
        <f ca="1">IFERROR(__xludf.DUMMYFUNCTION("GOOGLETRANSLATE(C290,""ja"",""vi"")"),"Đấu giá&gt; Accessories, Đồng hồ&gt; Đồng hồ nam")</f>
        <v>Đấu giá&gt; Accessories, Đồng hồ&gt; Đồng hồ nam</v>
      </c>
      <c r="G290" s="229" t="str">
        <f t="shared" ca="1" si="8"/>
        <v>"23264" : "Đồng hồ nam",</v>
      </c>
      <c r="H290" s="229" t="str">
        <f t="shared" si="9"/>
        <v>&lt;li class="col-md-3"&gt;&lt;a class="text-cut" href="javascript:;"(click)="categoryEvent(23264)"&gt;{{"23264" | translate}}&lt;/a&gt;&lt;/li&gt;</v>
      </c>
    </row>
    <row r="291" spans="1:8" ht="14.25" customHeight="1">
      <c r="A291" s="2">
        <v>23268</v>
      </c>
      <c r="B291" s="2" t="s">
        <v>3559</v>
      </c>
      <c r="C291" s="2" t="s">
        <v>3561</v>
      </c>
      <c r="D291" s="2" t="s">
        <v>3563</v>
      </c>
      <c r="E291" s="3" t="str">
        <f ca="1">IFERROR(__xludf.DUMMYFUNCTION("GOOGLETRANSLATE(B291,""ja"",""vi"")"),"Xem phụ nữ")</f>
        <v>Xem phụ nữ</v>
      </c>
      <c r="F291" s="3" t="str">
        <f ca="1">IFERROR(__xludf.DUMMYFUNCTION("GOOGLETRANSLATE(C291,""ja"",""vi"")"),"Đấu giá&gt; Accessories, Đồng hồ&gt; Xem nữ")</f>
        <v>Đấu giá&gt; Accessories, Đồng hồ&gt; Xem nữ</v>
      </c>
      <c r="G291" s="229" t="str">
        <f t="shared" ca="1" si="8"/>
        <v>"23268" : "Xem phụ nữ",</v>
      </c>
      <c r="H291" s="229" t="str">
        <f t="shared" si="9"/>
        <v>&lt;li class="col-md-3"&gt;&lt;a class="text-cut" href="javascript:;"(click)="categoryEvent(23268)"&gt;{{"23268" | translate}}&lt;/a&gt;&lt;/li&gt;</v>
      </c>
    </row>
    <row r="292" spans="1:8" ht="14.25" customHeight="1">
      <c r="A292" s="2">
        <v>23272</v>
      </c>
      <c r="B292" s="2" t="s">
        <v>3565</v>
      </c>
      <c r="C292" s="2" t="s">
        <v>3566</v>
      </c>
      <c r="D292" s="2" t="s">
        <v>3567</v>
      </c>
      <c r="E292" s="3" t="str">
        <f ca="1">IFERROR(__xludf.DUMMYFUNCTION("GOOGLETRANSLATE(B292,""ja"",""vi"")"),"unisex Đồng hồ")</f>
        <v>unisex Đồng hồ</v>
      </c>
      <c r="F292" s="3" t="str">
        <f ca="1">IFERROR(__xludf.DUMMYFUNCTION("GOOGLETRANSLATE(C292,""ja"",""vi"")"),"Đấu giá&gt; Accessories, Đồng hồ&gt; Đồng hồ Unisex")</f>
        <v>Đấu giá&gt; Accessories, Đồng hồ&gt; Đồng hồ Unisex</v>
      </c>
      <c r="G292" s="229" t="str">
        <f t="shared" ca="1" si="8"/>
        <v>"23272" : "unisex Đồng hồ",</v>
      </c>
      <c r="H292" s="229" t="str">
        <f t="shared" si="9"/>
        <v>&lt;li class="col-md-3"&gt;&lt;a class="text-cut" href="javascript:;"(click)="categoryEvent(23272)"&gt;{{"23272" | translate}}&lt;/a&gt;&lt;/li&gt;</v>
      </c>
    </row>
    <row r="293" spans="1:8" ht="14.25" customHeight="1">
      <c r="A293" s="2">
        <v>2084316075</v>
      </c>
      <c r="B293" s="2" t="s">
        <v>3571</v>
      </c>
      <c r="C293" s="2" t="s">
        <v>3572</v>
      </c>
      <c r="D293" s="2" t="s">
        <v>3573</v>
      </c>
      <c r="E293" s="3" t="str">
        <f ca="1">IFERROR(__xludf.DUMMYFUNCTION("GOOGLETRANSLATE(B293,""ja"",""vi"")"),"cơ thể đồng hồ thông minh")</f>
        <v>cơ thể đồng hồ thông minh</v>
      </c>
      <c r="F293" s="3" t="str">
        <f ca="1">IFERROR(__xludf.DUMMYFUNCTION("GOOGLETRANSLATE(C293,""ja"",""vi"")"),"Đấu giá&gt; Accessories, Đồng hồ&gt; cơ thể đồng hồ thông minh")</f>
        <v>Đấu giá&gt; Accessories, Đồng hồ&gt; cơ thể đồng hồ thông minh</v>
      </c>
      <c r="G293" s="229" t="str">
        <f t="shared" ca="1" si="8"/>
        <v>"2084316075" : "cơ thể đồng hồ thông minh",</v>
      </c>
      <c r="H293" s="229" t="str">
        <f t="shared" si="9"/>
        <v>&lt;li class="col-md-3"&gt;&lt;a class="text-cut" href="javascript:;"(click)="categoryEvent(2084316075)"&gt;{{"2084316075" | translate}}&lt;/a&gt;&lt;/li&gt;</v>
      </c>
    </row>
    <row r="294" spans="1:8" ht="14.25" customHeight="1">
      <c r="A294" s="2">
        <v>2084024554</v>
      </c>
      <c r="B294" s="2" t="s">
        <v>3578</v>
      </c>
      <c r="C294" s="2" t="s">
        <v>3580</v>
      </c>
      <c r="D294" s="2" t="s">
        <v>3582</v>
      </c>
      <c r="E294" s="3" t="str">
        <f ca="1">IFERROR(__xludf.DUMMYFUNCTION("GOOGLETRANSLATE(B294,""ja"",""vi"")"),"đồng hồ nhân vật")</f>
        <v>đồng hồ nhân vật</v>
      </c>
      <c r="F294" s="3" t="str">
        <f ca="1">IFERROR(__xludf.DUMMYFUNCTION("GOOGLETRANSLATE(C294,""ja"",""vi"")"),"Đấu giá&gt; phụ kiện, đồng hồ&gt; nhân vật đồng hồ đeo tay")</f>
        <v>Đấu giá&gt; phụ kiện, đồng hồ&gt; nhân vật đồng hồ đeo tay</v>
      </c>
      <c r="G294" s="229" t="str">
        <f t="shared" ca="1" si="8"/>
        <v>"2084024554" : "đồng hồ nhân vật",</v>
      </c>
      <c r="H294" s="229" t="str">
        <f t="shared" si="9"/>
        <v>&lt;li class="col-md-3"&gt;&lt;a class="text-cut" href="javascript:;"(click)="categoryEvent(2084024554)"&gt;{{"2084024554" | translate}}&lt;/a&gt;&lt;/li&gt;</v>
      </c>
    </row>
    <row r="295" spans="1:8" ht="14.25" customHeight="1">
      <c r="A295" s="2">
        <v>23276</v>
      </c>
      <c r="B295" s="2" t="s">
        <v>3584</v>
      </c>
      <c r="C295" s="2" t="s">
        <v>3586</v>
      </c>
      <c r="D295" s="2" t="s">
        <v>3587</v>
      </c>
      <c r="E295" s="3" t="str">
        <f ca="1">IFERROR(__xludf.DUMMYFUNCTION("GOOGLETRANSLATE(B295,""ja"",""vi"")"),"Pocket Watch")</f>
        <v>Pocket Watch</v>
      </c>
      <c r="F295" s="3" t="str">
        <f ca="1">IFERROR(__xludf.DUMMYFUNCTION("GOOGLETRANSLATE(C295,""ja"",""vi"")"),"Đấu giá&gt; phụ kiện, đồng hồ&gt; đồng hồ bỏ túi")</f>
        <v>Đấu giá&gt; phụ kiện, đồng hồ&gt; đồng hồ bỏ túi</v>
      </c>
      <c r="G295" s="229" t="str">
        <f t="shared" ca="1" si="8"/>
        <v>"23276" : "Pocket Watch",</v>
      </c>
      <c r="H295" s="229" t="str">
        <f t="shared" si="9"/>
        <v>&lt;li class="col-md-3"&gt;&lt;a class="text-cut" href="javascript:;"(click)="categoryEvent(23276)"&gt;{{"23276" | translate}}&lt;/a&gt;&lt;/li&gt;</v>
      </c>
    </row>
    <row r="296" spans="1:8" ht="14.25" customHeight="1">
      <c r="A296" s="2">
        <v>2084024555</v>
      </c>
      <c r="B296" s="2" t="s">
        <v>3592</v>
      </c>
      <c r="C296" s="2" t="s">
        <v>3593</v>
      </c>
      <c r="D296" s="2" t="s">
        <v>3594</v>
      </c>
      <c r="E296" s="3" t="str">
        <f ca="1">IFERROR(__xludf.DUMMYFUNCTION("GOOGLETRANSLATE(B296,""ja"",""vi"")"),"Xem đai, ban nhạc")</f>
        <v>Xem đai, ban nhạc</v>
      </c>
      <c r="F296" s="3" t="str">
        <f ca="1">IFERROR(__xludf.DUMMYFUNCTION("GOOGLETRANSLATE(C296,""ja"",""vi"")"),"Đấu giá&gt; Accessories, Đồng hồ&gt; vành đai đồng hồ, ban nhạc")</f>
        <v>Đấu giá&gt; Accessories, Đồng hồ&gt; vành đai đồng hồ, ban nhạc</v>
      </c>
      <c r="G296" s="229" t="str">
        <f t="shared" ca="1" si="8"/>
        <v>"2084024555" : "Xem đai, ban nhạc",</v>
      </c>
      <c r="H296" s="229" t="str">
        <f t="shared" si="9"/>
        <v>&lt;li class="col-md-3"&gt;&lt;a class="text-cut" href="javascript:;"(click)="categoryEvent(2084024555)"&gt;{{"2084024555" | translate}}&lt;/a&gt;&lt;/li&gt;</v>
      </c>
    </row>
    <row r="297" spans="1:8" ht="14.25" customHeight="1">
      <c r="A297" s="2">
        <v>2084062498</v>
      </c>
      <c r="B297" s="2" t="s">
        <v>3597</v>
      </c>
      <c r="C297" s="2" t="s">
        <v>3600</v>
      </c>
      <c r="D297" s="2" t="s">
        <v>3602</v>
      </c>
      <c r="E297" s="3" t="str">
        <f ca="1">IFERROR(__xludf.DUMMYFUNCTION("GOOGLETRANSLATE(B297,""ja"",""vi"")"),"Waindingumashin")</f>
        <v>Waindingumashin</v>
      </c>
      <c r="F297" s="3" t="str">
        <f ca="1">IFERROR(__xludf.DUMMYFUNCTION("GOOGLETRANSLATE(C297,""ja"",""vi"")"),"Đấu giá&gt; Accessories, Đồng hồ&gt; Waindingumashin")</f>
        <v>Đấu giá&gt; Accessories, Đồng hồ&gt; Waindingumashin</v>
      </c>
      <c r="G297" s="229" t="str">
        <f t="shared" ca="1" si="8"/>
        <v>"2084062498" : "Waindingumashin",</v>
      </c>
      <c r="H297" s="229" t="str">
        <f t="shared" si="9"/>
        <v>&lt;li class="col-md-3"&gt;&lt;a class="text-cut" href="javascript:;"(click)="categoryEvent(2084062498)"&gt;{{"2084062498" | translate}}&lt;/a&gt;&lt;/li&gt;</v>
      </c>
    </row>
    <row r="298" spans="1:8" ht="14.25" customHeight="1">
      <c r="A298" s="2">
        <v>2084024557</v>
      </c>
      <c r="B298" s="2" t="s">
        <v>3603</v>
      </c>
      <c r="C298" s="2" t="s">
        <v>3604</v>
      </c>
      <c r="D298" s="2" t="s">
        <v>3608</v>
      </c>
      <c r="E298" s="3" t="str">
        <f ca="1">IFERROR(__xludf.DUMMYFUNCTION("GOOGLETRANSLATE(B298,""ja"",""vi"")"),"Trường hợp cho đồng hồ")</f>
        <v>Trường hợp cho đồng hồ</v>
      </c>
      <c r="F298" s="3" t="str">
        <f ca="1">IFERROR(__xludf.DUMMYFUNCTION("GOOGLETRANSLATE(C298,""ja"",""vi"")"),"Đấu giá&gt; Accessories, Đồng hồ&gt; trường hợp đồng hồ")</f>
        <v>Đấu giá&gt; Accessories, Đồng hồ&gt; trường hợp đồng hồ</v>
      </c>
      <c r="G298" s="229" t="str">
        <f t="shared" ca="1" si="8"/>
        <v>"2084024557" : "Trường hợp cho đồng hồ",</v>
      </c>
      <c r="H298" s="229" t="str">
        <f t="shared" si="9"/>
        <v>&lt;li class="col-md-3"&gt;&lt;a class="text-cut" href="javascript:;"(click)="categoryEvent(2084024557)"&gt;{{"2084024557" | translate}}&lt;/a&gt;&lt;/li&gt;</v>
      </c>
    </row>
    <row r="299" spans="1:8" ht="14.25" customHeight="1">
      <c r="A299" s="2">
        <v>2084024556</v>
      </c>
      <c r="B299" s="2" t="s">
        <v>3609</v>
      </c>
      <c r="C299" s="2" t="s">
        <v>3610</v>
      </c>
      <c r="D299" s="2" t="s">
        <v>3611</v>
      </c>
      <c r="E299" s="3" t="str">
        <f ca="1">IFERROR(__xludf.DUMMYFUNCTION("GOOGLETRANSLATE(B299,""ja"",""vi"")"),"Xem công cụ")</f>
        <v>Xem công cụ</v>
      </c>
      <c r="F299" s="3" t="str">
        <f ca="1">IFERROR(__xludf.DUMMYFUNCTION("GOOGLETRANSLATE(C299,""ja"",""vi"")"),"Đấu giá&gt; Accessories, Đồng hồ&gt; công cụ đồng hồ")</f>
        <v>Đấu giá&gt; Accessories, Đồng hồ&gt; công cụ đồng hồ</v>
      </c>
      <c r="G299" s="229" t="str">
        <f t="shared" ca="1" si="8"/>
        <v>"2084024556" : "Xem công cụ",</v>
      </c>
      <c r="H299" s="229" t="str">
        <f t="shared" si="9"/>
        <v>&lt;li class="col-md-3"&gt;&lt;a class="text-cut" href="javascript:;"(click)="categoryEvent(2084024556)"&gt;{{"2084024556" | translate}}&lt;/a&gt;&lt;/li&gt;</v>
      </c>
    </row>
    <row r="300" spans="1:8" ht="14.25" customHeight="1">
      <c r="A300" s="2">
        <v>2084032117</v>
      </c>
      <c r="B300" s="2" t="s">
        <v>3614</v>
      </c>
      <c r="C300" s="2" t="s">
        <v>3615</v>
      </c>
      <c r="D300" s="2" t="s">
        <v>3616</v>
      </c>
      <c r="E300" s="3" t="str">
        <f ca="1">IFERROR(__xludf.DUMMYFUNCTION("GOOGLETRANSLATE(B300,""ja"",""vi"")"),"đồng hồ bàn, đồng hồ treo tường")</f>
        <v>đồng hồ bàn, đồng hồ treo tường</v>
      </c>
      <c r="F300" s="3" t="str">
        <f ca="1">IFERROR(__xludf.DUMMYFUNCTION("GOOGLETRANSLATE(C300,""ja"",""vi"")"),"Đấu giá&gt; Accessories, Đồng hồ&gt; bảng đồng hồ, đồng hồ treo tường")</f>
        <v>Đấu giá&gt; Accessories, Đồng hồ&gt; bảng đồng hồ, đồng hồ treo tường</v>
      </c>
      <c r="G300" s="229" t="str">
        <f t="shared" ca="1" si="8"/>
        <v>"2084032117" : "đồng hồ bàn, đồng hồ treo tường",</v>
      </c>
      <c r="H300" s="229" t="str">
        <f t="shared" si="9"/>
        <v>&lt;li class="col-md-3"&gt;&lt;a class="text-cut" href="javascript:;"(click)="categoryEvent(2084032117)"&gt;{{"2084032117" | translate}}&lt;/a&gt;&lt;/li&gt;</v>
      </c>
    </row>
    <row r="301" spans="1:8" ht="14.25" customHeight="1">
      <c r="A301" s="2">
        <v>2084240616</v>
      </c>
      <c r="B301" s="2" t="s">
        <v>523</v>
      </c>
      <c r="C301" s="2" t="s">
        <v>3620</v>
      </c>
      <c r="D301" s="2" t="s">
        <v>3621</v>
      </c>
      <c r="E301" s="3" t="str">
        <f ca="1">IFERROR(__xludf.DUMMYFUNCTION("GOOGLETRANSLATE(B301,""ja"",""vi"")"),"làm bằng tay")</f>
        <v>làm bằng tay</v>
      </c>
      <c r="F301" s="3" t="str">
        <f ca="1">IFERROR(__xludf.DUMMYFUNCTION("GOOGLETRANSLATE(C301,""ja"",""vi"")"),"Đấu giá&gt; Accessories, Đồng hồ&gt; handmade")</f>
        <v>Đấu giá&gt; Accessories, Đồng hồ&gt; handmade</v>
      </c>
      <c r="G301" s="229" t="str">
        <f t="shared" ca="1" si="8"/>
        <v>"2084240616" : "làm bằng tay",</v>
      </c>
      <c r="H301" s="229" t="str">
        <f t="shared" si="9"/>
        <v>&lt;li class="col-md-3"&gt;&lt;a class="text-cut" href="javascript:;"(click)="categoryEvent(2084240616)"&gt;{{"2084240616" | translate}}&lt;/a&gt;&lt;/li&gt;</v>
      </c>
    </row>
    <row r="302" spans="1:8" ht="14.25" customHeight="1">
      <c r="E302" s="3"/>
      <c r="F302" s="3"/>
      <c r="G302" s="229"/>
      <c r="H302" s="229"/>
    </row>
    <row r="303" spans="1:8" ht="25.5" customHeight="1">
      <c r="A303" s="255">
        <v>24802</v>
      </c>
      <c r="B303" s="232"/>
      <c r="C303" s="232"/>
      <c r="D303" s="233"/>
      <c r="E303" s="3"/>
      <c r="F303" s="3"/>
      <c r="G303" s="229"/>
      <c r="H303" s="229"/>
    </row>
    <row r="304" spans="1:8" ht="14.25" customHeight="1">
      <c r="A304" s="2">
        <v>2084057251</v>
      </c>
      <c r="B304" s="2" t="s">
        <v>2586</v>
      </c>
      <c r="C304" s="2" t="s">
        <v>6106</v>
      </c>
      <c r="D304" s="2" t="s">
        <v>6108</v>
      </c>
      <c r="E304" s="3" t="str">
        <f ca="1">IFERROR(__xludf.DUMMYFUNCTION("GOOGLETRANSLATE(B304,""ja"",""vi"")"),"by Nhãn hiệu")</f>
        <v>by Nhãn hiệu</v>
      </c>
      <c r="F304" s="3" t="str">
        <f ca="1">IFERROR(__xludf.DUMMYFUNCTION("GOOGLETRANSLATE(C304,""ja"",""vi"")"),"Đấu giá&gt; thể thao, giải trí&gt; mặc ngoài trời&gt; By Nhãn hiệu")</f>
        <v>Đấu giá&gt; thể thao, giải trí&gt; mặc ngoài trời&gt; By Nhãn hiệu</v>
      </c>
      <c r="G304" s="229" t="str">
        <f t="shared" ca="1" si="8"/>
        <v>"2084057251" : "by Nhãn hiệu",</v>
      </c>
      <c r="H304" s="229" t="str">
        <f t="shared" si="9"/>
        <v>&lt;li class="col-md-3"&gt;&lt;a class="text-cut" href="javascript:;"(click)="categoryEvent(2084057251)"&gt;{{"2084057251" | translate}}&lt;/a&gt;&lt;/li&gt;</v>
      </c>
    </row>
    <row r="305" spans="1:8" ht="14.25" customHeight="1">
      <c r="A305" s="2">
        <v>2084057221</v>
      </c>
      <c r="B305" s="2" t="s">
        <v>570</v>
      </c>
      <c r="C305" s="2" t="s">
        <v>6114</v>
      </c>
      <c r="D305" s="2" t="s">
        <v>6116</v>
      </c>
      <c r="E305" s="3" t="str">
        <f ca="1">IFERROR(__xludf.DUMMYFUNCTION("GOOGLETRANSLATE(B305,""ja"",""vi"")"),"Đối với nam giới")</f>
        <v>Đối với nam giới</v>
      </c>
      <c r="F305" s="3" t="str">
        <f ca="1">IFERROR(__xludf.DUMMYFUNCTION("GOOGLETRANSLATE(C305,""ja"",""vi"")"),"Đấu giá&gt; thể thao, giải trí&gt; mặc ngoài trời&gt; dành cho nam giới")</f>
        <v>Đấu giá&gt; thể thao, giải trí&gt; mặc ngoài trời&gt; dành cho nam giới</v>
      </c>
      <c r="G305" s="229" t="str">
        <f t="shared" ca="1" si="8"/>
        <v>"2084057221" : "Đối với nam giới",</v>
      </c>
      <c r="H305" s="229" t="str">
        <f t="shared" si="9"/>
        <v>&lt;li class="col-md-3"&gt;&lt;a class="text-cut" href="javascript:;"(click)="categoryEvent(2084057221)"&gt;{{"2084057221" | translate}}&lt;/a&gt;&lt;/li&gt;</v>
      </c>
    </row>
    <row r="306" spans="1:8" ht="14.25" customHeight="1">
      <c r="A306" s="2">
        <v>2084057222</v>
      </c>
      <c r="B306" s="2" t="s">
        <v>2266</v>
      </c>
      <c r="C306" s="2" t="s">
        <v>6120</v>
      </c>
      <c r="D306" s="2" t="s">
        <v>6121</v>
      </c>
      <c r="E306" s="3" t="str">
        <f ca="1">IFERROR(__xludf.DUMMYFUNCTION("GOOGLETRANSLATE(B306,""ja"",""vi"")"),"Đối với phụ nữ")</f>
        <v>Đối với phụ nữ</v>
      </c>
      <c r="F306" s="3" t="str">
        <f ca="1">IFERROR(__xludf.DUMMYFUNCTION("GOOGLETRANSLATE(C306,""ja"",""vi"")"),"Đấu giá&gt; thể thao, giải trí&gt; mặc ngoài trời&gt; cho phụ nữ")</f>
        <v>Đấu giá&gt; thể thao, giải trí&gt; mặc ngoài trời&gt; cho phụ nữ</v>
      </c>
      <c r="G306" s="229" t="str">
        <f t="shared" ca="1" si="8"/>
        <v>"2084057222" : "Đối với phụ nữ",</v>
      </c>
      <c r="H306" s="229" t="str">
        <f t="shared" si="9"/>
        <v>&lt;li class="col-md-3"&gt;&lt;a class="text-cut" href="javascript:;"(click)="categoryEvent(2084057222)"&gt;{{"2084057222" | translate}}&lt;/a&gt;&lt;/li&gt;</v>
      </c>
    </row>
    <row r="307" spans="1:8" ht="14.25" customHeight="1">
      <c r="A307" s="2">
        <v>2084057223</v>
      </c>
      <c r="B307" s="2" t="s">
        <v>5960</v>
      </c>
      <c r="C307" s="2" t="s">
        <v>6123</v>
      </c>
      <c r="D307" s="2" t="s">
        <v>6125</v>
      </c>
      <c r="E307" s="3" t="str">
        <f ca="1">IFERROR(__xludf.DUMMYFUNCTION("GOOGLETRANSLATE(B307,""ja"",""vi"")"),"Đối với trẻ em")</f>
        <v>Đối với trẻ em</v>
      </c>
      <c r="F307" s="3" t="str">
        <f ca="1">IFERROR(__xludf.DUMMYFUNCTION("GOOGLETRANSLATE(C307,""ja"",""vi"")"),"Đấu giá&gt; thể thao, giải trí&gt; mặc ngoài trời&gt; cho trẻ em")</f>
        <v>Đấu giá&gt; thể thao, giải trí&gt; mặc ngoài trời&gt; cho trẻ em</v>
      </c>
      <c r="G307" s="229" t="str">
        <f t="shared" ca="1" si="8"/>
        <v>"2084057223" : "Đối với trẻ em",</v>
      </c>
      <c r="H307" s="229" t="str">
        <f t="shared" si="9"/>
        <v>&lt;li class="col-md-3"&gt;&lt;a class="text-cut" href="javascript:;"(click)="categoryEvent(2084057223)"&gt;{{"2084057223" | translate}}&lt;/a&gt;&lt;/li&gt;</v>
      </c>
    </row>
    <row r="308" spans="1:8" ht="14.25" customHeight="1">
      <c r="A308" s="2">
        <v>2084214045</v>
      </c>
      <c r="B308" s="2" t="s">
        <v>6130</v>
      </c>
      <c r="C308" s="2" t="s">
        <v>6133</v>
      </c>
      <c r="D308" s="2" t="s">
        <v>6137</v>
      </c>
      <c r="E308" s="3" t="str">
        <f ca="1">IFERROR(__xludf.DUMMYFUNCTION("GOOGLETRANSLATE(B308,""ja"",""vi"")"),"kính mát thể thao")</f>
        <v>kính mát thể thao</v>
      </c>
      <c r="F308" s="3" t="str">
        <f ca="1">IFERROR(__xludf.DUMMYFUNCTION("GOOGLETRANSLATE(C308,""ja"",""vi"")"),"Đấu giá&gt; thể thao, giải trí&gt; ngoài trời mặc&gt; Thể Thao Sunglasses")</f>
        <v>Đấu giá&gt; thể thao, giải trí&gt; ngoài trời mặc&gt; Thể Thao Sunglasses</v>
      </c>
      <c r="G308" s="229" t="str">
        <f t="shared" ca="1" si="8"/>
        <v>"2084214045" : "kính mát thể thao",</v>
      </c>
      <c r="H308" s="229" t="str">
        <f t="shared" si="9"/>
        <v>&lt;li class="col-md-3"&gt;&lt;a class="text-cut" href="javascript:;"(click)="categoryEvent(2084214045)"&gt;{{"2084214045" | translate}}&lt;/a&gt;&lt;/li&gt;</v>
      </c>
    </row>
    <row r="309" spans="1:8" ht="14.25" customHeight="1">
      <c r="A309" s="2">
        <v>2084046735</v>
      </c>
      <c r="B309" s="2" t="s">
        <v>6142</v>
      </c>
      <c r="C309" s="2" t="s">
        <v>6144</v>
      </c>
      <c r="D309" s="2" t="s">
        <v>6146</v>
      </c>
      <c r="E309" s="3" t="str">
        <f ca="1">IFERROR(__xludf.DUMMYFUNCTION("GOOGLETRANSLATE(B309,""ja"",""vi"")"),"Đồ che mưa, áo mưa")</f>
        <v>Đồ che mưa, áo mưa</v>
      </c>
      <c r="F309" s="3" t="str">
        <f ca="1">IFERROR(__xludf.DUMMYFUNCTION("GOOGLETRANSLATE(C309,""ja"",""vi"")"),"Đấu giá&gt; thể thao, giải trí&gt; mặc ngoài trời&gt; áo mưa, áo mưa")</f>
        <v>Đấu giá&gt; thể thao, giải trí&gt; mặc ngoài trời&gt; áo mưa, áo mưa</v>
      </c>
      <c r="G309" s="229" t="str">
        <f t="shared" ca="1" si="8"/>
        <v>"2084046735" : "Đồ che mưa, áo mưa",</v>
      </c>
      <c r="H309" s="229" t="str">
        <f t="shared" si="9"/>
        <v>&lt;li class="col-md-3"&gt;&lt;a class="text-cut" href="javascript:;"(click)="categoryEvent(2084046735)"&gt;{{"2084046735" | translate}}&lt;/a&gt;&lt;/li&gt;</v>
      </c>
    </row>
    <row r="310" spans="1:8" ht="14.25" customHeight="1">
      <c r="A310" s="2">
        <v>2084048872</v>
      </c>
      <c r="B310" s="2" t="s">
        <v>6153</v>
      </c>
      <c r="C310" s="2" t="s">
        <v>6154</v>
      </c>
      <c r="D310" s="2" t="s">
        <v>6155</v>
      </c>
      <c r="E310" s="3" t="str">
        <f ca="1">IFERROR(__xludf.DUMMYFUNCTION("GOOGLETRANSLATE(B310,""ja"",""vi"")"),"Giày, giày dép")</f>
        <v>Giày, giày dép</v>
      </c>
      <c r="F310" s="3" t="str">
        <f ca="1">IFERROR(__xludf.DUMMYFUNCTION("GOOGLETRANSLATE(C310,""ja"",""vi"")"),"Đấu giá&gt; thể thao, giải trí&gt; mặc ngoài trời&gt; giày, giày dép")</f>
        <v>Đấu giá&gt; thể thao, giải trí&gt; mặc ngoài trời&gt; giày, giày dép</v>
      </c>
      <c r="G310" s="229" t="str">
        <f t="shared" ca="1" si="8"/>
        <v>"2084048872" : "Giày, giày dép",</v>
      </c>
      <c r="H310" s="229" t="str">
        <f t="shared" si="9"/>
        <v>&lt;li class="col-md-3"&gt;&lt;a class="text-cut" href="javascript:;"(click)="categoryEvent(2084048872)"&gt;{{"2084048872" | translate}}&lt;/a&gt;&lt;/li&gt;</v>
      </c>
    </row>
    <row r="311" spans="1:8" ht="14.25" customHeight="1">
      <c r="A311" s="2">
        <v>2084057242</v>
      </c>
      <c r="B311" s="2" t="s">
        <v>5983</v>
      </c>
      <c r="C311" s="2" t="s">
        <v>6163</v>
      </c>
      <c r="D311" s="2" t="s">
        <v>6164</v>
      </c>
      <c r="E311" s="3" t="str">
        <f ca="1">IFERROR(__xludf.DUMMYFUNCTION("GOOGLETRANSLATE(B311,""ja"",""vi"")"),"Quần áo Phụ kiện")</f>
        <v>Quần áo Phụ kiện</v>
      </c>
      <c r="F311" s="3" t="str">
        <f ca="1">IFERROR(__xludf.DUMMYFUNCTION("GOOGLETRANSLATE(C311,""ja"",""vi"")"),"Đấu giá&gt; thể thao, giải trí&gt; mặc ngoài trời&gt; Quần áo Phụ kiện")</f>
        <v>Đấu giá&gt; thể thao, giải trí&gt; mặc ngoài trời&gt; Quần áo Phụ kiện</v>
      </c>
      <c r="G311" s="229" t="str">
        <f t="shared" ca="1" si="8"/>
        <v>"2084057242" : "Quần áo Phụ kiện",</v>
      </c>
      <c r="H311" s="229" t="str">
        <f t="shared" si="9"/>
        <v>&lt;li class="col-md-3"&gt;&lt;a class="text-cut" href="javascript:;"(click)="categoryEvent(2084057242)"&gt;{{"2084057242" | translate}}&lt;/a&gt;&lt;/li&gt;</v>
      </c>
    </row>
    <row r="312" spans="1:8" ht="14.25" customHeight="1">
      <c r="E312" s="3"/>
      <c r="F312" s="3"/>
      <c r="G312" s="229"/>
      <c r="H312" s="229"/>
    </row>
    <row r="313" spans="1:8" ht="14.25" customHeight="1">
      <c r="A313" s="244">
        <v>23008</v>
      </c>
      <c r="B313" s="232"/>
      <c r="C313" s="232"/>
      <c r="D313" s="233"/>
      <c r="E313" s="3"/>
      <c r="F313" s="3"/>
      <c r="G313" s="229"/>
      <c r="H313" s="229"/>
    </row>
    <row r="314" spans="1:8" ht="14.25" customHeight="1">
      <c r="A314" s="2">
        <v>2084005276</v>
      </c>
      <c r="B314" s="2" t="s">
        <v>570</v>
      </c>
      <c r="C314" s="2" t="s">
        <v>6175</v>
      </c>
      <c r="D314" s="2" t="s">
        <v>6176</v>
      </c>
      <c r="E314" s="3" t="str">
        <f ca="1">IFERROR(__xludf.DUMMYFUNCTION("GOOGLETRANSLATE(B314,""ja"",""vi"")"),"Đối với nam giới")</f>
        <v>Đối với nam giới</v>
      </c>
      <c r="F314" s="3" t="str">
        <f ca="1">IFERROR(__xludf.DUMMYFUNCTION("GOOGLETRANSLATE(C314,""ja"",""vi"")"),"Đấu giá&gt; thể thao, giải trí&gt; đồ thể thao&gt; dành cho nam giới")</f>
        <v>Đấu giá&gt; thể thao, giải trí&gt; đồ thể thao&gt; dành cho nam giới</v>
      </c>
      <c r="G314" s="229" t="str">
        <f t="shared" ca="1" si="8"/>
        <v>"2084005276" : "Đối với nam giới",</v>
      </c>
      <c r="H314" s="229" t="str">
        <f t="shared" si="9"/>
        <v>&lt;li class="col-md-3"&gt;&lt;a class="text-cut" href="javascript:;"(click)="categoryEvent(2084005276)"&gt;{{"2084005276" | translate}}&lt;/a&gt;&lt;/li&gt;</v>
      </c>
    </row>
    <row r="315" spans="1:8" ht="14.25" customHeight="1">
      <c r="A315" s="2">
        <v>2084006829</v>
      </c>
      <c r="B315" s="2" t="s">
        <v>2266</v>
      </c>
      <c r="C315" s="2" t="s">
        <v>6182</v>
      </c>
      <c r="D315" s="2" t="s">
        <v>6184</v>
      </c>
      <c r="E315" s="3" t="str">
        <f ca="1">IFERROR(__xludf.DUMMYFUNCTION("GOOGLETRANSLATE(B315,""ja"",""vi"")"),"Đối với phụ nữ")</f>
        <v>Đối với phụ nữ</v>
      </c>
      <c r="F315" s="3" t="str">
        <f ca="1">IFERROR(__xludf.DUMMYFUNCTION("GOOGLETRANSLATE(C315,""ja"",""vi"")"),"Đấu giá&gt; thể thao, giải trí&gt; đồ thể thao&gt; cho phụ nữ")</f>
        <v>Đấu giá&gt; thể thao, giải trí&gt; đồ thể thao&gt; cho phụ nữ</v>
      </c>
      <c r="G315" s="229" t="str">
        <f t="shared" ca="1" si="8"/>
        <v>"2084006829" : "Đối với phụ nữ",</v>
      </c>
      <c r="H315" s="229" t="str">
        <f t="shared" si="9"/>
        <v>&lt;li class="col-md-3"&gt;&lt;a class="text-cut" href="javascript:;"(click)="categoryEvent(2084006829)"&gt;{{"2084006829" | translate}}&lt;/a&gt;&lt;/li&gt;</v>
      </c>
    </row>
    <row r="316" spans="1:8" ht="14.25" customHeight="1">
      <c r="A316" s="2">
        <v>2084024291</v>
      </c>
      <c r="B316" s="2" t="s">
        <v>6191</v>
      </c>
      <c r="C316" s="2" t="s">
        <v>6192</v>
      </c>
      <c r="D316" s="2" t="s">
        <v>6193</v>
      </c>
      <c r="E316" s="3" t="str">
        <f ca="1">IFERROR(__xludf.DUMMYFUNCTION("GOOGLETRANSLATE(B316,""ja"",""vi"")"),"unisex")</f>
        <v>unisex</v>
      </c>
      <c r="F316" s="3" t="str">
        <f ca="1">IFERROR(__xludf.DUMMYFUNCTION("GOOGLETRANSLATE(C316,""ja"",""vi"")"),"Đấu giá&gt; thể thao, giải trí&gt; đồ thể thao&gt; Unisex")</f>
        <v>Đấu giá&gt; thể thao, giải trí&gt; đồ thể thao&gt; Unisex</v>
      </c>
      <c r="G316" s="229" t="str">
        <f t="shared" ca="1" si="8"/>
        <v>"2084024291" : "unisex",</v>
      </c>
      <c r="H316" s="229" t="str">
        <f t="shared" si="9"/>
        <v>&lt;li class="col-md-3"&gt;&lt;a class="text-cut" href="javascript:;"(click)="categoryEvent(2084024291)"&gt;{{"2084024291" | translate}}&lt;/a&gt;&lt;/li&gt;</v>
      </c>
    </row>
    <row r="317" spans="1:8" ht="14.25" customHeight="1">
      <c r="A317" s="2">
        <v>2084024292</v>
      </c>
      <c r="B317" s="2" t="s">
        <v>5960</v>
      </c>
      <c r="C317" s="2" t="s">
        <v>6201</v>
      </c>
      <c r="D317" s="2" t="s">
        <v>6203</v>
      </c>
      <c r="E317" s="3" t="str">
        <f ca="1">IFERROR(__xludf.DUMMYFUNCTION("GOOGLETRANSLATE(B317,""ja"",""vi"")"),"Đối với trẻ em")</f>
        <v>Đối với trẻ em</v>
      </c>
      <c r="F317" s="3" t="str">
        <f ca="1">IFERROR(__xludf.DUMMYFUNCTION("GOOGLETRANSLATE(C317,""ja"",""vi"")"),"Đấu giá&gt; thể thao, giải trí&gt; đồ thể thao&gt; cho trẻ em")</f>
        <v>Đấu giá&gt; thể thao, giải trí&gt; đồ thể thao&gt; cho trẻ em</v>
      </c>
      <c r="G317" s="229" t="str">
        <f t="shared" ca="1" si="8"/>
        <v>"2084024292" : "Đối với trẻ em",</v>
      </c>
      <c r="H317" s="229" t="str">
        <f t="shared" si="9"/>
        <v>&lt;li class="col-md-3"&gt;&lt;a class="text-cut" href="javascript:;"(click)="categoryEvent(2084024292)"&gt;{{"2084024292" | translate}}&lt;/a&gt;&lt;/li&gt;</v>
      </c>
    </row>
    <row r="318" spans="1:8" ht="14.25" customHeight="1">
      <c r="A318" s="2">
        <v>25152</v>
      </c>
      <c r="B318" s="2" t="s">
        <v>6207</v>
      </c>
      <c r="C318" s="2" t="s">
        <v>6208</v>
      </c>
      <c r="D318" s="2" t="s">
        <v>6210</v>
      </c>
      <c r="E318" s="3" t="str">
        <f ca="1">IFERROR(__xludf.DUMMYFUNCTION("GOOGLETRANSLATE(B318,""ja"",""vi"")"),"bằng cách thể thao")</f>
        <v>bằng cách thể thao</v>
      </c>
      <c r="F318" s="3" t="str">
        <f ca="1">IFERROR(__xludf.DUMMYFUNCTION("GOOGLETRANSLATE(C318,""ja"",""vi"")"),"Đấu giá&gt; thể thao, giải trí&gt; đồ thể thao&gt; Bằng Sport")</f>
        <v>Đấu giá&gt; thể thao, giải trí&gt; đồ thể thao&gt; Bằng Sport</v>
      </c>
      <c r="G318" s="229" t="str">
        <f t="shared" ca="1" si="8"/>
        <v>"25152" : "bằng cách thể thao",</v>
      </c>
      <c r="H318" s="229" t="str">
        <f t="shared" si="9"/>
        <v>&lt;li class="col-md-3"&gt;&lt;a class="text-cut" href="javascript:;"(click)="categoryEvent(25152)"&gt;{{"25152" | translate}}&lt;/a&gt;&lt;/li&gt;</v>
      </c>
    </row>
    <row r="319" spans="1:8" ht="14.25" customHeight="1">
      <c r="A319" s="2">
        <v>2084214045</v>
      </c>
      <c r="B319" s="2" t="s">
        <v>3182</v>
      </c>
      <c r="C319" s="2" t="s">
        <v>6215</v>
      </c>
      <c r="D319" s="2" t="s">
        <v>6216</v>
      </c>
      <c r="E319" s="3" t="str">
        <f ca="1">IFERROR(__xludf.DUMMYFUNCTION("GOOGLETRANSLATE(B319,""ja"",""vi"")"),"kính mát")</f>
        <v>kính mát</v>
      </c>
      <c r="F319" s="3" t="str">
        <f ca="1">IFERROR(__xludf.DUMMYFUNCTION("GOOGLETRANSLATE(C319,""ja"",""vi"")"),"Đấu giá&gt; thể thao, giải trí&gt; đồ thể thao&gt; kính mát")</f>
        <v>Đấu giá&gt; thể thao, giải trí&gt; đồ thể thao&gt; kính mát</v>
      </c>
      <c r="G319" s="229" t="str">
        <f t="shared" ca="1" si="8"/>
        <v>"2084214045" : "kính mát",</v>
      </c>
      <c r="H319" s="229" t="str">
        <f t="shared" si="9"/>
        <v>&lt;li class="col-md-3"&gt;&lt;a class="text-cut" href="javascript:;"(click)="categoryEvent(2084214045)"&gt;{{"2084214045" | translate}}&lt;/a&gt;&lt;/li&gt;</v>
      </c>
    </row>
    <row r="320" spans="1:8" ht="14.25" customHeight="1">
      <c r="A320" s="2">
        <v>24802</v>
      </c>
      <c r="B320" s="2" t="s">
        <v>3988</v>
      </c>
      <c r="C320" s="2" t="s">
        <v>6220</v>
      </c>
      <c r="D320" s="2" t="s">
        <v>6223</v>
      </c>
      <c r="E320" s="3" t="str">
        <f ca="1">IFERROR(__xludf.DUMMYFUNCTION("GOOGLETRANSLATE(B320,""ja"",""vi"")"),"Mang ngoài trời")</f>
        <v>Mang ngoài trời</v>
      </c>
      <c r="F320" s="3" t="str">
        <f ca="1">IFERROR(__xludf.DUMMYFUNCTION("GOOGLETRANSLATE(C320,""ja"",""vi"")"),"Đấu giá&gt; thể thao, giải trí&gt; đồ thể thao&gt; Mang ngoài trời")</f>
        <v>Đấu giá&gt; thể thao, giải trí&gt; đồ thể thao&gt; Mang ngoài trời</v>
      </c>
      <c r="G320" s="229" t="str">
        <f t="shared" ca="1" si="8"/>
        <v>"24802" : "Mang ngoài trời",</v>
      </c>
      <c r="H320" s="229" t="str">
        <f t="shared" si="9"/>
        <v>&lt;li class="col-md-3"&gt;&lt;a class="text-cut" href="javascript:;"(click)="categoryEvent(24802)"&gt;{{"24802" | translate}}&lt;/a&gt;&lt;/li&gt;</v>
      </c>
    </row>
    <row r="321" spans="1:8" ht="14.25" customHeight="1">
      <c r="A321" s="2">
        <v>2084006766</v>
      </c>
      <c r="B321" s="2" t="s">
        <v>6227</v>
      </c>
      <c r="C321" s="2" t="s">
        <v>6228</v>
      </c>
      <c r="D321" s="2" t="s">
        <v>6229</v>
      </c>
      <c r="E321" s="3" t="str">
        <f ca="1">IFERROR(__xludf.DUMMYFUNCTION("GOOGLETRANSLATE(B321,""ja"",""vi"")"),"tập thể dục mặc")</f>
        <v>tập thể dục mặc</v>
      </c>
      <c r="F321" s="3" t="str">
        <f ca="1">IFERROR(__xludf.DUMMYFUNCTION("GOOGLETRANSLATE(C321,""ja"",""vi"")"),"Đấu giá&gt; thể thao, giải trí&gt; đồ thể thao&gt; mặc tập thể dục")</f>
        <v>Đấu giá&gt; thể thao, giải trí&gt; đồ thể thao&gt; mặc tập thể dục</v>
      </c>
      <c r="G321" s="229" t="str">
        <f t="shared" ca="1" si="8"/>
        <v>"2084006766" : "tập thể dục mặc",</v>
      </c>
      <c r="H321" s="229" t="str">
        <f t="shared" si="9"/>
        <v>&lt;li class="col-md-3"&gt;&lt;a class="text-cut" href="javascript:;"(click)="categoryEvent(2084006766)"&gt;{{"2084006766" | translate}}&lt;/a&gt;&lt;/li&gt;</v>
      </c>
    </row>
    <row r="322" spans="1:8" ht="14.25" customHeight="1">
      <c r="A322" s="2">
        <v>2084051883</v>
      </c>
      <c r="B322" s="2" t="s">
        <v>6232</v>
      </c>
      <c r="C322" s="2" t="s">
        <v>6234</v>
      </c>
      <c r="D322" s="2" t="s">
        <v>6236</v>
      </c>
      <c r="E322" s="3" t="str">
        <f ca="1">IFERROR(__xludf.DUMMYFUNCTION("GOOGLETRANSLATE(B322,""ja"",""vi"")"),"Swimwear")</f>
        <v>Swimwear</v>
      </c>
      <c r="F322" s="3" t="str">
        <f ca="1">IFERROR(__xludf.DUMMYFUNCTION("GOOGLETRANSLATE(C322,""ja"",""vi"")"),"Đấu giá&gt; thể thao, giải trí&gt; đồ thể thao&gt; Swimwear")</f>
        <v>Đấu giá&gt; thể thao, giải trí&gt; đồ thể thao&gt; Swimwear</v>
      </c>
      <c r="G322" s="229" t="str">
        <f t="shared" ca="1" si="8"/>
        <v>"2084051883" : "Swimwear",</v>
      </c>
      <c r="H322" s="229" t="str">
        <f t="shared" si="9"/>
        <v>&lt;li class="col-md-3"&gt;&lt;a class="text-cut" href="javascript:;"(click)="categoryEvent(2084051883)"&gt;{{"2084051883" | translate}}&lt;/a&gt;&lt;/li&gt;</v>
      </c>
    </row>
    <row r="323" spans="1:8" ht="14.25" customHeight="1">
      <c r="E323" s="3"/>
      <c r="F323" s="3"/>
      <c r="G323" s="229"/>
      <c r="H323" s="229"/>
    </row>
    <row r="324" spans="1:8" ht="14.25" customHeight="1">
      <c r="A324" s="245">
        <v>42179</v>
      </c>
      <c r="B324" s="232"/>
      <c r="C324" s="232"/>
      <c r="D324" s="233"/>
      <c r="E324" s="3"/>
      <c r="F324" s="3"/>
      <c r="G324" s="229"/>
      <c r="H324" s="229"/>
    </row>
    <row r="325" spans="1:8" ht="14.25" customHeight="1">
      <c r="A325" s="2">
        <v>2084005302</v>
      </c>
      <c r="B325" s="2" t="s">
        <v>2266</v>
      </c>
      <c r="C325" s="2" t="s">
        <v>2779</v>
      </c>
      <c r="D325" s="2" t="s">
        <v>2780</v>
      </c>
      <c r="E325" s="3" t="str">
        <f ca="1">IFERROR(__xludf.DUMMYFUNCTION("GOOGLETRANSLATE(B325,""ja"",""vi"")"),"Đối với phụ nữ")</f>
        <v>Đối với phụ nữ</v>
      </c>
      <c r="F325" s="3" t="str">
        <f ca="1">IFERROR(__xludf.DUMMYFUNCTION("GOOGLETRANSLATE(C325,""ja"",""vi"")"),"Đấu giá&gt; làm đẹp, chăm sóc sức khỏe&gt; ​​nước hoa, hương thơm&gt; cho phụ nữ")</f>
        <v>Đấu giá&gt; làm đẹp, chăm sóc sức khỏe&gt; ​​nước hoa, hương thơm&gt; cho phụ nữ</v>
      </c>
      <c r="G325" s="229" t="str">
        <f t="shared" ref="G325:G362" ca="1" si="10">CONCATENATE(CHAR(34)&amp;"",A325,""&amp;CHAR(34)," : ", CHAR(34)&amp;"",E325,""&amp;CHAR(34),",")</f>
        <v>"2084005302" : "Đối với phụ nữ",</v>
      </c>
      <c r="H325" s="229" t="str">
        <f t="shared" ref="H325:H362" si="11">CONCATENATE("&lt;li class=",CHAR(34)&amp;"","col-md-3",""&amp;CHAR(34),"&gt;","&lt;a class=",CHAR(34)&amp;"","text-cut",""&amp;CHAR(34)," href=",CHAR(34)&amp;"","javascript:;",""&amp;CHAR(34), "(click)=",CHAR(34)&amp;"","categoryEvent(",A325,")",""&amp;CHAR(34),"&gt;{{",CHAR(34)&amp;"",A325,""&amp;CHAR(34)," | translate}}&lt;/a&gt;&lt;/li&gt;")</f>
        <v>&lt;li class="col-md-3"&gt;&lt;a class="text-cut" href="javascript:;"(click)="categoryEvent(2084005302)"&gt;{{"2084005302" | translate}}&lt;/a&gt;&lt;/li&gt;</v>
      </c>
    </row>
    <row r="326" spans="1:8" ht="14.25" customHeight="1">
      <c r="A326" s="2">
        <v>2084005301</v>
      </c>
      <c r="B326" s="2" t="s">
        <v>570</v>
      </c>
      <c r="C326" s="2" t="s">
        <v>2785</v>
      </c>
      <c r="D326" s="2" t="s">
        <v>2788</v>
      </c>
      <c r="E326" s="3" t="str">
        <f ca="1">IFERROR(__xludf.DUMMYFUNCTION("GOOGLETRANSLATE(B326,""ja"",""vi"")"),"Đối với nam giới")</f>
        <v>Đối với nam giới</v>
      </c>
      <c r="F326" s="3" t="str">
        <f ca="1">IFERROR(__xludf.DUMMYFUNCTION("GOOGLETRANSLATE(C326,""ja"",""vi"")"),"Đấu giá&gt; làm đẹp, chăm sóc sức khỏe&gt; ​​nước hoa, hương thơm&gt; dành cho nam giới")</f>
        <v>Đấu giá&gt; làm đẹp, chăm sóc sức khỏe&gt; ​​nước hoa, hương thơm&gt; dành cho nam giới</v>
      </c>
      <c r="G326" s="229" t="str">
        <f t="shared" ca="1" si="10"/>
        <v>"2084005301" : "Đối với nam giới",</v>
      </c>
      <c r="H326" s="229" t="str">
        <f t="shared" si="11"/>
        <v>&lt;li class="col-md-3"&gt;&lt;a class="text-cut" href="javascript:;"(click)="categoryEvent(2084005301)"&gt;{{"2084005301" | translate}}&lt;/a&gt;&lt;/li&gt;</v>
      </c>
    </row>
    <row r="327" spans="1:8" ht="14.25" customHeight="1">
      <c r="A327" s="2">
        <v>2084005303</v>
      </c>
      <c r="B327" s="2" t="s">
        <v>2789</v>
      </c>
      <c r="C327" s="2" t="s">
        <v>2792</v>
      </c>
      <c r="D327" s="2" t="s">
        <v>2795</v>
      </c>
      <c r="E327" s="3" t="str">
        <f ca="1">IFERROR(__xludf.DUMMYFUNCTION("GOOGLETRANSLATE(B327,""ja"",""vi"")"),"unisex")</f>
        <v>unisex</v>
      </c>
      <c r="F327" s="3" t="str">
        <f ca="1">IFERROR(__xludf.DUMMYFUNCTION("GOOGLETRANSLATE(C327,""ja"",""vi"")"),"Đấu giá&gt; làm đẹp, chăm sóc sức khỏe&gt; ​​nước hoa, hương thơm&gt; unisex")</f>
        <v>Đấu giá&gt; làm đẹp, chăm sóc sức khỏe&gt; ​​nước hoa, hương thơm&gt; unisex</v>
      </c>
      <c r="G327" s="229" t="str">
        <f t="shared" ca="1" si="10"/>
        <v>"2084005303" : "unisex",</v>
      </c>
      <c r="H327" s="229" t="str">
        <f t="shared" si="11"/>
        <v>&lt;li class="col-md-3"&gt;&lt;a class="text-cut" href="javascript:;"(click)="categoryEvent(2084005303)"&gt;{{"2084005303" | translate}}&lt;/a&gt;&lt;/li&gt;</v>
      </c>
    </row>
    <row r="328" spans="1:8" ht="14.25" customHeight="1">
      <c r="A328" s="2">
        <v>2084059595</v>
      </c>
      <c r="B328" s="2" t="s">
        <v>2586</v>
      </c>
      <c r="C328" s="2" t="s">
        <v>2803</v>
      </c>
      <c r="D328" s="2" t="s">
        <v>2805</v>
      </c>
      <c r="E328" s="3" t="str">
        <f ca="1">IFERROR(__xludf.DUMMYFUNCTION("GOOGLETRANSLATE(B328,""ja"",""vi"")"),"by Nhãn hiệu")</f>
        <v>by Nhãn hiệu</v>
      </c>
      <c r="F328" s="3" t="str">
        <f ca="1">IFERROR(__xludf.DUMMYFUNCTION("GOOGLETRANSLATE(C328,""ja"",""vi"")"),"Đấu giá&gt; làm đẹp, chăm sóc sức khỏe&gt; ​​nước hoa, hương thơm&gt; By Nhãn hiệu")</f>
        <v>Đấu giá&gt; làm đẹp, chăm sóc sức khỏe&gt; ​​nước hoa, hương thơm&gt; By Nhãn hiệu</v>
      </c>
      <c r="G328" s="229" t="str">
        <f t="shared" ca="1" si="10"/>
        <v>"2084059595" : "by Nhãn hiệu",</v>
      </c>
      <c r="H328" s="229" t="str">
        <f t="shared" si="11"/>
        <v>&lt;li class="col-md-3"&gt;&lt;a class="text-cut" href="javascript:;"(click)="categoryEvent(2084059595)"&gt;{{"2084059595" | translate}}&lt;/a&gt;&lt;/li&gt;</v>
      </c>
    </row>
    <row r="329" spans="1:8" ht="14.25" customHeight="1">
      <c r="A329" s="2">
        <v>2084024424</v>
      </c>
      <c r="B329" s="2" t="s">
        <v>2809</v>
      </c>
      <c r="C329" s="2" t="s">
        <v>2812</v>
      </c>
      <c r="D329" s="2" t="s">
        <v>2814</v>
      </c>
      <c r="E329" s="3" t="str">
        <f ca="1">IFERROR(__xludf.DUMMYFUNCTION("GOOGLETRANSLATE(B329,""ja"",""vi"")"),"Hương, lư hương")</f>
        <v>Hương, lư hương</v>
      </c>
      <c r="F329" s="3" t="str">
        <f ca="1">IFERROR(__xludf.DUMMYFUNCTION("GOOGLETRANSLATE(C329,""ja"",""vi"")"),"Đấu giá&gt; làm đẹp, chăm sóc sức khỏe&gt; ​​nước hoa, hương thơm&gt; hương, lư hương")</f>
        <v>Đấu giá&gt; làm đẹp, chăm sóc sức khỏe&gt; ​​nước hoa, hương thơm&gt; hương, lư hương</v>
      </c>
      <c r="G329" s="229" t="str">
        <f t="shared" ca="1" si="10"/>
        <v>"2084024424" : "Hương, lư hương",</v>
      </c>
      <c r="H329" s="229" t="str">
        <f t="shared" si="11"/>
        <v>&lt;li class="col-md-3"&gt;&lt;a class="text-cut" href="javascript:;"(click)="categoryEvent(2084024424)"&gt;{{"2084024424" | translate}}&lt;/a&gt;&lt;/li&gt;</v>
      </c>
    </row>
    <row r="330" spans="1:8" ht="14.25" customHeight="1">
      <c r="A330" s="2">
        <v>2084024423</v>
      </c>
      <c r="B330" s="2" t="s">
        <v>2295</v>
      </c>
      <c r="C330" s="2" t="s">
        <v>2818</v>
      </c>
      <c r="D330" s="2" t="s">
        <v>2821</v>
      </c>
      <c r="E330" s="3" t="str">
        <f ca="1">IFERROR(__xludf.DUMMYFUNCTION("GOOGLETRANSLATE(B330,""ja"",""vi"")"),"nến")</f>
        <v>nến</v>
      </c>
      <c r="F330" s="3" t="str">
        <f ca="1">IFERROR(__xludf.DUMMYFUNCTION("GOOGLETRANSLATE(C330,""ja"",""vi"")"),"Đấu giá&gt; làm đẹp, chăm sóc sức khỏe&gt; ​​nước hoa, hương thơm&gt; nến")</f>
        <v>Đấu giá&gt; làm đẹp, chăm sóc sức khỏe&gt; ​​nước hoa, hương thơm&gt; nến</v>
      </c>
      <c r="G330" s="229" t="str">
        <f t="shared" ca="1" si="10"/>
        <v>"2084024423" : "nến",</v>
      </c>
      <c r="H330" s="229" t="str">
        <f t="shared" si="11"/>
        <v>&lt;li class="col-md-3"&gt;&lt;a class="text-cut" href="javascript:;"(click)="categoryEvent(2084024423)"&gt;{{"2084024423" | translate}}&lt;/a&gt;&lt;/li&gt;</v>
      </c>
    </row>
    <row r="331" spans="1:8" ht="14.25" customHeight="1">
      <c r="A331" s="2">
        <v>2084061895</v>
      </c>
      <c r="B331" s="2" t="s">
        <v>2823</v>
      </c>
      <c r="C331" s="2" t="s">
        <v>2824</v>
      </c>
      <c r="D331" s="2" t="s">
        <v>2825</v>
      </c>
      <c r="E331" s="3" t="str">
        <f ca="1">IFERROR(__xludf.DUMMYFUNCTION("GOOGLETRANSLATE(B331,""ja"",""vi"")"),"bình xịt thuốc")</f>
        <v>bình xịt thuốc</v>
      </c>
      <c r="F331" s="3" t="str">
        <f ca="1">IFERROR(__xludf.DUMMYFUNCTION("GOOGLETRANSLATE(C331,""ja"",""vi"")"),"Đấu giá&gt; làm đẹp, chăm sóc sức khỏe&gt; ​​nước hoa, hương thơm&gt; phun")</f>
        <v>Đấu giá&gt; làm đẹp, chăm sóc sức khỏe&gt; ​​nước hoa, hương thơm&gt; phun</v>
      </c>
      <c r="G331" s="229" t="str">
        <f t="shared" ca="1" si="10"/>
        <v>"2084061895" : "bình xịt thuốc",</v>
      </c>
      <c r="H331" s="229" t="str">
        <f t="shared" si="11"/>
        <v>&lt;li class="col-md-3"&gt;&lt;a class="text-cut" href="javascript:;"(click)="categoryEvent(2084061895)"&gt;{{"2084061895" | translate}}&lt;/a&gt;&lt;/li&gt;</v>
      </c>
    </row>
    <row r="332" spans="1:8" ht="14.25" customHeight="1">
      <c r="A332" s="2">
        <v>2084005304</v>
      </c>
      <c r="B332" s="2" t="s">
        <v>16</v>
      </c>
      <c r="C332" s="2" t="s">
        <v>2832</v>
      </c>
      <c r="D332" s="2" t="s">
        <v>2833</v>
      </c>
      <c r="E332" s="3" t="str">
        <f ca="1">IFERROR(__xludf.DUMMYFUNCTION("GOOGLETRANSLATE(B332,""ja"",""vi"")"),"nếu không thì")</f>
        <v>nếu không thì</v>
      </c>
      <c r="F332" s="3" t="str">
        <f ca="1">IFERROR(__xludf.DUMMYFUNCTION("GOOGLETRANSLATE(C332,""ja"",""vi"")"),"Đấu giá&gt; làm đẹp, chăm sóc sức khỏe&gt; ​​nước hoa, hương thơm&gt; Khác")</f>
        <v>Đấu giá&gt; làm đẹp, chăm sóc sức khỏe&gt; ​​nước hoa, hương thơm&gt; Khác</v>
      </c>
      <c r="G332" s="229" t="str">
        <f t="shared" ca="1" si="10"/>
        <v>"2084005304" : "nếu không thì",</v>
      </c>
      <c r="H332" s="229" t="str">
        <f t="shared" si="11"/>
        <v>&lt;li class="col-md-3"&gt;&lt;a class="text-cut" href="javascript:;"(click)="categoryEvent(2084005304)"&gt;{{"2084005304" | translate}}&lt;/a&gt;&lt;/li&gt;</v>
      </c>
    </row>
    <row r="333" spans="1:8" ht="14.25" customHeight="1">
      <c r="E333" s="3"/>
      <c r="F333" s="3"/>
      <c r="G333" s="229"/>
      <c r="H333" s="229"/>
    </row>
    <row r="334" spans="1:8" ht="14.25" customHeight="1">
      <c r="A334" s="263">
        <v>21912</v>
      </c>
      <c r="B334" s="232"/>
      <c r="C334" s="232"/>
      <c r="D334" s="233"/>
      <c r="E334" s="3"/>
      <c r="F334" s="3"/>
      <c r="G334" s="229"/>
      <c r="H334" s="229"/>
    </row>
    <row r="335" spans="1:8" ht="14.25" customHeight="1">
      <c r="A335" s="2">
        <v>2084008142</v>
      </c>
      <c r="B335" s="2" t="s">
        <v>6281</v>
      </c>
      <c r="C335" s="2" t="s">
        <v>6282</v>
      </c>
      <c r="D335" s="2" t="s">
        <v>6283</v>
      </c>
      <c r="E335" s="3" t="str">
        <f ca="1">IFERROR(__xludf.DUMMYFUNCTION("GOOGLETRANSLATE(B335,""ja"",""vi"")"),"Mono thông tin xu hướng")</f>
        <v>Mono thông tin xu hướng</v>
      </c>
      <c r="F335" s="3" t="str">
        <f ca="1">IFERROR(__xludf.DUMMYFUNCTION("GOOGLETRANSLATE(C335,""ja"",""vi"")"),"Đấu giá&gt; cuốn sách, tạp chí&gt; Tạp chí&gt; Thời trang&gt; Thông tin xu hướng mono")</f>
        <v>Đấu giá&gt; cuốn sách, tạp chí&gt; Tạp chí&gt; Thời trang&gt; Thông tin xu hướng mono</v>
      </c>
      <c r="G335" s="229" t="str">
        <f t="shared" ca="1" si="10"/>
        <v>"2084008142" : "Mono thông tin xu hướng",</v>
      </c>
      <c r="H335" s="229" t="str">
        <f t="shared" si="11"/>
        <v>&lt;li class="col-md-3"&gt;&lt;a class="text-cut" href="javascript:;"(click)="categoryEvent(2084008142)"&gt;{{"2084008142" | translate}}&lt;/a&gt;&lt;/li&gt;</v>
      </c>
    </row>
    <row r="336" spans="1:8" ht="14.25" customHeight="1">
      <c r="A336" s="2">
        <v>2084008050</v>
      </c>
      <c r="B336" s="2" t="s">
        <v>1101</v>
      </c>
      <c r="C336" s="2" t="s">
        <v>6288</v>
      </c>
      <c r="D336" s="2" t="s">
        <v>6289</v>
      </c>
      <c r="E336" s="3" t="str">
        <f ca="1">IFERROR(__xludf.DUMMYFUNCTION("GOOGLETRANSLATE(B336,""ja"",""vi"")"),"đàn bà")</f>
        <v>đàn bà</v>
      </c>
      <c r="F336" s="3" t="str">
        <f ca="1">IFERROR(__xludf.DUMMYFUNCTION("GOOGLETRANSLATE(C336,""ja"",""vi"")"),"Đấu giá&gt; cuốn sách, tạp chí&gt; Tạp chí&gt; thời trang&gt; phụ nữ")</f>
        <v>Đấu giá&gt; cuốn sách, tạp chí&gt; Tạp chí&gt; thời trang&gt; phụ nữ</v>
      </c>
      <c r="G336" s="229" t="str">
        <f t="shared" ca="1" si="10"/>
        <v>"2084008050" : "đàn bà",</v>
      </c>
      <c r="H336" s="229" t="str">
        <f t="shared" si="11"/>
        <v>&lt;li class="col-md-3"&gt;&lt;a class="text-cut" href="javascript:;"(click)="categoryEvent(2084008050)"&gt;{{"2084008050" | translate}}&lt;/a&gt;&lt;/li&gt;</v>
      </c>
    </row>
    <row r="337" spans="1:8" ht="14.25" customHeight="1">
      <c r="A337" s="2">
        <v>2084008049</v>
      </c>
      <c r="B337" s="2" t="s">
        <v>6295</v>
      </c>
      <c r="C337" s="2" t="s">
        <v>6296</v>
      </c>
      <c r="D337" s="2" t="s">
        <v>6297</v>
      </c>
      <c r="E337" s="3" t="str">
        <f ca="1">IFERROR(__xludf.DUMMYFUNCTION("GOOGLETRANSLATE(B337,""ja"",""vi"")"),"người")</f>
        <v>người</v>
      </c>
      <c r="F337" s="3" t="str">
        <f ca="1">IFERROR(__xludf.DUMMYFUNCTION("GOOGLETRANSLATE(C337,""ja"",""vi"")"),"Đấu giá&gt; cuốn sách, tạp chí&gt; Tạp chí&gt; Thời trang&gt; Đàn ông")</f>
        <v>Đấu giá&gt; cuốn sách, tạp chí&gt; Tạp chí&gt; Thời trang&gt; Đàn ông</v>
      </c>
      <c r="G337" s="229" t="str">
        <f t="shared" ca="1" si="10"/>
        <v>"2084008049" : "người",</v>
      </c>
      <c r="H337" s="229" t="str">
        <f t="shared" si="11"/>
        <v>&lt;li class="col-md-3"&gt;&lt;a class="text-cut" href="javascript:;"(click)="categoryEvent(2084008049)"&gt;{{"2084008049" | translate}}&lt;/a&gt;&lt;/li&gt;</v>
      </c>
    </row>
    <row r="338" spans="1:8" ht="14.25" customHeight="1">
      <c r="E338" s="3"/>
      <c r="F338" s="3"/>
      <c r="G338" s="229"/>
      <c r="H338" s="229"/>
    </row>
    <row r="339" spans="1:8" ht="14.25" customHeight="1">
      <c r="A339" s="243">
        <v>2084062134</v>
      </c>
      <c r="B339" s="232"/>
      <c r="C339" s="232"/>
      <c r="D339" s="233"/>
      <c r="E339" s="3"/>
      <c r="F339" s="3"/>
      <c r="G339" s="229"/>
      <c r="H339" s="229"/>
    </row>
    <row r="340" spans="1:8" ht="14.25" customHeight="1">
      <c r="A340" s="2">
        <v>2084208670</v>
      </c>
      <c r="B340" s="2" t="s">
        <v>474</v>
      </c>
      <c r="C340" s="2" t="s">
        <v>476</v>
      </c>
      <c r="D340" s="2" t="s">
        <v>478</v>
      </c>
      <c r="E340" s="3" t="str">
        <f ca="1">IFERROR(__xludf.DUMMYFUNCTION("GOOGLETRANSLATE(B340,""ja"",""vi"")"),"Truyện tranh, hoạt hình, nhân vật trò chơi")</f>
        <v>Truyện tranh, hoạt hình, nhân vật trò chơi</v>
      </c>
      <c r="F340" s="3" t="str">
        <f ca="1">IFERROR(__xludf.DUMMYFUNCTION("GOOGLETRANSLATE(C340,""ja"",""vi"")"),"Đấu giá&gt; truyện tranh, phim hoạt hình hàng hóa&gt; Trang phục Cosplay&gt; truyện tranh, hoạt hình, nhân vật trò chơi")</f>
        <v>Đấu giá&gt; truyện tranh, phim hoạt hình hàng hóa&gt; Trang phục Cosplay&gt; truyện tranh, hoạt hình, nhân vật trò chơi</v>
      </c>
      <c r="G340" s="229" t="str">
        <f t="shared" ca="1" si="10"/>
        <v>"2084208670" : "Truyện tranh, hoạt hình, nhân vật trò chơi",</v>
      </c>
      <c r="H340" s="229" t="str">
        <f t="shared" si="11"/>
        <v>&lt;li class="col-md-3"&gt;&lt;a class="text-cut" href="javascript:;"(click)="categoryEvent(2084208670)"&gt;{{"2084208670" | translate}}&lt;/a&gt;&lt;/li&gt;</v>
      </c>
    </row>
    <row r="341" spans="1:8" ht="14.25" customHeight="1">
      <c r="A341" s="2">
        <v>2084208672</v>
      </c>
      <c r="B341" s="2" t="s">
        <v>483</v>
      </c>
      <c r="C341" s="2" t="s">
        <v>485</v>
      </c>
      <c r="D341" s="2" t="s">
        <v>487</v>
      </c>
      <c r="E341" s="3" t="str">
        <f ca="1">IFERROR(__xludf.DUMMYFUNCTION("GOOGLETRANSLATE(B341,""ja"",""vi"")"),"thiếu nữ")</f>
        <v>thiếu nữ</v>
      </c>
      <c r="F341" s="3" t="str">
        <f ca="1">IFERROR(__xludf.DUMMYFUNCTION("GOOGLETRANSLATE(C341,""ja"",""vi"")"),"Đấu giá&gt; truyện tranh, phim hoạt hình hàng hóa&gt; Trang phục Cosplay&gt; Maid")</f>
        <v>Đấu giá&gt; truyện tranh, phim hoạt hình hàng hóa&gt; Trang phục Cosplay&gt; Maid</v>
      </c>
      <c r="G341" s="229" t="str">
        <f t="shared" ca="1" si="10"/>
        <v>"2084208672" : "thiếu nữ",</v>
      </c>
      <c r="H341" s="229" t="str">
        <f t="shared" si="11"/>
        <v>&lt;li class="col-md-3"&gt;&lt;a class="text-cut" href="javascript:;"(click)="categoryEvent(2084208672)"&gt;{{"2084208672" | translate}}&lt;/a&gt;&lt;/li&gt;</v>
      </c>
    </row>
    <row r="342" spans="1:8" ht="14.25" customHeight="1">
      <c r="A342" s="2">
        <v>2084241336</v>
      </c>
      <c r="B342" s="2" t="s">
        <v>491</v>
      </c>
      <c r="C342" s="2" t="s">
        <v>493</v>
      </c>
      <c r="D342" s="2" t="s">
        <v>496</v>
      </c>
      <c r="E342" s="3" t="str">
        <f ca="1">IFERROR(__xludf.DUMMYFUNCTION("GOOGLETRANSLATE(B342,""ja"",""vi"")"),"Alt")</f>
        <v>Alt</v>
      </c>
      <c r="F342" s="3" t="str">
        <f ca="1">IFERROR(__xludf.DUMMYFUNCTION("GOOGLETRANSLATE(C342,""ja"",""vi"")"),"Đấu giá&gt; truyện tranh, phim hoạt hình hàng hóa&gt; Trang phục Cosplay&gt; Lolita")</f>
        <v>Đấu giá&gt; truyện tranh, phim hoạt hình hàng hóa&gt; Trang phục Cosplay&gt; Lolita</v>
      </c>
      <c r="G342" s="229" t="str">
        <f t="shared" ca="1" si="10"/>
        <v>"2084241336" : "Alt",</v>
      </c>
      <c r="H342" s="229" t="str">
        <f t="shared" si="11"/>
        <v>&lt;li class="col-md-3"&gt;&lt;a class="text-cut" href="javascript:;"(click)="categoryEvent(2084241336)"&gt;{{"2084241336" | translate}}&lt;/a&gt;&lt;/li&gt;</v>
      </c>
    </row>
    <row r="343" spans="1:8" ht="14.25" customHeight="1">
      <c r="A343" s="2">
        <v>2084311910</v>
      </c>
      <c r="B343" s="2" t="s">
        <v>500</v>
      </c>
      <c r="C343" s="2" t="s">
        <v>502</v>
      </c>
      <c r="D343" s="2" t="s">
        <v>503</v>
      </c>
      <c r="E343" s="3" t="str">
        <f ca="1">IFERROR(__xludf.DUMMYFUNCTION("GOOGLETRANSLATE(B343,""ja"",""vi"")"),"cabin viên")</f>
        <v>cabin viên</v>
      </c>
      <c r="F343" s="3" t="str">
        <f ca="1">IFERROR(__xludf.DUMMYFUNCTION("GOOGLETRANSLATE(C343,""ja"",""vi"")"),"Đấu giá&gt; truyện tranh, phim hoạt hình hàng hóa&gt; Cosplay Trang phục&gt; cabin viên")</f>
        <v>Đấu giá&gt; truyện tranh, phim hoạt hình hàng hóa&gt; Cosplay Trang phục&gt; cabin viên</v>
      </c>
      <c r="G343" s="229" t="str">
        <f t="shared" ca="1" si="10"/>
        <v>"2084311910" : "cabin viên",</v>
      </c>
      <c r="H343" s="229" t="str">
        <f t="shared" si="11"/>
        <v>&lt;li class="col-md-3"&gt;&lt;a class="text-cut" href="javascript:;"(click)="categoryEvent(2084311910)"&gt;{{"2084311910" | translate}}&lt;/a&gt;&lt;/li&gt;</v>
      </c>
    </row>
    <row r="344" spans="1:8" ht="14.25" customHeight="1">
      <c r="A344" s="2">
        <v>2084241337</v>
      </c>
      <c r="B344" s="2" t="s">
        <v>506</v>
      </c>
      <c r="C344" s="2" t="s">
        <v>508</v>
      </c>
      <c r="D344" s="2" t="s">
        <v>509</v>
      </c>
      <c r="E344" s="3" t="str">
        <f ca="1">IFERROR(__xludf.DUMMYFUNCTION("GOOGLETRANSLATE(B344,""ja"",""vi"")"),"sườn xám")</f>
        <v>sườn xám</v>
      </c>
      <c r="F344" s="3" t="str">
        <f ca="1">IFERROR(__xludf.DUMMYFUNCTION("GOOGLETRANSLATE(C344,""ja"",""vi"")"),"Đấu giá&gt; truyện tranh, phim hoạt hình hàng hóa&gt; Trang phục Cosplay&gt; Cheongsam")</f>
        <v>Đấu giá&gt; truyện tranh, phim hoạt hình hàng hóa&gt; Trang phục Cosplay&gt; Cheongsam</v>
      </c>
      <c r="G344" s="229" t="str">
        <f t="shared" ca="1" si="10"/>
        <v>"2084241337" : "sườn xám",</v>
      </c>
      <c r="H344" s="229" t="str">
        <f t="shared" si="11"/>
        <v>&lt;li class="col-md-3"&gt;&lt;a class="text-cut" href="javascript:;"(click)="categoryEvent(2084241337)"&gt;{{"2084241337" | translate}}&lt;/a&gt;&lt;/li&gt;</v>
      </c>
    </row>
    <row r="345" spans="1:8" ht="14.25" customHeight="1">
      <c r="A345" s="2">
        <v>2084241335</v>
      </c>
      <c r="B345" s="2" t="s">
        <v>512</v>
      </c>
      <c r="C345" s="2" t="s">
        <v>513</v>
      </c>
      <c r="D345" s="2" t="s">
        <v>514</v>
      </c>
      <c r="E345" s="3" t="str">
        <f ca="1">IFERROR(__xludf.DUMMYFUNCTION("GOOGLETRANSLATE(B345,""ja"",""vi"")"),"quần áo y tá")</f>
        <v>quần áo y tá</v>
      </c>
      <c r="F345" s="3" t="str">
        <f ca="1">IFERROR(__xludf.DUMMYFUNCTION("GOOGLETRANSLATE(C345,""ja"",""vi"")"),"Đấu giá&gt; truyện tranh, phim hoạt hình hàng hóa&gt; Cosplay Trang phục&gt; quần áo y tá")</f>
        <v>Đấu giá&gt; truyện tranh, phim hoạt hình hàng hóa&gt; Cosplay Trang phục&gt; quần áo y tá</v>
      </c>
      <c r="G345" s="229" t="str">
        <f t="shared" ca="1" si="10"/>
        <v>"2084241335" : "quần áo y tá",</v>
      </c>
      <c r="H345" s="229" t="str">
        <f t="shared" si="11"/>
        <v>&lt;li class="col-md-3"&gt;&lt;a class="text-cut" href="javascript:;"(click)="categoryEvent(2084241335)"&gt;{{"2084241335" | translate}}&lt;/a&gt;&lt;/li&gt;</v>
      </c>
    </row>
    <row r="346" spans="1:8" ht="14.25" customHeight="1">
      <c r="A346" s="2">
        <v>2084241339</v>
      </c>
      <c r="B346" s="2" t="s">
        <v>516</v>
      </c>
      <c r="C346" s="2" t="s">
        <v>517</v>
      </c>
      <c r="D346" s="2" t="s">
        <v>518</v>
      </c>
      <c r="E346" s="3" t="str">
        <f ca="1">IFERROR(__xludf.DUMMYFUNCTION("GOOGLETRANSLATE(B346,""ja"",""vi"")"),"Bunny cô gái")</f>
        <v>Bunny cô gái</v>
      </c>
      <c r="F346" s="3" t="str">
        <f ca="1">IFERROR(__xludf.DUMMYFUNCTION("GOOGLETRANSLATE(C346,""ja"",""vi"")"),"Đấu giá&gt; truyện tranh, phim hoạt hình hàng hóa&gt; Trang phục&gt; Bunny girl")</f>
        <v>Đấu giá&gt; truyện tranh, phim hoạt hình hàng hóa&gt; Trang phục&gt; Bunny girl</v>
      </c>
      <c r="G346" s="229" t="str">
        <f t="shared" ca="1" si="10"/>
        <v>"2084241339" : "Bunny cô gái",</v>
      </c>
      <c r="H346" s="229" t="str">
        <f t="shared" si="11"/>
        <v>&lt;li class="col-md-3"&gt;&lt;a class="text-cut" href="javascript:;"(click)="categoryEvent(2084241339)"&gt;{{"2084241339" | translate}}&lt;/a&gt;&lt;/li&gt;</v>
      </c>
    </row>
    <row r="347" spans="1:8" ht="14.25" customHeight="1">
      <c r="A347" s="2">
        <v>2084311903</v>
      </c>
      <c r="B347" s="2" t="s">
        <v>522</v>
      </c>
      <c r="C347" s="2" t="s">
        <v>524</v>
      </c>
      <c r="D347" s="2" t="s">
        <v>525</v>
      </c>
      <c r="E347" s="3" t="str">
        <f ca="1">IFERROR(__xludf.DUMMYFUNCTION("GOOGLETRANSLATE(B347,""ja"",""vi"")"),"baby Doll")</f>
        <v>baby Doll</v>
      </c>
      <c r="F347" s="3" t="str">
        <f ca="1">IFERROR(__xludf.DUMMYFUNCTION("GOOGLETRANSLATE(C347,""ja"",""vi"")"),"Đấu giá&gt; truyện tranh, phim hoạt hình hàng hóa&gt; Trang phục Cosplay&gt; Baby Doll")</f>
        <v>Đấu giá&gt; truyện tranh, phim hoạt hình hàng hóa&gt; Trang phục Cosplay&gt; Baby Doll</v>
      </c>
      <c r="G347" s="229" t="str">
        <f t="shared" ca="1" si="10"/>
        <v>"2084311903" : "baby Doll",</v>
      </c>
      <c r="H347" s="229" t="str">
        <f t="shared" si="11"/>
        <v>&lt;li class="col-md-3"&gt;&lt;a class="text-cut" href="javascript:;"(click)="categoryEvent(2084311903)"&gt;{{"2084311903" | translate}}&lt;/a&gt;&lt;/li&gt;</v>
      </c>
    </row>
    <row r="348" spans="1:8" ht="14.25" customHeight="1">
      <c r="A348" s="2">
        <v>2084241338</v>
      </c>
      <c r="B348" s="2" t="s">
        <v>528</v>
      </c>
      <c r="C348" s="2" t="s">
        <v>529</v>
      </c>
      <c r="D348" s="2" t="s">
        <v>531</v>
      </c>
      <c r="E348" s="3" t="str">
        <f ca="1">IFERROR(__xludf.DUMMYFUNCTION("GOOGLETRANSLATE(B348,""ja"",""vi"")"),"Race queen")</f>
        <v>Race queen</v>
      </c>
      <c r="F348" s="3" t="str">
        <f ca="1">IFERROR(__xludf.DUMMYFUNCTION("GOOGLETRANSLATE(C348,""ja"",""vi"")"),"Đấu giá&gt; truyện tranh, phim hoạt hình hàng hóa&gt; Cosplay Trang phục&gt; cuộc đua nữ hoàng")</f>
        <v>Đấu giá&gt; truyện tranh, phim hoạt hình hàng hóa&gt; Cosplay Trang phục&gt; cuộc đua nữ hoàng</v>
      </c>
      <c r="G348" s="229" t="str">
        <f t="shared" ca="1" si="10"/>
        <v>"2084241338" : "Race queen",</v>
      </c>
      <c r="H348" s="229" t="str">
        <f t="shared" si="11"/>
        <v>&lt;li class="col-md-3"&gt;&lt;a class="text-cut" href="javascript:;"(click)="categoryEvent(2084241338)"&gt;{{"2084241338" | translate}}&lt;/a&gt;&lt;/li&gt;</v>
      </c>
    </row>
    <row r="349" spans="1:8" ht="14.25" customHeight="1">
      <c r="A349" s="2">
        <v>2084311904</v>
      </c>
      <c r="B349" s="2" t="s">
        <v>534</v>
      </c>
      <c r="C349" s="2" t="s">
        <v>536</v>
      </c>
      <c r="D349" s="2" t="s">
        <v>540</v>
      </c>
      <c r="E349" s="3" t="str">
        <f ca="1">IFERROR(__xludf.DUMMYFUNCTION("GOOGLETRANSLATE(B349,""ja"",""vi"")"),"Uniform trường")</f>
        <v>Uniform trường</v>
      </c>
      <c r="F349" s="3" t="str">
        <f ca="1">IFERROR(__xludf.DUMMYFUNCTION("GOOGLETRANSLATE(C349,""ja"",""vi"")"),"Đấu giá&gt; truyện tranh, phim hoạt hình hàng hóa&gt; Cosplay Trang phục&gt; Trường Uniform")</f>
        <v>Đấu giá&gt; truyện tranh, phim hoạt hình hàng hóa&gt; Cosplay Trang phục&gt; Trường Uniform</v>
      </c>
      <c r="G349" s="229" t="str">
        <f t="shared" ca="1" si="10"/>
        <v>"2084311904" : "Uniform trường",</v>
      </c>
      <c r="H349" s="229" t="str">
        <f t="shared" si="11"/>
        <v>&lt;li class="col-md-3"&gt;&lt;a class="text-cut" href="javascript:;"(click)="categoryEvent(2084311904)"&gt;{{"2084311904" | translate}}&lt;/a&gt;&lt;/li&gt;</v>
      </c>
    </row>
    <row r="350" spans="1:8" ht="14.25" customHeight="1">
      <c r="A350" s="2">
        <v>2084311905</v>
      </c>
      <c r="B350" s="2" t="s">
        <v>541</v>
      </c>
      <c r="C350" s="2" t="s">
        <v>542</v>
      </c>
      <c r="D350" s="2" t="s">
        <v>544</v>
      </c>
      <c r="E350" s="3" t="str">
        <f ca="1">IFERROR(__xludf.DUMMYFUNCTION("GOOGLETRANSLATE(B350,""ja"",""vi"")"),"giáo viên")</f>
        <v>giáo viên</v>
      </c>
      <c r="F350" s="3" t="str">
        <f ca="1">IFERROR(__xludf.DUMMYFUNCTION("GOOGLETRANSLATE(C350,""ja"",""vi"")"),"Đấu giá&gt; truyện tranh, phim hoạt hình hàng hóa&gt; Cosplay Trang phục&gt; giáo viên")</f>
        <v>Đấu giá&gt; truyện tranh, phim hoạt hình hàng hóa&gt; Cosplay Trang phục&gt; giáo viên</v>
      </c>
      <c r="G350" s="229" t="str">
        <f t="shared" ca="1" si="10"/>
        <v>"2084311905" : "giáo viên",</v>
      </c>
      <c r="H350" s="229" t="str">
        <f t="shared" si="11"/>
        <v>&lt;li class="col-md-3"&gt;&lt;a class="text-cut" href="javascript:;"(click)="categoryEvent(2084311905)"&gt;{{"2084311905" | translate}}&lt;/a&gt;&lt;/li&gt;</v>
      </c>
    </row>
    <row r="351" spans="1:8" ht="14.25" customHeight="1">
      <c r="A351" s="2">
        <v>2084311906</v>
      </c>
      <c r="B351" s="2" t="s">
        <v>548</v>
      </c>
      <c r="C351" s="2" t="s">
        <v>551</v>
      </c>
      <c r="D351" s="2" t="s">
        <v>553</v>
      </c>
      <c r="E351" s="3" t="str">
        <f ca="1">IFERROR(__xludf.DUMMYFUNCTION("GOOGLETRANSLATE(B351,""ja"",""vi"")"),"áo bơi liền mảnh")</f>
        <v>áo bơi liền mảnh</v>
      </c>
      <c r="F351" s="3" t="str">
        <f ca="1">IFERROR(__xludf.DUMMYFUNCTION("GOOGLETRANSLATE(C351,""ja"",""vi"")"),"Đấu giá&gt; truyện tranh, phim hoạt hình hàng hóa&gt; Cosplay Trang phục&gt; áo tắm")</f>
        <v>Đấu giá&gt; truyện tranh, phim hoạt hình hàng hóa&gt; Cosplay Trang phục&gt; áo tắm</v>
      </c>
      <c r="G351" s="229" t="str">
        <f t="shared" ca="1" si="10"/>
        <v>"2084311906" : "áo bơi liền mảnh",</v>
      </c>
      <c r="H351" s="229" t="str">
        <f t="shared" si="11"/>
        <v>&lt;li class="col-md-3"&gt;&lt;a class="text-cut" href="javascript:;"(click)="categoryEvent(2084311906)"&gt;{{"2084311906" | translate}}&lt;/a&gt;&lt;/li&gt;</v>
      </c>
    </row>
    <row r="352" spans="1:8" ht="14.25" customHeight="1">
      <c r="A352" s="2">
        <v>2084311907</v>
      </c>
      <c r="B352" s="2" t="s">
        <v>555</v>
      </c>
      <c r="C352" s="2" t="s">
        <v>556</v>
      </c>
      <c r="D352" s="2" t="s">
        <v>557</v>
      </c>
      <c r="E352" s="3" t="str">
        <f ca="1">IFERROR(__xludf.DUMMYFUNCTION("GOOGLETRANSLATE(B352,""ja"",""vi"")"),"quần áo phòng tập thể dục")</f>
        <v>quần áo phòng tập thể dục</v>
      </c>
      <c r="F352" s="3" t="str">
        <f ca="1">IFERROR(__xludf.DUMMYFUNCTION("GOOGLETRANSLATE(C352,""ja"",""vi"")"),"Đấu giá&gt; truyện tranh, phim hoạt hình hàng hóa&gt; Trang phục Cosplay&gt; quần áo tập thể dục")</f>
        <v>Đấu giá&gt; truyện tranh, phim hoạt hình hàng hóa&gt; Trang phục Cosplay&gt; quần áo tập thể dục</v>
      </c>
      <c r="G352" s="229" t="str">
        <f t="shared" ca="1" si="10"/>
        <v>"2084311907" : "quần áo phòng tập thể dục",</v>
      </c>
      <c r="H352" s="229" t="str">
        <f t="shared" si="11"/>
        <v>&lt;li class="col-md-3"&gt;&lt;a class="text-cut" href="javascript:;"(click)="categoryEvent(2084311907)"&gt;{{"2084311907" | translate}}&lt;/a&gt;&lt;/li&gt;</v>
      </c>
    </row>
    <row r="353" spans="1:8" ht="14.25" customHeight="1">
      <c r="A353" s="2">
        <v>2084311908</v>
      </c>
      <c r="B353" s="2" t="s">
        <v>561</v>
      </c>
      <c r="C353" s="2" t="s">
        <v>562</v>
      </c>
      <c r="D353" s="2" t="s">
        <v>563</v>
      </c>
      <c r="E353" s="3" t="str">
        <f ca="1">IFERROR(__xludf.DUMMYFUNCTION("GOOGLETRANSLATE(B353,""ja"",""vi"")"),"Kimono, kimono")</f>
        <v>Kimono, kimono</v>
      </c>
      <c r="F353" s="3" t="str">
        <f ca="1">IFERROR(__xludf.DUMMYFUNCTION("GOOGLETRANSLATE(C353,""ja"",""vi"")"),"Đấu giá&gt; truyện tranh, phim hoạt hình hàng hóa&gt; Trang phục Cosplay&gt; kimono, kimono")</f>
        <v>Đấu giá&gt; truyện tranh, phim hoạt hình hàng hóa&gt; Trang phục Cosplay&gt; kimono, kimono</v>
      </c>
      <c r="G353" s="229" t="str">
        <f t="shared" ca="1" si="10"/>
        <v>"2084311908" : "Kimono, kimono",</v>
      </c>
      <c r="H353" s="229" t="str">
        <f t="shared" si="11"/>
        <v>&lt;li class="col-md-3"&gt;&lt;a class="text-cut" href="javascript:;"(click)="categoryEvent(2084311908)"&gt;{{"2084311908" | translate}}&lt;/a&gt;&lt;/li&gt;</v>
      </c>
    </row>
    <row r="354" spans="1:8" ht="14.25" customHeight="1">
      <c r="A354" s="2">
        <v>2084311909</v>
      </c>
      <c r="B354" s="2" t="s">
        <v>564</v>
      </c>
      <c r="C354" s="2" t="s">
        <v>566</v>
      </c>
      <c r="D354" s="2" t="s">
        <v>567</v>
      </c>
      <c r="E354" s="3" t="str">
        <f ca="1">IFERROR(__xludf.DUMMYFUNCTION("GOOGLETRANSLATE(B354,""ja"",""vi"")"),"nữ cảnh sát")</f>
        <v>nữ cảnh sát</v>
      </c>
      <c r="F354" s="3" t="str">
        <f ca="1">IFERROR(__xludf.DUMMYFUNCTION("GOOGLETRANSLATE(C354,""ja"",""vi"")"),"Đấu giá&gt; truyện tranh, phim hoạt hình hàng hóa&gt; Cosplay Trang phục&gt; nữ cảnh sát")</f>
        <v>Đấu giá&gt; truyện tranh, phim hoạt hình hàng hóa&gt; Cosplay Trang phục&gt; nữ cảnh sát</v>
      </c>
      <c r="G354" s="229" t="str">
        <f t="shared" ca="1" si="10"/>
        <v>"2084311909" : "nữ cảnh sát",</v>
      </c>
      <c r="H354" s="229" t="str">
        <f t="shared" si="11"/>
        <v>&lt;li class="col-md-3"&gt;&lt;a class="text-cut" href="javascript:;"(click)="categoryEvent(2084311909)"&gt;{{"2084311909" | translate}}&lt;/a&gt;&lt;/li&gt;</v>
      </c>
    </row>
    <row r="355" spans="1:8" ht="14.25" customHeight="1">
      <c r="A355" s="2">
        <v>2084241340</v>
      </c>
      <c r="B355" s="2" t="s">
        <v>570</v>
      </c>
      <c r="C355" s="2" t="s">
        <v>571</v>
      </c>
      <c r="D355" s="2" t="s">
        <v>572</v>
      </c>
      <c r="E355" s="3" t="str">
        <f ca="1">IFERROR(__xludf.DUMMYFUNCTION("GOOGLETRANSLATE(B355,""ja"",""vi"")"),"Đối với nam giới")</f>
        <v>Đối với nam giới</v>
      </c>
      <c r="F355" s="3" t="str">
        <f ca="1">IFERROR(__xludf.DUMMYFUNCTION("GOOGLETRANSLATE(C355,""ja"",""vi"")"),"Đấu giá&gt; truyện tranh, phim hoạt hình hàng hóa&gt; Cosplay Trang phục&gt; Đàn ông")</f>
        <v>Đấu giá&gt; truyện tranh, phim hoạt hình hàng hóa&gt; Cosplay Trang phục&gt; Đàn ông</v>
      </c>
      <c r="G355" s="229" t="str">
        <f t="shared" ca="1" si="10"/>
        <v>"2084241340" : "Đối với nam giới",</v>
      </c>
      <c r="H355" s="229" t="str">
        <f t="shared" si="11"/>
        <v>&lt;li class="col-md-3"&gt;&lt;a class="text-cut" href="javascript:;"(click)="categoryEvent(2084241340)"&gt;{{"2084241340" | translate}}&lt;/a&gt;&lt;/li&gt;</v>
      </c>
    </row>
    <row r="356" spans="1:8" ht="14.25" customHeight="1">
      <c r="A356" s="2">
        <v>2084208673</v>
      </c>
      <c r="B356" s="2" t="s">
        <v>16</v>
      </c>
      <c r="C356" s="2" t="s">
        <v>579</v>
      </c>
      <c r="D356" s="2" t="s">
        <v>580</v>
      </c>
      <c r="E356" s="3" t="str">
        <f ca="1">IFERROR(__xludf.DUMMYFUNCTION("GOOGLETRANSLATE(B356,""ja"",""vi"")"),"nếu không thì")</f>
        <v>nếu không thì</v>
      </c>
      <c r="F356" s="3" t="str">
        <f ca="1">IFERROR(__xludf.DUMMYFUNCTION("GOOGLETRANSLATE(C356,""ja"",""vi"")"),"Đấu giá&gt; truyện tranh, phim hoạt hình hàng hóa&gt; Trang phục Cosplay&gt; Khác")</f>
        <v>Đấu giá&gt; truyện tranh, phim hoạt hình hàng hóa&gt; Trang phục Cosplay&gt; Khác</v>
      </c>
      <c r="G356" s="229" t="str">
        <f t="shared" ca="1" si="10"/>
        <v>"2084208673" : "nếu không thì",</v>
      </c>
      <c r="H356" s="229" t="str">
        <f t="shared" si="11"/>
        <v>&lt;li class="col-md-3"&gt;&lt;a class="text-cut" href="javascript:;"(click)="categoryEvent(2084208673)"&gt;{{"2084208673" | translate}}&lt;/a&gt;&lt;/li&gt;</v>
      </c>
    </row>
    <row r="357" spans="1:8" ht="14.25" customHeight="1">
      <c r="E357" s="3"/>
      <c r="F357" s="3"/>
      <c r="G357" s="229"/>
      <c r="H357" s="229"/>
    </row>
    <row r="358" spans="1:8" ht="14.25" customHeight="1">
      <c r="A358" s="266">
        <v>2084307769</v>
      </c>
      <c r="B358" s="232"/>
      <c r="C358" s="232"/>
      <c r="D358" s="233"/>
      <c r="E358" s="3"/>
      <c r="F358" s="3"/>
      <c r="G358" s="229"/>
      <c r="H358" s="229"/>
    </row>
    <row r="359" spans="1:8" ht="14.25" customHeight="1">
      <c r="A359" s="2">
        <v>2084307770</v>
      </c>
      <c r="B359" s="2" t="s">
        <v>6402</v>
      </c>
      <c r="C359" s="2" t="s">
        <v>6403</v>
      </c>
      <c r="D359" s="2" t="s">
        <v>6404</v>
      </c>
      <c r="E359" s="3" t="str">
        <f ca="1">IFERROR(__xludf.DUMMYFUNCTION("GOOGLETRANSLATE(B359,""ja"",""vi"")"),"nam")</f>
        <v>nam</v>
      </c>
      <c r="F359" s="3" t="str">
        <f ca="1">IFERROR(__xludf.DUMMYFUNCTION("GOOGLETRANSLATE(C359,""ja"",""vi"")"),"Đấu giá&gt; Khác&gt; Cho thuê&gt; Thời trang&gt; nam")</f>
        <v>Đấu giá&gt; Khác&gt; Cho thuê&gt; Thời trang&gt; nam</v>
      </c>
      <c r="G359" s="229" t="str">
        <f t="shared" ca="1" si="10"/>
        <v>"2084307770" : "nam",</v>
      </c>
      <c r="H359" s="229" t="str">
        <f t="shared" si="11"/>
        <v>&lt;li class="col-md-3"&gt;&lt;a class="text-cut" href="javascript:;"(click)="categoryEvent(2084307770)"&gt;{{"2084307770" | translate}}&lt;/a&gt;&lt;/li&gt;</v>
      </c>
    </row>
    <row r="360" spans="1:8" ht="14.25" customHeight="1">
      <c r="A360" s="2">
        <v>2084307771</v>
      </c>
      <c r="B360" s="2" t="s">
        <v>6407</v>
      </c>
      <c r="C360" s="2" t="s">
        <v>6408</v>
      </c>
      <c r="D360" s="2" t="s">
        <v>6412</v>
      </c>
      <c r="E360" s="3" t="str">
        <f ca="1">IFERROR(__xludf.DUMMYFUNCTION("GOOGLETRANSLATE(B360,""ja"",""vi"")"),"Ladies")</f>
        <v>Ladies</v>
      </c>
      <c r="F360" s="3" t="str">
        <f ca="1">IFERROR(__xludf.DUMMYFUNCTION("GOOGLETRANSLATE(C360,""ja"",""vi"")"),"Đấu giá&gt; Khác&gt; Cho thuê&gt; Thời trang&gt; Phụ nữ")</f>
        <v>Đấu giá&gt; Khác&gt; Cho thuê&gt; Thời trang&gt; Phụ nữ</v>
      </c>
      <c r="G360" s="229" t="str">
        <f t="shared" ca="1" si="10"/>
        <v>"2084307771" : "Ladies",</v>
      </c>
      <c r="H360" s="229" t="str">
        <f t="shared" si="11"/>
        <v>&lt;li class="col-md-3"&gt;&lt;a class="text-cut" href="javascript:;"(click)="categoryEvent(2084307771)"&gt;{{"2084307771" | translate}}&lt;/a&gt;&lt;/li&gt;</v>
      </c>
    </row>
    <row r="361" spans="1:8" ht="14.25" customHeight="1">
      <c r="A361" s="2">
        <v>2084307772</v>
      </c>
      <c r="B361" s="2" t="s">
        <v>6414</v>
      </c>
      <c r="C361" s="2" t="s">
        <v>6416</v>
      </c>
      <c r="D361" s="2" t="s">
        <v>6418</v>
      </c>
      <c r="E361" s="3" t="str">
        <f ca="1">IFERROR(__xludf.DUMMYFUNCTION("GOOGLETRANSLATE(B361,""ja"",""vi"")"),"Kids")</f>
        <v>Kids</v>
      </c>
      <c r="F361" s="3" t="str">
        <f ca="1">IFERROR(__xludf.DUMMYFUNCTION("GOOGLETRANSLATE(C361,""ja"",""vi"")"),"Đấu giá&gt; Khác&gt; Cho thuê&gt; Thời trang&gt; Kids")</f>
        <v>Đấu giá&gt; Khác&gt; Cho thuê&gt; Thời trang&gt; Kids</v>
      </c>
      <c r="G361" s="229" t="str">
        <f t="shared" ca="1" si="10"/>
        <v>"2084307772" : "Kids",</v>
      </c>
      <c r="H361" s="229" t="str">
        <f t="shared" si="11"/>
        <v>&lt;li class="col-md-3"&gt;&lt;a class="text-cut" href="javascript:;"(click)="categoryEvent(2084307772)"&gt;{{"2084307772" | translate}}&lt;/a&gt;&lt;/li&gt;</v>
      </c>
    </row>
    <row r="362" spans="1:8" ht="14.25" customHeight="1">
      <c r="A362" s="2">
        <v>2084307774</v>
      </c>
      <c r="B362" s="2" t="s">
        <v>1625</v>
      </c>
      <c r="C362" s="2" t="s">
        <v>6420</v>
      </c>
      <c r="D362" s="2" t="s">
        <v>6423</v>
      </c>
      <c r="E362" s="3" t="str">
        <f ca="1">IFERROR(__xludf.DUMMYFUNCTION("GOOGLETRANSLATE(B362,""ja"",""vi"")"),"Túi xách, va li")</f>
        <v>Túi xách, va li</v>
      </c>
      <c r="F362" s="3" t="str">
        <f ca="1">IFERROR(__xludf.DUMMYFUNCTION("GOOGLETRANSLATE(C362,""ja"",""vi"")"),"Đấu giá&gt; Khác&gt; Cho thuê&gt; Thời trang&gt; túi, va li")</f>
        <v>Đấu giá&gt; Khác&gt; Cho thuê&gt; Thời trang&gt; túi, va li</v>
      </c>
      <c r="G362" s="229" t="str">
        <f t="shared" ca="1" si="10"/>
        <v>"2084307774" : "Túi xách, va li",</v>
      </c>
      <c r="H362" s="229" t="str">
        <f t="shared" si="11"/>
        <v>&lt;li class="col-md-3"&gt;&lt;a class="text-cut" href="javascript:;"(click)="categoryEvent(2084307774)"&gt;{{"2084307774" | translate}}&lt;/a&gt;&lt;/li&gt;</v>
      </c>
    </row>
    <row r="363" spans="1:8" ht="14.25" customHeight="1"/>
    <row r="364" spans="1:8" ht="14.25" customHeight="1"/>
    <row r="365" spans="1:8" ht="14.25" customHeight="1"/>
    <row r="366" spans="1:8" ht="14.25" customHeight="1"/>
    <row r="367" spans="1:8" ht="14.25" customHeight="1"/>
    <row r="368" spans="1: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242:D242"/>
    <mergeCell ref="A251:D251"/>
    <mergeCell ref="A25:D25"/>
    <mergeCell ref="A60:D60"/>
    <mergeCell ref="A99:D99"/>
    <mergeCell ref="A165:D165"/>
    <mergeCell ref="A126:D126"/>
    <mergeCell ref="A144:D144"/>
    <mergeCell ref="A193:D193"/>
    <mergeCell ref="A213:D213"/>
    <mergeCell ref="A231:D231"/>
    <mergeCell ref="A339:D339"/>
    <mergeCell ref="A264:D264"/>
    <mergeCell ref="A358:D358"/>
    <mergeCell ref="A273:D273"/>
    <mergeCell ref="A313:D313"/>
    <mergeCell ref="A303:D303"/>
    <mergeCell ref="A334:D334"/>
    <mergeCell ref="A324:D324"/>
    <mergeCell ref="A284:D284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0.5" customWidth="1"/>
    <col min="2" max="2" width="21.59765625" customWidth="1"/>
    <col min="3" max="3" width="48.09765625" customWidth="1"/>
    <col min="4" max="4" width="22.09765625" customWidth="1"/>
    <col min="5" max="5" width="7.59765625" customWidth="1"/>
    <col min="6" max="6" width="32.5" customWidth="1"/>
    <col min="7" max="7" width="26.5976562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26360</v>
      </c>
      <c r="B2" s="2" t="s">
        <v>3847</v>
      </c>
      <c r="C2" s="2" t="s">
        <v>3852</v>
      </c>
      <c r="D2" s="2" t="s">
        <v>3854</v>
      </c>
      <c r="E2" s="3" t="str">
        <f ca="1">IFERROR(__xludf.DUMMYFUNCTION("GOOGLETRANSLATE(B2,""ja"",""vi"")"),"ô tô cũ, ô tô mới")</f>
        <v>ô tô cũ, ô tô mới</v>
      </c>
      <c r="F2" s="3" t="str">
        <f ca="1">IFERROR(__xludf.DUMMYFUNCTION("GOOGLETRANSLATE(C2,""ja"",""vi"")"),"Đấu giá&gt; ô tô, xe máy&gt; ô tô cũ, ô tô mới")</f>
        <v>Đấu giá&gt; ô tô, xe máy&gt; ô tô cũ, ô tô mới</v>
      </c>
      <c r="G2" s="229" t="str">
        <f ca="1">CONCATENATE(CHAR(34)&amp;"",A2,""&amp;CHAR(34)," : ", CHAR(34)&amp;"",E2,""&amp;CHAR(34),",")</f>
        <v>"26360" : "ô tô cũ, ô tô mới",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href="javascript:;"(click)="categoryEvent(26360)"&gt;{{"26360" | translate}}&lt;/a&gt;&lt;/li&gt;</v>
      </c>
    </row>
    <row r="3" spans="1:8" ht="14.25" customHeight="1">
      <c r="A3" s="4">
        <v>2084315710</v>
      </c>
      <c r="B3" s="4" t="s">
        <v>3860</v>
      </c>
      <c r="C3" s="4" t="s">
        <v>3861</v>
      </c>
      <c r="D3" s="4" t="s">
        <v>3865</v>
      </c>
      <c r="E3" s="3" t="str">
        <f ca="1">IFERROR(__xludf.DUMMYFUNCTION("GOOGLETRANSLATE(B3,""ja"",""vi"")"),"Khai quật ô tô cũ")</f>
        <v>Khai quật ô tô cũ</v>
      </c>
      <c r="F3" s="3" t="str">
        <f ca="1">IFERROR(__xludf.DUMMYFUNCTION("GOOGLETRANSLATE(C3,""ja"",""vi"")"),"Đấu giá&gt; ô tô, xe máy&gt; đào ô tô đã qua sử dụng")</f>
        <v>Đấu giá&gt; ô tô, xe máy&gt; đào ô tô đã qua sử dụng</v>
      </c>
      <c r="G3" s="229" t="str">
        <f t="shared" ref="G3:G66" ca="1" si="0">CONCATENATE(CHAR(34)&amp;"",A3,""&amp;CHAR(34)," : ", CHAR(34)&amp;"",E3,""&amp;CHAR(34),",")</f>
        <v>"2084315710" : "Khai quật ô tô cũ",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href="javascript:;"(click)="categoryEvent(2084315710)"&gt;{{"2084315710" | translate}}&lt;/a&gt;&lt;/li&gt;</v>
      </c>
    </row>
    <row r="4" spans="1:8" ht="14.25" customHeight="1">
      <c r="A4" s="5">
        <v>26308</v>
      </c>
      <c r="B4" s="5" t="s">
        <v>3868</v>
      </c>
      <c r="C4" s="5" t="s">
        <v>3869</v>
      </c>
      <c r="D4" s="5" t="s">
        <v>3871</v>
      </c>
      <c r="E4" s="3" t="str">
        <f ca="1">IFERROR(__xludf.DUMMYFUNCTION("GOOGLETRANSLATE(B4,""ja"",""vi"")"),"xe mô tô")</f>
        <v>xe mô tô</v>
      </c>
      <c r="F4" s="3" t="str">
        <f ca="1">IFERROR(__xludf.DUMMYFUNCTION("GOOGLETRANSLATE(C4,""ja"",""vi"")"),"Đấu giá&gt; ô tô, xe máy&gt; xe máy")</f>
        <v>Đấu giá&gt; ô tô, xe máy&gt; xe máy</v>
      </c>
      <c r="G4" s="229" t="str">
        <f t="shared" ca="1" si="0"/>
        <v>"26308" : "xe mô tô",</v>
      </c>
      <c r="H4" s="229" t="str">
        <f t="shared" si="1"/>
        <v>&lt;li class="col-md-3"&gt;&lt;a class="text-cut" href="javascript:;"(click)="categoryEvent(26308)"&gt;{{"26308" | translate}}&lt;/a&gt;&lt;/li&gt;</v>
      </c>
    </row>
    <row r="5" spans="1:8" ht="14.25" customHeight="1">
      <c r="A5" s="8">
        <v>26322</v>
      </c>
      <c r="B5" s="8" t="s">
        <v>3876</v>
      </c>
      <c r="C5" s="8" t="s">
        <v>3878</v>
      </c>
      <c r="D5" s="8" t="s">
        <v>3880</v>
      </c>
      <c r="E5" s="3" t="str">
        <f ca="1">IFERROR(__xludf.DUMMYFUNCTION("GOOGLETRANSLATE(B5,""ja"",""vi"")"),"bộ phận")</f>
        <v>bộ phận</v>
      </c>
      <c r="F5" s="3" t="str">
        <f ca="1">IFERROR(__xludf.DUMMYFUNCTION("GOOGLETRANSLATE(C5,""ja"",""vi"")"),"Đấu giá&gt; ô tô, xe máy&gt; phụ tùng")</f>
        <v>Đấu giá&gt; ô tô, xe máy&gt; phụ tùng</v>
      </c>
      <c r="G5" s="229" t="str">
        <f t="shared" ca="1" si="0"/>
        <v>"26322" : "bộ phận",</v>
      </c>
      <c r="H5" s="229" t="str">
        <f t="shared" si="1"/>
        <v>&lt;li class="col-md-3"&gt;&lt;a class="text-cut" href="javascript:;"(click)="categoryEvent(26322)"&gt;{{"26322" | translate}}&lt;/a&gt;&lt;/li&gt;</v>
      </c>
    </row>
    <row r="6" spans="1:8" ht="14.25" customHeight="1">
      <c r="A6" s="6">
        <v>2084300257</v>
      </c>
      <c r="B6" s="6" t="s">
        <v>3883</v>
      </c>
      <c r="C6" s="6" t="s">
        <v>3884</v>
      </c>
      <c r="D6" s="6" t="s">
        <v>3885</v>
      </c>
      <c r="E6" s="3" t="str">
        <f ca="1">IFERROR(__xludf.DUMMYFUNCTION("GOOGLETRANSLATE(B6,""ja"",""vi"")"),"Lốp xe, bánh xe")</f>
        <v>Lốp xe, bánh xe</v>
      </c>
      <c r="F6" s="3" t="str">
        <f ca="1">IFERROR(__xludf.DUMMYFUNCTION("GOOGLETRANSLATE(C6,""ja"",""vi"")"),"Đấu giá&gt; ô tô, xe máy&gt; lốp xe, bánh xe")</f>
        <v>Đấu giá&gt; ô tô, xe máy&gt; lốp xe, bánh xe</v>
      </c>
      <c r="G6" s="229" t="str">
        <f t="shared" ca="1" si="0"/>
        <v>"2084300257" : "Lốp xe, bánh xe",</v>
      </c>
      <c r="H6" s="229" t="str">
        <f t="shared" si="1"/>
        <v>&lt;li class="col-md-3"&gt;&lt;a class="text-cut" href="javascript:;"(click)="categoryEvent(2084300257)"&gt;{{"2084300257" | translate}}&lt;/a&gt;&lt;/li&gt;</v>
      </c>
    </row>
    <row r="7" spans="1:8" ht="14.25" customHeight="1">
      <c r="A7" s="9">
        <v>2084048326</v>
      </c>
      <c r="B7" s="9" t="s">
        <v>3892</v>
      </c>
      <c r="C7" s="9" t="s">
        <v>3893</v>
      </c>
      <c r="D7" s="9" t="s">
        <v>3894</v>
      </c>
      <c r="E7" s="3" t="str">
        <f ca="1">IFERROR(__xludf.DUMMYFUNCTION("GOOGLETRANSLATE(B7,""ja"",""vi"")"),"ETC")</f>
        <v>ETC</v>
      </c>
      <c r="F7" s="3" t="str">
        <f ca="1">IFERROR(__xludf.DUMMYFUNCTION("GOOGLETRANSLATE(C7,""ja"",""vi"")"),"Đấu giá&gt; ô tô, xe máy&gt; ETC")</f>
        <v>Đấu giá&gt; ô tô, xe máy&gt; ETC</v>
      </c>
      <c r="G7" s="229" t="str">
        <f t="shared" ca="1" si="0"/>
        <v>"2084048326" : "ETC",</v>
      </c>
      <c r="H7" s="229" t="str">
        <f t="shared" si="1"/>
        <v>&lt;li class="col-md-3"&gt;&lt;a class="text-cut" href="javascript:;"(click)="categoryEvent(2084048326)"&gt;{{"2084048326" | translate}}&lt;/a&gt;&lt;/li&gt;</v>
      </c>
    </row>
    <row r="8" spans="1:8" ht="14.25" customHeight="1">
      <c r="A8" s="7">
        <v>23879</v>
      </c>
      <c r="B8" s="7" t="s">
        <v>3898</v>
      </c>
      <c r="C8" s="7" t="s">
        <v>3901</v>
      </c>
      <c r="D8" s="7" t="s">
        <v>3902</v>
      </c>
      <c r="E8" s="3" t="str">
        <f ca="1">IFERROR(__xludf.DUMMYFUNCTION("GOOGLETRANSLATE(B8,""ja"",""vi"")"),"hệ thống định vị xe")</f>
        <v>hệ thống định vị xe</v>
      </c>
      <c r="F8" s="3" t="str">
        <f ca="1">IFERROR(__xludf.DUMMYFUNCTION("GOOGLETRANSLATE(C8,""ja"",""vi"")"),"Đấu giá&gt; ô tô, xe máy&gt; hệ thống định vị xe")</f>
        <v>Đấu giá&gt; ô tô, xe máy&gt; hệ thống định vị xe</v>
      </c>
      <c r="G8" s="229" t="str">
        <f t="shared" ca="1" si="0"/>
        <v>"23879" : "hệ thống định vị xe",</v>
      </c>
      <c r="H8" s="229" t="str">
        <f t="shared" si="1"/>
        <v>&lt;li class="col-md-3"&gt;&lt;a class="text-cut" href="javascript:;"(click)="categoryEvent(23879)"&gt;{{"23879" | translate}}&lt;/a&gt;&lt;/li&gt;</v>
      </c>
    </row>
    <row r="9" spans="1:8" ht="14.25" customHeight="1">
      <c r="A9" s="41">
        <v>23852</v>
      </c>
      <c r="B9" s="41" t="s">
        <v>3910</v>
      </c>
      <c r="C9" s="41" t="s">
        <v>3912</v>
      </c>
      <c r="D9" s="41" t="s">
        <v>3914</v>
      </c>
      <c r="E9" s="3" t="str">
        <f ca="1">IFERROR(__xludf.DUMMYFUNCTION("GOOGLETRANSLATE(B9,""ja"",""vi"")"),"Car Audio")</f>
        <v>Car Audio</v>
      </c>
      <c r="F9" s="3" t="str">
        <f ca="1">IFERROR(__xludf.DUMMYFUNCTION("GOOGLETRANSLATE(C9,""ja"",""vi"")"),"Đấu giá&gt; ô tô, xe máy&gt; Car Audio")</f>
        <v>Đấu giá&gt; ô tô, xe máy&gt; Car Audio</v>
      </c>
      <c r="G9" s="229" t="str">
        <f t="shared" ca="1" si="0"/>
        <v>"23852" : "Car Audio",</v>
      </c>
      <c r="H9" s="229" t="str">
        <f t="shared" si="1"/>
        <v>&lt;li class="col-md-3"&gt;&lt;a class="text-cut" href="javascript:;"(click)="categoryEvent(23852)"&gt;{{"23852" | translate}}&lt;/a&gt;&lt;/li&gt;</v>
      </c>
    </row>
    <row r="10" spans="1:8" ht="14.25" customHeight="1">
      <c r="A10" s="16">
        <v>26320</v>
      </c>
      <c r="B10" s="16" t="s">
        <v>2182</v>
      </c>
      <c r="C10" s="16" t="s">
        <v>3919</v>
      </c>
      <c r="D10" s="16" t="s">
        <v>3920</v>
      </c>
      <c r="E10" s="3" t="str">
        <f ca="1">IFERROR(__xludf.DUMMYFUNCTION("GOOGLETRANSLATE(B10,""ja"",""vi"")"),"phụ kiện")</f>
        <v>phụ kiện</v>
      </c>
      <c r="F10" s="3" t="str">
        <f ca="1">IFERROR(__xludf.DUMMYFUNCTION("GOOGLETRANSLATE(C10,""ja"",""vi"")"),"Đấu giá&gt; ô tô, xe máy&gt; Phụ kiện")</f>
        <v>Đấu giá&gt; ô tô, xe máy&gt; Phụ kiện</v>
      </c>
      <c r="G10" s="229" t="str">
        <f t="shared" ca="1" si="0"/>
        <v>"26320" : "phụ kiện",</v>
      </c>
      <c r="H10" s="229" t="str">
        <f t="shared" si="1"/>
        <v>&lt;li class="col-md-3"&gt;&lt;a class="text-cut" href="javascript:;"(click)="categoryEvent(26320)"&gt;{{"26320" | translate}}&lt;/a&gt;&lt;/li&gt;</v>
      </c>
    </row>
    <row r="11" spans="1:8" ht="14.25" customHeight="1">
      <c r="A11" s="43">
        <v>2084005798</v>
      </c>
      <c r="B11" s="43" t="s">
        <v>3926</v>
      </c>
      <c r="C11" s="43" t="s">
        <v>3928</v>
      </c>
      <c r="D11" s="43" t="s">
        <v>3929</v>
      </c>
      <c r="E11" s="3" t="str">
        <f ca="1">IFERROR(__xludf.DUMMYFUNCTION("GOOGLETRANSLATE(B11,""ja"",""vi"")"),"sự an toàn")</f>
        <v>sự an toàn</v>
      </c>
      <c r="F11" s="3" t="str">
        <f ca="1">IFERROR(__xludf.DUMMYFUNCTION("GOOGLETRANSLATE(C11,""ja"",""vi"")"),"Đấu giá&gt; ô tô, xe máy&gt; An toàn")</f>
        <v>Đấu giá&gt; ô tô, xe máy&gt; An toàn</v>
      </c>
      <c r="G11" s="229" t="str">
        <f t="shared" ca="1" si="0"/>
        <v>"2084005798" : "sự an toàn",</v>
      </c>
      <c r="H11" s="229" t="str">
        <f t="shared" si="1"/>
        <v>&lt;li class="col-md-3"&gt;&lt;a class="text-cut" href="javascript:;"(click)="categoryEvent(2084005798)"&gt;{{"2084005798" | translate}}&lt;/a&gt;&lt;/li&gt;</v>
      </c>
    </row>
    <row r="12" spans="1:8" ht="14.25" customHeight="1">
      <c r="A12" s="45">
        <v>2084005799</v>
      </c>
      <c r="B12" s="45" t="s">
        <v>3230</v>
      </c>
      <c r="C12" s="45" t="s">
        <v>3934</v>
      </c>
      <c r="D12" s="45" t="s">
        <v>3936</v>
      </c>
      <c r="E12" s="3" t="str">
        <f ca="1">IFERROR(__xludf.DUMMYFUNCTION("GOOGLETRANSLATE(B12,""ja"",""vi"")"),"an ninh")</f>
        <v>an ninh</v>
      </c>
      <c r="F12" s="3" t="str">
        <f ca="1">IFERROR(__xludf.DUMMYFUNCTION("GOOGLETRANSLATE(C12,""ja"",""vi"")"),"Đấu giá&gt; ô tô, xe máy&gt; an ninh")</f>
        <v>Đấu giá&gt; ô tô, xe máy&gt; an ninh</v>
      </c>
      <c r="G12" s="229" t="str">
        <f t="shared" ca="1" si="0"/>
        <v>"2084005799" : "an ninh",</v>
      </c>
      <c r="H12" s="229" t="str">
        <f t="shared" si="1"/>
        <v>&lt;li class="col-md-3"&gt;&lt;a class="text-cut" href="javascript:;"(click)="categoryEvent(2084005799)"&gt;{{"2084005799" | translate}}&lt;/a&gt;&lt;/li&gt;</v>
      </c>
    </row>
    <row r="13" spans="1:8" ht="14.25" customHeight="1">
      <c r="A13" s="48">
        <v>26092</v>
      </c>
      <c r="B13" s="48" t="s">
        <v>3941</v>
      </c>
      <c r="C13" s="48" t="s">
        <v>3944</v>
      </c>
      <c r="D13" s="48" t="s">
        <v>3948</v>
      </c>
      <c r="E13" s="3" t="str">
        <f ca="1">IFERROR(__xludf.DUMMYFUNCTION("GOOGLETRANSLATE(B13,""ja"",""vi"")"),"bảo trì")</f>
        <v>bảo trì</v>
      </c>
      <c r="F13" s="3" t="str">
        <f ca="1">IFERROR(__xludf.DUMMYFUNCTION("GOOGLETRANSLATE(C13,""ja"",""vi"")"),"Đấu giá&gt; ô tô, xe máy&gt; bảo trì")</f>
        <v>Đấu giá&gt; ô tô, xe máy&gt; bảo trì</v>
      </c>
      <c r="G13" s="229" t="str">
        <f t="shared" ca="1" si="0"/>
        <v>"26092" : "bảo trì",</v>
      </c>
      <c r="H13" s="229" t="str">
        <f t="shared" si="1"/>
        <v>&lt;li class="col-md-3"&gt;&lt;a class="text-cut" href="javascript:;"(click)="categoryEvent(26092)"&gt;{{"26092" | translate}}&lt;/a&gt;&lt;/li&gt;</v>
      </c>
    </row>
    <row r="14" spans="1:8" ht="14.25" customHeight="1">
      <c r="A14" s="50">
        <v>26362</v>
      </c>
      <c r="B14" s="50" t="s">
        <v>3952</v>
      </c>
      <c r="C14" s="50" t="s">
        <v>3954</v>
      </c>
      <c r="D14" s="50" t="s">
        <v>3956</v>
      </c>
      <c r="E14" s="3" t="str">
        <f ca="1">IFERROR(__xludf.DUMMYFUNCTION("GOOGLETRANSLATE(B14,""ja"",""vi"")"),"Xe tải, bãi chứa, máy móc xây dựng")</f>
        <v>Xe tải, bãi chứa, máy móc xây dựng</v>
      </c>
      <c r="F14" s="3" t="str">
        <f ca="1">IFERROR(__xludf.DUMMYFUNCTION("GOOGLETRANSLATE(C14,""ja"",""vi"")"),"Đấu giá&gt; ô tô, xe máy&gt; xe tải, bãi, máy móc xây dựng")</f>
        <v>Đấu giá&gt; ô tô, xe máy&gt; xe tải, bãi, máy móc xây dựng</v>
      </c>
      <c r="G14" s="229" t="str">
        <f t="shared" ca="1" si="0"/>
        <v>"26362" : "Xe tải, bãi chứa, máy móc xây dựng",</v>
      </c>
      <c r="H14" s="229" t="str">
        <f t="shared" si="1"/>
        <v>&lt;li class="col-md-3"&gt;&lt;a class="text-cut" href="javascript:;"(click)="categoryEvent(26362)"&gt;{{"26362" | translate}}&lt;/a&gt;&lt;/li&gt;</v>
      </c>
    </row>
    <row r="15" spans="1:8" ht="14.25" customHeight="1">
      <c r="A15" s="53">
        <v>2084008324</v>
      </c>
      <c r="B15" s="53" t="s">
        <v>2339</v>
      </c>
      <c r="C15" s="53" t="s">
        <v>3963</v>
      </c>
      <c r="D15" s="53" t="s">
        <v>3966</v>
      </c>
      <c r="E15" s="3" t="str">
        <f ca="1">IFERROR(__xludf.DUMMYFUNCTION("GOOGLETRANSLATE(B15,""ja"",""vi"")"),"xe buýt")</f>
        <v>xe buýt</v>
      </c>
      <c r="F15" s="3" t="str">
        <f ca="1">IFERROR(__xludf.DUMMYFUNCTION("GOOGLETRANSLATE(C15,""ja"",""vi"")"),"Đấu giá&gt; ô tô, xe máy&gt; xe buýt")</f>
        <v>Đấu giá&gt; ô tô, xe máy&gt; xe buýt</v>
      </c>
      <c r="G15" s="229" t="str">
        <f t="shared" ca="1" si="0"/>
        <v>"2084008324" : "xe buýt",</v>
      </c>
      <c r="H15" s="229" t="str">
        <f t="shared" si="1"/>
        <v>&lt;li class="col-md-3"&gt;&lt;a class="text-cut" href="javascript:;"(click)="categoryEvent(2084008324)"&gt;{{"2084008324" | translate}}&lt;/a&gt;&lt;/li&gt;</v>
      </c>
    </row>
    <row r="16" spans="1:8" ht="14.25" customHeight="1">
      <c r="A16" s="56">
        <v>2084049594</v>
      </c>
      <c r="B16" s="56" t="s">
        <v>3972</v>
      </c>
      <c r="C16" s="56" t="s">
        <v>3976</v>
      </c>
      <c r="D16" s="56" t="s">
        <v>3977</v>
      </c>
      <c r="E16" s="3" t="str">
        <f ca="1">IFERROR(__xludf.DUMMYFUNCTION("GOOGLETRANSLATE(B16,""ja"",""vi"")"),"Camper (cơ thể)")</f>
        <v>Camper (cơ thể)</v>
      </c>
      <c r="F16" s="3" t="str">
        <f ca="1">IFERROR(__xludf.DUMMYFUNCTION("GOOGLETRANSLATE(C16,""ja"",""vi"")"),"Đấu giá&gt; ô tô, xe máy&gt; camper (cơ thể)")</f>
        <v>Đấu giá&gt; ô tô, xe máy&gt; camper (cơ thể)</v>
      </c>
      <c r="G16" s="229" t="str">
        <f t="shared" ca="1" si="0"/>
        <v>"2084049594" : "Camper (cơ thể)",</v>
      </c>
      <c r="H16" s="229" t="str">
        <f t="shared" si="1"/>
        <v>&lt;li class="col-md-3"&gt;&lt;a class="text-cut" href="javascript:;"(click)="categoryEvent(2084049594)"&gt;{{"2084049594" | translate}}&lt;/a&gt;&lt;/li&gt;</v>
      </c>
    </row>
    <row r="17" spans="1:8" ht="14.25" customHeight="1">
      <c r="A17" s="59">
        <v>2084061280</v>
      </c>
      <c r="B17" s="59" t="s">
        <v>3983</v>
      </c>
      <c r="C17" s="59" t="s">
        <v>3987</v>
      </c>
      <c r="D17" s="59" t="s">
        <v>3989</v>
      </c>
      <c r="E17" s="3" t="str">
        <f ca="1">IFERROR(__xludf.DUMMYFUNCTION("GOOGLETRANSLATE(B17,""ja"",""vi"")"),"Phần xe hái")</f>
        <v>Phần xe hái</v>
      </c>
      <c r="F17" s="3" t="str">
        <f ca="1">IFERROR(__xludf.DUMMYFUNCTION("GOOGLETRANSLATE(C17,""ja"",""vi"")"),"Đấu giá&gt; ô tô, xe máy&gt; phụ tùng xe lên")</f>
        <v>Đấu giá&gt; ô tô, xe máy&gt; phụ tùng xe lên</v>
      </c>
      <c r="G17" s="229" t="str">
        <f t="shared" ca="1" si="0"/>
        <v>"2084061280" : "Phần xe hái",</v>
      </c>
      <c r="H17" s="229" t="str">
        <f t="shared" si="1"/>
        <v>&lt;li class="col-md-3"&gt;&lt;a class="text-cut" href="javascript:;"(click)="categoryEvent(2084061280)"&gt;{{"2084061280" | translate}}&lt;/a&gt;&lt;/li&gt;</v>
      </c>
    </row>
    <row r="18" spans="1:8" ht="14.25" customHeight="1">
      <c r="A18" s="63">
        <v>24650</v>
      </c>
      <c r="B18" s="63" t="s">
        <v>3998</v>
      </c>
      <c r="C18" s="63" t="s">
        <v>4001</v>
      </c>
      <c r="D18" s="63" t="s">
        <v>4003</v>
      </c>
      <c r="E18" s="3" t="str">
        <f ca="1">IFERROR(__xludf.DUMMYFUNCTION("GOOGLETRANSLATE(B18,""ja"",""vi"")"),"dụng cụ")</f>
        <v>dụng cụ</v>
      </c>
      <c r="F18" s="3" t="str">
        <f ca="1">IFERROR(__xludf.DUMMYFUNCTION("GOOGLETRANSLATE(C18,""ja"",""vi"")"),"Đấu giá&gt; ô tô, xe máy&gt; công cụ")</f>
        <v>Đấu giá&gt; ô tô, xe máy&gt; công cụ</v>
      </c>
      <c r="G18" s="229" t="str">
        <f t="shared" ca="1" si="0"/>
        <v>"24650" : "dụng cụ",</v>
      </c>
      <c r="H18" s="229" t="str">
        <f t="shared" si="1"/>
        <v>&lt;li class="col-md-3"&gt;&lt;a class="text-cut" href="javascript:;"(click)="categoryEvent(24650)"&gt;{{"24650" | translate}}&lt;/a&gt;&lt;/li&gt;</v>
      </c>
    </row>
    <row r="19" spans="1:8" ht="14.25" customHeight="1">
      <c r="A19" s="65">
        <v>2084005545</v>
      </c>
      <c r="B19" s="65" t="s">
        <v>4012</v>
      </c>
      <c r="C19" s="65" t="s">
        <v>4013</v>
      </c>
      <c r="D19" s="65" t="s">
        <v>4014</v>
      </c>
      <c r="E19" s="3" t="str">
        <f ca="1">IFERROR(__xludf.DUMMYFUNCTION("GOOGLETRANSLATE(B19,""ja"",""vi"")"),"Catalogue, danh sách phần, cuốn sách dịch vụ")</f>
        <v>Catalogue, danh sách phần, cuốn sách dịch vụ</v>
      </c>
      <c r="F19" s="3" t="str">
        <f ca="1">IFERROR(__xludf.DUMMYFUNCTION("GOOGLETRANSLATE(C19,""ja"",""vi"")"),"Đấu giá&gt; ô tô, xe máy&gt; Catalogue, danh sách phần, cuốn sách dịch vụ")</f>
        <v>Đấu giá&gt; ô tô, xe máy&gt; Catalogue, danh sách phần, cuốn sách dịch vụ</v>
      </c>
      <c r="G19" s="229" t="str">
        <f t="shared" ca="1" si="0"/>
        <v>"2084005545" : "Catalogue, danh sách phần, cuốn sách dịch vụ",</v>
      </c>
      <c r="H19" s="229" t="str">
        <f t="shared" si="1"/>
        <v>&lt;li class="col-md-3"&gt;&lt;a class="text-cut" href="javascript:;"(click)="categoryEvent(2084005545)"&gt;{{"2084005545" | translate}}&lt;/a&gt;&lt;/li&gt;</v>
      </c>
    </row>
    <row r="20" spans="1:8" ht="14.25" customHeight="1">
      <c r="A20" s="77">
        <v>2084005546</v>
      </c>
      <c r="B20" s="77" t="s">
        <v>4023</v>
      </c>
      <c r="C20" s="77" t="s">
        <v>4024</v>
      </c>
      <c r="D20" s="77" t="s">
        <v>4025</v>
      </c>
      <c r="E20" s="3" t="str">
        <f ca="1">IFERROR(__xludf.DUMMYFUNCTION("GOOGLETRANSLATE(B20,""ja"",""vi"")"),"hàng hóa liên quan đến ô tô")</f>
        <v>hàng hóa liên quan đến ô tô</v>
      </c>
      <c r="F20" s="3" t="str">
        <f ca="1">IFERROR(__xludf.DUMMYFUNCTION("GOOGLETRANSLATE(C20,""ja"",""vi"")"),"Đấu giá&gt; ô tô, xe máy&gt; hàng ô tô liên quan đến")</f>
        <v>Đấu giá&gt; ô tô, xe máy&gt; hàng ô tô liên quan đến</v>
      </c>
      <c r="G20" s="229" t="str">
        <f t="shared" ca="1" si="0"/>
        <v>"2084005546" : "hàng hóa liên quan đến ô tô",</v>
      </c>
      <c r="H20" s="229" t="str">
        <f t="shared" si="1"/>
        <v>&lt;li class="col-md-3"&gt;&lt;a class="text-cut" href="javascript:;"(click)="categoryEvent(2084005546)"&gt;{{"2084005546" | translate}}&lt;/a&gt;&lt;/li&gt;</v>
      </c>
    </row>
    <row r="21" spans="1:8" ht="14.25" customHeight="1">
      <c r="A21" s="78">
        <v>26324</v>
      </c>
      <c r="B21" s="78" t="s">
        <v>205</v>
      </c>
      <c r="C21" s="78" t="s">
        <v>4031</v>
      </c>
      <c r="D21" s="78" t="s">
        <v>4032</v>
      </c>
      <c r="E21" s="3" t="str">
        <f ca="1">IFERROR(__xludf.DUMMYFUNCTION("GOOGLETRANSLATE(B21,""ja"",""vi"")"),"Antique, bộ sưu tập")</f>
        <v>Antique, bộ sưu tập</v>
      </c>
      <c r="F21" s="3" t="str">
        <f ca="1">IFERROR(__xludf.DUMMYFUNCTION("GOOGLETRANSLATE(C21,""ja"",""vi"")"),"Đấu giá&gt; ô tô, xe máy&gt; cổ, bộ sưu tập")</f>
        <v>Đấu giá&gt; ô tô, xe máy&gt; cổ, bộ sưu tập</v>
      </c>
      <c r="G21" s="229" t="str">
        <f t="shared" ca="1" si="0"/>
        <v>"26324" : "Antique, bộ sưu tập",</v>
      </c>
      <c r="H21" s="229" t="str">
        <f t="shared" si="1"/>
        <v>&lt;li class="col-md-3"&gt;&lt;a class="text-cut" href="javascript:;"(click)="categoryEvent(26324)"&gt;{{"26324" | translate}}&lt;/a&gt;&lt;/li&gt;</v>
      </c>
    </row>
    <row r="22" spans="1:8" ht="14.25" customHeight="1">
      <c r="A22" s="79">
        <v>2084019952</v>
      </c>
      <c r="B22" s="79" t="s">
        <v>386</v>
      </c>
      <c r="C22" s="79" t="s">
        <v>4041</v>
      </c>
      <c r="D22" s="79" t="s">
        <v>4043</v>
      </c>
      <c r="E22" s="3" t="str">
        <f ca="1">IFERROR(__xludf.DUMMYFUNCTION("GOOGLETRANSLATE(B22,""ja"",""vi"")"),"video")</f>
        <v>video</v>
      </c>
      <c r="F22" s="3" t="str">
        <f ca="1">IFERROR(__xludf.DUMMYFUNCTION("GOOGLETRANSLATE(C22,""ja"",""vi"")"),"Đấu giá&gt; ô tô, xe máy&gt; Video")</f>
        <v>Đấu giá&gt; ô tô, xe máy&gt; Video</v>
      </c>
      <c r="G22" s="229" t="str">
        <f t="shared" ca="1" si="0"/>
        <v>"2084019952" : "video",</v>
      </c>
      <c r="H22" s="229" t="str">
        <f t="shared" si="1"/>
        <v>&lt;li class="col-md-3"&gt;&lt;a class="text-cut" href="javascript:;"(click)="categoryEvent(2084019952)"&gt;{{"2084019952" | translate}}&lt;/a&gt;&lt;/li&gt;</v>
      </c>
    </row>
    <row r="23" spans="1:8" ht="14.25" customHeight="1">
      <c r="A23" s="76">
        <v>2084018483</v>
      </c>
      <c r="B23" s="76" t="s">
        <v>4049</v>
      </c>
      <c r="C23" s="76" t="s">
        <v>4051</v>
      </c>
      <c r="D23" s="76" t="s">
        <v>4052</v>
      </c>
      <c r="E23" s="3" t="str">
        <f ca="1">IFERROR(__xludf.DUMMYFUNCTION("GOOGLETRANSLATE(B23,""ja"",""vi"")"),"đua giỏ hàng")</f>
        <v>đua giỏ hàng</v>
      </c>
      <c r="F23" s="3" t="str">
        <f ca="1">IFERROR(__xludf.DUMMYFUNCTION("GOOGLETRANSLATE(C23,""ja"",""vi"")"),"Đấu giá&gt; ô tô, xe máy&gt; đua giỏ hàng")</f>
        <v>Đấu giá&gt; ô tô, xe máy&gt; đua giỏ hàng</v>
      </c>
      <c r="G23" s="229" t="str">
        <f t="shared" ca="1" si="0"/>
        <v>"2084018483" : "đua giỏ hàng",</v>
      </c>
      <c r="H23" s="229" t="str">
        <f t="shared" si="1"/>
        <v>&lt;li class="col-md-3"&gt;&lt;a class="text-cut" href="javascript:;"(click)="categoryEvent(2084018483)"&gt;{{"2084018483" | translate}}&lt;/a&gt;&lt;/li&gt;</v>
      </c>
    </row>
    <row r="24" spans="1:8" ht="14.25" customHeight="1">
      <c r="A24" s="75">
        <v>2084045639</v>
      </c>
      <c r="B24" s="75" t="s">
        <v>4056</v>
      </c>
      <c r="C24" s="75" t="s">
        <v>4057</v>
      </c>
      <c r="D24" s="75" t="s">
        <v>4058</v>
      </c>
      <c r="E24" s="3" t="str">
        <f ca="1">IFERROR(__xludf.DUMMYFUNCTION("GOOGLETRANSLATE(B24,""ja"",""vi"")"),"Motor-hỗ trợ xe đạp")</f>
        <v>Motor-hỗ trợ xe đạp</v>
      </c>
      <c r="F24" s="3" t="str">
        <f ca="1">IFERROR(__xludf.DUMMYFUNCTION("GOOGLETRANSLATE(C24,""ja"",""vi"")"),"Đấu giá&gt; ô tô, xe máy&gt; xe đạp động cơ hỗ trợ")</f>
        <v>Đấu giá&gt; ô tô, xe máy&gt; xe đạp động cơ hỗ trợ</v>
      </c>
      <c r="G24" s="229" t="str">
        <f t="shared" ca="1" si="0"/>
        <v>"2084045639" : "Motor-hỗ trợ xe đạp",</v>
      </c>
      <c r="H24" s="229" t="str">
        <f t="shared" si="1"/>
        <v>&lt;li class="col-md-3"&gt;&lt;a class="text-cut" href="javascript:;"(click)="categoryEvent(2084045639)"&gt;{{"2084045639" | translate}}&lt;/a&gt;&lt;/li&gt;</v>
      </c>
    </row>
    <row r="25" spans="1:8" ht="14.25" customHeight="1">
      <c r="A25" s="72">
        <v>2084008871</v>
      </c>
      <c r="B25" s="72" t="s">
        <v>162</v>
      </c>
      <c r="C25" s="72" t="s">
        <v>4065</v>
      </c>
      <c r="D25" s="72" t="s">
        <v>4067</v>
      </c>
      <c r="E25" s="3" t="str">
        <f ca="1">IFERROR(__xludf.DUMMYFUNCTION("GOOGLETRANSLATE(B25,""ja"",""vi"")"),"Sách, tạp chí")</f>
        <v>Sách, tạp chí</v>
      </c>
      <c r="F25" s="3" t="str">
        <f ca="1">IFERROR(__xludf.DUMMYFUNCTION("GOOGLETRANSLATE(C25,""ja"",""vi"")"),"Đấu giá&gt; ô tô, xe máy&gt; sách, tạp chí")</f>
        <v>Đấu giá&gt; ô tô, xe máy&gt; sách, tạp chí</v>
      </c>
      <c r="G25" s="229" t="str">
        <f t="shared" ca="1" si="0"/>
        <v>"2084008871" : "Sách, tạp chí",</v>
      </c>
      <c r="H25" s="229" t="str">
        <f t="shared" si="1"/>
        <v>&lt;li class="col-md-3"&gt;&lt;a class="text-cut" href="javascript:;"(click)="categoryEvent(2084008871)"&gt;{{"2084008871" | translate}}&lt;/a&gt;&lt;/li&gt;</v>
      </c>
    </row>
    <row r="26" spans="1:8" ht="14.25" customHeight="1">
      <c r="A26" s="81">
        <v>2084214141</v>
      </c>
      <c r="B26" s="81" t="s">
        <v>4073</v>
      </c>
      <c r="C26" s="81" t="s">
        <v>4074</v>
      </c>
      <c r="D26" s="81" t="s">
        <v>4076</v>
      </c>
      <c r="E26" s="3" t="str">
        <f ca="1">IFERROR(__xludf.DUMMYFUNCTION("GOOGLETRANSLATE(B26,""ja"",""vi"")"),"dịch vụ lắp đặt")</f>
        <v>dịch vụ lắp đặt</v>
      </c>
      <c r="F26" s="3" t="str">
        <f ca="1">IFERROR(__xludf.DUMMYFUNCTION("GOOGLETRANSLATE(C26,""ja"",""vi"")"),"Đấu giá&gt; ô tô, xe máy&gt; Dịch vụ lắp đặt")</f>
        <v>Đấu giá&gt; ô tô, xe máy&gt; Dịch vụ lắp đặt</v>
      </c>
      <c r="G26" s="229" t="str">
        <f t="shared" ca="1" si="0"/>
        <v>"2084214141" : "dịch vụ lắp đặt",</v>
      </c>
      <c r="H26" s="229" t="str">
        <f t="shared" si="1"/>
        <v>&lt;li class="col-md-3"&gt;&lt;a class="text-cut" href="javascript:;"(click)="categoryEvent(2084214141)"&gt;{{"2084214141" | translate}}&lt;/a&gt;&lt;/li&gt;</v>
      </c>
    </row>
    <row r="27" spans="1:8" ht="14.25" customHeight="1">
      <c r="E27" s="3"/>
      <c r="F27" s="3"/>
      <c r="G27" s="229"/>
      <c r="H27" s="229"/>
    </row>
    <row r="28" spans="1:8" ht="14.25" customHeight="1">
      <c r="A28" s="231">
        <v>26360</v>
      </c>
      <c r="B28" s="232"/>
      <c r="C28" s="232"/>
      <c r="D28" s="233"/>
      <c r="E28" s="3"/>
      <c r="F28" s="3"/>
      <c r="G28" s="229"/>
      <c r="H28" s="229"/>
    </row>
    <row r="29" spans="1:8" ht="14.25" customHeight="1">
      <c r="A29" s="2">
        <v>2084007642</v>
      </c>
      <c r="B29" s="2" t="s">
        <v>4089</v>
      </c>
      <c r="C29" s="2" t="s">
        <v>4090</v>
      </c>
      <c r="D29" s="2" t="s">
        <v>4092</v>
      </c>
      <c r="E29" s="3" t="str">
        <f ca="1">IFERROR(__xludf.DUMMYFUNCTION("GOOGLETRANSLATE(B29,""ja"",""vi"")"),"Toyota")</f>
        <v>Toyota</v>
      </c>
      <c r="F29" s="3" t="str">
        <f ca="1">IFERROR(__xludf.DUMMYFUNCTION("GOOGLETRANSLATE(C29,""ja"",""vi"")"),"Đấu giá&gt; ô tô, xe máy&gt; ô tô cũ, ô tô mới&gt; Toyota")</f>
        <v>Đấu giá&gt; ô tô, xe máy&gt; ô tô cũ, ô tô mới&gt; Toyota</v>
      </c>
      <c r="G29" s="229" t="str">
        <f t="shared" ca="1" si="0"/>
        <v>"2084007642" : "Toyota",</v>
      </c>
      <c r="H29" s="229" t="str">
        <f t="shared" si="1"/>
        <v>&lt;li class="col-md-3"&gt;&lt;a class="text-cut" href="javascript:;"(click)="categoryEvent(2084007642)"&gt;{{"2084007642" | translate}}&lt;/a&gt;&lt;/li&gt;</v>
      </c>
    </row>
    <row r="30" spans="1:8" ht="14.25" customHeight="1">
      <c r="A30" s="2">
        <v>2084200156</v>
      </c>
      <c r="B30" s="2" t="s">
        <v>4097</v>
      </c>
      <c r="C30" s="2" t="s">
        <v>4098</v>
      </c>
      <c r="D30" s="2" t="s">
        <v>4099</v>
      </c>
      <c r="E30" s="3" t="str">
        <f ca="1">IFERROR(__xludf.DUMMYFUNCTION("GOOGLETRANSLATE(B30,""ja"",""vi"")"),"Lexus")</f>
        <v>Lexus</v>
      </c>
      <c r="F30" s="3" t="str">
        <f ca="1">IFERROR(__xludf.DUMMYFUNCTION("GOOGLETRANSLATE(C30,""ja"",""vi"")"),"Đấu giá&gt; ô tô, xe máy&gt; ô tô cũ, ô tô mới&gt; Lexus")</f>
        <v>Đấu giá&gt; ô tô, xe máy&gt; ô tô cũ, ô tô mới&gt; Lexus</v>
      </c>
      <c r="G30" s="229" t="str">
        <f t="shared" ca="1" si="0"/>
        <v>"2084200156" : "Lexus",</v>
      </c>
      <c r="H30" s="229" t="str">
        <f t="shared" si="1"/>
        <v>&lt;li class="col-md-3"&gt;&lt;a class="text-cut" href="javascript:;"(click)="categoryEvent(2084200156)"&gt;{{"2084200156" | translate}}&lt;/a&gt;&lt;/li&gt;</v>
      </c>
    </row>
    <row r="31" spans="1:8" ht="14.25" customHeight="1">
      <c r="A31" s="2">
        <v>2084007652</v>
      </c>
      <c r="B31" s="2" t="s">
        <v>4105</v>
      </c>
      <c r="C31" s="2" t="s">
        <v>4106</v>
      </c>
      <c r="D31" s="2" t="s">
        <v>4108</v>
      </c>
      <c r="E31" s="3" t="str">
        <f ca="1">IFERROR(__xludf.DUMMYFUNCTION("GOOGLETRANSLATE(B31,""ja"",""vi"")"),"Isuzu")</f>
        <v>Isuzu</v>
      </c>
      <c r="F31" s="3" t="str">
        <f ca="1">IFERROR(__xludf.DUMMYFUNCTION("GOOGLETRANSLATE(C31,""ja"",""vi"")"),"Đấu giá&gt; ô tô, xe máy&gt; ô tô cũ, ô tô mới&gt; Isuzu")</f>
        <v>Đấu giá&gt; ô tô, xe máy&gt; ô tô cũ, ô tô mới&gt; Isuzu</v>
      </c>
      <c r="G31" s="229" t="str">
        <f t="shared" ca="1" si="0"/>
        <v>"2084007652" : "Isuzu",</v>
      </c>
      <c r="H31" s="229" t="str">
        <f t="shared" si="1"/>
        <v>&lt;li class="col-md-3"&gt;&lt;a class="text-cut" href="javascript:;"(click)="categoryEvent(2084007652)"&gt;{{"2084007652" | translate}}&lt;/a&gt;&lt;/li&gt;</v>
      </c>
    </row>
    <row r="32" spans="1:8" ht="14.25" customHeight="1">
      <c r="A32" s="2">
        <v>2084007662</v>
      </c>
      <c r="B32" s="2" t="s">
        <v>4112</v>
      </c>
      <c r="C32" s="2" t="s">
        <v>4115</v>
      </c>
      <c r="D32" s="2" t="s">
        <v>4118</v>
      </c>
      <c r="E32" s="3" t="str">
        <f ca="1">IFERROR(__xludf.DUMMYFUNCTION("GOOGLETRANSLATE(B32,""ja"",""vi"")"),"Suzuki")</f>
        <v>Suzuki</v>
      </c>
      <c r="F32" s="3" t="str">
        <f ca="1">IFERROR(__xludf.DUMMYFUNCTION("GOOGLETRANSLATE(C32,""ja"",""vi"")"),"Đấu giá&gt; ô tô, xe máy&gt; ô tô cũ, ô tô mới&gt; Suzuki")</f>
        <v>Đấu giá&gt; ô tô, xe máy&gt; ô tô cũ, ô tô mới&gt; Suzuki</v>
      </c>
      <c r="G32" s="229" t="str">
        <f t="shared" ca="1" si="0"/>
        <v>"2084007662" : "Suzuki",</v>
      </c>
      <c r="H32" s="229" t="str">
        <f t="shared" si="1"/>
        <v>&lt;li class="col-md-3"&gt;&lt;a class="text-cut" href="javascript:;"(click)="categoryEvent(2084007662)"&gt;{{"2084007662" | translate}}&lt;/a&gt;&lt;/li&gt;</v>
      </c>
    </row>
    <row r="33" spans="1:8" ht="14.25" customHeight="1">
      <c r="A33" s="2">
        <v>2084007663</v>
      </c>
      <c r="B33" s="2" t="s">
        <v>4120</v>
      </c>
      <c r="C33" s="2" t="s">
        <v>4121</v>
      </c>
      <c r="D33" s="2" t="s">
        <v>4122</v>
      </c>
      <c r="E33" s="3" t="str">
        <f ca="1">IFERROR(__xludf.DUMMYFUNCTION("GOOGLETRANSLATE(B33,""ja"",""vi"")"),"Subaru")</f>
        <v>Subaru</v>
      </c>
      <c r="F33" s="3" t="str">
        <f ca="1">IFERROR(__xludf.DUMMYFUNCTION("GOOGLETRANSLATE(C33,""ja"",""vi"")"),"Đấu giá&gt; ô tô, xe máy&gt; ô tô cũ, ô tô mới&gt; Subaru")</f>
        <v>Đấu giá&gt; ô tô, xe máy&gt; ô tô cũ, ô tô mới&gt; Subaru</v>
      </c>
      <c r="G33" s="229" t="str">
        <f t="shared" ca="1" si="0"/>
        <v>"2084007663" : "Subaru",</v>
      </c>
      <c r="H33" s="229" t="str">
        <f t="shared" si="1"/>
        <v>&lt;li class="col-md-3"&gt;&lt;a class="text-cut" href="javascript:;"(click)="categoryEvent(2084007663)"&gt;{{"2084007663" | translate}}&lt;/a&gt;&lt;/li&gt;</v>
      </c>
    </row>
    <row r="34" spans="1:8" ht="14.25" customHeight="1">
      <c r="A34" s="2">
        <v>2084007664</v>
      </c>
      <c r="B34" s="2" t="s">
        <v>4128</v>
      </c>
      <c r="C34" s="2" t="s">
        <v>4129</v>
      </c>
      <c r="D34" s="2" t="s">
        <v>4130</v>
      </c>
      <c r="E34" s="3" t="str">
        <f ca="1">IFERROR(__xludf.DUMMYFUNCTION("GOOGLETRANSLATE(B34,""ja"",""vi"")"),"Daihatsu")</f>
        <v>Daihatsu</v>
      </c>
      <c r="F34" s="3" t="str">
        <f ca="1">IFERROR(__xludf.DUMMYFUNCTION("GOOGLETRANSLATE(C34,""ja"",""vi"")"),"Đấu giá&gt; ô tô, xe máy&gt; ô tô cũ, ô tô mới&gt; Daihatsu")</f>
        <v>Đấu giá&gt; ô tô, xe máy&gt; ô tô cũ, ô tô mới&gt; Daihatsu</v>
      </c>
      <c r="G34" s="229" t="str">
        <f t="shared" ca="1" si="0"/>
        <v>"2084007664" : "Daihatsu",</v>
      </c>
      <c r="H34" s="229" t="str">
        <f t="shared" si="1"/>
        <v>&lt;li class="col-md-3"&gt;&lt;a class="text-cut" href="javascript:;"(click)="categoryEvent(2084007664)"&gt;{{"2084007664" | translate}}&lt;/a&gt;&lt;/li&gt;</v>
      </c>
    </row>
    <row r="35" spans="1:8" ht="14.25" customHeight="1">
      <c r="A35" s="2">
        <v>2084007645</v>
      </c>
      <c r="B35" s="2" t="s">
        <v>4135</v>
      </c>
      <c r="C35" s="2" t="s">
        <v>4137</v>
      </c>
      <c r="D35" s="2" t="s">
        <v>4139</v>
      </c>
      <c r="E35" s="3" t="str">
        <f ca="1">IFERROR(__xludf.DUMMYFUNCTION("GOOGLETRANSLATE(B35,""ja"",""vi"")"),"Honda")</f>
        <v>Honda</v>
      </c>
      <c r="F35" s="3" t="str">
        <f ca="1">IFERROR(__xludf.DUMMYFUNCTION("GOOGLETRANSLATE(C35,""ja"",""vi"")"),"Đấu giá&gt; ô tô, xe máy&gt; ô tô cũ, ô tô mới&gt; Honda")</f>
        <v>Đấu giá&gt; ô tô, xe máy&gt; ô tô cũ, ô tô mới&gt; Honda</v>
      </c>
      <c r="G35" s="229" t="str">
        <f t="shared" ca="1" si="0"/>
        <v>"2084007645" : "Honda",</v>
      </c>
      <c r="H35" s="229" t="str">
        <f t="shared" si="1"/>
        <v>&lt;li class="col-md-3"&gt;&lt;a class="text-cut" href="javascript:;"(click)="categoryEvent(2084007645)"&gt;{{"2084007645" | translate}}&lt;/a&gt;&lt;/li&gt;</v>
      </c>
    </row>
    <row r="36" spans="1:8" ht="14.25" customHeight="1">
      <c r="A36" s="2">
        <v>2084007676</v>
      </c>
      <c r="B36" s="2" t="s">
        <v>4141</v>
      </c>
      <c r="C36" s="2" t="s">
        <v>4142</v>
      </c>
      <c r="D36" s="2" t="s">
        <v>4144</v>
      </c>
      <c r="E36" s="3" t="str">
        <f ca="1">IFERROR(__xludf.DUMMYFUNCTION("GOOGLETRANSLATE(B36,""ja"",""vi"")"),"Mazda")</f>
        <v>Mazda</v>
      </c>
      <c r="F36" s="3" t="str">
        <f ca="1">IFERROR(__xludf.DUMMYFUNCTION("GOOGLETRANSLATE(C36,""ja"",""vi"")"),"Đấu giá&gt; ô tô, xe máy&gt; ô tô cũ, ô tô mới&gt; Mazda")</f>
        <v>Đấu giá&gt; ô tô, xe máy&gt; ô tô cũ, ô tô mới&gt; Mazda</v>
      </c>
      <c r="G36" s="229" t="str">
        <f t="shared" ca="1" si="0"/>
        <v>"2084007676" : "Mazda",</v>
      </c>
      <c r="H36" s="229" t="str">
        <f t="shared" si="1"/>
        <v>&lt;li class="col-md-3"&gt;&lt;a class="text-cut" href="javascript:;"(click)="categoryEvent(2084007676)"&gt;{{"2084007676" | translate}}&lt;/a&gt;&lt;/li&gt;</v>
      </c>
    </row>
    <row r="37" spans="1:8" ht="14.25" customHeight="1">
      <c r="A37" s="2">
        <v>2084048946</v>
      </c>
      <c r="B37" s="2" t="s">
        <v>4148</v>
      </c>
      <c r="C37" s="2" t="s">
        <v>4151</v>
      </c>
      <c r="D37" s="2" t="s">
        <v>4153</v>
      </c>
      <c r="E37" s="3" t="str">
        <f ca="1">IFERROR(__xludf.DUMMYFUNCTION("GOOGLETRANSLATE(B37,""ja"",""vi"")"),"Mitsuoka")</f>
        <v>Mitsuoka</v>
      </c>
      <c r="F37" s="3" t="str">
        <f ca="1">IFERROR(__xludf.DUMMYFUNCTION("GOOGLETRANSLATE(C37,""ja"",""vi"")"),"Đấu giá&gt; ô tô, xe máy&gt; ô tô cũ, ô tô mới&gt; Mitsuoka")</f>
        <v>Đấu giá&gt; ô tô, xe máy&gt; ô tô cũ, ô tô mới&gt; Mitsuoka</v>
      </c>
      <c r="G37" s="229" t="str">
        <f t="shared" ca="1" si="0"/>
        <v>"2084048946" : "Mitsuoka",</v>
      </c>
      <c r="H37" s="229" t="str">
        <f t="shared" si="1"/>
        <v>&lt;li class="col-md-3"&gt;&lt;a class="text-cut" href="javascript:;"(click)="categoryEvent(2084048946)"&gt;{{"2084048946" | translate}}&lt;/a&gt;&lt;/li&gt;</v>
      </c>
    </row>
    <row r="38" spans="1:8" ht="14.25" customHeight="1">
      <c r="A38" s="2">
        <v>2084007685</v>
      </c>
      <c r="B38" s="2" t="s">
        <v>4158</v>
      </c>
      <c r="C38" s="2" t="s">
        <v>4159</v>
      </c>
      <c r="D38" s="2" t="s">
        <v>4161</v>
      </c>
      <c r="E38" s="3" t="str">
        <f ca="1">IFERROR(__xludf.DUMMYFUNCTION("GOOGLETRANSLATE(B38,""ja"",""vi"")"),"Mitsubishi")</f>
        <v>Mitsubishi</v>
      </c>
      <c r="F38" s="3" t="str">
        <f ca="1">IFERROR(__xludf.DUMMYFUNCTION("GOOGLETRANSLATE(C38,""ja"",""vi"")"),"Đấu giá&gt; ô tô, xe máy&gt; ô tô cũ, ô tô mới&gt; Mitsubishi")</f>
        <v>Đấu giá&gt; ô tô, xe máy&gt; ô tô cũ, ô tô mới&gt; Mitsubishi</v>
      </c>
      <c r="G38" s="229" t="str">
        <f t="shared" ca="1" si="0"/>
        <v>"2084007685" : "Mitsubishi",</v>
      </c>
      <c r="H38" s="229" t="str">
        <f t="shared" si="1"/>
        <v>&lt;li class="col-md-3"&gt;&lt;a class="text-cut" href="javascript:;"(click)="categoryEvent(2084007685)"&gt;{{"2084007685" | translate}}&lt;/a&gt;&lt;/li&gt;</v>
      </c>
    </row>
    <row r="39" spans="1:8" ht="14.25" customHeight="1">
      <c r="A39" s="2">
        <v>2084007644</v>
      </c>
      <c r="B39" s="2" t="s">
        <v>4166</v>
      </c>
      <c r="C39" s="2" t="s">
        <v>4168</v>
      </c>
      <c r="D39" s="2" t="s">
        <v>4170</v>
      </c>
      <c r="E39" s="3" t="str">
        <f ca="1">IFERROR(__xludf.DUMMYFUNCTION("GOOGLETRANSLATE(B39,""ja"",""vi"")"),"Nissan")</f>
        <v>Nissan</v>
      </c>
      <c r="F39" s="3" t="str">
        <f ca="1">IFERROR(__xludf.DUMMYFUNCTION("GOOGLETRANSLATE(C39,""ja"",""vi"")"),"Đấu giá&gt; ô tô, xe máy&gt; ô tô cũ, ô tô mới&gt; Nissan")</f>
        <v>Đấu giá&gt; ô tô, xe máy&gt; ô tô cũ, ô tô mới&gt; Nissan</v>
      </c>
      <c r="G39" s="229" t="str">
        <f t="shared" ca="1" si="0"/>
        <v>"2084007644" : "Nissan",</v>
      </c>
      <c r="H39" s="229" t="str">
        <f t="shared" si="1"/>
        <v>&lt;li class="col-md-3"&gt;&lt;a class="text-cut" href="javascript:;"(click)="categoryEvent(2084007644)"&gt;{{"2084007644" | translate}}&lt;/a&gt;&lt;/li&gt;</v>
      </c>
    </row>
    <row r="40" spans="1:8" ht="14.25" customHeight="1">
      <c r="A40" s="2">
        <v>2084048921</v>
      </c>
      <c r="B40" s="2" t="s">
        <v>4174</v>
      </c>
      <c r="C40" s="2" t="s">
        <v>4176</v>
      </c>
      <c r="D40" s="2" t="s">
        <v>4178</v>
      </c>
      <c r="E40" s="3" t="str">
        <f ca="1">IFERROR(__xludf.DUMMYFUNCTION("GOOGLETRANSLATE(B40,""ja"",""vi"")"),"AMG")</f>
        <v>AMG</v>
      </c>
      <c r="F40" s="3" t="str">
        <f ca="1">IFERROR(__xludf.DUMMYFUNCTION("GOOGLETRANSLATE(C40,""ja"",""vi"")"),"Đấu giá&gt; ô tô, xe máy&gt; ô tô cũ, ô tô mới&gt; AMG")</f>
        <v>Đấu giá&gt; ô tô, xe máy&gt; ô tô cũ, ô tô mới&gt; AMG</v>
      </c>
      <c r="G40" s="229" t="str">
        <f t="shared" ca="1" si="0"/>
        <v>"2084048921" : "AMG",</v>
      </c>
      <c r="H40" s="229" t="str">
        <f t="shared" si="1"/>
        <v>&lt;li class="col-md-3"&gt;&lt;a class="text-cut" href="javascript:;"(click)="categoryEvent(2084048921)"&gt;{{"2084048921" | translate}}&lt;/a&gt;&lt;/li&gt;</v>
      </c>
    </row>
    <row r="41" spans="1:8" ht="14.25" customHeight="1">
      <c r="A41" s="2">
        <v>2084007646</v>
      </c>
      <c r="B41" s="2" t="s">
        <v>4185</v>
      </c>
      <c r="C41" s="2" t="s">
        <v>4186</v>
      </c>
      <c r="D41" s="2" t="s">
        <v>4188</v>
      </c>
      <c r="E41" s="3" t="str">
        <f ca="1">IFERROR(__xludf.DUMMYFUNCTION("GOOGLETRANSLATE(B41,""ja"",""vi"")"),"BMW")</f>
        <v>BMW</v>
      </c>
      <c r="F41" s="3" t="str">
        <f ca="1">IFERROR(__xludf.DUMMYFUNCTION("GOOGLETRANSLATE(C41,""ja"",""vi"")"),"Đấu giá&gt; ô tô, xe máy&gt; ô tô cũ, ô tô mới&gt; BMW")</f>
        <v>Đấu giá&gt; ô tô, xe máy&gt; ô tô cũ, ô tô mới&gt; BMW</v>
      </c>
      <c r="G41" s="229" t="str">
        <f t="shared" ca="1" si="0"/>
        <v>"2084007646" : "BMW",</v>
      </c>
      <c r="H41" s="229" t="str">
        <f t="shared" si="1"/>
        <v>&lt;li class="col-md-3"&gt;&lt;a class="text-cut" href="javascript:;"(click)="categoryEvent(2084007646)"&gt;{{"2084007646" | translate}}&lt;/a&gt;&lt;/li&gt;</v>
      </c>
    </row>
    <row r="42" spans="1:8" ht="14.25" customHeight="1">
      <c r="A42" s="2">
        <v>2084048922</v>
      </c>
      <c r="B42" s="2" t="s">
        <v>4194</v>
      </c>
      <c r="C42" s="2" t="s">
        <v>4195</v>
      </c>
      <c r="D42" s="2" t="s">
        <v>4196</v>
      </c>
      <c r="E42" s="3" t="str">
        <f ca="1">IFERROR(__xludf.DUMMYFUNCTION("GOOGLETRANSLATE(B42,""ja"",""vi"")"),"BMW Alpina")</f>
        <v>BMW Alpina</v>
      </c>
      <c r="F42" s="3" t="str">
        <f ca="1">IFERROR(__xludf.DUMMYFUNCTION("GOOGLETRANSLATE(C42,""ja"",""vi"")"),"Đấu giá&gt; ô tô, xe máy&gt; ô tô cũ, ô tô mới&gt; BMW Alpina")</f>
        <v>Đấu giá&gt; ô tô, xe máy&gt; ô tô cũ, ô tô mới&gt; BMW Alpina</v>
      </c>
      <c r="G42" s="229" t="str">
        <f t="shared" ca="1" si="0"/>
        <v>"2084048922" : "BMW Alpina",</v>
      </c>
      <c r="H42" s="229" t="str">
        <f t="shared" si="1"/>
        <v>&lt;li class="col-md-3"&gt;&lt;a class="text-cut" href="javascript:;"(click)="categoryEvent(2084048922)"&gt;{{"2084048922" | translate}}&lt;/a&gt;&lt;/li&gt;</v>
      </c>
    </row>
    <row r="43" spans="1:8" ht="14.25" customHeight="1">
      <c r="A43" s="2">
        <v>2084007649</v>
      </c>
      <c r="B43" s="2" t="s">
        <v>4202</v>
      </c>
      <c r="C43" s="2" t="s">
        <v>4204</v>
      </c>
      <c r="D43" s="2" t="s">
        <v>4205</v>
      </c>
      <c r="E43" s="3" t="str">
        <f ca="1">IFERROR(__xludf.DUMMYFUNCTION("GOOGLETRANSLATE(B43,""ja"",""vi"")"),"Audi")</f>
        <v>Audi</v>
      </c>
      <c r="F43" s="3" t="str">
        <f ca="1">IFERROR(__xludf.DUMMYFUNCTION("GOOGLETRANSLATE(C43,""ja"",""vi"")"),"Đấu giá&gt; ô tô, xe máy&gt; ô tô cũ, ô tô mới&gt; Audi")</f>
        <v>Đấu giá&gt; ô tô, xe máy&gt; ô tô cũ, ô tô mới&gt; Audi</v>
      </c>
      <c r="G43" s="229" t="str">
        <f t="shared" ca="1" si="0"/>
        <v>"2084007649" : "Audi",</v>
      </c>
      <c r="H43" s="229" t="str">
        <f t="shared" si="1"/>
        <v>&lt;li class="col-md-3"&gt;&lt;a class="text-cut" href="javascript:;"(click)="categoryEvent(2084007649)"&gt;{{"2084007649" | translate}}&lt;/a&gt;&lt;/li&gt;</v>
      </c>
    </row>
    <row r="44" spans="1:8" ht="14.25" customHeight="1">
      <c r="A44" s="2">
        <v>2084007653</v>
      </c>
      <c r="B44" s="2" t="s">
        <v>4210</v>
      </c>
      <c r="C44" s="2" t="s">
        <v>4212</v>
      </c>
      <c r="D44" s="2" t="s">
        <v>4213</v>
      </c>
      <c r="E44" s="3" t="str">
        <f ca="1">IFERROR(__xludf.DUMMYFUNCTION("GOOGLETRANSLATE(B44,""ja"",""vi"")"),"Opel")</f>
        <v>Opel</v>
      </c>
      <c r="F44" s="3" t="str">
        <f ca="1">IFERROR(__xludf.DUMMYFUNCTION("GOOGLETRANSLATE(C44,""ja"",""vi"")"),"Đấu giá&gt; ô tô, xe máy&gt; ô tô cũ, ô tô mới&gt; Opel")</f>
        <v>Đấu giá&gt; ô tô, xe máy&gt; ô tô cũ, ô tô mới&gt; Opel</v>
      </c>
      <c r="G44" s="229" t="str">
        <f t="shared" ca="1" si="0"/>
        <v>"2084007653" : "Opel",</v>
      </c>
      <c r="H44" s="229" t="str">
        <f t="shared" si="1"/>
        <v>&lt;li class="col-md-3"&gt;&lt;a class="text-cut" href="javascript:;"(click)="categoryEvent(2084007653)"&gt;{{"2084007653" | translate}}&lt;/a&gt;&lt;/li&gt;</v>
      </c>
    </row>
    <row r="45" spans="1:8" ht="14.25" customHeight="1">
      <c r="A45" s="2">
        <v>2084048928</v>
      </c>
      <c r="B45" s="2" t="s">
        <v>4217</v>
      </c>
      <c r="C45" s="2" t="s">
        <v>4219</v>
      </c>
      <c r="D45" s="2" t="s">
        <v>4223</v>
      </c>
      <c r="E45" s="3" t="str">
        <f ca="1">IFERROR(__xludf.DUMMYFUNCTION("GOOGLETRANSLATE(B45,""ja"",""vi"")"),"thông minh")</f>
        <v>thông minh</v>
      </c>
      <c r="F45" s="3" t="str">
        <f ca="1">IFERROR(__xludf.DUMMYFUNCTION("GOOGLETRANSLATE(C45,""ja"",""vi"")"),"Đấu giá&gt; ô tô, xe máy&gt; ô tô cũ, ô tô mới&gt; thông minh")</f>
        <v>Đấu giá&gt; ô tô, xe máy&gt; ô tô cũ, ô tô mới&gt; thông minh</v>
      </c>
      <c r="G45" s="229" t="str">
        <f t="shared" ca="1" si="0"/>
        <v>"2084048928" : "thông minh",</v>
      </c>
      <c r="H45" s="229" t="str">
        <f t="shared" si="1"/>
        <v>&lt;li class="col-md-3"&gt;&lt;a class="text-cut" href="javascript:;"(click)="categoryEvent(2084048928)"&gt;{{"2084048928" | translate}}&lt;/a&gt;&lt;/li&gt;</v>
      </c>
    </row>
    <row r="46" spans="1:8" ht="14.25" customHeight="1">
      <c r="A46" s="2">
        <v>2084007669</v>
      </c>
      <c r="B46" s="2" t="s">
        <v>4225</v>
      </c>
      <c r="C46" s="2" t="s">
        <v>4226</v>
      </c>
      <c r="D46" s="2" t="s">
        <v>4228</v>
      </c>
      <c r="E46" s="3" t="str">
        <f ca="1">IFERROR(__xludf.DUMMYFUNCTION("GOOGLETRANSLATE(B46,""ja"",""vi"")"),"Volkswagen")</f>
        <v>Volkswagen</v>
      </c>
      <c r="F46" s="3" t="str">
        <f ca="1">IFERROR(__xludf.DUMMYFUNCTION("GOOGLETRANSLATE(C46,""ja"",""vi"")"),"Đấu giá&gt; ô tô, xe máy&gt; ô tô cũ, ô tô mới&gt; Volkswagen")</f>
        <v>Đấu giá&gt; ô tô, xe máy&gt; ô tô cũ, ô tô mới&gt; Volkswagen</v>
      </c>
      <c r="G46" s="229" t="str">
        <f t="shared" ca="1" si="0"/>
        <v>"2084007669" : "Volkswagen",</v>
      </c>
      <c r="H46" s="229" t="str">
        <f t="shared" si="1"/>
        <v>&lt;li class="col-md-3"&gt;&lt;a class="text-cut" href="javascript:;"(click)="categoryEvent(2084007669)"&gt;{{"2084007669" | translate}}&lt;/a&gt;&lt;/li&gt;</v>
      </c>
    </row>
    <row r="47" spans="1:8" ht="14.25" customHeight="1">
      <c r="A47" s="2">
        <v>2084048938</v>
      </c>
      <c r="B47" s="2" t="s">
        <v>4234</v>
      </c>
      <c r="C47" s="2" t="s">
        <v>4235</v>
      </c>
      <c r="D47" s="2" t="s">
        <v>4236</v>
      </c>
      <c r="E47" s="3" t="str">
        <f ca="1">IFERROR(__xludf.DUMMYFUNCTION("GOOGLETRANSLATE(B47,""ja"",""vi"")"),"Brabus")</f>
        <v>Brabus</v>
      </c>
      <c r="F47" s="3" t="str">
        <f ca="1">IFERROR(__xludf.DUMMYFUNCTION("GOOGLETRANSLATE(C47,""ja"",""vi"")"),"Đấu giá&gt; ô tô, xe máy&gt; ô tô cũ, ô tô mới&gt; Brabus")</f>
        <v>Đấu giá&gt; ô tô, xe máy&gt; ô tô cũ, ô tô mới&gt; Brabus</v>
      </c>
      <c r="G47" s="229" t="str">
        <f t="shared" ca="1" si="0"/>
        <v>"2084048938" : "Brabus",</v>
      </c>
      <c r="H47" s="229" t="str">
        <f t="shared" si="1"/>
        <v>&lt;li class="col-md-3"&gt;&lt;a class="text-cut" href="javascript:;"(click)="categoryEvent(2084048938)"&gt;{{"2084048938" | translate}}&lt;/a&gt;&lt;/li&gt;</v>
      </c>
    </row>
    <row r="48" spans="1:8" ht="14.25" customHeight="1">
      <c r="A48" s="2">
        <v>2084007673</v>
      </c>
      <c r="B48" s="2" t="s">
        <v>4238</v>
      </c>
      <c r="C48" s="2" t="s">
        <v>4241</v>
      </c>
      <c r="D48" s="2" t="s">
        <v>4244</v>
      </c>
      <c r="E48" s="3" t="str">
        <f ca="1">IFERROR(__xludf.DUMMYFUNCTION("GOOGLETRANSLATE(B48,""ja"",""vi"")"),"Porsche")</f>
        <v>Porsche</v>
      </c>
      <c r="F48" s="3" t="str">
        <f ca="1">IFERROR(__xludf.DUMMYFUNCTION("GOOGLETRANSLATE(C48,""ja"",""vi"")"),"Đấu giá&gt; ô tô, xe máy&gt; ô tô cũ, ô tô mới&gt; Porsche")</f>
        <v>Đấu giá&gt; ô tô, xe máy&gt; ô tô cũ, ô tô mới&gt; Porsche</v>
      </c>
      <c r="G48" s="229" t="str">
        <f t="shared" ca="1" si="0"/>
        <v>"2084007673" : "Porsche",</v>
      </c>
      <c r="H48" s="229" t="str">
        <f t="shared" si="1"/>
        <v>&lt;li class="col-md-3"&gt;&lt;a class="text-cut" href="javascript:;"(click)="categoryEvent(2084007673)"&gt;{{"2084007673" | translate}}&lt;/a&gt;&lt;/li&gt;</v>
      </c>
    </row>
    <row r="49" spans="1:8" ht="14.25" customHeight="1">
      <c r="A49" s="2">
        <v>2084007678</v>
      </c>
      <c r="B49" s="2" t="s">
        <v>4246</v>
      </c>
      <c r="C49" s="2" t="s">
        <v>4247</v>
      </c>
      <c r="D49" s="2" t="s">
        <v>4249</v>
      </c>
      <c r="E49" s="3" t="str">
        <f ca="1">IFERROR(__xludf.DUMMYFUNCTION("GOOGLETRANSLATE(B49,""ja"",""vi"")"),"Mercedes-Benz")</f>
        <v>Mercedes-Benz</v>
      </c>
      <c r="F49" s="3" t="str">
        <f ca="1">IFERROR(__xludf.DUMMYFUNCTION("GOOGLETRANSLATE(C49,""ja"",""vi"")"),"Đấu giá&gt; ô tô, xe máy&gt; ô tô cũ, ô tô mới&gt; Mercedes-Benz")</f>
        <v>Đấu giá&gt; ô tô, xe máy&gt; ô tô cũ, ô tô mới&gt; Mercedes-Benz</v>
      </c>
      <c r="G49" s="229" t="str">
        <f t="shared" ca="1" si="0"/>
        <v>"2084007678" : "Mercedes-Benz",</v>
      </c>
      <c r="H49" s="229" t="str">
        <f t="shared" si="1"/>
        <v>&lt;li class="col-md-3"&gt;&lt;a class="text-cut" href="javascript:;"(click)="categoryEvent(2084007678)"&gt;{{"2084007678" | translate}}&lt;/a&gt;&lt;/li&gt;</v>
      </c>
    </row>
    <row r="50" spans="1:8" ht="14.25" customHeight="1">
      <c r="A50" s="2">
        <v>2084007647</v>
      </c>
      <c r="B50" s="2" t="s">
        <v>4254</v>
      </c>
      <c r="C50" s="2" t="s">
        <v>4255</v>
      </c>
      <c r="D50" s="2" t="s">
        <v>4256</v>
      </c>
      <c r="E50" s="3" t="str">
        <f ca="1">IFERROR(__xludf.DUMMYFUNCTION("GOOGLETRANSLATE(B50,""ja"",""vi"")"),"MG")</f>
        <v>MG</v>
      </c>
      <c r="F50" s="3" t="str">
        <f ca="1">IFERROR(__xludf.DUMMYFUNCTION("GOOGLETRANSLATE(C50,""ja"",""vi"")"),"Đấu giá&gt; ô tô, xe máy&gt; ô tô cũ, ô tô mới&gt; MG")</f>
        <v>Đấu giá&gt; ô tô, xe máy&gt; ô tô cũ, ô tô mới&gt; MG</v>
      </c>
      <c r="G50" s="229" t="str">
        <f t="shared" ca="1" si="0"/>
        <v>"2084007647" : "MG",</v>
      </c>
      <c r="H50" s="229" t="str">
        <f t="shared" si="1"/>
        <v>&lt;li class="col-md-3"&gt;&lt;a class="text-cut" href="javascript:;"(click)="categoryEvent(2084007647)"&gt;{{"2084007647" | translate}}&lt;/a&gt;&lt;/li&gt;</v>
      </c>
    </row>
    <row r="51" spans="1:8" ht="14.25" customHeight="1">
      <c r="A51" s="2">
        <v>2084007648</v>
      </c>
      <c r="B51" s="2" t="s">
        <v>4262</v>
      </c>
      <c r="C51" s="2" t="s">
        <v>4263</v>
      </c>
      <c r="D51" s="2" t="s">
        <v>4264</v>
      </c>
      <c r="E51" s="3" t="str">
        <f ca="1">IFERROR(__xludf.DUMMYFUNCTION("GOOGLETRANSLATE(B51,""ja"",""vi"")"),"TVR")</f>
        <v>TVR</v>
      </c>
      <c r="F51" s="3" t="str">
        <f ca="1">IFERROR(__xludf.DUMMYFUNCTION("GOOGLETRANSLATE(C51,""ja"",""vi"")"),"Đấu giá&gt; ô tô, xe máy&gt; ô tô cũ, ô tô mới&gt; TVR")</f>
        <v>Đấu giá&gt; ô tô, xe máy&gt; ô tô cũ, ô tô mới&gt; TVR</v>
      </c>
      <c r="G51" s="229" t="str">
        <f t="shared" ca="1" si="0"/>
        <v>"2084007648" : "TVR",</v>
      </c>
      <c r="H51" s="229" t="str">
        <f t="shared" si="1"/>
        <v>&lt;li class="col-md-3"&gt;&lt;a class="text-cut" href="javascript:;"(click)="categoryEvent(2084007648)"&gt;{{"2084007648" | translate}}&lt;/a&gt;&lt;/li&gt;</v>
      </c>
    </row>
    <row r="52" spans="1:8" ht="14.25" customHeight="1">
      <c r="A52" s="2">
        <v>2084007650</v>
      </c>
      <c r="B52" s="2" t="s">
        <v>4269</v>
      </c>
      <c r="C52" s="2" t="s">
        <v>4271</v>
      </c>
      <c r="D52" s="2" t="s">
        <v>4273</v>
      </c>
      <c r="E52" s="3" t="str">
        <f ca="1">IFERROR(__xludf.DUMMYFUNCTION("GOOGLETRANSLATE(B52,""ja"",""vi"")"),"Aston Martin")</f>
        <v>Aston Martin</v>
      </c>
      <c r="F52" s="3" t="str">
        <f ca="1">IFERROR(__xludf.DUMMYFUNCTION("GOOGLETRANSLATE(C52,""ja"",""vi"")"),"Đấu giá&gt; ô tô, xe máy&gt; ô tô cũ, ô tô mới&gt; Aston Martin")</f>
        <v>Đấu giá&gt; ô tô, xe máy&gt; ô tô cũ, ô tô mới&gt; Aston Martin</v>
      </c>
      <c r="G52" s="229" t="str">
        <f t="shared" ca="1" si="0"/>
        <v>"2084007650" : "Aston Martin",</v>
      </c>
      <c r="H52" s="229" t="str">
        <f t="shared" si="1"/>
        <v>&lt;li class="col-md-3"&gt;&lt;a class="text-cut" href="javascript:;"(click)="categoryEvent(2084007650)"&gt;{{"2084007650" | translate}}&lt;/a&gt;&lt;/li&gt;</v>
      </c>
    </row>
    <row r="53" spans="1:8" ht="14.25" customHeight="1">
      <c r="A53" s="2">
        <v>2084054066</v>
      </c>
      <c r="B53" s="2" t="s">
        <v>4276</v>
      </c>
      <c r="C53" s="2" t="s">
        <v>4277</v>
      </c>
      <c r="D53" s="2" t="s">
        <v>4278</v>
      </c>
      <c r="E53" s="3" t="str">
        <f ca="1">IFERROR(__xludf.DUMMYFUNCTION("GOOGLETRANSLATE(B53,""ja"",""vi"")"),"Westfield")</f>
        <v>Westfield</v>
      </c>
      <c r="F53" s="3" t="str">
        <f ca="1">IFERROR(__xludf.DUMMYFUNCTION("GOOGLETRANSLATE(C53,""ja"",""vi"")"),"Đấu giá&gt; ô tô, xe máy&gt; ô tô cũ, ô tô mới&gt; Westfield")</f>
        <v>Đấu giá&gt; ô tô, xe máy&gt; ô tô cũ, ô tô mới&gt; Westfield</v>
      </c>
      <c r="G53" s="229" t="str">
        <f t="shared" ca="1" si="0"/>
        <v>"2084054066" : "Westfield",</v>
      </c>
      <c r="H53" s="229" t="str">
        <f t="shared" si="1"/>
        <v>&lt;li class="col-md-3"&gt;&lt;a class="text-cut" href="javascript:;"(click)="categoryEvent(2084054066)"&gt;{{"2084054066" | translate}}&lt;/a&gt;&lt;/li&gt;</v>
      </c>
    </row>
    <row r="54" spans="1:8" ht="14.25" customHeight="1">
      <c r="A54" s="2">
        <v>2084048926</v>
      </c>
      <c r="B54" s="2" t="s">
        <v>4285</v>
      </c>
      <c r="C54" s="2" t="s">
        <v>4286</v>
      </c>
      <c r="D54" s="2" t="s">
        <v>4287</v>
      </c>
      <c r="E54" s="3" t="str">
        <f ca="1">IFERROR(__xludf.DUMMYFUNCTION("GOOGLETRANSLATE(B54,""ja"",""vi"")"),"Austin")</f>
        <v>Austin</v>
      </c>
      <c r="F54" s="3" t="str">
        <f ca="1">IFERROR(__xludf.DUMMYFUNCTION("GOOGLETRANSLATE(C54,""ja"",""vi"")"),"Đấu giá&gt; ô tô, xe máy&gt; ô tô cũ, ô tô mới&gt; Austin")</f>
        <v>Đấu giá&gt; ô tô, xe máy&gt; ô tô cũ, ô tô mới&gt; Austin</v>
      </c>
      <c r="G54" s="229" t="str">
        <f t="shared" ca="1" si="0"/>
        <v>"2084048926" : "Austin",</v>
      </c>
      <c r="H54" s="229" t="str">
        <f t="shared" si="1"/>
        <v>&lt;li class="col-md-3"&gt;&lt;a class="text-cut" href="javascript:;"(click)="categoryEvent(2084048926)"&gt;{{"2084048926" | translate}}&lt;/a&gt;&lt;/li&gt;</v>
      </c>
    </row>
    <row r="55" spans="1:8" ht="14.25" customHeight="1">
      <c r="A55" s="2">
        <v>2084054067</v>
      </c>
      <c r="B55" s="2" t="s">
        <v>4290</v>
      </c>
      <c r="C55" s="2" t="s">
        <v>4291</v>
      </c>
      <c r="D55" s="2" t="s">
        <v>4293</v>
      </c>
      <c r="E55" s="3" t="str">
        <f ca="1">IFERROR(__xludf.DUMMYFUNCTION("GOOGLETRANSLATE(B55,""ja"",""vi"")"),"caterham")</f>
        <v>caterham</v>
      </c>
      <c r="F55" s="3" t="str">
        <f ca="1">IFERROR(__xludf.DUMMYFUNCTION("GOOGLETRANSLATE(C55,""ja"",""vi"")"),"Đấu giá&gt; ô tô, xe máy&gt; ô tô cũ, ôtô mới&gt; Caterham")</f>
        <v>Đấu giá&gt; ô tô, xe máy&gt; ô tô cũ, ôtô mới&gt; Caterham</v>
      </c>
      <c r="G55" s="229" t="str">
        <f t="shared" ca="1" si="0"/>
        <v>"2084054067" : "caterham",</v>
      </c>
      <c r="H55" s="229" t="str">
        <f t="shared" si="1"/>
        <v>&lt;li class="col-md-3"&gt;&lt;a class="text-cut" href="javascript:;"(click)="categoryEvent(2084054067)"&gt;{{"2084054067" | translate}}&lt;/a&gt;&lt;/li&gt;</v>
      </c>
    </row>
    <row r="56" spans="1:8" ht="14.25" customHeight="1">
      <c r="A56" s="2">
        <v>2084007660</v>
      </c>
      <c r="B56" s="2" t="s">
        <v>4298</v>
      </c>
      <c r="C56" s="2" t="s">
        <v>4299</v>
      </c>
      <c r="D56" s="2" t="s">
        <v>4300</v>
      </c>
      <c r="E56" s="3" t="str">
        <f ca="1">IFERROR(__xludf.DUMMYFUNCTION("GOOGLETRANSLATE(B56,""ja"",""vi"")"),"giống beo ở mỹ")</f>
        <v>giống beo ở mỹ</v>
      </c>
      <c r="F56" s="3" t="str">
        <f ca="1">IFERROR(__xludf.DUMMYFUNCTION("GOOGLETRANSLATE(C56,""ja"",""vi"")"),"Đấu giá&gt; ô tô, xe máy&gt; ô tô cũ, ô tô mới&gt; Jaguar")</f>
        <v>Đấu giá&gt; ô tô, xe máy&gt; ô tô cũ, ô tô mới&gt; Jaguar</v>
      </c>
      <c r="G56" s="229" t="str">
        <f t="shared" ca="1" si="0"/>
        <v>"2084007660" : "giống beo ở mỹ",</v>
      </c>
      <c r="H56" s="229" t="str">
        <f t="shared" si="1"/>
        <v>&lt;li class="col-md-3"&gt;&lt;a class="text-cut" href="javascript:;"(click)="categoryEvent(2084007660)"&gt;{{"2084007660" | translate}}&lt;/a&gt;&lt;/li&gt;</v>
      </c>
    </row>
    <row r="57" spans="1:8" ht="14.25" customHeight="1">
      <c r="A57" s="2">
        <v>2084048930</v>
      </c>
      <c r="B57" s="2" t="s">
        <v>4304</v>
      </c>
      <c r="C57" s="2" t="s">
        <v>4305</v>
      </c>
      <c r="D57" s="2" t="s">
        <v>4306</v>
      </c>
      <c r="E57" s="3" t="str">
        <f ca="1">IFERROR(__xludf.DUMMYFUNCTION("GOOGLETRANSLATE(B57,""ja"",""vi"")"),"Daimler")</f>
        <v>Daimler</v>
      </c>
      <c r="F57" s="3" t="str">
        <f ca="1">IFERROR(__xludf.DUMMYFUNCTION("GOOGLETRANSLATE(C57,""ja"",""vi"")"),"Đấu giá&gt; ô tô, xe máy&gt; ô tô cũ, ô tô mới&gt; Daimler")</f>
        <v>Đấu giá&gt; ô tô, xe máy&gt; ô tô cũ, ô tô mới&gt; Daimler</v>
      </c>
      <c r="G57" s="229" t="str">
        <f t="shared" ca="1" si="0"/>
        <v>"2084048930" : "Daimler",</v>
      </c>
      <c r="H57" s="229" t="str">
        <f t="shared" si="1"/>
        <v>&lt;li class="col-md-3"&gt;&lt;a class="text-cut" href="javascript:;"(click)="categoryEvent(2084048930)"&gt;{{"2084048930" | translate}}&lt;/a&gt;&lt;/li&gt;</v>
      </c>
    </row>
    <row r="58" spans="1:8" ht="14.25" customHeight="1">
      <c r="A58" s="2">
        <v>2084048934</v>
      </c>
      <c r="B58" s="2" t="s">
        <v>4308</v>
      </c>
      <c r="C58" s="2" t="s">
        <v>4311</v>
      </c>
      <c r="D58" s="2" t="s">
        <v>4314</v>
      </c>
      <c r="E58" s="3" t="str">
        <f ca="1">IFERROR(__xludf.DUMMYFUNCTION("GOOGLETRANSLATE(B58,""ja"",""vi"")"),"chiến thắng")</f>
        <v>chiến thắng</v>
      </c>
      <c r="F58" s="3" t="str">
        <f ca="1">IFERROR(__xludf.DUMMYFUNCTION("GOOGLETRANSLATE(C58,""ja"",""vi"")"),"Đấu giá&gt; ô tô, xe máy&gt; ô tô cũ, ô tô mới&gt; Triumph")</f>
        <v>Đấu giá&gt; ô tô, xe máy&gt; ô tô cũ, ô tô mới&gt; Triumph</v>
      </c>
      <c r="G58" s="229" t="str">
        <f t="shared" ca="1" si="0"/>
        <v>"2084048934" : "chiến thắng",</v>
      </c>
      <c r="H58" s="229" t="str">
        <f t="shared" si="1"/>
        <v>&lt;li class="col-md-3"&gt;&lt;a class="text-cut" href="javascript:;"(click)="categoryEvent(2084048934)"&gt;{{"2084048934" | translate}}&lt;/a&gt;&lt;/li&gt;</v>
      </c>
    </row>
    <row r="59" spans="1:8" ht="14.25" customHeight="1">
      <c r="A59" s="2">
        <v>2084048936</v>
      </c>
      <c r="B59" s="2" t="s">
        <v>4316</v>
      </c>
      <c r="C59" s="2" t="s">
        <v>4317</v>
      </c>
      <c r="D59" s="2" t="s">
        <v>4319</v>
      </c>
      <c r="E59" s="3" t="str">
        <f ca="1">IFERROR(__xludf.DUMMYFUNCTION("GOOGLETRANSLATE(B59,""ja"",""vi"")"),"con beo")</f>
        <v>con beo</v>
      </c>
      <c r="F59" s="3" t="str">
        <f ca="1">IFERROR(__xludf.DUMMYFUNCTION("GOOGLETRANSLATE(C59,""ja"",""vi"")"),"Đấu giá&gt; ô tô, xe máy&gt; ô tô cũ, ô tô mới&gt; Panther")</f>
        <v>Đấu giá&gt; ô tô, xe máy&gt; ô tô cũ, ô tô mới&gt; Panther</v>
      </c>
      <c r="G59" s="229" t="str">
        <f t="shared" ca="1" si="0"/>
        <v>"2084048936" : "con beo",</v>
      </c>
      <c r="H59" s="229" t="str">
        <f t="shared" si="1"/>
        <v>&lt;li class="col-md-3"&gt;&lt;a class="text-cut" href="javascript:;"(click)="categoryEvent(2084048936)"&gt;{{"2084048936" | translate}}&lt;/a&gt;&lt;/li&gt;</v>
      </c>
    </row>
    <row r="60" spans="1:8" ht="14.25" customHeight="1">
      <c r="A60" s="2">
        <v>2084007672</v>
      </c>
      <c r="B60" s="2" t="s">
        <v>4325</v>
      </c>
      <c r="C60" s="2" t="s">
        <v>4329</v>
      </c>
      <c r="D60" s="2" t="s">
        <v>4330</v>
      </c>
      <c r="E60" s="3" t="str">
        <f ca="1">IFERROR(__xludf.DUMMYFUNCTION("GOOGLETRANSLATE(B60,""ja"",""vi"")"),"Bentley")</f>
        <v>Bentley</v>
      </c>
      <c r="F60" s="3" t="str">
        <f ca="1">IFERROR(__xludf.DUMMYFUNCTION("GOOGLETRANSLATE(C60,""ja"",""vi"")"),"Đấu giá&gt; ô tô, xe máy&gt; ô tô cũ, ô tô mới&gt; Bentley")</f>
        <v>Đấu giá&gt; ô tô, xe máy&gt; ô tô cũ, ô tô mới&gt; Bentley</v>
      </c>
      <c r="G60" s="229" t="str">
        <f t="shared" ca="1" si="0"/>
        <v>"2084007672" : "Bentley",</v>
      </c>
      <c r="H60" s="229" t="str">
        <f t="shared" si="1"/>
        <v>&lt;li class="col-md-3"&gt;&lt;a class="text-cut" href="javascript:;"(click)="categoryEvent(2084007672)"&gt;{{"2084007672" | translate}}&lt;/a&gt;&lt;/li&gt;</v>
      </c>
    </row>
    <row r="61" spans="1:8" ht="14.25" customHeight="1">
      <c r="A61" s="2">
        <v>2084007677</v>
      </c>
      <c r="B61" s="2" t="s">
        <v>4337</v>
      </c>
      <c r="C61" s="2" t="s">
        <v>4338</v>
      </c>
      <c r="D61" s="2" t="s">
        <v>4339</v>
      </c>
      <c r="E61" s="3" t="str">
        <f ca="1">IFERROR(__xludf.DUMMYFUNCTION("GOOGLETRANSLATE(B61,""ja"",""vi"")"),"Mini")</f>
        <v>Mini</v>
      </c>
      <c r="F61" s="3" t="str">
        <f ca="1">IFERROR(__xludf.DUMMYFUNCTION("GOOGLETRANSLATE(C61,""ja"",""vi"")"),"Đấu giá&gt; ô tô, xe máy&gt; ô tô cũ, ô tô mới&gt; Mini")</f>
        <v>Đấu giá&gt; ô tô, xe máy&gt; ô tô cũ, ô tô mới&gt; Mini</v>
      </c>
      <c r="G61" s="229" t="str">
        <f t="shared" ca="1" si="0"/>
        <v>"2084007677" : "Mini",</v>
      </c>
      <c r="H61" s="229" t="str">
        <f t="shared" si="1"/>
        <v>&lt;li class="col-md-3"&gt;&lt;a class="text-cut" href="javascript:;"(click)="categoryEvent(2084007677)"&gt;{{"2084007677" | translate}}&lt;/a&gt;&lt;/li&gt;</v>
      </c>
    </row>
    <row r="62" spans="1:8" ht="14.25" customHeight="1">
      <c r="A62" s="2">
        <v>2084048943</v>
      </c>
      <c r="B62" s="2" t="s">
        <v>4344</v>
      </c>
      <c r="C62" s="2" t="s">
        <v>4346</v>
      </c>
      <c r="D62" s="2" t="s">
        <v>4347</v>
      </c>
      <c r="E62" s="3" t="str">
        <f ca="1">IFERROR(__xludf.DUMMYFUNCTION("GOOGLETRANSLATE(B62,""ja"",""vi"")"),"Morgan")</f>
        <v>Morgan</v>
      </c>
      <c r="F62" s="3" t="str">
        <f ca="1">IFERROR(__xludf.DUMMYFUNCTION("GOOGLETRANSLATE(C62,""ja"",""vi"")"),"Đấu giá&gt; ô tô, xe máy&gt; ô tô cũ, ô tô mới&gt; Morgan")</f>
        <v>Đấu giá&gt; ô tô, xe máy&gt; ô tô cũ, ô tô mới&gt; Morgan</v>
      </c>
      <c r="G62" s="229" t="str">
        <f t="shared" ca="1" si="0"/>
        <v>"2084048943" : "Morgan",</v>
      </c>
      <c r="H62" s="229" t="str">
        <f t="shared" si="1"/>
        <v>&lt;li class="col-md-3"&gt;&lt;a class="text-cut" href="javascript:;"(click)="categoryEvent(2084048943)"&gt;{{"2084048943" | translate}}&lt;/a&gt;&lt;/li&gt;</v>
      </c>
    </row>
    <row r="63" spans="1:8" ht="14.25" customHeight="1">
      <c r="A63" s="2">
        <v>2084048944</v>
      </c>
      <c r="B63" s="2" t="s">
        <v>4350</v>
      </c>
      <c r="C63" s="2" t="s">
        <v>4353</v>
      </c>
      <c r="D63" s="2" t="s">
        <v>4355</v>
      </c>
      <c r="E63" s="3" t="str">
        <f ca="1">IFERROR(__xludf.DUMMYFUNCTION("GOOGLETRANSLATE(B63,""ja"",""vi"")"),"Maurice")</f>
        <v>Maurice</v>
      </c>
      <c r="F63" s="3" t="str">
        <f ca="1">IFERROR(__xludf.DUMMYFUNCTION("GOOGLETRANSLATE(C63,""ja"",""vi"")"),"Đấu giá&gt; ô tô, xe máy&gt; ô tô cũ, ô tô mới&gt; Maurice")</f>
        <v>Đấu giá&gt; ô tô, xe máy&gt; ô tô cũ, ô tô mới&gt; Maurice</v>
      </c>
      <c r="G63" s="229" t="str">
        <f t="shared" ca="1" si="0"/>
        <v>"2084048944" : "Maurice",</v>
      </c>
      <c r="H63" s="229" t="str">
        <f t="shared" si="1"/>
        <v>&lt;li class="col-md-3"&gt;&lt;a class="text-cut" href="javascript:;"(click)="categoryEvent(2084048944)"&gt;{{"2084048944" | translate}}&lt;/a&gt;&lt;/li&gt;</v>
      </c>
    </row>
    <row r="64" spans="1:8" ht="14.25" customHeight="1">
      <c r="A64" s="2">
        <v>2084048193</v>
      </c>
      <c r="B64" s="2" t="s">
        <v>4357</v>
      </c>
      <c r="C64" s="2" t="s">
        <v>4359</v>
      </c>
      <c r="D64" s="2" t="s">
        <v>4360</v>
      </c>
      <c r="E64" s="3" t="str">
        <f ca="1">IFERROR(__xludf.DUMMYFUNCTION("GOOGLETRANSLATE(B64,""ja"",""vi"")"),"Land Rover")</f>
        <v>Land Rover</v>
      </c>
      <c r="F64" s="3" t="str">
        <f ca="1">IFERROR(__xludf.DUMMYFUNCTION("GOOGLETRANSLATE(C64,""ja"",""vi"")"),"Đấu giá&gt; ô tô, xe máy&gt; ô tô cũ, ô tô mới&gt; Land Rover")</f>
        <v>Đấu giá&gt; ô tô, xe máy&gt; ô tô cũ, ô tô mới&gt; Land Rover</v>
      </c>
      <c r="G64" s="229" t="str">
        <f t="shared" ca="1" si="0"/>
        <v>"2084048193" : "Land Rover",</v>
      </c>
      <c r="H64" s="229" t="str">
        <f t="shared" si="1"/>
        <v>&lt;li class="col-md-3"&gt;&lt;a class="text-cut" href="javascript:;"(click)="categoryEvent(2084048193)"&gt;{{"2084048193" | translate}}&lt;/a&gt;&lt;/li&gt;</v>
      </c>
    </row>
    <row r="65" spans="1:8" ht="14.25" customHeight="1">
      <c r="A65" s="2">
        <v>2084007682</v>
      </c>
      <c r="B65" s="2" t="s">
        <v>4362</v>
      </c>
      <c r="C65" s="2" t="s">
        <v>4364</v>
      </c>
      <c r="D65" s="2" t="s">
        <v>4366</v>
      </c>
      <c r="E65" s="3" t="str">
        <f ca="1">IFERROR(__xludf.DUMMYFUNCTION("GOOGLETRANSLATE(B65,""ja"",""vi"")"),"Lotus")</f>
        <v>Lotus</v>
      </c>
      <c r="F65" s="3" t="str">
        <f ca="1">IFERROR(__xludf.DUMMYFUNCTION("GOOGLETRANSLATE(C65,""ja"",""vi"")"),"Đấu giá&gt; ô tô, xe máy&gt; ô tô cũ, ô tô mới&gt; Lotus")</f>
        <v>Đấu giá&gt; ô tô, xe máy&gt; ô tô cũ, ô tô mới&gt; Lotus</v>
      </c>
      <c r="G65" s="229" t="str">
        <f t="shared" ca="1" si="0"/>
        <v>"2084007682" : "Lotus",</v>
      </c>
      <c r="H65" s="229" t="str">
        <f t="shared" si="1"/>
        <v>&lt;li class="col-md-3"&gt;&lt;a class="text-cut" href="javascript:;"(click)="categoryEvent(2084007682)"&gt;{{"2084007682" | translate}}&lt;/a&gt;&lt;/li&gt;</v>
      </c>
    </row>
    <row r="66" spans="1:8" ht="14.25" customHeight="1">
      <c r="A66" s="2">
        <v>2084007683</v>
      </c>
      <c r="B66" s="2" t="s">
        <v>4370</v>
      </c>
      <c r="C66" s="2" t="s">
        <v>4372</v>
      </c>
      <c r="D66" s="2" t="s">
        <v>4374</v>
      </c>
      <c r="E66" s="3" t="str">
        <f ca="1">IFERROR(__xludf.DUMMYFUNCTION("GOOGLETRANSLATE(B66,""ja"",""vi"")"),"người đi lang thang")</f>
        <v>người đi lang thang</v>
      </c>
      <c r="F66" s="3" t="str">
        <f ca="1">IFERROR(__xludf.DUMMYFUNCTION("GOOGLETRANSLATE(C66,""ja"",""vi"")"),"Đấu giá&gt; ô tô, xe máy&gt; ô tô cũ, ô tô mới&gt; Rover")</f>
        <v>Đấu giá&gt; ô tô, xe máy&gt; ô tô cũ, ô tô mới&gt; Rover</v>
      </c>
      <c r="G66" s="229" t="str">
        <f t="shared" ca="1" si="0"/>
        <v>"2084007683" : "người đi lang thang",</v>
      </c>
      <c r="H66" s="229" t="str">
        <f t="shared" si="1"/>
        <v>&lt;li class="col-md-3"&gt;&lt;a class="text-cut" href="javascript:;"(click)="categoryEvent(2084007683)"&gt;{{"2084007683" | translate}}&lt;/a&gt;&lt;/li&gt;</v>
      </c>
    </row>
    <row r="67" spans="1:8" ht="14.25" customHeight="1">
      <c r="A67" s="2">
        <v>2084007684</v>
      </c>
      <c r="B67" s="2" t="s">
        <v>4378</v>
      </c>
      <c r="C67" s="2" t="s">
        <v>4380</v>
      </c>
      <c r="D67" s="2" t="s">
        <v>4382</v>
      </c>
      <c r="E67" s="3" t="str">
        <f ca="1">IFERROR(__xludf.DUMMYFUNCTION("GOOGLETRANSLATE(B67,""ja"",""vi"")"),"Rolls royce")</f>
        <v>Rolls royce</v>
      </c>
      <c r="F67" s="3" t="str">
        <f ca="1">IFERROR(__xludf.DUMMYFUNCTION("GOOGLETRANSLATE(C67,""ja"",""vi"")"),"Đấu giá&gt; ô tô, xe máy&gt; ô tô cũ, ô tô mới&gt; Rolls-Royce")</f>
        <v>Đấu giá&gt; ô tô, xe máy&gt; ô tô cũ, ô tô mới&gt; Rolls-Royce</v>
      </c>
      <c r="G67" s="229" t="str">
        <f t="shared" ref="G67:G130" ca="1" si="2">CONCATENATE(CHAR(34)&amp;"",A67,""&amp;CHAR(34)," : ", CHAR(34)&amp;"",E67,""&amp;CHAR(34),",")</f>
        <v>"2084007684" : "Rolls royce",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href="javascript:;"(click)="categoryEvent(2084007684)"&gt;{{"2084007684" | translate}}&lt;/a&gt;&lt;/li&gt;</v>
      </c>
    </row>
    <row r="68" spans="1:8" ht="14.25" customHeight="1">
      <c r="A68" s="2">
        <v>2084048924</v>
      </c>
      <c r="B68" s="2" t="s">
        <v>4385</v>
      </c>
      <c r="C68" s="2" t="s">
        <v>4386</v>
      </c>
      <c r="D68" s="2" t="s">
        <v>4388</v>
      </c>
      <c r="E68" s="3" t="str">
        <f ca="1">IFERROR(__xludf.DUMMYFUNCTION("GOOGLETRANSLATE(B68,""ja"",""vi"")"),"Autobianchi")</f>
        <v>Autobianchi</v>
      </c>
      <c r="F68" s="3" t="str">
        <f ca="1">IFERROR(__xludf.DUMMYFUNCTION("GOOGLETRANSLATE(C68,""ja"",""vi"")"),"Đấu giá&gt; ô tô, xe máy&gt; ô tô cũ, ô tô mới&gt; Autobianchi")</f>
        <v>Đấu giá&gt; ô tô, xe máy&gt; ô tô cũ, ô tô mới&gt; Autobianchi</v>
      </c>
      <c r="G68" s="229" t="str">
        <f t="shared" ca="1" si="2"/>
        <v>"2084048924" : "Autobianchi",</v>
      </c>
      <c r="H68" s="229" t="str">
        <f t="shared" si="3"/>
        <v>&lt;li class="col-md-3"&gt;&lt;a class="text-cut" href="javascript:;"(click)="categoryEvent(2084048924)"&gt;{{"2084048924" | translate}}&lt;/a&gt;&lt;/li&gt;</v>
      </c>
    </row>
    <row r="69" spans="1:8" ht="14.25" customHeight="1">
      <c r="A69" s="2">
        <v>2084007651</v>
      </c>
      <c r="B69" s="2" t="s">
        <v>4389</v>
      </c>
      <c r="C69" s="2" t="s">
        <v>4390</v>
      </c>
      <c r="D69" s="2" t="s">
        <v>4392</v>
      </c>
      <c r="E69" s="3" t="str">
        <f ca="1">IFERROR(__xludf.DUMMYFUNCTION("GOOGLETRANSLATE(B69,""ja"",""vi"")"),"Alfa Romeo")</f>
        <v>Alfa Romeo</v>
      </c>
      <c r="F69" s="3" t="str">
        <f ca="1">IFERROR(__xludf.DUMMYFUNCTION("GOOGLETRANSLATE(C69,""ja"",""vi"")"),"Đấu giá&gt; ô tô, xe máy&gt; ô tô cũ, ô tô mới&gt; Alfa Romeo")</f>
        <v>Đấu giá&gt; ô tô, xe máy&gt; ô tô cũ, ô tô mới&gt; Alfa Romeo</v>
      </c>
      <c r="G69" s="229" t="str">
        <f t="shared" ca="1" si="2"/>
        <v>"2084007651" : "Alfa Romeo",</v>
      </c>
      <c r="H69" s="229" t="str">
        <f t="shared" si="3"/>
        <v>&lt;li class="col-md-3"&gt;&lt;a class="text-cut" href="javascript:;"(click)="categoryEvent(2084007651)"&gt;{{"2084007651" | translate}}&lt;/a&gt;&lt;/li&gt;</v>
      </c>
    </row>
    <row r="70" spans="1:8" ht="14.25" customHeight="1">
      <c r="A70" s="2">
        <v>2084048925</v>
      </c>
      <c r="B70" s="2" t="s">
        <v>4394</v>
      </c>
      <c r="C70" s="2" t="s">
        <v>4395</v>
      </c>
      <c r="D70" s="2" t="s">
        <v>4397</v>
      </c>
      <c r="E70" s="3" t="str">
        <f ca="1">IFERROR(__xludf.DUMMYFUNCTION("GOOGLETRANSLATE(B70,""ja"",""vi"")"),"Innocenti Mini")</f>
        <v>Innocenti Mini</v>
      </c>
      <c r="F70" s="3" t="str">
        <f ca="1">IFERROR(__xludf.DUMMYFUNCTION("GOOGLETRANSLATE(C70,""ja"",""vi"")"),"Đấu giá&gt; ô tô, xe máy&gt; ô tô cũ, ô tô mới&gt; Innocenti Mini")</f>
        <v>Đấu giá&gt; ô tô, xe máy&gt; ô tô cũ, ô tô mới&gt; Innocenti Mini</v>
      </c>
      <c r="G70" s="229" t="str">
        <f t="shared" ca="1" si="2"/>
        <v>"2084048925" : "Innocenti Mini",</v>
      </c>
      <c r="H70" s="229" t="str">
        <f t="shared" si="3"/>
        <v>&lt;li class="col-md-3"&gt;&lt;a class="text-cut" href="javascript:;"(click)="categoryEvent(2084048925)"&gt;{{"2084048925" | translate}}&lt;/a&gt;&lt;/li&gt;</v>
      </c>
    </row>
    <row r="71" spans="1:8" ht="14.25" customHeight="1">
      <c r="A71" s="2">
        <v>2084007666</v>
      </c>
      <c r="B71" s="2" t="s">
        <v>4399</v>
      </c>
      <c r="C71" s="2" t="s">
        <v>4400</v>
      </c>
      <c r="D71" s="2" t="s">
        <v>4402</v>
      </c>
      <c r="E71" s="3" t="str">
        <f ca="1">IFERROR(__xludf.DUMMYFUNCTION("GOOGLETRANSLATE(B71,""ja"",""vi"")"),"sự đồng ý")</f>
        <v>sự đồng ý</v>
      </c>
      <c r="F71" s="3" t="str">
        <f ca="1">IFERROR(__xludf.DUMMYFUNCTION("GOOGLETRANSLATE(C71,""ja"",""vi"")"),"Đấu giá&gt; ô tô, xe máy&gt; ô tô cũ, ô tô mới&gt; Fiat")</f>
        <v>Đấu giá&gt; ô tô, xe máy&gt; ô tô cũ, ô tô mới&gt; Fiat</v>
      </c>
      <c r="G71" s="229" t="str">
        <f t="shared" ca="1" si="2"/>
        <v>"2084007666" : "sự đồng ý",</v>
      </c>
      <c r="H71" s="229" t="str">
        <f t="shared" si="3"/>
        <v>&lt;li class="col-md-3"&gt;&lt;a class="text-cut" href="javascript:;"(click)="categoryEvent(2084007666)"&gt;{{"2084007666" | translate}}&lt;/a&gt;&lt;/li&gt;</v>
      </c>
    </row>
    <row r="72" spans="1:8" ht="14.25" customHeight="1">
      <c r="A72" s="2">
        <v>2084007667</v>
      </c>
      <c r="B72" s="2" t="s">
        <v>4405</v>
      </c>
      <c r="C72" s="2" t="s">
        <v>4406</v>
      </c>
      <c r="D72" s="2" t="s">
        <v>4408</v>
      </c>
      <c r="E72" s="3" t="str">
        <f ca="1">IFERROR(__xludf.DUMMYFUNCTION("GOOGLETRANSLATE(B72,""ja"",""vi"")"),"Ferrari")</f>
        <v>Ferrari</v>
      </c>
      <c r="F72" s="3" t="str">
        <f ca="1">IFERROR(__xludf.DUMMYFUNCTION("GOOGLETRANSLATE(C72,""ja"",""vi"")"),"Đấu giá&gt; ô tô, xe máy&gt; ô tô cũ, ô tô mới&gt; Ferrari")</f>
        <v>Đấu giá&gt; ô tô, xe máy&gt; ô tô cũ, ô tô mới&gt; Ferrari</v>
      </c>
      <c r="G72" s="229" t="str">
        <f t="shared" ca="1" si="2"/>
        <v>"2084007667" : "Ferrari",</v>
      </c>
      <c r="H72" s="229" t="str">
        <f t="shared" si="3"/>
        <v>&lt;li class="col-md-3"&gt;&lt;a class="text-cut" href="javascript:;"(click)="categoryEvent(2084007667)"&gt;{{"2084007667" | translate}}&lt;/a&gt;&lt;/li&gt;</v>
      </c>
    </row>
    <row r="73" spans="1:8" ht="14.25" customHeight="1">
      <c r="A73" s="2">
        <v>2084007675</v>
      </c>
      <c r="B73" s="2" t="s">
        <v>4413</v>
      </c>
      <c r="C73" s="2" t="s">
        <v>4417</v>
      </c>
      <c r="D73" s="2" t="s">
        <v>4419</v>
      </c>
      <c r="E73" s="3" t="str">
        <f ca="1">IFERROR(__xludf.DUMMYFUNCTION("GOOGLETRANSLATE(B73,""ja"",""vi"")"),"Maserati")</f>
        <v>Maserati</v>
      </c>
      <c r="F73" s="3" t="str">
        <f ca="1">IFERROR(__xludf.DUMMYFUNCTION("GOOGLETRANSLATE(C73,""ja"",""vi"")"),"Đấu giá&gt; ô tô, xe máy&gt; ô tô cũ, ô tô mới&gt; Maserati")</f>
        <v>Đấu giá&gt; ô tô, xe máy&gt; ô tô cũ, ô tô mới&gt; Maserati</v>
      </c>
      <c r="G73" s="229" t="str">
        <f t="shared" ca="1" si="2"/>
        <v>"2084007675" : "Maserati",</v>
      </c>
      <c r="H73" s="229" t="str">
        <f t="shared" si="3"/>
        <v>&lt;li class="col-md-3"&gt;&lt;a class="text-cut" href="javascript:;"(click)="categoryEvent(2084007675)"&gt;{{"2084007675" | translate}}&lt;/a&gt;&lt;/li&gt;</v>
      </c>
    </row>
    <row r="74" spans="1:8" ht="14.25" customHeight="1">
      <c r="A74" s="2">
        <v>2084007679</v>
      </c>
      <c r="B74" s="2" t="s">
        <v>4424</v>
      </c>
      <c r="C74" s="2" t="s">
        <v>4425</v>
      </c>
      <c r="D74" s="2" t="s">
        <v>4426</v>
      </c>
      <c r="E74" s="3" t="str">
        <f ca="1">IFERROR(__xludf.DUMMYFUNCTION("GOOGLETRANSLATE(B74,""ja"",""vi"")"),"Lancia")</f>
        <v>Lancia</v>
      </c>
      <c r="F74" s="3" t="str">
        <f ca="1">IFERROR(__xludf.DUMMYFUNCTION("GOOGLETRANSLATE(C74,""ja"",""vi"")"),"Đấu giá&gt; ô tô, xe máy&gt; ô tô cũ, ô tô mới&gt; Lancia")</f>
        <v>Đấu giá&gt; ô tô, xe máy&gt; ô tô cũ, ô tô mới&gt; Lancia</v>
      </c>
      <c r="G74" s="229" t="str">
        <f t="shared" ca="1" si="2"/>
        <v>"2084007679" : "Lancia",</v>
      </c>
      <c r="H74" s="229" t="str">
        <f t="shared" si="3"/>
        <v>&lt;li class="col-md-3"&gt;&lt;a class="text-cut" href="javascript:;"(click)="categoryEvent(2084007679)"&gt;{{"2084007679" | translate}}&lt;/a&gt;&lt;/li&gt;</v>
      </c>
    </row>
    <row r="75" spans="1:8" ht="14.25" customHeight="1">
      <c r="A75" s="2">
        <v>2084007680</v>
      </c>
      <c r="B75" s="2" t="s">
        <v>4429</v>
      </c>
      <c r="C75" s="2" t="s">
        <v>4431</v>
      </c>
      <c r="D75" s="2" t="s">
        <v>4433</v>
      </c>
      <c r="E75" s="3" t="str">
        <f ca="1">IFERROR(__xludf.DUMMYFUNCTION("GOOGLETRANSLATE(B75,""ja"",""vi"")"),"Lamborghini")</f>
        <v>Lamborghini</v>
      </c>
      <c r="F75" s="3" t="str">
        <f ca="1">IFERROR(__xludf.DUMMYFUNCTION("GOOGLETRANSLATE(C75,""ja"",""vi"")"),"Đấu giá&gt; ô tô, xe máy&gt; ô tô cũ, ô tô mới&gt; Lamborghini")</f>
        <v>Đấu giá&gt; ô tô, xe máy&gt; ô tô cũ, ô tô mới&gt; Lamborghini</v>
      </c>
      <c r="G75" s="229" t="str">
        <f t="shared" ca="1" si="2"/>
        <v>"2084007680" : "Lamborghini",</v>
      </c>
      <c r="H75" s="229" t="str">
        <f t="shared" si="3"/>
        <v>&lt;li class="col-md-3"&gt;&lt;a class="text-cut" href="javascript:;"(click)="categoryEvent(2084007680)"&gt;{{"2084007680" | translate}}&lt;/a&gt;&lt;/li&gt;</v>
      </c>
    </row>
    <row r="76" spans="1:8" ht="14.25" customHeight="1">
      <c r="A76" s="2">
        <v>2084007658</v>
      </c>
      <c r="B76" s="2" t="s">
        <v>4439</v>
      </c>
      <c r="C76" s="2" t="s">
        <v>4441</v>
      </c>
      <c r="D76" s="2" t="s">
        <v>4444</v>
      </c>
      <c r="E76" s="3" t="str">
        <f ca="1">IFERROR(__xludf.DUMMYFUNCTION("GOOGLETRANSLATE(B76,""ja"",""vi"")"),"Citroen")</f>
        <v>Citroen</v>
      </c>
      <c r="F76" s="3" t="str">
        <f ca="1">IFERROR(__xludf.DUMMYFUNCTION("GOOGLETRANSLATE(C76,""ja"",""vi"")"),"Đấu giá&gt; ô tô, xe máy&gt; ô tô cũ, ô tô mới&gt; Citroen")</f>
        <v>Đấu giá&gt; ô tô, xe máy&gt; ô tô cũ, ô tô mới&gt; Citroen</v>
      </c>
      <c r="G76" s="229" t="str">
        <f t="shared" ca="1" si="2"/>
        <v>"2084007658" : "Citroen",</v>
      </c>
      <c r="H76" s="229" t="str">
        <f t="shared" si="3"/>
        <v>&lt;li class="col-md-3"&gt;&lt;a class="text-cut" href="javascript:;"(click)="categoryEvent(2084007658)"&gt;{{"2084007658" | translate}}&lt;/a&gt;&lt;/li&gt;</v>
      </c>
    </row>
    <row r="77" spans="1:8" ht="14.25" customHeight="1">
      <c r="A77" s="2">
        <v>2084007671</v>
      </c>
      <c r="B77" s="2" t="s">
        <v>4450</v>
      </c>
      <c r="C77" s="2" t="s">
        <v>4453</v>
      </c>
      <c r="D77" s="2" t="s">
        <v>4455</v>
      </c>
      <c r="E77" s="3" t="str">
        <f ca="1">IFERROR(__xludf.DUMMYFUNCTION("GOOGLETRANSLATE(B77,""ja"",""vi"")"),"Peugeot")</f>
        <v>Peugeot</v>
      </c>
      <c r="F77" s="3" t="str">
        <f ca="1">IFERROR(__xludf.DUMMYFUNCTION("GOOGLETRANSLATE(C77,""ja"",""vi"")"),"Đấu giá&gt; ô tô, xe máy&gt; ô tô cũ, ô tô mới&gt; Peugeot")</f>
        <v>Đấu giá&gt; ô tô, xe máy&gt; ô tô cũ, ô tô mới&gt; Peugeot</v>
      </c>
      <c r="G77" s="229" t="str">
        <f t="shared" ca="1" si="2"/>
        <v>"2084007671" : "Peugeot",</v>
      </c>
      <c r="H77" s="229" t="str">
        <f t="shared" si="3"/>
        <v>&lt;li class="col-md-3"&gt;&lt;a class="text-cut" href="javascript:;"(click)="categoryEvent(2084007671)"&gt;{{"2084007671" | translate}}&lt;/a&gt;&lt;/li&gt;</v>
      </c>
    </row>
    <row r="78" spans="1:8" ht="14.25" customHeight="1">
      <c r="A78" s="2">
        <v>2084007681</v>
      </c>
      <c r="B78" s="2" t="s">
        <v>4460</v>
      </c>
      <c r="C78" s="2" t="s">
        <v>4462</v>
      </c>
      <c r="D78" s="2" t="s">
        <v>4466</v>
      </c>
      <c r="E78" s="3" t="str">
        <f ca="1">IFERROR(__xludf.DUMMYFUNCTION("GOOGLETRANSLATE(B78,""ja"",""vi"")"),"Renault")</f>
        <v>Renault</v>
      </c>
      <c r="F78" s="3" t="str">
        <f ca="1">IFERROR(__xludf.DUMMYFUNCTION("GOOGLETRANSLATE(C78,""ja"",""vi"")"),"Đấu giá&gt; ô tô, xe máy&gt; ô tô cũ, ô tô mới&gt; Renault")</f>
        <v>Đấu giá&gt; ô tô, xe máy&gt; ô tô cũ, ô tô mới&gt; Renault</v>
      </c>
      <c r="G78" s="229" t="str">
        <f t="shared" ca="1" si="2"/>
        <v>"2084007681" : "Renault",</v>
      </c>
      <c r="H78" s="229" t="str">
        <f t="shared" si="3"/>
        <v>&lt;li class="col-md-3"&gt;&lt;a class="text-cut" href="javascript:;"(click)="categoryEvent(2084007681)"&gt;{{"2084007681" | translate}}&lt;/a&gt;&lt;/li&gt;</v>
      </c>
    </row>
    <row r="79" spans="1:8" ht="14.25" customHeight="1">
      <c r="A79" s="2">
        <v>2084007656</v>
      </c>
      <c r="B79" s="2" t="s">
        <v>4471</v>
      </c>
      <c r="C79" s="2" t="s">
        <v>4473</v>
      </c>
      <c r="D79" s="2" t="s">
        <v>4474</v>
      </c>
      <c r="E79" s="3" t="str">
        <f ca="1">IFERROR(__xludf.DUMMYFUNCTION("GOOGLETRANSLATE(B79,""ja"",""vi"")"),"phục vụ")</f>
        <v>phục vụ</v>
      </c>
      <c r="F79" s="3" t="str">
        <f ca="1">IFERROR(__xludf.DUMMYFUNCTION("GOOGLETRANSLATE(C79,""ja"",""vi"")"),"Đấu giá&gt; ô tô, xe máy&gt; ô tô cũ, ô tô mới&gt; Saab")</f>
        <v>Đấu giá&gt; ô tô, xe máy&gt; ô tô cũ, ô tô mới&gt; Saab</v>
      </c>
      <c r="G79" s="229" t="str">
        <f t="shared" ca="1" si="2"/>
        <v>"2084007656" : "phục vụ",</v>
      </c>
      <c r="H79" s="229" t="str">
        <f t="shared" si="3"/>
        <v>&lt;li class="col-md-3"&gt;&lt;a class="text-cut" href="javascript:;"(click)="categoryEvent(2084007656)"&gt;{{"2084007656" | translate}}&lt;/a&gt;&lt;/li&gt;</v>
      </c>
    </row>
    <row r="80" spans="1:8" ht="14.25" customHeight="1">
      <c r="A80" s="2">
        <v>2084007674</v>
      </c>
      <c r="B80" s="2" t="s">
        <v>4478</v>
      </c>
      <c r="C80" s="2" t="s">
        <v>4481</v>
      </c>
      <c r="D80" s="2" t="s">
        <v>4483</v>
      </c>
      <c r="E80" s="3" t="str">
        <f ca="1">IFERROR(__xludf.DUMMYFUNCTION("GOOGLETRANSLATE(B80,""ja"",""vi"")"),"Volvo")</f>
        <v>Volvo</v>
      </c>
      <c r="F80" s="3" t="str">
        <f ca="1">IFERROR(__xludf.DUMMYFUNCTION("GOOGLETRANSLATE(C80,""ja"",""vi"")"),"Đấu giá&gt; ô tô, xe máy&gt; ô tô cũ, ô tô mới&gt; Volvo")</f>
        <v>Đấu giá&gt; ô tô, xe máy&gt; ô tô cũ, ô tô mới&gt; Volvo</v>
      </c>
      <c r="G80" s="229" t="str">
        <f t="shared" ca="1" si="2"/>
        <v>"2084007674" : "Volvo",</v>
      </c>
      <c r="H80" s="229" t="str">
        <f t="shared" si="3"/>
        <v>&lt;li class="col-md-3"&gt;&lt;a class="text-cut" href="javascript:;"(click)="categoryEvent(2084007674)"&gt;{{"2084007674" | translate}}&lt;/a&gt;&lt;/li&gt;</v>
      </c>
    </row>
    <row r="81" spans="1:8" ht="14.25" customHeight="1">
      <c r="A81" s="2">
        <v>2084048920</v>
      </c>
      <c r="B81" s="2" t="s">
        <v>4485</v>
      </c>
      <c r="C81" s="2" t="s">
        <v>4488</v>
      </c>
      <c r="D81" s="2" t="s">
        <v>4491</v>
      </c>
      <c r="E81" s="3" t="str">
        <f ca="1">IFERROR(__xludf.DUMMYFUNCTION("GOOGLETRANSLATE(B81,""ja"",""vi"")"),"AMC")</f>
        <v>AMC</v>
      </c>
      <c r="F81" s="3" t="str">
        <f ca="1">IFERROR(__xludf.DUMMYFUNCTION("GOOGLETRANSLATE(C81,""ja"",""vi"")"),"Đấu giá&gt; ô tô, xe máy&gt; ô tô cũ, ô tô mới&gt; AMC")</f>
        <v>Đấu giá&gt; ô tô, xe máy&gt; ô tô cũ, ô tô mới&gt; AMC</v>
      </c>
      <c r="G81" s="229" t="str">
        <f t="shared" ca="1" si="2"/>
        <v>"2084048920" : "AMC",</v>
      </c>
      <c r="H81" s="229" t="str">
        <f t="shared" si="3"/>
        <v>&lt;li class="col-md-3"&gt;&lt;a class="text-cut" href="javascript:;"(click)="categoryEvent(2084048920)"&gt;{{"2084048920" | translate}}&lt;/a&gt;&lt;/li&gt;</v>
      </c>
    </row>
    <row r="82" spans="1:8" ht="14.25" customHeight="1">
      <c r="A82" s="2">
        <v>2084048923</v>
      </c>
      <c r="B82" s="2" t="s">
        <v>4498</v>
      </c>
      <c r="C82" s="2" t="s">
        <v>4500</v>
      </c>
      <c r="D82" s="2" t="s">
        <v>4502</v>
      </c>
      <c r="E82" s="3" t="str">
        <f ca="1">IFERROR(__xludf.DUMMYFUNCTION("GOOGLETRANSLATE(B82,""ja"",""vi"")"),"GMC")</f>
        <v>GMC</v>
      </c>
      <c r="F82" s="3" t="str">
        <f ca="1">IFERROR(__xludf.DUMMYFUNCTION("GOOGLETRANSLATE(C82,""ja"",""vi"")"),"Đấu giá&gt; ô tô, xe máy&gt; ô tô cũ, ô tô mới&gt; GMC")</f>
        <v>Đấu giá&gt; ô tô, xe máy&gt; ô tô cũ, ô tô mới&gt; GMC</v>
      </c>
      <c r="G82" s="229" t="str">
        <f t="shared" ca="1" si="2"/>
        <v>"2084048923" : "GMC",</v>
      </c>
      <c r="H82" s="229" t="str">
        <f t="shared" si="3"/>
        <v>&lt;li class="col-md-3"&gt;&lt;a class="text-cut" href="javascript:;"(click)="categoryEvent(2084048923)"&gt;{{"2084048923" | translate}}&lt;/a&gt;&lt;/li&gt;</v>
      </c>
    </row>
    <row r="83" spans="1:8" ht="14.25" customHeight="1">
      <c r="A83" s="2">
        <v>2084048927</v>
      </c>
      <c r="B83" s="2" t="s">
        <v>4506</v>
      </c>
      <c r="C83" s="2" t="s">
        <v>4509</v>
      </c>
      <c r="D83" s="2" t="s">
        <v>4511</v>
      </c>
      <c r="E83" s="3" t="str">
        <f ca="1">IFERROR(__xludf.DUMMYFUNCTION("GOOGLETRANSLATE(B83,""ja"",""vi"")"),"Oldsmobile")</f>
        <v>Oldsmobile</v>
      </c>
      <c r="F83" s="3" t="str">
        <f ca="1">IFERROR(__xludf.DUMMYFUNCTION("GOOGLETRANSLATE(C83,""ja"",""vi"")"),"Đấu giá&gt; ô tô, xe máy&gt; ô tô cũ, ô tô mới&gt; Oldsmobile")</f>
        <v>Đấu giá&gt; ô tô, xe máy&gt; ô tô cũ, ô tô mới&gt; Oldsmobile</v>
      </c>
      <c r="G83" s="229" t="str">
        <f t="shared" ca="1" si="2"/>
        <v>"2084048927" : "Oldsmobile",</v>
      </c>
      <c r="H83" s="229" t="str">
        <f t="shared" si="3"/>
        <v>&lt;li class="col-md-3"&gt;&lt;a class="text-cut" href="javascript:;"(click)="categoryEvent(2084048927)"&gt;{{"2084048927" | translate}}&lt;/a&gt;&lt;/li&gt;</v>
      </c>
    </row>
    <row r="84" spans="1:8" ht="14.25" customHeight="1">
      <c r="A84" s="2">
        <v>2084007654</v>
      </c>
      <c r="B84" s="2" t="s">
        <v>4513</v>
      </c>
      <c r="C84" s="2" t="s">
        <v>4515</v>
      </c>
      <c r="D84" s="2" t="s">
        <v>4517</v>
      </c>
      <c r="E84" s="3" t="str">
        <f ca="1">IFERROR(__xludf.DUMMYFUNCTION("GOOGLETRANSLATE(B84,""ja"",""vi"")"),"Cadillac")</f>
        <v>Cadillac</v>
      </c>
      <c r="F84" s="3" t="str">
        <f ca="1">IFERROR(__xludf.DUMMYFUNCTION("GOOGLETRANSLATE(C84,""ja"",""vi"")"),"Đấu giá&gt; ô tô, xe máy&gt; ô tô cũ, ô tô mới&gt; Cadillac")</f>
        <v>Đấu giá&gt; ô tô, xe máy&gt; ô tô cũ, ô tô mới&gt; Cadillac</v>
      </c>
      <c r="G84" s="229" t="str">
        <f t="shared" ca="1" si="2"/>
        <v>"2084007654" : "Cadillac",</v>
      </c>
      <c r="H84" s="229" t="str">
        <f t="shared" si="3"/>
        <v>&lt;li class="col-md-3"&gt;&lt;a class="text-cut" href="javascript:;"(click)="categoryEvent(2084007654)"&gt;{{"2084007654" | translate}}&lt;/a&gt;&lt;/li&gt;</v>
      </c>
    </row>
    <row r="85" spans="1:8" ht="14.25" customHeight="1">
      <c r="A85" s="2">
        <v>2084007655</v>
      </c>
      <c r="B85" s="2" t="s">
        <v>4519</v>
      </c>
      <c r="C85" s="2" t="s">
        <v>4520</v>
      </c>
      <c r="D85" s="2" t="s">
        <v>4523</v>
      </c>
      <c r="E85" s="3" t="str">
        <f ca="1">IFERROR(__xludf.DUMMYFUNCTION("GOOGLETRANSLATE(B85,""ja"",""vi"")"),"Chrysler")</f>
        <v>Chrysler</v>
      </c>
      <c r="F85" s="3" t="str">
        <f ca="1">IFERROR(__xludf.DUMMYFUNCTION("GOOGLETRANSLATE(C85,""ja"",""vi"")"),"Đấu giá&gt; ô tô, xe máy&gt; ô tô cũ, ô tô mới&gt; Chrysler")</f>
        <v>Đấu giá&gt; ô tô, xe máy&gt; ô tô cũ, ô tô mới&gt; Chrysler</v>
      </c>
      <c r="G85" s="229" t="str">
        <f t="shared" ca="1" si="2"/>
        <v>"2084007655" : "Chrysler",</v>
      </c>
      <c r="H85" s="229" t="str">
        <f t="shared" si="3"/>
        <v>&lt;li class="col-md-3"&gt;&lt;a class="text-cut" href="javascript:;"(click)="categoryEvent(2084007655)"&gt;{{"2084007655" | translate}}&lt;/a&gt;&lt;/li&gt;</v>
      </c>
    </row>
    <row r="86" spans="1:8" ht="14.25" customHeight="1">
      <c r="A86" s="2">
        <v>2084007657</v>
      </c>
      <c r="B86" s="2" t="s">
        <v>4526</v>
      </c>
      <c r="C86" s="2" t="s">
        <v>4527</v>
      </c>
      <c r="D86" s="2" t="s">
        <v>4531</v>
      </c>
      <c r="E86" s="3" t="str">
        <f ca="1">IFERROR(__xludf.DUMMYFUNCTION("GOOGLETRANSLATE(B86,""ja"",""vi"")"),"sao Thổ")</f>
        <v>sao Thổ</v>
      </c>
      <c r="F86" s="3" t="str">
        <f ca="1">IFERROR(__xludf.DUMMYFUNCTION("GOOGLETRANSLATE(C86,""ja"",""vi"")"),"Đấu giá&gt; ô tô, xe máy&gt; ô tô cũ, ô tô mới&gt; Saturn")</f>
        <v>Đấu giá&gt; ô tô, xe máy&gt; ô tô cũ, ô tô mới&gt; Saturn</v>
      </c>
      <c r="G86" s="229" t="str">
        <f t="shared" ca="1" si="2"/>
        <v>"2084007657" : "sao Thổ",</v>
      </c>
      <c r="H86" s="229" t="str">
        <f t="shared" si="3"/>
        <v>&lt;li class="col-md-3"&gt;&lt;a class="text-cut" href="javascript:;"(click)="categoryEvent(2084007657)"&gt;{{"2084007657" | translate}}&lt;/a&gt;&lt;/li&gt;</v>
      </c>
    </row>
    <row r="87" spans="1:8" ht="14.25" customHeight="1">
      <c r="A87" s="2">
        <v>2084007659</v>
      </c>
      <c r="B87" s="2" t="s">
        <v>4534</v>
      </c>
      <c r="C87" s="2" t="s">
        <v>4536</v>
      </c>
      <c r="D87" s="2" t="s">
        <v>4540</v>
      </c>
      <c r="E87" s="3" t="str">
        <f ca="1">IFERROR(__xludf.DUMMYFUNCTION("GOOGLETRANSLATE(B87,""ja"",""vi"")"),"Chevrolet")</f>
        <v>Chevrolet</v>
      </c>
      <c r="F87" s="3" t="str">
        <f ca="1">IFERROR(__xludf.DUMMYFUNCTION("GOOGLETRANSLATE(C87,""ja"",""vi"")"),"Đấu giá&gt; ô tô, xe máy&gt; ô tô cũ, ô tô mới&gt; Chevrolet")</f>
        <v>Đấu giá&gt; ô tô, xe máy&gt; ô tô cũ, ô tô mới&gt; Chevrolet</v>
      </c>
      <c r="G87" s="229" t="str">
        <f t="shared" ca="1" si="2"/>
        <v>"2084007659" : "Chevrolet",</v>
      </c>
      <c r="H87" s="229" t="str">
        <f t="shared" si="3"/>
        <v>&lt;li class="col-md-3"&gt;&lt;a class="text-cut" href="javascript:;"(click)="categoryEvent(2084007659)"&gt;{{"2084007659" | translate}}&lt;/a&gt;&lt;/li&gt;</v>
      </c>
    </row>
    <row r="88" spans="1:8" ht="14.25" customHeight="1">
      <c r="A88" s="2">
        <v>2084007665</v>
      </c>
      <c r="B88" s="2" t="s">
        <v>4546</v>
      </c>
      <c r="C88" s="2" t="s">
        <v>4548</v>
      </c>
      <c r="D88" s="2" t="s">
        <v>4549</v>
      </c>
      <c r="E88" s="3" t="str">
        <f ca="1">IFERROR(__xludf.DUMMYFUNCTION("GOOGLETRANSLATE(B88,""ja"",""vi"")"),"tránh")</f>
        <v>tránh</v>
      </c>
      <c r="F88" s="3" t="str">
        <f ca="1">IFERROR(__xludf.DUMMYFUNCTION("GOOGLETRANSLATE(C88,""ja"",""vi"")"),"Đấu giá&gt; ô tô, xe máy&gt; ô tô cũ, ô tô mới&gt; Dodge")</f>
        <v>Đấu giá&gt; ô tô, xe máy&gt; ô tô cũ, ô tô mới&gt; Dodge</v>
      </c>
      <c r="G88" s="229" t="str">
        <f t="shared" ca="1" si="2"/>
        <v>"2084007665" : "tránh",</v>
      </c>
      <c r="H88" s="229" t="str">
        <f t="shared" si="3"/>
        <v>&lt;li class="col-md-3"&gt;&lt;a class="text-cut" href="javascript:;"(click)="categoryEvent(2084007665)"&gt;{{"2084007665" | translate}}&lt;/a&gt;&lt;/li&gt;</v>
      </c>
    </row>
    <row r="89" spans="1:8" ht="14.25" customHeight="1">
      <c r="A89" s="2">
        <v>2084051723</v>
      </c>
      <c r="B89" s="2" t="s">
        <v>4552</v>
      </c>
      <c r="C89" s="2" t="s">
        <v>4554</v>
      </c>
      <c r="D89" s="2" t="s">
        <v>4555</v>
      </c>
      <c r="E89" s="3" t="str">
        <f ca="1">IFERROR(__xludf.DUMMYFUNCTION("GOOGLETRANSLATE(B89,""ja"",""vi"")"),"Hummer")</f>
        <v>Hummer</v>
      </c>
      <c r="F89" s="3" t="str">
        <f ca="1">IFERROR(__xludf.DUMMYFUNCTION("GOOGLETRANSLATE(C89,""ja"",""vi"")"),"Đấu giá&gt; ô tô, xe máy&gt; ô tô cũ, ô tô mới&gt; Hummer")</f>
        <v>Đấu giá&gt; ô tô, xe máy&gt; ô tô cũ, ô tô mới&gt; Hummer</v>
      </c>
      <c r="G89" s="229" t="str">
        <f t="shared" ca="1" si="2"/>
        <v>"2084051723" : "Hummer",</v>
      </c>
      <c r="H89" s="229" t="str">
        <f t="shared" si="3"/>
        <v>&lt;li class="col-md-3"&gt;&lt;a class="text-cut" href="javascript:;"(click)="categoryEvent(2084051723)"&gt;{{"2084051723" | translate}}&lt;/a&gt;&lt;/li&gt;</v>
      </c>
    </row>
    <row r="90" spans="1:8" ht="14.25" customHeight="1">
      <c r="A90" s="2">
        <v>2084048937</v>
      </c>
      <c r="B90" s="2" t="s">
        <v>4558</v>
      </c>
      <c r="C90" s="2" t="s">
        <v>4560</v>
      </c>
      <c r="D90" s="2" t="s">
        <v>4562</v>
      </c>
      <c r="E90" s="3" t="str">
        <f ca="1">IFERROR(__xludf.DUMMYFUNCTION("GOOGLETRANSLATE(B90,""ja"",""vi"")"),"Buick")</f>
        <v>Buick</v>
      </c>
      <c r="F90" s="3" t="str">
        <f ca="1">IFERROR(__xludf.DUMMYFUNCTION("GOOGLETRANSLATE(C90,""ja"",""vi"")"),"Đấu giá&gt; ô tô, xe máy&gt; ô tô cũ, ô tô mới&gt; Buick")</f>
        <v>Đấu giá&gt; ô tô, xe máy&gt; ô tô cũ, ô tô mới&gt; Buick</v>
      </c>
      <c r="G90" s="229" t="str">
        <f t="shared" ca="1" si="2"/>
        <v>"2084048937" : "Buick",</v>
      </c>
      <c r="H90" s="229" t="str">
        <f t="shared" si="3"/>
        <v>&lt;li class="col-md-3"&gt;&lt;a class="text-cut" href="javascript:;"(click)="categoryEvent(2084048937)"&gt;{{"2084048937" | translate}}&lt;/a&gt;&lt;/li&gt;</v>
      </c>
    </row>
    <row r="91" spans="1:8" ht="14.25" customHeight="1">
      <c r="A91" s="2">
        <v>2084007668</v>
      </c>
      <c r="B91" s="2" t="s">
        <v>4566</v>
      </c>
      <c r="C91" s="2" t="s">
        <v>4568</v>
      </c>
      <c r="D91" s="2" t="s">
        <v>4570</v>
      </c>
      <c r="E91" s="3" t="str">
        <f ca="1">IFERROR(__xludf.DUMMYFUNCTION("GOOGLETRANSLATE(B91,""ja"",""vi"")"),"xe hơi hiệu ford")</f>
        <v>xe hơi hiệu ford</v>
      </c>
      <c r="F91" s="3" t="str">
        <f ca="1">IFERROR(__xludf.DUMMYFUNCTION("GOOGLETRANSLATE(C91,""ja"",""vi"")"),"Đấu giá&gt; ô tô, xe máy&gt; ô tô cũ, ô tô mới&gt; Ford")</f>
        <v>Đấu giá&gt; ô tô, xe máy&gt; ô tô cũ, ô tô mới&gt; Ford</v>
      </c>
      <c r="G91" s="229" t="str">
        <f t="shared" ca="1" si="2"/>
        <v>"2084007668" : "xe hơi hiệu ford",</v>
      </c>
      <c r="H91" s="229" t="str">
        <f t="shared" si="3"/>
        <v>&lt;li class="col-md-3"&gt;&lt;a class="text-cut" href="javascript:;"(click)="categoryEvent(2084007668)"&gt;{{"2084007668" | translate}}&lt;/a&gt;&lt;/li&gt;</v>
      </c>
    </row>
    <row r="92" spans="1:8" ht="14.25" customHeight="1">
      <c r="A92" s="2">
        <v>2084048940</v>
      </c>
      <c r="B92" s="2" t="s">
        <v>4572</v>
      </c>
      <c r="C92" s="2" t="s">
        <v>4574</v>
      </c>
      <c r="D92" s="2" t="s">
        <v>4576</v>
      </c>
      <c r="E92" s="3" t="str">
        <f ca="1">IFERROR(__xludf.DUMMYFUNCTION("GOOGLETRANSLATE(B92,""ja"",""vi"")"),"Ponteakku")</f>
        <v>Ponteakku</v>
      </c>
      <c r="F92" s="3" t="str">
        <f ca="1">IFERROR(__xludf.DUMMYFUNCTION("GOOGLETRANSLATE(C92,""ja"",""vi"")"),"Đấu giá&gt; ô tô, xe máy&gt; ô tô cũ, ô tô mới&gt; Ponteakku")</f>
        <v>Đấu giá&gt; ô tô, xe máy&gt; ô tô cũ, ô tô mới&gt; Ponteakku</v>
      </c>
      <c r="G92" s="229" t="str">
        <f t="shared" ca="1" si="2"/>
        <v>"2084048940" : "Ponteakku",</v>
      </c>
      <c r="H92" s="229" t="str">
        <f t="shared" si="3"/>
        <v>&lt;li class="col-md-3"&gt;&lt;a class="text-cut" href="javascript:;"(click)="categoryEvent(2084048940)"&gt;{{"2084048940" | translate}}&lt;/a&gt;&lt;/li&gt;</v>
      </c>
    </row>
    <row r="93" spans="1:8" ht="14.25" customHeight="1">
      <c r="A93" s="2">
        <v>2084048941</v>
      </c>
      <c r="B93" s="2" t="s">
        <v>4579</v>
      </c>
      <c r="C93" s="2" t="s">
        <v>4581</v>
      </c>
      <c r="D93" s="2" t="s">
        <v>4583</v>
      </c>
      <c r="E93" s="3" t="str">
        <f ca="1">IFERROR(__xludf.DUMMYFUNCTION("GOOGLETRANSLATE(B93,""ja"",""vi"")"),"thủy ngân")</f>
        <v>thủy ngân</v>
      </c>
      <c r="F93" s="3" t="str">
        <f ca="1">IFERROR(__xludf.DUMMYFUNCTION("GOOGLETRANSLATE(C93,""ja"",""vi"")"),"Đấu giá&gt; ô tô, xe máy&gt; ô tô cũ, ô tô mới&gt; Mercury")</f>
        <v>Đấu giá&gt; ô tô, xe máy&gt; ô tô cũ, ô tô mới&gt; Mercury</v>
      </c>
      <c r="G93" s="229" t="str">
        <f t="shared" ca="1" si="2"/>
        <v>"2084048941" : "thủy ngân",</v>
      </c>
      <c r="H93" s="229" t="str">
        <f t="shared" si="3"/>
        <v>&lt;li class="col-md-3"&gt;&lt;a class="text-cut" href="javascript:;"(click)="categoryEvent(2084048941)"&gt;{{"2084048941" | translate}}&lt;/a&gt;&lt;/li&gt;</v>
      </c>
    </row>
    <row r="94" spans="1:8" ht="14.25" customHeight="1">
      <c r="A94" s="2">
        <v>2084048945</v>
      </c>
      <c r="B94" s="2" t="s">
        <v>4585</v>
      </c>
      <c r="C94" s="2" t="s">
        <v>4587</v>
      </c>
      <c r="D94" s="2" t="s">
        <v>4588</v>
      </c>
      <c r="E94" s="3" t="str">
        <f ca="1">IFERROR(__xludf.DUMMYFUNCTION("GOOGLETRANSLATE(B94,""ja"",""vi"")"),"Lincoln")</f>
        <v>Lincoln</v>
      </c>
      <c r="F94" s="3" t="str">
        <f ca="1">IFERROR(__xludf.DUMMYFUNCTION("GOOGLETRANSLATE(C94,""ja"",""vi"")"),"Đấu giá&gt; ô tô, xe máy&gt; ô tô cũ, ô tô mới&gt; Lincoln")</f>
        <v>Đấu giá&gt; ô tô, xe máy&gt; ô tô cũ, ô tô mới&gt; Lincoln</v>
      </c>
      <c r="G94" s="229" t="str">
        <f t="shared" ca="1" si="2"/>
        <v>"2084048945" : "Lincoln",</v>
      </c>
      <c r="H94" s="229" t="str">
        <f t="shared" si="3"/>
        <v>&lt;li class="col-md-3"&gt;&lt;a class="text-cut" href="javascript:;"(click)="categoryEvent(2084048945)"&gt;{{"2084048945" | translate}}&lt;/a&gt;&lt;/li&gt;</v>
      </c>
    </row>
    <row r="95" spans="1:8" ht="14.25" customHeight="1">
      <c r="A95" s="2">
        <v>2084048931</v>
      </c>
      <c r="B95" s="2" t="s">
        <v>4592</v>
      </c>
      <c r="C95" s="2" t="s">
        <v>4594</v>
      </c>
      <c r="D95" s="2" t="s">
        <v>4595</v>
      </c>
      <c r="E95" s="3" t="str">
        <f ca="1">IFERROR(__xludf.DUMMYFUNCTION("GOOGLETRANSLATE(B95,""ja"",""vi"")"),"GM Dev")</f>
        <v>GM Dev</v>
      </c>
      <c r="F95" s="3" t="str">
        <f ca="1">IFERROR(__xludf.DUMMYFUNCTION("GOOGLETRANSLATE(C95,""ja"",""vi"")"),"Đấu giá&gt; ô tô, xe máy&gt; ô tô cũ, ô tô mới&gt; GM Dev")</f>
        <v>Đấu giá&gt; ô tô, xe máy&gt; ô tô cũ, ô tô mới&gt; GM Dev</v>
      </c>
      <c r="G95" s="229" t="str">
        <f t="shared" ca="1" si="2"/>
        <v>"2084048931" : "GM Dev",</v>
      </c>
      <c r="H95" s="229" t="str">
        <f t="shared" si="3"/>
        <v>&lt;li class="col-md-3"&gt;&lt;a class="text-cut" href="javascript:;"(click)="categoryEvent(2084048931)"&gt;{{"2084048931" | translate}}&lt;/a&gt;&lt;/li&gt;</v>
      </c>
    </row>
    <row r="96" spans="1:8" ht="14.25" customHeight="1">
      <c r="A96" s="2">
        <v>2084048536</v>
      </c>
      <c r="B96" s="2" t="s">
        <v>4599</v>
      </c>
      <c r="C96" s="2" t="s">
        <v>4600</v>
      </c>
      <c r="D96" s="2" t="s">
        <v>4602</v>
      </c>
      <c r="E96" s="3" t="str">
        <f ca="1">IFERROR(__xludf.DUMMYFUNCTION("GOOGLETRANSLATE(B96,""ja"",""vi"")"),"Hyundai")</f>
        <v>Hyundai</v>
      </c>
      <c r="F96" s="3" t="str">
        <f ca="1">IFERROR(__xludf.DUMMYFUNCTION("GOOGLETRANSLATE(C96,""ja"",""vi"")"),"Đấu giá&gt; ô tô, xe máy&gt; ô tô cũ, xe mới&gt; Hyundai")</f>
        <v>Đấu giá&gt; ô tô, xe máy&gt; ô tô cũ, xe mới&gt; Hyundai</v>
      </c>
      <c r="G96" s="229" t="str">
        <f t="shared" ca="1" si="2"/>
        <v>"2084048536" : "Hyundai",</v>
      </c>
      <c r="H96" s="229" t="str">
        <f t="shared" si="3"/>
        <v>&lt;li class="col-md-3"&gt;&lt;a class="text-cut" href="javascript:;"(click)="categoryEvent(2084048536)"&gt;{{"2084048536" | translate}}&lt;/a&gt;&lt;/li&gt;</v>
      </c>
    </row>
    <row r="97" spans="1:8" ht="14.25" customHeight="1">
      <c r="A97" s="2">
        <v>2084048935</v>
      </c>
      <c r="B97" s="2" t="s">
        <v>4607</v>
      </c>
      <c r="C97" s="2" t="s">
        <v>4608</v>
      </c>
      <c r="D97" s="2" t="s">
        <v>4610</v>
      </c>
      <c r="E97" s="3" t="str">
        <f ca="1">IFERROR(__xludf.DUMMYFUNCTION("GOOGLETRANSLATE(B97,""ja"",""vi"")"),"Donkervoort")</f>
        <v>Donkervoort</v>
      </c>
      <c r="F97" s="3" t="str">
        <f ca="1">IFERROR(__xludf.DUMMYFUNCTION("GOOGLETRANSLATE(C97,""ja"",""vi"")"),"Đấu giá&gt; ô tô, xe máy&gt; ô tô cũ, ô tô mới&gt; Donkervoort")</f>
        <v>Đấu giá&gt; ô tô, xe máy&gt; ô tô cũ, ô tô mới&gt; Donkervoort</v>
      </c>
      <c r="G97" s="229" t="str">
        <f t="shared" ca="1" si="2"/>
        <v>"2084048935" : "Donkervoort",</v>
      </c>
      <c r="H97" s="229" t="str">
        <f t="shared" si="3"/>
        <v>&lt;li class="col-md-3"&gt;&lt;a class="text-cut" href="javascript:;"(click)="categoryEvent(2084048935)"&gt;{{"2084048935" | translate}}&lt;/a&gt;&lt;/li&gt;</v>
      </c>
    </row>
    <row r="98" spans="1:8" ht="14.25" customHeight="1">
      <c r="A98" s="2">
        <v>2084054505</v>
      </c>
      <c r="B98" s="2" t="s">
        <v>4614</v>
      </c>
      <c r="C98" s="2" t="s">
        <v>4616</v>
      </c>
      <c r="D98" s="2" t="s">
        <v>4618</v>
      </c>
      <c r="E98" s="3" t="str">
        <f ca="1">IFERROR(__xludf.DUMMYFUNCTION("GOOGLETRANSLATE(B98,""ja"",""vi"")"),"Birkin")</f>
        <v>Birkin</v>
      </c>
      <c r="F98" s="3" t="str">
        <f ca="1">IFERROR(__xludf.DUMMYFUNCTION("GOOGLETRANSLATE(C98,""ja"",""vi"")"),"Đấu giá&gt; ô tô, xe máy&gt; ô tô cũ, ô tô mới&gt; Birkin")</f>
        <v>Đấu giá&gt; ô tô, xe máy&gt; ô tô cũ, ô tô mới&gt; Birkin</v>
      </c>
      <c r="G98" s="229" t="str">
        <f t="shared" ca="1" si="2"/>
        <v>"2084054505" : "Birkin",</v>
      </c>
      <c r="H98" s="229" t="str">
        <f t="shared" si="3"/>
        <v>&lt;li class="col-md-3"&gt;&lt;a class="text-cut" href="javascript:;"(click)="categoryEvent(2084054505)"&gt;{{"2084054505" | translate}}&lt;/a&gt;&lt;/li&gt;</v>
      </c>
    </row>
    <row r="99" spans="1:8" ht="14.25" customHeight="1">
      <c r="A99" s="2">
        <v>2084061280</v>
      </c>
      <c r="B99" s="2" t="s">
        <v>3983</v>
      </c>
      <c r="C99" s="2" t="s">
        <v>4623</v>
      </c>
      <c r="D99" s="2" t="s">
        <v>4625</v>
      </c>
      <c r="E99" s="3" t="str">
        <f ca="1">IFERROR(__xludf.DUMMYFUNCTION("GOOGLETRANSLATE(B99,""ja"",""vi"")"),"Phần xe hái")</f>
        <v>Phần xe hái</v>
      </c>
      <c r="F99" s="3" t="str">
        <f ca="1">IFERROR(__xludf.DUMMYFUNCTION("GOOGLETRANSLATE(C99,""ja"",""vi"")"),"Đấu giá&gt; ô tô, xe máy&gt; ô tô cũ, ô tô mới&gt; xe phần hái")</f>
        <v>Đấu giá&gt; ô tô, xe máy&gt; ô tô cũ, ô tô mới&gt; xe phần hái</v>
      </c>
      <c r="G99" s="229" t="str">
        <f t="shared" ca="1" si="2"/>
        <v>"2084061280" : "Phần xe hái",</v>
      </c>
      <c r="H99" s="229" t="str">
        <f t="shared" si="3"/>
        <v>&lt;li class="col-md-3"&gt;&lt;a class="text-cut" href="javascript:;"(click)="categoryEvent(2084061280)"&gt;{{"2084061280" | translate}}&lt;/a&gt;&lt;/li&gt;</v>
      </c>
    </row>
    <row r="100" spans="1:8" ht="14.25" customHeight="1">
      <c r="A100" s="2">
        <v>2084049594</v>
      </c>
      <c r="B100" s="2" t="s">
        <v>4629</v>
      </c>
      <c r="C100" s="2" t="s">
        <v>4631</v>
      </c>
      <c r="D100" s="2" t="s">
        <v>4633</v>
      </c>
      <c r="E100" s="3" t="str">
        <f ca="1">IFERROR(__xludf.DUMMYFUNCTION("GOOGLETRANSLATE(B100,""ja"",""vi"")"),"Camping xe")</f>
        <v>Camping xe</v>
      </c>
      <c r="F100" s="3" t="str">
        <f ca="1">IFERROR(__xludf.DUMMYFUNCTION("GOOGLETRANSLATE(C100,""ja"",""vi"")"),"Đấu giá&gt; ô tô, xe máy&gt; ô tô cũ, ô tô mới&gt; camper")</f>
        <v>Đấu giá&gt; ô tô, xe máy&gt; ô tô cũ, ô tô mới&gt; camper</v>
      </c>
      <c r="G100" s="229" t="str">
        <f t="shared" ca="1" si="2"/>
        <v>"2084049594" : "Camping xe",</v>
      </c>
      <c r="H100" s="229" t="str">
        <f t="shared" si="3"/>
        <v>&lt;li class="col-md-3"&gt;&lt;a class="text-cut" href="javascript:;"(click)="categoryEvent(2084049594)"&gt;{{"2084049594" | translate}}&lt;/a&gt;&lt;/li&gt;</v>
      </c>
    </row>
    <row r="101" spans="1:8" ht="14.25" customHeight="1">
      <c r="A101" s="2">
        <v>26368</v>
      </c>
      <c r="B101" s="2" t="s">
        <v>3952</v>
      </c>
      <c r="C101" s="2" t="s">
        <v>4638</v>
      </c>
      <c r="D101" s="2" t="s">
        <v>4639</v>
      </c>
      <c r="E101" s="3" t="str">
        <f ca="1">IFERROR(__xludf.DUMMYFUNCTION("GOOGLETRANSLATE(B101,""ja"",""vi"")"),"Xe tải, bãi chứa, máy móc xây dựng")</f>
        <v>Xe tải, bãi chứa, máy móc xây dựng</v>
      </c>
      <c r="F101" s="3" t="str">
        <f ca="1">IFERROR(__xludf.DUMMYFUNCTION("GOOGLETRANSLATE(C101,""ja"",""vi"")"),"Đấu giá&gt; ô tô, xe máy&gt; ô tô cũ, ô tô mới&gt; xe tải, bãi, máy móc xây dựng")</f>
        <v>Đấu giá&gt; ô tô, xe máy&gt; ô tô cũ, ô tô mới&gt; xe tải, bãi, máy móc xây dựng</v>
      </c>
      <c r="G101" s="229" t="str">
        <f t="shared" ca="1" si="2"/>
        <v>"26368" : "Xe tải, bãi chứa, máy móc xây dựng",</v>
      </c>
      <c r="H101" s="229" t="str">
        <f t="shared" si="3"/>
        <v>&lt;li class="col-md-3"&gt;&lt;a class="text-cut" href="javascript:;"(click)="categoryEvent(26368)"&gt;{{"26368" | translate}}&lt;/a&gt;&lt;/li&gt;</v>
      </c>
    </row>
    <row r="102" spans="1:8" ht="14.25" customHeight="1">
      <c r="A102" s="2">
        <v>2084008325</v>
      </c>
      <c r="B102" s="2" t="s">
        <v>2339</v>
      </c>
      <c r="C102" s="2" t="s">
        <v>4643</v>
      </c>
      <c r="D102" s="2" t="s">
        <v>4645</v>
      </c>
      <c r="E102" s="3" t="str">
        <f ca="1">IFERROR(__xludf.DUMMYFUNCTION("GOOGLETRANSLATE(B102,""ja"",""vi"")"),"xe buýt")</f>
        <v>xe buýt</v>
      </c>
      <c r="F102" s="3" t="str">
        <f ca="1">IFERROR(__xludf.DUMMYFUNCTION("GOOGLETRANSLATE(C102,""ja"",""vi"")"),"Đấu giá&gt; ô tô, xe máy&gt; ô tô cũ, ô tô mới&gt; Bus")</f>
        <v>Đấu giá&gt; ô tô, xe máy&gt; ô tô cũ, ô tô mới&gt; Bus</v>
      </c>
      <c r="G102" s="229" t="str">
        <f t="shared" ca="1" si="2"/>
        <v>"2084008325" : "xe buýt",</v>
      </c>
      <c r="H102" s="229" t="str">
        <f t="shared" si="3"/>
        <v>&lt;li class="col-md-3"&gt;&lt;a class="text-cut" href="javascript:;"(click)="categoryEvent(2084008325)"&gt;{{"2084008325" | translate}}&lt;/a&gt;&lt;/li&gt;</v>
      </c>
    </row>
    <row r="103" spans="1:8" ht="14.25" customHeight="1">
      <c r="A103" s="2">
        <v>2084007686</v>
      </c>
      <c r="B103" s="2" t="s">
        <v>16</v>
      </c>
      <c r="C103" s="2" t="s">
        <v>4651</v>
      </c>
      <c r="D103" s="2" t="s">
        <v>4653</v>
      </c>
      <c r="E103" s="3" t="str">
        <f ca="1">IFERROR(__xludf.DUMMYFUNCTION("GOOGLETRANSLATE(B103,""ja"",""vi"")"),"nếu không thì")</f>
        <v>nếu không thì</v>
      </c>
      <c r="F103" s="3" t="str">
        <f ca="1">IFERROR(__xludf.DUMMYFUNCTION("GOOGLETRANSLATE(C103,""ja"",""vi"")"),"Đấu giá&gt; ô tô, xe máy&gt; ô tô cũ, ô tô mới&gt; Khác")</f>
        <v>Đấu giá&gt; ô tô, xe máy&gt; ô tô cũ, ô tô mới&gt; Khác</v>
      </c>
      <c r="G103" s="229" t="str">
        <f t="shared" ca="1" si="2"/>
        <v>"2084007686" : "nếu không thì",</v>
      </c>
      <c r="H103" s="229" t="str">
        <f t="shared" si="3"/>
        <v>&lt;li class="col-md-3"&gt;&lt;a class="text-cut" href="javascript:;"(click)="categoryEvent(2084007686)"&gt;{{"2084007686" | translate}}&lt;/a&gt;&lt;/li&gt;</v>
      </c>
    </row>
    <row r="104" spans="1:8" ht="14.25" customHeight="1">
      <c r="E104" s="3"/>
      <c r="F104" s="3"/>
      <c r="G104" s="229"/>
      <c r="H104" s="229"/>
    </row>
    <row r="105" spans="1:8" ht="14.25" customHeight="1">
      <c r="A105" s="240">
        <v>26308</v>
      </c>
      <c r="B105" s="232"/>
      <c r="C105" s="232"/>
      <c r="D105" s="233"/>
      <c r="E105" s="3"/>
      <c r="F105" s="3"/>
      <c r="G105" s="229"/>
      <c r="H105" s="229"/>
    </row>
    <row r="106" spans="1:8" ht="14.25" customHeight="1">
      <c r="A106" s="2">
        <v>26316</v>
      </c>
      <c r="B106" s="2" t="s">
        <v>4663</v>
      </c>
      <c r="C106" s="2" t="s">
        <v>4670</v>
      </c>
      <c r="D106" s="2" t="s">
        <v>4671</v>
      </c>
      <c r="E106" s="3" t="str">
        <f ca="1">IFERROR(__xludf.DUMMYFUNCTION("GOOGLETRANSLATE(B106,""ja"",""vi"")"),"xe máy cơ thể")</f>
        <v>xe máy cơ thể</v>
      </c>
      <c r="F106" s="3" t="str">
        <f ca="1">IFERROR(__xludf.DUMMYFUNCTION("GOOGLETRANSLATE(C106,""ja"",""vi"")"),"Đấu giá&gt; ô tô, xe máy&gt; xe máy&gt; cơ xe máy")</f>
        <v>Đấu giá&gt; ô tô, xe máy&gt; xe máy&gt; cơ xe máy</v>
      </c>
      <c r="G106" s="229" t="str">
        <f t="shared" ca="1" si="2"/>
        <v>"26316" : "xe máy cơ thể",</v>
      </c>
      <c r="H106" s="229" t="str">
        <f t="shared" si="3"/>
        <v>&lt;li class="col-md-3"&gt;&lt;a class="text-cut" href="javascript:;"(click)="categoryEvent(26316)"&gt;{{"26316" | translate}}&lt;/a&gt;&lt;/li&gt;</v>
      </c>
    </row>
    <row r="107" spans="1:8" ht="14.25" customHeight="1">
      <c r="A107" s="2">
        <v>26312</v>
      </c>
      <c r="B107" s="2" t="s">
        <v>3876</v>
      </c>
      <c r="C107" s="2" t="s">
        <v>4675</v>
      </c>
      <c r="D107" s="2" t="s">
        <v>4677</v>
      </c>
      <c r="E107" s="3" t="str">
        <f ca="1">IFERROR(__xludf.DUMMYFUNCTION("GOOGLETRANSLATE(B107,""ja"",""vi"")"),"bộ phận")</f>
        <v>bộ phận</v>
      </c>
      <c r="F107" s="3" t="str">
        <f ca="1">IFERROR(__xludf.DUMMYFUNCTION("GOOGLETRANSLATE(C107,""ja"",""vi"")"),"Đấu giá&gt; ô tô, xe máy&gt; xe máy&gt; phụ tùng")</f>
        <v>Đấu giá&gt; ô tô, xe máy&gt; xe máy&gt; phụ tùng</v>
      </c>
      <c r="G107" s="229" t="str">
        <f t="shared" ca="1" si="2"/>
        <v>"26312" : "bộ phận",</v>
      </c>
      <c r="H107" s="229" t="str">
        <f t="shared" si="3"/>
        <v>&lt;li class="col-md-3"&gt;&lt;a class="text-cut" href="javascript:;"(click)="categoryEvent(26312)"&gt;{{"26312" | translate}}&lt;/a&gt;&lt;/li&gt;</v>
      </c>
    </row>
    <row r="108" spans="1:8" ht="14.25" customHeight="1">
      <c r="A108" s="2">
        <v>2084012441</v>
      </c>
      <c r="B108" s="2" t="s">
        <v>4678</v>
      </c>
      <c r="C108" s="2" t="s">
        <v>4679</v>
      </c>
      <c r="D108" s="2" t="s">
        <v>4680</v>
      </c>
      <c r="E108" s="3" t="str">
        <f ca="1">IFERROR(__xludf.DUMMYFUNCTION("GOOGLETRANSLATE(B108,""ja"",""vi"")"),"An ninh, an toàn")</f>
        <v>An ninh, an toàn</v>
      </c>
      <c r="F108" s="3" t="str">
        <f ca="1">IFERROR(__xludf.DUMMYFUNCTION("GOOGLETRANSLATE(C108,""ja"",""vi"")"),"Đấu giá&gt; ô tô, xe máy&gt; xe máy&gt; an ninh, an toàn")</f>
        <v>Đấu giá&gt; ô tô, xe máy&gt; xe máy&gt; an ninh, an toàn</v>
      </c>
      <c r="G108" s="229" t="str">
        <f t="shared" ca="1" si="2"/>
        <v>"2084012441" : "An ninh, an toàn",</v>
      </c>
      <c r="H108" s="229" t="str">
        <f t="shared" si="3"/>
        <v>&lt;li class="col-md-3"&gt;&lt;a class="text-cut" href="javascript:;"(click)="categoryEvent(2084012441)"&gt;{{"2084012441" | translate}}&lt;/a&gt;&lt;/li&gt;</v>
      </c>
    </row>
    <row r="109" spans="1:8" ht="14.25" customHeight="1">
      <c r="A109" s="2">
        <v>2084012431</v>
      </c>
      <c r="B109" s="2" t="s">
        <v>4681</v>
      </c>
      <c r="C109" s="2" t="s">
        <v>4682</v>
      </c>
      <c r="D109" s="2" t="s">
        <v>4683</v>
      </c>
      <c r="E109" s="3" t="str">
        <f ca="1">IFERROR(__xludf.DUMMYFUNCTION("GOOGLETRANSLATE(B109,""ja"",""vi"")"),"Mang xe đạp, thiết bị")</f>
        <v>Mang xe đạp, thiết bị</v>
      </c>
      <c r="F109" s="3" t="str">
        <f ca="1">IFERROR(__xludf.DUMMYFUNCTION("GOOGLETRANSLATE(C109,""ja"",""vi"")"),"Đấu giá&gt; ô tô, xe máy&gt; xe máy&gt; xe đạp mặc, thiết bị")</f>
        <v>Đấu giá&gt; ô tô, xe máy&gt; xe máy&gt; xe đạp mặc, thiết bị</v>
      </c>
      <c r="G109" s="229" t="str">
        <f t="shared" ca="1" si="2"/>
        <v>"2084012431" : "Mang xe đạp, thiết bị",</v>
      </c>
      <c r="H109" s="229" t="str">
        <f t="shared" si="3"/>
        <v>&lt;li class="col-md-3"&gt;&lt;a class="text-cut" href="javascript:;"(click)="categoryEvent(2084012431)"&gt;{{"2084012431" | translate}}&lt;/a&gt;&lt;/li&gt;</v>
      </c>
    </row>
    <row r="110" spans="1:8" ht="14.25" customHeight="1">
      <c r="A110" s="2">
        <v>26310</v>
      </c>
      <c r="B110" s="2" t="s">
        <v>2182</v>
      </c>
      <c r="C110" s="2" t="s">
        <v>4687</v>
      </c>
      <c r="D110" s="2" t="s">
        <v>4688</v>
      </c>
      <c r="E110" s="3" t="str">
        <f ca="1">IFERROR(__xludf.DUMMYFUNCTION("GOOGLETRANSLATE(B110,""ja"",""vi"")"),"phụ kiện")</f>
        <v>phụ kiện</v>
      </c>
      <c r="F110" s="3" t="str">
        <f ca="1">IFERROR(__xludf.DUMMYFUNCTION("GOOGLETRANSLATE(C110,""ja"",""vi"")"),"Đấu giá&gt; ô tô, xe máy&gt; xe máy&gt; Phụ kiện")</f>
        <v>Đấu giá&gt; ô tô, xe máy&gt; xe máy&gt; Phụ kiện</v>
      </c>
      <c r="G110" s="229" t="str">
        <f t="shared" ca="1" si="2"/>
        <v>"26310" : "phụ kiện",</v>
      </c>
      <c r="H110" s="229" t="str">
        <f t="shared" si="3"/>
        <v>&lt;li class="col-md-3"&gt;&lt;a class="text-cut" href="javascript:;"(click)="categoryEvent(26310)"&gt;{{"26310" | translate}}&lt;/a&gt;&lt;/li&gt;</v>
      </c>
    </row>
    <row r="111" spans="1:8" ht="14.25" customHeight="1">
      <c r="A111" s="2">
        <v>2084255907</v>
      </c>
      <c r="B111" s="2" t="s">
        <v>4692</v>
      </c>
      <c r="C111" s="2" t="s">
        <v>4693</v>
      </c>
      <c r="D111" s="2" t="s">
        <v>4695</v>
      </c>
      <c r="E111" s="3" t="str">
        <f ca="1">IFERROR(__xludf.DUMMYFUNCTION("GOOGLETRANSLATE(B111,""ja"",""vi"")"),"Navi")</f>
        <v>Navi</v>
      </c>
      <c r="F111" s="3" t="str">
        <f ca="1">IFERROR(__xludf.DUMMYFUNCTION("GOOGLETRANSLATE(C111,""ja"",""vi"")"),"Đấu giá&gt; ô tô, xe máy&gt; xe máy&gt; Navi")</f>
        <v>Đấu giá&gt; ô tô, xe máy&gt; xe máy&gt; Navi</v>
      </c>
      <c r="G111" s="229" t="str">
        <f t="shared" ca="1" si="2"/>
        <v>"2084255907" : "Navi",</v>
      </c>
      <c r="H111" s="229" t="str">
        <f t="shared" si="3"/>
        <v>&lt;li class="col-md-3"&gt;&lt;a class="text-cut" href="javascript:;"(click)="categoryEvent(2084255907)"&gt;{{"2084255907" | translate}}&lt;/a&gt;&lt;/li&gt;</v>
      </c>
    </row>
    <row r="112" spans="1:8" ht="14.25" customHeight="1">
      <c r="A112" s="2">
        <v>2084255908</v>
      </c>
      <c r="B112" s="2" t="s">
        <v>4698</v>
      </c>
      <c r="C112" s="2" t="s">
        <v>4699</v>
      </c>
      <c r="D112" s="2" t="s">
        <v>4700</v>
      </c>
      <c r="E112" s="3" t="str">
        <f ca="1">IFERROR(__xludf.DUMMYFUNCTION("GOOGLETRANSLATE(B112,""ja"",""vi"")"),"âm thanh")</f>
        <v>âm thanh</v>
      </c>
      <c r="F112" s="3" t="str">
        <f ca="1">IFERROR(__xludf.DUMMYFUNCTION("GOOGLETRANSLATE(C112,""ja"",""vi"")"),"Đấu giá&gt; ô tô, xe máy&gt; xe máy&gt; Audio")</f>
        <v>Đấu giá&gt; ô tô, xe máy&gt; xe máy&gt; Audio</v>
      </c>
      <c r="G112" s="229" t="str">
        <f t="shared" ca="1" si="2"/>
        <v>"2084255908" : "âm thanh",</v>
      </c>
      <c r="H112" s="229" t="str">
        <f t="shared" si="3"/>
        <v>&lt;li class="col-md-3"&gt;&lt;a class="text-cut" href="javascript:;"(click)="categoryEvent(2084255908)"&gt;{{"2084255908" | translate}}&lt;/a&gt;&lt;/li&gt;</v>
      </c>
    </row>
    <row r="113" spans="1:8" ht="14.25" customHeight="1">
      <c r="A113" s="2">
        <v>2084012447</v>
      </c>
      <c r="B113" s="2" t="s">
        <v>3941</v>
      </c>
      <c r="C113" s="2" t="s">
        <v>4704</v>
      </c>
      <c r="D113" s="2" t="s">
        <v>4705</v>
      </c>
      <c r="E113" s="3" t="str">
        <f ca="1">IFERROR(__xludf.DUMMYFUNCTION("GOOGLETRANSLATE(B113,""ja"",""vi"")"),"bảo trì")</f>
        <v>bảo trì</v>
      </c>
      <c r="F113" s="3" t="str">
        <f ca="1">IFERROR(__xludf.DUMMYFUNCTION("GOOGLETRANSLATE(C113,""ja"",""vi"")"),"Đấu giá&gt; ô tô, xe máy&gt; xe máy&gt; bảo trì")</f>
        <v>Đấu giá&gt; ô tô, xe máy&gt; xe máy&gt; bảo trì</v>
      </c>
      <c r="G113" s="229" t="str">
        <f t="shared" ca="1" si="2"/>
        <v>"2084012447" : "bảo trì",</v>
      </c>
      <c r="H113" s="229" t="str">
        <f t="shared" si="3"/>
        <v>&lt;li class="col-md-3"&gt;&lt;a class="text-cut" href="javascript:;"(click)="categoryEvent(2084012447)"&gt;{{"2084012447" | translate}}&lt;/a&gt;&lt;/li&gt;</v>
      </c>
    </row>
    <row r="114" spans="1:8" ht="14.25" customHeight="1">
      <c r="A114" s="2">
        <v>2084042022</v>
      </c>
      <c r="B114" s="2" t="s">
        <v>3998</v>
      </c>
      <c r="C114" s="2" t="s">
        <v>4706</v>
      </c>
      <c r="D114" s="2" t="s">
        <v>4708</v>
      </c>
      <c r="E114" s="3" t="str">
        <f ca="1">IFERROR(__xludf.DUMMYFUNCTION("GOOGLETRANSLATE(B114,""ja"",""vi"")"),"dụng cụ")</f>
        <v>dụng cụ</v>
      </c>
      <c r="F114" s="3" t="str">
        <f ca="1">IFERROR(__xludf.DUMMYFUNCTION("GOOGLETRANSLATE(C114,""ja"",""vi"")"),"Đấu giá&gt; ô tô, xe máy&gt; xe máy&gt; công cụ")</f>
        <v>Đấu giá&gt; ô tô, xe máy&gt; xe máy&gt; công cụ</v>
      </c>
      <c r="G114" s="229" t="str">
        <f t="shared" ca="1" si="2"/>
        <v>"2084042022" : "dụng cụ",</v>
      </c>
      <c r="H114" s="229" t="str">
        <f t="shared" si="3"/>
        <v>&lt;li class="col-md-3"&gt;&lt;a class="text-cut" href="javascript:;"(click)="categoryEvent(2084042022)"&gt;{{"2084042022" | translate}}&lt;/a&gt;&lt;/li&gt;</v>
      </c>
    </row>
    <row r="115" spans="1:8" ht="14.25" customHeight="1">
      <c r="A115" s="2">
        <v>2084233217</v>
      </c>
      <c r="B115" s="2" t="s">
        <v>3892</v>
      </c>
      <c r="C115" s="2" t="s">
        <v>4714</v>
      </c>
      <c r="D115" s="2" t="s">
        <v>4715</v>
      </c>
      <c r="E115" s="3" t="str">
        <f ca="1">IFERROR(__xludf.DUMMYFUNCTION("GOOGLETRANSLATE(B115,""ja"",""vi"")"),"ETC")</f>
        <v>ETC</v>
      </c>
      <c r="F115" s="3" t="str">
        <f ca="1">IFERROR(__xludf.DUMMYFUNCTION("GOOGLETRANSLATE(C115,""ja"",""vi"")"),"Đấu giá&gt; ô tô, xe máy&gt; xe máy&gt; ETC")</f>
        <v>Đấu giá&gt; ô tô, xe máy&gt; xe máy&gt; ETC</v>
      </c>
      <c r="G115" s="229" t="str">
        <f t="shared" ca="1" si="2"/>
        <v>"2084233217" : "ETC",</v>
      </c>
      <c r="H115" s="229" t="str">
        <f t="shared" si="3"/>
        <v>&lt;li class="col-md-3"&gt;&lt;a class="text-cut" href="javascript:;"(click)="categoryEvent(2084233217)"&gt;{{"2084233217" | translate}}&lt;/a&gt;&lt;/li&gt;</v>
      </c>
    </row>
    <row r="116" spans="1:8" ht="14.25" customHeight="1">
      <c r="A116" s="2">
        <v>2084005547</v>
      </c>
      <c r="B116" s="2" t="s">
        <v>4012</v>
      </c>
      <c r="C116" s="2" t="s">
        <v>4719</v>
      </c>
      <c r="D116" s="2" t="s">
        <v>4721</v>
      </c>
      <c r="E116" s="3" t="str">
        <f ca="1">IFERROR(__xludf.DUMMYFUNCTION("GOOGLETRANSLATE(B116,""ja"",""vi"")"),"Catalogue, danh sách phần, cuốn sách dịch vụ")</f>
        <v>Catalogue, danh sách phần, cuốn sách dịch vụ</v>
      </c>
      <c r="F116" s="3" t="str">
        <f ca="1">IFERROR(__xludf.DUMMYFUNCTION("GOOGLETRANSLATE(C116,""ja"",""vi"")"),"Đấu giá&gt; ô tô, xe máy&gt; xe máy&gt; Catalogue, danh sách phần, cuốn sách dịch vụ")</f>
        <v>Đấu giá&gt; ô tô, xe máy&gt; xe máy&gt; Catalogue, danh sách phần, cuốn sách dịch vụ</v>
      </c>
      <c r="G116" s="229" t="str">
        <f t="shared" ca="1" si="2"/>
        <v>"2084005547" : "Catalogue, danh sách phần, cuốn sách dịch vụ",</v>
      </c>
      <c r="H116" s="229" t="str">
        <f t="shared" si="3"/>
        <v>&lt;li class="col-md-3"&gt;&lt;a class="text-cut" href="javascript:;"(click)="categoryEvent(2084005547)"&gt;{{"2084005547" | translate}}&lt;/a&gt;&lt;/li&gt;</v>
      </c>
    </row>
    <row r="117" spans="1:8" ht="14.25" customHeight="1">
      <c r="A117" s="2">
        <v>2084008876</v>
      </c>
      <c r="B117" s="2" t="s">
        <v>162</v>
      </c>
      <c r="C117" s="2" t="s">
        <v>4723</v>
      </c>
      <c r="D117" s="2" t="s">
        <v>4725</v>
      </c>
      <c r="E117" s="3" t="str">
        <f ca="1">IFERROR(__xludf.DUMMYFUNCTION("GOOGLETRANSLATE(B117,""ja"",""vi"")"),"Sách, tạp chí")</f>
        <v>Sách, tạp chí</v>
      </c>
      <c r="F117" s="3" t="str">
        <f ca="1">IFERROR(__xludf.DUMMYFUNCTION("GOOGLETRANSLATE(C117,""ja"",""vi"")"),"Đấu giá&gt; ô tô, xe máy&gt; xe máy&gt; Sách, tạp chí")</f>
        <v>Đấu giá&gt; ô tô, xe máy&gt; xe máy&gt; Sách, tạp chí</v>
      </c>
      <c r="G117" s="229" t="str">
        <f t="shared" ca="1" si="2"/>
        <v>"2084008876" : "Sách, tạp chí",</v>
      </c>
      <c r="H117" s="229" t="str">
        <f t="shared" si="3"/>
        <v>&lt;li class="col-md-3"&gt;&lt;a class="text-cut" href="javascript:;"(click)="categoryEvent(2084008876)"&gt;{{"2084008876" | translate}}&lt;/a&gt;&lt;/li&gt;</v>
      </c>
    </row>
    <row r="118" spans="1:8" ht="14.25" customHeight="1">
      <c r="A118" s="2">
        <v>2084005548</v>
      </c>
      <c r="B118" s="2" t="s">
        <v>4730</v>
      </c>
      <c r="C118" s="2" t="s">
        <v>4732</v>
      </c>
      <c r="D118" s="2" t="s">
        <v>4733</v>
      </c>
      <c r="E118" s="3" t="str">
        <f ca="1">IFERROR(__xludf.DUMMYFUNCTION("GOOGLETRANSLATE(B118,""ja"",""vi"")"),"hàng xe máy liên quan đến")</f>
        <v>hàng xe máy liên quan đến</v>
      </c>
      <c r="F118" s="3" t="str">
        <f ca="1">IFERROR(__xludf.DUMMYFUNCTION("GOOGLETRANSLATE(C118,""ja"",""vi"")"),"Đấu giá&gt; ô tô, xe máy&gt; xe máy&gt; hàng xe máy liên quan đến")</f>
        <v>Đấu giá&gt; ô tô, xe máy&gt; xe máy&gt; hàng xe máy liên quan đến</v>
      </c>
      <c r="G118" s="229" t="str">
        <f t="shared" ca="1" si="2"/>
        <v>"2084005548" : "hàng xe máy liên quan đến",</v>
      </c>
      <c r="H118" s="229" t="str">
        <f t="shared" si="3"/>
        <v>&lt;li class="col-md-3"&gt;&lt;a class="text-cut" href="javascript:;"(click)="categoryEvent(2084005548)"&gt;{{"2084005548" | translate}}&lt;/a&gt;&lt;/li&gt;</v>
      </c>
    </row>
    <row r="119" spans="1:8" ht="14.25" customHeight="1">
      <c r="A119" s="2">
        <v>26314</v>
      </c>
      <c r="B119" s="2" t="s">
        <v>205</v>
      </c>
      <c r="C119" s="2" t="s">
        <v>4736</v>
      </c>
      <c r="D119" s="2" t="s">
        <v>4739</v>
      </c>
      <c r="E119" s="3" t="str">
        <f ca="1">IFERROR(__xludf.DUMMYFUNCTION("GOOGLETRANSLATE(B119,""ja"",""vi"")"),"Antique, bộ sưu tập")</f>
        <v>Antique, bộ sưu tập</v>
      </c>
      <c r="F119" s="3" t="str">
        <f ca="1">IFERROR(__xludf.DUMMYFUNCTION("GOOGLETRANSLATE(C119,""ja"",""vi"")"),"Đấu giá&gt; ô tô, xe máy&gt; xe máy&gt; cổ, bộ sưu tập")</f>
        <v>Đấu giá&gt; ô tô, xe máy&gt; xe máy&gt; cổ, bộ sưu tập</v>
      </c>
      <c r="G119" s="229" t="str">
        <f t="shared" ca="1" si="2"/>
        <v>"26314" : "Antique, bộ sưu tập",</v>
      </c>
      <c r="H119" s="229" t="str">
        <f t="shared" si="3"/>
        <v>&lt;li class="col-md-3"&gt;&lt;a class="text-cut" href="javascript:;"(click)="categoryEvent(26314)"&gt;{{"26314" | translate}}&lt;/a&gt;&lt;/li&gt;</v>
      </c>
    </row>
    <row r="120" spans="1:8" ht="14.25" customHeight="1">
      <c r="A120" s="2">
        <v>2084019980</v>
      </c>
      <c r="B120" s="2" t="s">
        <v>386</v>
      </c>
      <c r="C120" s="2" t="s">
        <v>4741</v>
      </c>
      <c r="D120" s="2" t="s">
        <v>4742</v>
      </c>
      <c r="E120" s="3" t="str">
        <f ca="1">IFERROR(__xludf.DUMMYFUNCTION("GOOGLETRANSLATE(B120,""ja"",""vi"")"),"video")</f>
        <v>video</v>
      </c>
      <c r="F120" s="3" t="str">
        <f ca="1">IFERROR(__xludf.DUMMYFUNCTION("GOOGLETRANSLATE(C120,""ja"",""vi"")"),"Đấu giá&gt; ô tô, xe máy&gt; xe máy&gt; Video")</f>
        <v>Đấu giá&gt; ô tô, xe máy&gt; xe máy&gt; Video</v>
      </c>
      <c r="G120" s="229" t="str">
        <f t="shared" ca="1" si="2"/>
        <v>"2084019980" : "video",</v>
      </c>
      <c r="H120" s="229" t="str">
        <f t="shared" si="3"/>
        <v>&lt;li class="col-md-3"&gt;&lt;a class="text-cut" href="javascript:;"(click)="categoryEvent(2084019980)"&gt;{{"2084019980" | translate}}&lt;/a&gt;&lt;/li&gt;</v>
      </c>
    </row>
    <row r="121" spans="1:8" ht="14.25" customHeight="1">
      <c r="E121" s="3"/>
      <c r="F121" s="3"/>
      <c r="G121" s="229"/>
      <c r="H121" s="229"/>
    </row>
    <row r="122" spans="1:8" ht="14.25" customHeight="1">
      <c r="A122" s="237">
        <v>26322</v>
      </c>
      <c r="B122" s="232"/>
      <c r="C122" s="232"/>
      <c r="D122" s="233"/>
      <c r="E122" s="3"/>
      <c r="F122" s="3"/>
      <c r="G122" s="229"/>
      <c r="H122" s="229"/>
    </row>
    <row r="123" spans="1:8" ht="14.25" customHeight="1">
      <c r="A123" s="2">
        <v>26312</v>
      </c>
      <c r="B123" s="2" t="s">
        <v>4751</v>
      </c>
      <c r="C123" s="2" t="s">
        <v>4754</v>
      </c>
      <c r="D123" s="2" t="s">
        <v>4756</v>
      </c>
      <c r="E123" s="3" t="str">
        <f ca="1">IFERROR(__xludf.DUMMYFUNCTION("GOOGLETRANSLATE(B123,""ja"",""vi"")"),"Đối với xe máy")</f>
        <v>Đối với xe máy</v>
      </c>
      <c r="F123" s="3" t="str">
        <f ca="1">IFERROR(__xludf.DUMMYFUNCTION("GOOGLETRANSLATE(C123,""ja"",""vi"")"),"Đấu giá&gt; ô tô, xe máy&gt; phụ tùng&gt; cho xe gắn máy")</f>
        <v>Đấu giá&gt; ô tô, xe máy&gt; phụ tùng&gt; cho xe gắn máy</v>
      </c>
      <c r="G123" s="229" t="str">
        <f t="shared" ca="1" si="2"/>
        <v>"26312" : "Đối với xe máy",</v>
      </c>
      <c r="H123" s="229" t="str">
        <f t="shared" si="3"/>
        <v>&lt;li class="col-md-3"&gt;&lt;a class="text-cut" href="javascript:;"(click)="categoryEvent(26312)"&gt;{{"26312" | translate}}&lt;/a&gt;&lt;/li&gt;</v>
      </c>
    </row>
    <row r="124" spans="1:8" ht="14.25" customHeight="1">
      <c r="A124" s="2">
        <v>26366</v>
      </c>
      <c r="B124" s="2" t="s">
        <v>4758</v>
      </c>
      <c r="C124" s="2" t="s">
        <v>4760</v>
      </c>
      <c r="D124" s="2" t="s">
        <v>4762</v>
      </c>
      <c r="E124" s="3" t="str">
        <f ca="1">IFERROR(__xludf.DUMMYFUNCTION("GOOGLETRANSLATE(B124,""ja"",""vi"")"),"Xe tải, bãi chứa, máy móc thiết bị xây dựng chuyên dụng")</f>
        <v>Xe tải, bãi chứa, máy móc thiết bị xây dựng chuyên dụng</v>
      </c>
      <c r="F124" s="3" t="str">
        <f ca="1">IFERROR(__xludf.DUMMYFUNCTION("GOOGLETRANSLATE(C124,""ja"",""vi"")"),"Đấu giá&gt; ô tô, xe máy&gt; phụ tùng&gt; xe tải, bãi, máy móc thiết bị xây dựng chuyên dụng")</f>
        <v>Đấu giá&gt; ô tô, xe máy&gt; phụ tùng&gt; xe tải, bãi, máy móc thiết bị xây dựng chuyên dụng</v>
      </c>
      <c r="G124" s="229" t="str">
        <f t="shared" ca="1" si="2"/>
        <v>"26366" : "Xe tải, bãi chứa, máy móc thiết bị xây dựng chuyên dụng",</v>
      </c>
      <c r="H124" s="229" t="str">
        <f t="shared" si="3"/>
        <v>&lt;li class="col-md-3"&gt;&lt;a class="text-cut" href="javascript:;"(click)="categoryEvent(26366)"&gt;{{"26366" | translate}}&lt;/a&gt;&lt;/li&gt;</v>
      </c>
    </row>
    <row r="125" spans="1:8" ht="14.25" customHeight="1">
      <c r="A125" s="2">
        <v>2084300257</v>
      </c>
      <c r="B125" s="2" t="s">
        <v>3883</v>
      </c>
      <c r="C125" s="2" t="s">
        <v>4765</v>
      </c>
      <c r="D125" s="2" t="s">
        <v>4767</v>
      </c>
      <c r="E125" s="3" t="str">
        <f ca="1">IFERROR(__xludf.DUMMYFUNCTION("GOOGLETRANSLATE(B125,""ja"",""vi"")"),"Lốp xe, bánh xe")</f>
        <v>Lốp xe, bánh xe</v>
      </c>
      <c r="F125" s="3" t="str">
        <f ca="1">IFERROR(__xludf.DUMMYFUNCTION("GOOGLETRANSLATE(C125,""ja"",""vi"")"),"Đấu giá&gt; ô tô, xe máy&gt; phụ tùng&gt; lốp xe, bánh xe")</f>
        <v>Đấu giá&gt; ô tô, xe máy&gt; phụ tùng&gt; lốp xe, bánh xe</v>
      </c>
      <c r="G125" s="229" t="str">
        <f t="shared" ca="1" si="2"/>
        <v>"2084300257" : "Lốp xe, bánh xe",</v>
      </c>
      <c r="H125" s="229" t="str">
        <f t="shared" si="3"/>
        <v>&lt;li class="col-md-3"&gt;&lt;a class="text-cut" href="javascript:;"(click)="categoryEvent(2084300257)"&gt;{{"2084300257" | translate}}&lt;/a&gt;&lt;/li&gt;</v>
      </c>
    </row>
    <row r="126" spans="1:8" ht="14.25" customHeight="1">
      <c r="A126" s="2">
        <v>2084005257</v>
      </c>
      <c r="B126" s="2" t="s">
        <v>4770</v>
      </c>
      <c r="C126" s="2" t="s">
        <v>4771</v>
      </c>
      <c r="D126" s="2" t="s">
        <v>4772</v>
      </c>
      <c r="E126" s="3" t="str">
        <f ca="1">IFERROR(__xludf.DUMMYFUNCTION("GOOGLETRANSLATE(B126,""ja"",""vi"")"),"Đình chỉ")</f>
        <v>Đình chỉ</v>
      </c>
      <c r="F126" s="3" t="str">
        <f ca="1">IFERROR(__xludf.DUMMYFUNCTION("GOOGLETRANSLATE(C126,""ja"",""vi"")"),"Đấu giá&gt; ô tô, xe máy&gt; phụ tùng&gt; treo")</f>
        <v>Đấu giá&gt; ô tô, xe máy&gt; phụ tùng&gt; treo</v>
      </c>
      <c r="G126" s="229" t="str">
        <f t="shared" ca="1" si="2"/>
        <v>"2084005257" : "Đình chỉ",</v>
      </c>
      <c r="H126" s="229" t="str">
        <f t="shared" si="3"/>
        <v>&lt;li class="col-md-3"&gt;&lt;a class="text-cut" href="javascript:;"(click)="categoryEvent(2084005257)"&gt;{{"2084005257" | translate}}&lt;/a&gt;&lt;/li&gt;</v>
      </c>
    </row>
    <row r="127" spans="1:8" ht="14.25" customHeight="1">
      <c r="A127" s="2">
        <v>2084008461</v>
      </c>
      <c r="B127" s="2" t="s">
        <v>4773</v>
      </c>
      <c r="C127" s="2" t="s">
        <v>4775</v>
      </c>
      <c r="D127" s="2" t="s">
        <v>4776</v>
      </c>
      <c r="E127" s="3" t="str">
        <f ca="1">IFERROR(__xludf.DUMMYFUNCTION("GOOGLETRANSLATE(B127,""ja"",""vi"")"),"thanh Tower, thanh cuộn")</f>
        <v>thanh Tower, thanh cuộn</v>
      </c>
      <c r="F127" s="3" t="str">
        <f ca="1">IFERROR(__xludf.DUMMYFUNCTION("GOOGLETRANSLATE(C127,""ja"",""vi"")"),"Đấu giá&gt; ô tô, xe máy&gt; phụ tùng&gt; thanh tháp, thanh cuộn")</f>
        <v>Đấu giá&gt; ô tô, xe máy&gt; phụ tùng&gt; thanh tháp, thanh cuộn</v>
      </c>
      <c r="G127" s="229" t="str">
        <f t="shared" ca="1" si="2"/>
        <v>"2084008461" : "thanh Tower, thanh cuộn",</v>
      </c>
      <c r="H127" s="229" t="str">
        <f t="shared" si="3"/>
        <v>&lt;li class="col-md-3"&gt;&lt;a class="text-cut" href="javascript:;"(click)="categoryEvent(2084008461)"&gt;{{"2084008461" | translate}}&lt;/a&gt;&lt;/li&gt;</v>
      </c>
    </row>
    <row r="128" spans="1:8" ht="14.25" customHeight="1">
      <c r="A128" s="2">
        <v>2084005259</v>
      </c>
      <c r="B128" s="2" t="s">
        <v>4782</v>
      </c>
      <c r="C128" s="2" t="s">
        <v>4783</v>
      </c>
      <c r="D128" s="2" t="s">
        <v>4784</v>
      </c>
      <c r="E128" s="3" t="str">
        <f ca="1">IFERROR(__xludf.DUMMYFUNCTION("GOOGLETRANSLATE(B128,""ja"",""vi"")"),"phanh")</f>
        <v>phanh</v>
      </c>
      <c r="F128" s="3" t="str">
        <f ca="1">IFERROR(__xludf.DUMMYFUNCTION("GOOGLETRANSLATE(C128,""ja"",""vi"")"),"Đấu giá&gt; ô tô, xe máy&gt; phụ tùng&gt; phanh")</f>
        <v>Đấu giá&gt; ô tô, xe máy&gt; phụ tùng&gt; phanh</v>
      </c>
      <c r="G128" s="229" t="str">
        <f t="shared" ca="1" si="2"/>
        <v>"2084005259" : "phanh",</v>
      </c>
      <c r="H128" s="229" t="str">
        <f t="shared" si="3"/>
        <v>&lt;li class="col-md-3"&gt;&lt;a class="text-cut" href="javascript:;"(click)="categoryEvent(2084005259)"&gt;{{"2084005259" | translate}}&lt;/a&gt;&lt;/li&gt;</v>
      </c>
    </row>
    <row r="129" spans="1:8" ht="14.25" customHeight="1">
      <c r="A129" s="2">
        <v>2084005255</v>
      </c>
      <c r="B129" s="2" t="s">
        <v>4789</v>
      </c>
      <c r="C129" s="2" t="s">
        <v>4791</v>
      </c>
      <c r="D129" s="2" t="s">
        <v>4793</v>
      </c>
      <c r="E129" s="3" t="str">
        <f ca="1">IFERROR(__xludf.DUMMYFUNCTION("GOOGLETRANSLATE(B129,""ja"",""vi"")"),"Ngoại thất, aero")</f>
        <v>Ngoại thất, aero</v>
      </c>
      <c r="F129" s="3" t="str">
        <f ca="1">IFERROR(__xludf.DUMMYFUNCTION("GOOGLETRANSLATE(C129,""ja"",""vi"")"),"Đấu giá&gt; ô tô, xe máy&gt; phụ tùng&gt; ngoại thất, aero")</f>
        <v>Đấu giá&gt; ô tô, xe máy&gt; phụ tùng&gt; ngoại thất, aero</v>
      </c>
      <c r="G129" s="229" t="str">
        <f t="shared" ca="1" si="2"/>
        <v>"2084005255" : "Ngoại thất, aero",</v>
      </c>
      <c r="H129" s="229" t="str">
        <f t="shared" si="3"/>
        <v>&lt;li class="col-md-3"&gt;&lt;a class="text-cut" href="javascript:;"(click)="categoryEvent(2084005255)"&gt;{{"2084005255" | translate}}&lt;/a&gt;&lt;/li&gt;</v>
      </c>
    </row>
    <row r="130" spans="1:8" ht="14.25" customHeight="1">
      <c r="A130" s="2">
        <v>2084008495</v>
      </c>
      <c r="B130" s="2" t="s">
        <v>4797</v>
      </c>
      <c r="C130" s="2" t="s">
        <v>4798</v>
      </c>
      <c r="D130" s="2" t="s">
        <v>4800</v>
      </c>
      <c r="E130" s="3" t="str">
        <f ca="1">IFERROR(__xludf.DUMMYFUNCTION("GOOGLETRANSLATE(B130,""ja"",""vi"")"),"ánh sáng")</f>
        <v>ánh sáng</v>
      </c>
      <c r="F130" s="3" t="str">
        <f ca="1">IFERROR(__xludf.DUMMYFUNCTION("GOOGLETRANSLATE(C130,""ja"",""vi"")"),"Đấu giá&gt; ô tô, xe máy&gt; phụ tùng&gt; ánh sáng")</f>
        <v>Đấu giá&gt; ô tô, xe máy&gt; phụ tùng&gt; ánh sáng</v>
      </c>
      <c r="G130" s="229" t="str">
        <f t="shared" ca="1" si="2"/>
        <v>"2084008495" : "ánh sáng",</v>
      </c>
      <c r="H130" s="229" t="str">
        <f t="shared" si="3"/>
        <v>&lt;li class="col-md-3"&gt;&lt;a class="text-cut" href="javascript:;"(click)="categoryEvent(2084008495)"&gt;{{"2084008495" | translate}}&lt;/a&gt;&lt;/li&gt;</v>
      </c>
    </row>
    <row r="131" spans="1:8" ht="14.25" customHeight="1">
      <c r="A131" s="2">
        <v>2084049680</v>
      </c>
      <c r="B131" s="2" t="s">
        <v>4806</v>
      </c>
      <c r="C131" s="2" t="s">
        <v>4807</v>
      </c>
      <c r="D131" s="2" t="s">
        <v>4808</v>
      </c>
      <c r="E131" s="3" t="str">
        <f ca="1">IFERROR(__xludf.DUMMYFUNCTION("GOOGLETRANSLATE(B131,""ja"",""vi"")"),"cửa gương")</f>
        <v>cửa gương</v>
      </c>
      <c r="F131" s="3" t="str">
        <f ca="1">IFERROR(__xludf.DUMMYFUNCTION("GOOGLETRANSLATE(C131,""ja"",""vi"")"),"Đấu giá&gt; ô tô, xe máy&gt; phụ tùng&gt; gương cửa")</f>
        <v>Đấu giá&gt; ô tô, xe máy&gt; phụ tùng&gt; gương cửa</v>
      </c>
      <c r="G131" s="229" t="str">
        <f t="shared" ref="G131:G194" ca="1" si="4">CONCATENATE(CHAR(34)&amp;"",A131,""&amp;CHAR(34)," : ", CHAR(34)&amp;"",E131,""&amp;CHAR(34),",")</f>
        <v>"2084049680" : "cửa gương",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href="javascript:;"(click)="categoryEvent(2084049680)"&gt;{{"2084049680" | translate}}&lt;/a&gt;&lt;/li&gt;</v>
      </c>
    </row>
    <row r="132" spans="1:8" ht="14.25" customHeight="1">
      <c r="A132" s="2">
        <v>2084048013</v>
      </c>
      <c r="B132" s="2" t="s">
        <v>4812</v>
      </c>
      <c r="C132" s="2" t="s">
        <v>4813</v>
      </c>
      <c r="D132" s="2" t="s">
        <v>4814</v>
      </c>
      <c r="E132" s="3" t="str">
        <f ca="1">IFERROR(__xludf.DUMMYFUNCTION("GOOGLETRANSLATE(B132,""ja"",""vi"")"),"trang trí nội thất")</f>
        <v>trang trí nội thất</v>
      </c>
      <c r="F132" s="3" t="str">
        <f ca="1">IFERROR(__xludf.DUMMYFUNCTION("GOOGLETRANSLATE(C132,""ja"",""vi"")"),"Đấu giá&gt; ô tô, xe máy&gt; phụ tùng&gt; hàng nội thất")</f>
        <v>Đấu giá&gt; ô tô, xe máy&gt; phụ tùng&gt; hàng nội thất</v>
      </c>
      <c r="G132" s="229" t="str">
        <f t="shared" ca="1" si="4"/>
        <v>"2084048013" : "trang trí nội thất",</v>
      </c>
      <c r="H132" s="229" t="str">
        <f t="shared" si="5"/>
        <v>&lt;li class="col-md-3"&gt;&lt;a class="text-cut" href="javascript:;"(click)="categoryEvent(2084048013)"&gt;{{"2084048013" | translate}}&lt;/a&gt;&lt;/li&gt;</v>
      </c>
    </row>
    <row r="133" spans="1:8" ht="14.25" customHeight="1">
      <c r="A133" s="2">
        <v>2084005142</v>
      </c>
      <c r="B133" s="2" t="s">
        <v>4816</v>
      </c>
      <c r="C133" s="2" t="s">
        <v>4819</v>
      </c>
      <c r="D133" s="2" t="s">
        <v>4821</v>
      </c>
      <c r="E133" s="3" t="str">
        <f ca="1">IFERROR(__xludf.DUMMYFUNCTION("GOOGLETRANSLATE(B133,""ja"",""vi"")"),"tay lái")</f>
        <v>tay lái</v>
      </c>
      <c r="F133" s="3" t="str">
        <f ca="1">IFERROR(__xludf.DUMMYFUNCTION("GOOGLETRANSLATE(C133,""ja"",""vi"")"),"Đấu giá&gt; ô tô, xe máy&gt; phụ tùng&gt; lái")</f>
        <v>Đấu giá&gt; ô tô, xe máy&gt; phụ tùng&gt; lái</v>
      </c>
      <c r="G133" s="229" t="str">
        <f t="shared" ca="1" si="4"/>
        <v>"2084005142" : "tay lái",</v>
      </c>
      <c r="H133" s="229" t="str">
        <f t="shared" si="5"/>
        <v>&lt;li class="col-md-3"&gt;&lt;a class="text-cut" href="javascript:;"(click)="categoryEvent(2084005142)"&gt;{{"2084005142" | translate}}&lt;/a&gt;&lt;/li&gt;</v>
      </c>
    </row>
    <row r="134" spans="1:8" ht="14.25" customHeight="1">
      <c r="A134" s="2">
        <v>2084005258</v>
      </c>
      <c r="B134" s="2" t="s">
        <v>4826</v>
      </c>
      <c r="C134" s="2" t="s">
        <v>4827</v>
      </c>
      <c r="D134" s="2" t="s">
        <v>4828</v>
      </c>
      <c r="E134" s="3" t="str">
        <f ca="1">IFERROR(__xludf.DUMMYFUNCTION("GOOGLETRANSLATE(B134,""ja"",""vi"")"),"ghế")</f>
        <v>ghế</v>
      </c>
      <c r="F134" s="3" t="str">
        <f ca="1">IFERROR(__xludf.DUMMYFUNCTION("GOOGLETRANSLATE(C134,""ja"",""vi"")"),"Đấu giá&gt; ô tô, xe máy&gt; phụ tùng&gt; ghế")</f>
        <v>Đấu giá&gt; ô tô, xe máy&gt; phụ tùng&gt; ghế</v>
      </c>
      <c r="G134" s="229" t="str">
        <f t="shared" ca="1" si="4"/>
        <v>"2084005258" : "ghế",</v>
      </c>
      <c r="H134" s="229" t="str">
        <f t="shared" si="5"/>
        <v>&lt;li class="col-md-3"&gt;&lt;a class="text-cut" href="javascript:;"(click)="categoryEvent(2084005258)"&gt;{{"2084005258" | translate}}&lt;/a&gt;&lt;/li&gt;</v>
      </c>
    </row>
    <row r="135" spans="1:8" ht="14.25" customHeight="1">
      <c r="A135" s="2">
        <v>2084008427</v>
      </c>
      <c r="B135" s="2" t="s">
        <v>4834</v>
      </c>
      <c r="C135" s="2" t="s">
        <v>4837</v>
      </c>
      <c r="D135" s="2" t="s">
        <v>4839</v>
      </c>
      <c r="E135" s="3" t="str">
        <f ca="1">IFERROR(__xludf.DUMMYFUNCTION("GOOGLETRANSLATE(B135,""ja"",""vi"")"),"Meter")</f>
        <v>Meter</v>
      </c>
      <c r="F135" s="3" t="str">
        <f ca="1">IFERROR(__xludf.DUMMYFUNCTION("GOOGLETRANSLATE(C135,""ja"",""vi"")"),"Đấu giá&gt; ô tô, xe máy&gt; phụ tùng&gt; mét")</f>
        <v>Đấu giá&gt; ô tô, xe máy&gt; phụ tùng&gt; mét</v>
      </c>
      <c r="G135" s="229" t="str">
        <f t="shared" ca="1" si="4"/>
        <v>"2084008427" : "Meter",</v>
      </c>
      <c r="H135" s="229" t="str">
        <f t="shared" si="5"/>
        <v>&lt;li class="col-md-3"&gt;&lt;a class="text-cut" href="javascript:;"(click)="categoryEvent(2084008427)"&gt;{{"2084008427" | translate}}&lt;/a&gt;&lt;/li&gt;</v>
      </c>
    </row>
    <row r="136" spans="1:8" ht="14.25" customHeight="1">
      <c r="A136" s="2">
        <v>2084005143</v>
      </c>
      <c r="B136" s="2" t="s">
        <v>4841</v>
      </c>
      <c r="C136" s="2" t="s">
        <v>4844</v>
      </c>
      <c r="D136" s="2" t="s">
        <v>4847</v>
      </c>
      <c r="E136" s="3" t="str">
        <f ca="1">IFERROR(__xludf.DUMMYFUNCTION("GOOGLETRANSLATE(B136,""ja"",""vi"")"),"Muffler, các bộ phận hệ thống ống xả")</f>
        <v>Muffler, các bộ phận hệ thống ống xả</v>
      </c>
      <c r="F136" s="3" t="str">
        <f ca="1">IFERROR(__xludf.DUMMYFUNCTION("GOOGLETRANSLATE(C136,""ja"",""vi"")"),"Đấu giá&gt; ô tô, xe máy&gt; phụ tùng&gt; muffler, các bộ phận hệ thống ống xả")</f>
        <v>Đấu giá&gt; ô tô, xe máy&gt; phụ tùng&gt; muffler, các bộ phận hệ thống ống xả</v>
      </c>
      <c r="G136" s="229" t="str">
        <f t="shared" ca="1" si="4"/>
        <v>"2084005143" : "Muffler, các bộ phận hệ thống ống xả",</v>
      </c>
      <c r="H136" s="229" t="str">
        <f t="shared" si="5"/>
        <v>&lt;li class="col-md-3"&gt;&lt;a class="text-cut" href="javascript:;"(click)="categoryEvent(2084005143)"&gt;{{"2084005143" | translate}}&lt;/a&gt;&lt;/li&gt;</v>
      </c>
    </row>
    <row r="137" spans="1:8" ht="14.25" customHeight="1">
      <c r="A137" s="2">
        <v>2084201586</v>
      </c>
      <c r="B137" s="2" t="s">
        <v>4850</v>
      </c>
      <c r="C137" s="2" t="s">
        <v>4852</v>
      </c>
      <c r="D137" s="2" t="s">
        <v>4854</v>
      </c>
      <c r="E137" s="3" t="str">
        <f ca="1">IFERROR(__xludf.DUMMYFUNCTION("GOOGLETRANSLATE(B137,""ja"",""vi"")"),"Lọc")</f>
        <v>Lọc</v>
      </c>
      <c r="F137" s="3" t="str">
        <f ca="1">IFERROR(__xludf.DUMMYFUNCTION("GOOGLETRANSLATE(C137,""ja"",""vi"")"),"Đấu giá&gt; ô tô, xe máy&gt; phụ tùng&gt; lọc")</f>
        <v>Đấu giá&gt; ô tô, xe máy&gt; phụ tùng&gt; lọc</v>
      </c>
      <c r="G137" s="229" t="str">
        <f t="shared" ca="1" si="4"/>
        <v>"2084201586" : "Lọc",</v>
      </c>
      <c r="H137" s="229" t="str">
        <f t="shared" si="5"/>
        <v>&lt;li class="col-md-3"&gt;&lt;a class="text-cut" href="javascript:;"(click)="categoryEvent(2084201586)"&gt;{{"2084201586" | translate}}&lt;/a&gt;&lt;/li&gt;</v>
      </c>
    </row>
    <row r="138" spans="1:8" ht="14.25" customHeight="1">
      <c r="A138" s="2">
        <v>2084005256</v>
      </c>
      <c r="B138" s="2" t="s">
        <v>4855</v>
      </c>
      <c r="C138" s="2" t="s">
        <v>4856</v>
      </c>
      <c r="D138" s="2" t="s">
        <v>4857</v>
      </c>
      <c r="E138" s="3" t="str">
        <f ca="1">IFERROR(__xludf.DUMMYFUNCTION("GOOGLETRANSLATE(B138,""ja"",""vi"")"),"Engine, bộ siêu tăng áp, hệ thống làm mát")</f>
        <v>Engine, bộ siêu tăng áp, hệ thống làm mát</v>
      </c>
      <c r="F138" s="3" t="str">
        <f ca="1">IFERROR(__xludf.DUMMYFUNCTION("GOOGLETRANSLATE(C138,""ja"",""vi"")"),"Đấu giá&gt; ô tô, xe máy&gt; phụ tùng&gt; động cơ, bộ siêu tăng áp, hệ thống làm mát")</f>
        <v>Đấu giá&gt; ô tô, xe máy&gt; phụ tùng&gt; động cơ, bộ siêu tăng áp, hệ thống làm mát</v>
      </c>
      <c r="G138" s="229" t="str">
        <f t="shared" ca="1" si="4"/>
        <v>"2084005256" : "Engine, bộ siêu tăng áp, hệ thống làm mát",</v>
      </c>
      <c r="H138" s="229" t="str">
        <f t="shared" si="5"/>
        <v>&lt;li class="col-md-3"&gt;&lt;a class="text-cut" href="javascript:;"(click)="categoryEvent(2084005256)"&gt;{{"2084005256" | translate}}&lt;/a&gt;&lt;/li&gt;</v>
      </c>
    </row>
    <row r="139" spans="1:8" ht="14.25" customHeight="1">
      <c r="A139" s="2">
        <v>2084008426</v>
      </c>
      <c r="B139" s="2" t="s">
        <v>4862</v>
      </c>
      <c r="C139" s="2" t="s">
        <v>4863</v>
      </c>
      <c r="D139" s="2" t="s">
        <v>4864</v>
      </c>
      <c r="E139" s="3" t="str">
        <f ca="1">IFERROR(__xludf.DUMMYFUNCTION("GOOGLETRANSLATE(B139,""ja"",""vi"")"),"Ly hợp, nhiệm vụ, diff")</f>
        <v>Ly hợp, nhiệm vụ, diff</v>
      </c>
      <c r="F139" s="3" t="str">
        <f ca="1">IFERROR(__xludf.DUMMYFUNCTION("GOOGLETRANSLATE(C139,""ja"",""vi"")"),"Đấu giá&gt; ô tô, xe máy&gt; phụ tùng&gt; ly hợp, nhiệm vụ, diff")</f>
        <v>Đấu giá&gt; ô tô, xe máy&gt; phụ tùng&gt; ly hợp, nhiệm vụ, diff</v>
      </c>
      <c r="G139" s="229" t="str">
        <f t="shared" ca="1" si="4"/>
        <v>"2084008426" : "Ly hợp, nhiệm vụ, diff",</v>
      </c>
      <c r="H139" s="229" t="str">
        <f t="shared" si="5"/>
        <v>&lt;li class="col-md-3"&gt;&lt;a class="text-cut" href="javascript:;"(click)="categoryEvent(2084008426)"&gt;{{"2084008426" | translate}}&lt;/a&gt;&lt;/li&gt;</v>
      </c>
    </row>
    <row r="140" spans="1:8" ht="14.25" customHeight="1">
      <c r="A140" s="2">
        <v>2084008431</v>
      </c>
      <c r="B140" s="2" t="s">
        <v>127</v>
      </c>
      <c r="C140" s="2" t="s">
        <v>4871</v>
      </c>
      <c r="D140" s="2" t="s">
        <v>4873</v>
      </c>
      <c r="E140" s="3" t="str">
        <f ca="1">IFERROR(__xludf.DUMMYFUNCTION("GOOGLETRANSLATE(B140,""ja"",""vi"")"),"máy tính")</f>
        <v>máy tính</v>
      </c>
      <c r="F140" s="3" t="str">
        <f ca="1">IFERROR(__xludf.DUMMYFUNCTION("GOOGLETRANSLATE(C140,""ja"",""vi"")"),"Đấu giá&gt; ô tô, xe máy&gt; phụ tùng&gt; máy tính")</f>
        <v>Đấu giá&gt; ô tô, xe máy&gt; phụ tùng&gt; máy tính</v>
      </c>
      <c r="G140" s="229" t="str">
        <f t="shared" ca="1" si="4"/>
        <v>"2084008431" : "máy tính",</v>
      </c>
      <c r="H140" s="229" t="str">
        <f t="shared" si="5"/>
        <v>&lt;li class="col-md-3"&gt;&lt;a class="text-cut" href="javascript:;"(click)="categoryEvent(2084008431)"&gt;{{"2084008431" | translate}}&lt;/a&gt;&lt;/li&gt;</v>
      </c>
    </row>
    <row r="141" spans="1:8" ht="14.25" customHeight="1">
      <c r="A141" s="2">
        <v>2084005260</v>
      </c>
      <c r="B141" s="2" t="s">
        <v>4875</v>
      </c>
      <c r="C141" s="2" t="s">
        <v>4877</v>
      </c>
      <c r="D141" s="2" t="s">
        <v>4878</v>
      </c>
      <c r="E141" s="3" t="str">
        <f ca="1">IFERROR(__xludf.DUMMYFUNCTION("GOOGLETRANSLATE(B141,""ja"",""vi"")"),"sừng")</f>
        <v>sừng</v>
      </c>
      <c r="F141" s="3" t="str">
        <f ca="1">IFERROR(__xludf.DUMMYFUNCTION("GOOGLETRANSLATE(C141,""ja"",""vi"")"),"Đấu giá&gt; ô tô, xe máy&gt; phụ tùng&gt; sừng")</f>
        <v>Đấu giá&gt; ô tô, xe máy&gt; phụ tùng&gt; sừng</v>
      </c>
      <c r="G141" s="229" t="str">
        <f t="shared" ca="1" si="4"/>
        <v>"2084005260" : "sừng",</v>
      </c>
      <c r="H141" s="229" t="str">
        <f t="shared" si="5"/>
        <v>&lt;li class="col-md-3"&gt;&lt;a class="text-cut" href="javascript:;"(click)="categoryEvent(2084005260)"&gt;{{"2084005260" | translate}}&lt;/a&gt;&lt;/li&gt;</v>
      </c>
    </row>
    <row r="142" spans="1:8" ht="14.25" customHeight="1">
      <c r="A142" s="2">
        <v>2084008462</v>
      </c>
      <c r="B142" s="2" t="s">
        <v>4881</v>
      </c>
      <c r="C142" s="2" t="s">
        <v>4882</v>
      </c>
      <c r="D142" s="2" t="s">
        <v>4883</v>
      </c>
      <c r="E142" s="3" t="str">
        <f ca="1">IFERROR(__xludf.DUMMYFUNCTION("GOOGLETRANSLATE(B142,""ja"",""vi"")"),"thiết bị điện")</f>
        <v>thiết bị điện</v>
      </c>
      <c r="F142" s="3" t="str">
        <f ca="1">IFERROR(__xludf.DUMMYFUNCTION("GOOGLETRANSLATE(C142,""ja"",""vi"")"),"Đấu giá&gt; ô tô, xe máy&gt; phụ tùng&gt; thiết bị điện")</f>
        <v>Đấu giá&gt; ô tô, xe máy&gt; phụ tùng&gt; thiết bị điện</v>
      </c>
      <c r="G142" s="229" t="str">
        <f t="shared" ca="1" si="4"/>
        <v>"2084008462" : "thiết bị điện",</v>
      </c>
      <c r="H142" s="229" t="str">
        <f t="shared" si="5"/>
        <v>&lt;li class="col-md-3"&gt;&lt;a class="text-cut" href="javascript:;"(click)="categoryEvent(2084008462)"&gt;{{"2084008462" | translate}}&lt;/a&gt;&lt;/li&gt;</v>
      </c>
    </row>
    <row r="143" spans="1:8" ht="14.25" customHeight="1">
      <c r="A143" s="2">
        <v>2084015624</v>
      </c>
      <c r="B143" s="2" t="s">
        <v>4889</v>
      </c>
      <c r="C143" s="2" t="s">
        <v>4891</v>
      </c>
      <c r="D143" s="2" t="s">
        <v>4894</v>
      </c>
      <c r="E143" s="3" t="str">
        <f ca="1">IFERROR(__xludf.DUMMYFUNCTION("GOOGLETRANSLATE(B143,""ja"",""vi"")"),"ô tô Brands")</f>
        <v>ô tô Brands</v>
      </c>
      <c r="F143" s="3" t="str">
        <f ca="1">IFERROR(__xludf.DUMMYFUNCTION("GOOGLETRANSLATE(C143,""ja"",""vi"")"),"Đấu giá&gt; ô tô, xe máy&gt; phụ tùng&gt; Ô tô Brands")</f>
        <v>Đấu giá&gt; ô tô, xe máy&gt; phụ tùng&gt; Ô tô Brands</v>
      </c>
      <c r="G143" s="229" t="str">
        <f t="shared" ca="1" si="4"/>
        <v>"2084015624" : "ô tô Brands",</v>
      </c>
      <c r="H143" s="229" t="str">
        <f t="shared" si="5"/>
        <v>&lt;li class="col-md-3"&gt;&lt;a class="text-cut" href="javascript:;"(click)="categoryEvent(2084015624)"&gt;{{"2084015624" | translate}}&lt;/a&gt;&lt;/li&gt;</v>
      </c>
    </row>
    <row r="144" spans="1:8" ht="14.25" customHeight="1">
      <c r="A144" s="2">
        <v>2084061280</v>
      </c>
      <c r="B144" s="2" t="s">
        <v>3983</v>
      </c>
      <c r="C144" s="2" t="s">
        <v>4899</v>
      </c>
      <c r="D144" s="2" t="s">
        <v>4902</v>
      </c>
      <c r="E144" s="3" t="str">
        <f ca="1">IFERROR(__xludf.DUMMYFUNCTION("GOOGLETRANSLATE(B144,""ja"",""vi"")"),"Phần xe hái")</f>
        <v>Phần xe hái</v>
      </c>
      <c r="F144" s="3" t="str">
        <f ca="1">IFERROR(__xludf.DUMMYFUNCTION("GOOGLETRANSLATE(C144,""ja"",""vi"")"),"Đấu giá&gt; ô tô, xe máy&gt; phụ tùng&gt; xe phần hái")</f>
        <v>Đấu giá&gt; ô tô, xe máy&gt; phụ tùng&gt; xe phần hái</v>
      </c>
      <c r="G144" s="229" t="str">
        <f t="shared" ca="1" si="4"/>
        <v>"2084061280" : "Phần xe hái",</v>
      </c>
      <c r="H144" s="229" t="str">
        <f t="shared" si="5"/>
        <v>&lt;li class="col-md-3"&gt;&lt;a class="text-cut" href="javascript:;"(click)="categoryEvent(2084061280)"&gt;{{"2084061280" | translate}}&lt;/a&gt;&lt;/li&gt;</v>
      </c>
    </row>
    <row r="145" spans="1:8" ht="14.25" customHeight="1">
      <c r="A145" s="2">
        <v>2084005144</v>
      </c>
      <c r="B145" s="2" t="s">
        <v>16</v>
      </c>
      <c r="C145" s="2" t="s">
        <v>4904</v>
      </c>
      <c r="D145" s="2" t="s">
        <v>4906</v>
      </c>
      <c r="E145" s="3" t="str">
        <f ca="1">IFERROR(__xludf.DUMMYFUNCTION("GOOGLETRANSLATE(B145,""ja"",""vi"")"),"nếu không thì")</f>
        <v>nếu không thì</v>
      </c>
      <c r="F145" s="3" t="str">
        <f ca="1">IFERROR(__xludf.DUMMYFUNCTION("GOOGLETRANSLATE(C145,""ja"",""vi"")"),"Đấu giá&gt; ô tô, xe máy&gt; phụ tùng&gt; Khác")</f>
        <v>Đấu giá&gt; ô tô, xe máy&gt; phụ tùng&gt; Khác</v>
      </c>
      <c r="G145" s="229" t="str">
        <f t="shared" ca="1" si="4"/>
        <v>"2084005144" : "nếu không thì",</v>
      </c>
      <c r="H145" s="229" t="str">
        <f t="shared" si="5"/>
        <v>&lt;li class="col-md-3"&gt;&lt;a class="text-cut" href="javascript:;"(click)="categoryEvent(2084005144)"&gt;{{"2084005144" | translate}}&lt;/a&gt;&lt;/li&gt;</v>
      </c>
    </row>
    <row r="146" spans="1:8" ht="14.25" customHeight="1">
      <c r="E146" s="3"/>
      <c r="F146" s="3"/>
      <c r="G146" s="229"/>
      <c r="H146" s="229"/>
    </row>
    <row r="147" spans="1:8" ht="14.25" customHeight="1">
      <c r="A147" s="241">
        <v>2084300257</v>
      </c>
      <c r="B147" s="232"/>
      <c r="C147" s="232"/>
      <c r="D147" s="233"/>
      <c r="E147" s="3"/>
      <c r="F147" s="3"/>
      <c r="G147" s="229"/>
      <c r="H147" s="229"/>
    </row>
    <row r="148" spans="1:8" ht="14.25" customHeight="1">
      <c r="A148" s="2">
        <v>2084200183</v>
      </c>
      <c r="B148" s="89" t="s">
        <v>4915</v>
      </c>
      <c r="C148" s="2" t="s">
        <v>4926</v>
      </c>
      <c r="D148" s="2" t="s">
        <v>4927</v>
      </c>
      <c r="E148" s="3" t="str">
        <f ca="1">IFERROR(__xludf.DUMMYFUNCTION("GOOGLETRANSLATE(B148,""ja"",""vi"")"),"Lốp và bánh xe Set")</f>
        <v>Lốp và bánh xe Set</v>
      </c>
      <c r="F148" s="3" t="str">
        <f ca="1">IFERROR(__xludf.DUMMYFUNCTION("GOOGLETRANSLATE(C148,""ja"",""vi"")"),"Đấu giá&gt; ô tô, xe máy&gt; lốp xe, bánh xe&gt; bánh lốp bộ")</f>
        <v>Đấu giá&gt; ô tô, xe máy&gt; lốp xe, bánh xe&gt; bánh lốp bộ</v>
      </c>
      <c r="G148" s="229" t="str">
        <f t="shared" ca="1" si="4"/>
        <v>"2084200183" : "Lốp và bánh xe Set",</v>
      </c>
      <c r="H148" s="229" t="str">
        <f t="shared" si="5"/>
        <v>&lt;li class="col-md-3"&gt;&lt;a class="text-cut" href="javascript:;"(click)="categoryEvent(2084200183)"&gt;{{"2084200183" | translate}}&lt;/a&gt;&lt;/li&gt;</v>
      </c>
    </row>
    <row r="149" spans="1:8" ht="14.25" customHeight="1">
      <c r="A149" s="2">
        <v>2084005141</v>
      </c>
      <c r="B149" s="89" t="s">
        <v>4930</v>
      </c>
      <c r="C149" s="2" t="s">
        <v>4931</v>
      </c>
      <c r="D149" s="2" t="s">
        <v>4932</v>
      </c>
      <c r="E149" s="3" t="str">
        <f ca="1">IFERROR(__xludf.DUMMYFUNCTION("GOOGLETRANSLATE(B149,""ja"",""vi"")"),"lốp")</f>
        <v>lốp</v>
      </c>
      <c r="F149" s="3" t="str">
        <f ca="1">IFERROR(__xludf.DUMMYFUNCTION("GOOGLETRANSLATE(C149,""ja"",""vi"")"),"Đấu giá&gt; ô tô, xe máy&gt; lốp xe, bánh xe&gt; lốp")</f>
        <v>Đấu giá&gt; ô tô, xe máy&gt; lốp xe, bánh xe&gt; lốp</v>
      </c>
      <c r="G149" s="229" t="str">
        <f t="shared" ca="1" si="4"/>
        <v>"2084005141" : "lốp",</v>
      </c>
      <c r="H149" s="229" t="str">
        <f t="shared" si="5"/>
        <v>&lt;li class="col-md-3"&gt;&lt;a class="text-cut" href="javascript:;"(click)="categoryEvent(2084005141)"&gt;{{"2084005141" | translate}}&lt;/a&gt;&lt;/li&gt;</v>
      </c>
    </row>
    <row r="150" spans="1:8" ht="14.25" customHeight="1">
      <c r="A150" s="2">
        <v>2084005140</v>
      </c>
      <c r="B150" s="89" t="s">
        <v>4935</v>
      </c>
      <c r="C150" s="2" t="s">
        <v>4937</v>
      </c>
      <c r="D150" s="2" t="s">
        <v>4938</v>
      </c>
      <c r="E150" s="3" t="str">
        <f ca="1">IFERROR(__xludf.DUMMYFUNCTION("GOOGLETRANSLATE(B150,""ja"",""vi"")"),"bánh xe")</f>
        <v>bánh xe</v>
      </c>
      <c r="F150" s="3" t="str">
        <f ca="1">IFERROR(__xludf.DUMMYFUNCTION("GOOGLETRANSLATE(C150,""ja"",""vi"")"),"Đấu giá&gt; ô tô, xe máy&gt; lốp xe, bánh xe&gt; bánh xe")</f>
        <v>Đấu giá&gt; ô tô, xe máy&gt; lốp xe, bánh xe&gt; bánh xe</v>
      </c>
      <c r="G150" s="229" t="str">
        <f t="shared" ca="1" si="4"/>
        <v>"2084005140" : "bánh xe",</v>
      </c>
      <c r="H150" s="229" t="str">
        <f t="shared" si="5"/>
        <v>&lt;li class="col-md-3"&gt;&lt;a class="text-cut" href="javascript:;"(click)="categoryEvent(2084005140)"&gt;{{"2084005140" | translate}}&lt;/a&gt;&lt;/li&gt;</v>
      </c>
    </row>
    <row r="151" spans="1:8" ht="14.25" customHeight="1">
      <c r="A151" s="2">
        <v>2084008459</v>
      </c>
      <c r="B151" s="89" t="s">
        <v>4942</v>
      </c>
      <c r="C151" s="2" t="s">
        <v>4943</v>
      </c>
      <c r="D151" s="2" t="s">
        <v>4944</v>
      </c>
      <c r="E151" s="3" t="str">
        <f ca="1">IFERROR(__xludf.DUMMYFUNCTION("GOOGLETRANSLATE(B151,""ja"",""vi"")"),"Chain, không trơn trượt")</f>
        <v>Chain, không trơn trượt</v>
      </c>
      <c r="F151" s="3" t="str">
        <f ca="1">IFERROR(__xludf.DUMMYFUNCTION("GOOGLETRANSLATE(C151,""ja"",""vi"")"),"Đấu giá&gt; ô tô, xe máy&gt; lốp xe, bánh xe&gt; chuỗi, không trơn trượt")</f>
        <v>Đấu giá&gt; ô tô, xe máy&gt; lốp xe, bánh xe&gt; chuỗi, không trơn trượt</v>
      </c>
      <c r="G151" s="229" t="str">
        <f t="shared" ca="1" si="4"/>
        <v>"2084008459" : "Chain, không trơn trượt",</v>
      </c>
      <c r="H151" s="229" t="str">
        <f t="shared" si="5"/>
        <v>&lt;li class="col-md-3"&gt;&lt;a class="text-cut" href="javascript:;"(click)="categoryEvent(2084008459)"&gt;{{"2084008459" | translate}}&lt;/a&gt;&lt;/li&gt;</v>
      </c>
    </row>
    <row r="152" spans="1:8" ht="14.25" customHeight="1">
      <c r="A152" s="2">
        <v>2084230821</v>
      </c>
      <c r="B152" s="89" t="s">
        <v>4948</v>
      </c>
      <c r="C152" s="2" t="s">
        <v>4949</v>
      </c>
      <c r="D152" s="2" t="s">
        <v>4950</v>
      </c>
      <c r="E152" s="3" t="str">
        <f ca="1">IFERROR(__xludf.DUMMYFUNCTION("GOOGLETRANSLATE(B152,""ja"",""vi"")"),"spacer")</f>
        <v>spacer</v>
      </c>
      <c r="F152" s="3" t="str">
        <f ca="1">IFERROR(__xludf.DUMMYFUNCTION("GOOGLETRANSLATE(C152,""ja"",""vi"")"),"Đấu giá&gt; ô tô, xe máy&gt; lốp xe, bánh xe&gt; spacer")</f>
        <v>Đấu giá&gt; ô tô, xe máy&gt; lốp xe, bánh xe&gt; spacer</v>
      </c>
      <c r="G152" s="229" t="str">
        <f t="shared" ca="1" si="4"/>
        <v>"2084230821" : "spacer",</v>
      </c>
      <c r="H152" s="229" t="str">
        <f t="shared" si="5"/>
        <v>&lt;li class="col-md-3"&gt;&lt;a class="text-cut" href="javascript:;"(click)="categoryEvent(2084230821)"&gt;{{"2084230821" | translate}}&lt;/a&gt;&lt;/li&gt;</v>
      </c>
    </row>
    <row r="153" spans="1:8" ht="14.25" customHeight="1">
      <c r="A153" s="2">
        <v>2084064158</v>
      </c>
      <c r="B153" s="89" t="s">
        <v>4954</v>
      </c>
      <c r="C153" s="2" t="s">
        <v>4955</v>
      </c>
      <c r="D153" s="2" t="s">
        <v>4956</v>
      </c>
      <c r="E153" s="3" t="str">
        <f ca="1">IFERROR(__xludf.DUMMYFUNCTION("GOOGLETRANSLATE(B153,""ja"",""vi"")"),"nắp bánh xe")</f>
        <v>nắp bánh xe</v>
      </c>
      <c r="F153" s="3" t="str">
        <f ca="1">IFERROR(__xludf.DUMMYFUNCTION("GOOGLETRANSLATE(C153,""ja"",""vi"")"),"Đấu giá&gt; ô tô, xe máy&gt; lốp xe, bánh xe&gt; nắp bánh xe")</f>
        <v>Đấu giá&gt; ô tô, xe máy&gt; lốp xe, bánh xe&gt; nắp bánh xe</v>
      </c>
      <c r="G153" s="229" t="str">
        <f t="shared" ca="1" si="4"/>
        <v>"2084064158" : "nắp bánh xe",</v>
      </c>
      <c r="H153" s="229" t="str">
        <f t="shared" si="5"/>
        <v>&lt;li class="col-md-3"&gt;&lt;a class="text-cut" href="javascript:;"(click)="categoryEvent(2084064158)"&gt;{{"2084064158" | translate}}&lt;/a&gt;&lt;/li&gt;</v>
      </c>
    </row>
    <row r="154" spans="1:8" ht="14.25" customHeight="1">
      <c r="A154" s="2">
        <v>2084064153</v>
      </c>
      <c r="B154" s="89" t="s">
        <v>4960</v>
      </c>
      <c r="C154" s="2" t="s">
        <v>4961</v>
      </c>
      <c r="D154" s="2" t="s">
        <v>4962</v>
      </c>
      <c r="E154" s="3" t="str">
        <f ca="1">IFERROR(__xludf.DUMMYFUNCTION("GOOGLETRANSLATE(B154,""ja"",""vi"")"),"hạt bánh xe")</f>
        <v>hạt bánh xe</v>
      </c>
      <c r="F154" s="3" t="str">
        <f ca="1">IFERROR(__xludf.DUMMYFUNCTION("GOOGLETRANSLATE(C154,""ja"",""vi"")"),"Đấu giá&gt; ô tô, xe máy&gt; lốp xe, bánh xe&gt; nut bánh xe")</f>
        <v>Đấu giá&gt; ô tô, xe máy&gt; lốp xe, bánh xe&gt; nut bánh xe</v>
      </c>
      <c r="G154" s="229" t="str">
        <f t="shared" ca="1" si="4"/>
        <v>"2084064153" : "hạt bánh xe",</v>
      </c>
      <c r="H154" s="229" t="str">
        <f t="shared" si="5"/>
        <v>&lt;li class="col-md-3"&gt;&lt;a class="text-cut" href="javascript:;"(click)="categoryEvent(2084064153)"&gt;{{"2084064153" | translate}}&lt;/a&gt;&lt;/li&gt;</v>
      </c>
    </row>
    <row r="155" spans="1:8" ht="14.25" customHeight="1">
      <c r="E155" s="3"/>
      <c r="F155" s="3"/>
      <c r="G155" s="229"/>
      <c r="H155" s="229"/>
    </row>
    <row r="156" spans="1:8" ht="14.25" customHeight="1">
      <c r="A156" s="242">
        <v>2084048326</v>
      </c>
      <c r="B156" s="232"/>
      <c r="C156" s="232"/>
      <c r="D156" s="233"/>
      <c r="E156" s="3"/>
      <c r="F156" s="3"/>
      <c r="G156" s="229"/>
      <c r="H156" s="229"/>
    </row>
    <row r="157" spans="1:8" ht="14.25" customHeight="1">
      <c r="A157" s="2">
        <v>2084202322</v>
      </c>
      <c r="B157" s="2" t="s">
        <v>4967</v>
      </c>
      <c r="C157" s="2" t="s">
        <v>4969</v>
      </c>
      <c r="D157" s="2" t="s">
        <v>4971</v>
      </c>
      <c r="E157" s="3" t="str">
        <f ca="1">IFERROR(__xludf.DUMMYFUNCTION("GOOGLETRANSLATE(B157,""ja"",""vi"")"),"ăng ten tích hợp")</f>
        <v>ăng ten tích hợp</v>
      </c>
      <c r="F157" s="3" t="str">
        <f ca="1">IFERROR(__xludf.DUMMYFUNCTION("GOOGLETRANSLATE(C157,""ja"",""vi"")"),"Đấu giá&gt; ô tô, xe máy&gt; ETC&gt; ăng ten tích hợp")</f>
        <v>Đấu giá&gt; ô tô, xe máy&gt; ETC&gt; ăng ten tích hợp</v>
      </c>
      <c r="G157" s="229" t="str">
        <f t="shared" ca="1" si="4"/>
        <v>"2084202322" : "ăng ten tích hợp",</v>
      </c>
      <c r="H157" s="229" t="str">
        <f t="shared" si="5"/>
        <v>&lt;li class="col-md-3"&gt;&lt;a class="text-cut" href="javascript:;"(click)="categoryEvent(2084202322)"&gt;{{"2084202322" | translate}}&lt;/a&gt;&lt;/li&gt;</v>
      </c>
    </row>
    <row r="158" spans="1:8" ht="14.25" customHeight="1">
      <c r="A158" s="2">
        <v>2084202321</v>
      </c>
      <c r="B158" s="2" t="s">
        <v>4972</v>
      </c>
      <c r="C158" s="2" t="s">
        <v>4973</v>
      </c>
      <c r="D158" s="2" t="s">
        <v>4974</v>
      </c>
      <c r="E158" s="3" t="str">
        <f ca="1">IFERROR(__xludf.DUMMYFUNCTION("GOOGLETRANSLATE(B158,""ja"",""vi"")"),"Antenna loại tách")</f>
        <v>Antenna loại tách</v>
      </c>
      <c r="F158" s="3" t="str">
        <f ca="1">IFERROR(__xludf.DUMMYFUNCTION("GOOGLETRANSLATE(C158,""ja"",""vi"")"),"Đấu giá&gt; ô tô, xe máy&gt; ETC&gt; ăng ten loại tách")</f>
        <v>Đấu giá&gt; ô tô, xe máy&gt; ETC&gt; ăng ten loại tách</v>
      </c>
      <c r="G158" s="229" t="str">
        <f t="shared" ca="1" si="4"/>
        <v>"2084202321" : "Antenna loại tách",</v>
      </c>
      <c r="H158" s="229" t="str">
        <f t="shared" si="5"/>
        <v>&lt;li class="col-md-3"&gt;&lt;a class="text-cut" href="javascript:;"(click)="categoryEvent(2084202321)"&gt;{{"2084202321" | translate}}&lt;/a&gt;&lt;/li&gt;</v>
      </c>
    </row>
    <row r="159" spans="1:8" ht="14.25" customHeight="1">
      <c r="A159" s="2">
        <v>2084214144</v>
      </c>
      <c r="B159" s="2" t="s">
        <v>4073</v>
      </c>
      <c r="C159" s="2" t="s">
        <v>4978</v>
      </c>
      <c r="D159" s="2" t="s">
        <v>4979</v>
      </c>
      <c r="E159" s="3" t="str">
        <f ca="1">IFERROR(__xludf.DUMMYFUNCTION("GOOGLETRANSLATE(B159,""ja"",""vi"")"),"dịch vụ lắp đặt")</f>
        <v>dịch vụ lắp đặt</v>
      </c>
      <c r="F159" s="3" t="str">
        <f ca="1">IFERROR(__xludf.DUMMYFUNCTION("GOOGLETRANSLATE(C159,""ja"",""vi"")"),"Đấu giá&gt; ô tô, xe máy&gt; ETC&gt; Dịch vụ lắp đặt")</f>
        <v>Đấu giá&gt; ô tô, xe máy&gt; ETC&gt; Dịch vụ lắp đặt</v>
      </c>
      <c r="G159" s="229" t="str">
        <f t="shared" ca="1" si="4"/>
        <v>"2084214144" : "dịch vụ lắp đặt",</v>
      </c>
      <c r="H159" s="229" t="str">
        <f t="shared" si="5"/>
        <v>&lt;li class="col-md-3"&gt;&lt;a class="text-cut" href="javascript:;"(click)="categoryEvent(2084214144)"&gt;{{"2084214144" | translate}}&lt;/a&gt;&lt;/li&gt;</v>
      </c>
    </row>
    <row r="160" spans="1:8" ht="14.25" customHeight="1">
      <c r="A160" s="2">
        <v>2084233217</v>
      </c>
      <c r="B160" s="2" t="s">
        <v>4751</v>
      </c>
      <c r="C160" s="2" t="s">
        <v>4982</v>
      </c>
      <c r="D160" s="2" t="s">
        <v>4983</v>
      </c>
      <c r="E160" s="3" t="str">
        <f ca="1">IFERROR(__xludf.DUMMYFUNCTION("GOOGLETRANSLATE(B160,""ja"",""vi"")"),"Đối với xe máy")</f>
        <v>Đối với xe máy</v>
      </c>
      <c r="F160" s="3" t="str">
        <f ca="1">IFERROR(__xludf.DUMMYFUNCTION("GOOGLETRANSLATE(C160,""ja"",""vi"")"),"Đấu giá&gt; ô tô, xe máy&gt; ETC&gt; cho xe gắn máy")</f>
        <v>Đấu giá&gt; ô tô, xe máy&gt; ETC&gt; cho xe gắn máy</v>
      </c>
      <c r="G160" s="229" t="str">
        <f t="shared" ca="1" si="4"/>
        <v>"2084233217" : "Đối với xe máy",</v>
      </c>
      <c r="H160" s="229" t="str">
        <f t="shared" si="5"/>
        <v>&lt;li class="col-md-3"&gt;&lt;a class="text-cut" href="javascript:;"(click)="categoryEvent(2084233217)"&gt;{{"2084233217" | translate}}&lt;/a&gt;&lt;/li&gt;</v>
      </c>
    </row>
    <row r="161" spans="1:8" ht="14.25" customHeight="1">
      <c r="A161" s="2">
        <v>2084202323</v>
      </c>
      <c r="B161" s="2" t="s">
        <v>16</v>
      </c>
      <c r="C161" s="2" t="s">
        <v>4988</v>
      </c>
      <c r="D161" s="2" t="s">
        <v>4989</v>
      </c>
      <c r="E161" s="3" t="str">
        <f ca="1">IFERROR(__xludf.DUMMYFUNCTION("GOOGLETRANSLATE(B161,""ja"",""vi"")"),"nếu không thì")</f>
        <v>nếu không thì</v>
      </c>
      <c r="F161" s="3" t="str">
        <f ca="1">IFERROR(__xludf.DUMMYFUNCTION("GOOGLETRANSLATE(C161,""ja"",""vi"")"),"Đấu giá&gt; ô tô, xe máy&gt; ETC&gt; Khác")</f>
        <v>Đấu giá&gt; ô tô, xe máy&gt; ETC&gt; Khác</v>
      </c>
      <c r="G161" s="229" t="str">
        <f t="shared" ca="1" si="4"/>
        <v>"2084202323" : "nếu không thì",</v>
      </c>
      <c r="H161" s="229" t="str">
        <f t="shared" si="5"/>
        <v>&lt;li class="col-md-3"&gt;&lt;a class="text-cut" href="javascript:;"(click)="categoryEvent(2084202323)"&gt;{{"2084202323" | translate}}&lt;/a&gt;&lt;/li&gt;</v>
      </c>
    </row>
    <row r="162" spans="1:8" ht="14.25" customHeight="1">
      <c r="E162" s="3"/>
      <c r="F162" s="3"/>
      <c r="G162" s="229"/>
      <c r="H162" s="229"/>
    </row>
    <row r="163" spans="1:8" ht="14.25" customHeight="1">
      <c r="A163" s="238">
        <v>23879</v>
      </c>
      <c r="B163" s="232"/>
      <c r="C163" s="232"/>
      <c r="D163" s="233"/>
      <c r="E163" s="3"/>
      <c r="F163" s="3"/>
      <c r="G163" s="229"/>
      <c r="H163" s="229"/>
    </row>
    <row r="164" spans="1:8" ht="14.25" customHeight="1">
      <c r="A164" s="2">
        <v>2084007931</v>
      </c>
      <c r="B164" s="2" t="s">
        <v>4998</v>
      </c>
      <c r="C164" s="2" t="s">
        <v>4999</v>
      </c>
      <c r="D164" s="2" t="s">
        <v>5000</v>
      </c>
      <c r="E164" s="3" t="str">
        <f ca="1">IFERROR(__xludf.DUMMYFUNCTION("GOOGLETRANSLATE(B164,""ja"",""vi"")"),"nhãn hiệu")</f>
        <v>nhãn hiệu</v>
      </c>
      <c r="F164" s="3" t="str">
        <f ca="1">IFERROR(__xludf.DUMMYFUNCTION("GOOGLETRANSLATE(C164,""ja"",""vi"")"),"Đấu giá&gt; ô tô, xe máy&gt; xe chuyển hướng&gt; Thương hiệu")</f>
        <v>Đấu giá&gt; ô tô, xe máy&gt; xe chuyển hướng&gt; Thương hiệu</v>
      </c>
      <c r="G164" s="229" t="str">
        <f t="shared" ca="1" si="4"/>
        <v>"2084007931" : "nhãn hiệu",</v>
      </c>
      <c r="H164" s="229" t="str">
        <f t="shared" si="5"/>
        <v>&lt;li class="col-md-3"&gt;&lt;a class="text-cut" href="javascript:;"(click)="categoryEvent(2084007931)"&gt;{{"2084007931" | translate}}&lt;/a&gt;&lt;/li&gt;</v>
      </c>
    </row>
    <row r="165" spans="1:8" ht="14.25" customHeight="1">
      <c r="A165" s="2">
        <v>2084007930</v>
      </c>
      <c r="B165" s="2" t="s">
        <v>5001</v>
      </c>
      <c r="C165" s="2" t="s">
        <v>5003</v>
      </c>
      <c r="D165" s="2" t="s">
        <v>5005</v>
      </c>
      <c r="E165" s="3" t="str">
        <f ca="1">IFERROR(__xludf.DUMMYFUNCTION("GOOGLETRANSLATE(B165,""ja"",""vi"")"),"Monitor")</f>
        <v>Monitor</v>
      </c>
      <c r="F165" s="3" t="str">
        <f ca="1">IFERROR(__xludf.DUMMYFUNCTION("GOOGLETRANSLATE(C165,""ja"",""vi"")"),"Đấu giá&gt; ô tô, xe máy&gt; xe chuyển hướng&gt; màn hình")</f>
        <v>Đấu giá&gt; ô tô, xe máy&gt; xe chuyển hướng&gt; màn hình</v>
      </c>
      <c r="G165" s="229" t="str">
        <f t="shared" ca="1" si="4"/>
        <v>"2084007930" : "Monitor",</v>
      </c>
      <c r="H165" s="229" t="str">
        <f t="shared" si="5"/>
        <v>&lt;li class="col-md-3"&gt;&lt;a class="text-cut" href="javascript:;"(click)="categoryEvent(2084007930)"&gt;{{"2084007930" | translate}}&lt;/a&gt;&lt;/li&gt;</v>
      </c>
    </row>
    <row r="166" spans="1:8" ht="14.25" customHeight="1">
      <c r="A166" s="2">
        <v>2084007929</v>
      </c>
      <c r="B166" s="2" t="s">
        <v>5007</v>
      </c>
      <c r="C166" s="2" t="s">
        <v>5008</v>
      </c>
      <c r="D166" s="2" t="s">
        <v>5009</v>
      </c>
      <c r="E166" s="3" t="str">
        <f ca="1">IFERROR(__xludf.DUMMYFUNCTION("GOOGLETRANSLATE(B166,""ja"",""vi"")"),"phần mềm")</f>
        <v>phần mềm</v>
      </c>
      <c r="F166" s="3" t="str">
        <f ca="1">IFERROR(__xludf.DUMMYFUNCTION("GOOGLETRANSLATE(C166,""ja"",""vi"")"),"Đấu giá&gt; ô tô, xe máy&gt; hệ thống định vị xe&gt; phần mềm")</f>
        <v>Đấu giá&gt; ô tô, xe máy&gt; hệ thống định vị xe&gt; phần mềm</v>
      </c>
      <c r="G166" s="229" t="str">
        <f t="shared" ca="1" si="4"/>
        <v>"2084007929" : "phần mềm",</v>
      </c>
      <c r="H166" s="229" t="str">
        <f t="shared" si="5"/>
        <v>&lt;li class="col-md-3"&gt;&lt;a class="text-cut" href="javascript:;"(click)="categoryEvent(2084007929)"&gt;{{"2084007929" | translate}}&lt;/a&gt;&lt;/li&gt;</v>
      </c>
    </row>
    <row r="167" spans="1:8" ht="14.25" customHeight="1">
      <c r="A167" s="2">
        <v>2084047104</v>
      </c>
      <c r="B167" s="2" t="s">
        <v>5012</v>
      </c>
      <c r="C167" s="2" t="s">
        <v>5014</v>
      </c>
      <c r="D167" s="2" t="s">
        <v>5015</v>
      </c>
      <c r="E167" s="3" t="str">
        <f ca="1">IFERROR(__xludf.DUMMYFUNCTION("GOOGLETRANSLATE(B167,""ja"",""vi"")"),"Antenna")</f>
        <v>Antenna</v>
      </c>
      <c r="F167" s="3" t="str">
        <f ca="1">IFERROR(__xludf.DUMMYFUNCTION("GOOGLETRANSLATE(C167,""ja"",""vi"")"),"Đấu giá&gt; ô tô, xe máy&gt; hệ thống định vị xe&gt; ăng ten")</f>
        <v>Đấu giá&gt; ô tô, xe máy&gt; hệ thống định vị xe&gt; ăng ten</v>
      </c>
      <c r="G167" s="229" t="str">
        <f t="shared" ca="1" si="4"/>
        <v>"2084047104" : "Antenna",</v>
      </c>
      <c r="H167" s="229" t="str">
        <f t="shared" si="5"/>
        <v>&lt;li class="col-md-3"&gt;&lt;a class="text-cut" href="javascript:;"(click)="categoryEvent(2084047104)"&gt;{{"2084047104" | translate}}&lt;/a&gt;&lt;/li&gt;</v>
      </c>
    </row>
    <row r="168" spans="1:8" ht="14.25" customHeight="1">
      <c r="A168" s="2">
        <v>2084290700</v>
      </c>
      <c r="B168" s="2" t="s">
        <v>5016</v>
      </c>
      <c r="C168" s="2" t="s">
        <v>5017</v>
      </c>
      <c r="D168" s="2" t="s">
        <v>5019</v>
      </c>
      <c r="E168" s="3" t="str">
        <f ca="1">IFERROR(__xludf.DUMMYFUNCTION("GOOGLETRANSLATE(B168,""ja"",""vi"")"),"đơn vị Bluetooth")</f>
        <v>đơn vị Bluetooth</v>
      </c>
      <c r="F168" s="3" t="str">
        <f ca="1">IFERROR(__xludf.DUMMYFUNCTION("GOOGLETRANSLATE(C168,""ja"",""vi"")"),"Đấu giá&gt; ô tô, xe máy&gt; hệ thống định vị xe&gt; đơn vị Bluetooth")</f>
        <v>Đấu giá&gt; ô tô, xe máy&gt; hệ thống định vị xe&gt; đơn vị Bluetooth</v>
      </c>
      <c r="G168" s="229" t="str">
        <f t="shared" ca="1" si="4"/>
        <v>"2084290700" : "đơn vị Bluetooth",</v>
      </c>
      <c r="H168" s="229" t="str">
        <f t="shared" si="5"/>
        <v>&lt;li class="col-md-3"&gt;&lt;a class="text-cut" href="javascript:;"(click)="categoryEvent(2084290700)"&gt;{{"2084290700" | translate}}&lt;/a&gt;&lt;/li&gt;</v>
      </c>
    </row>
    <row r="169" spans="1:8" ht="14.25" customHeight="1">
      <c r="A169" s="2">
        <v>2084047103</v>
      </c>
      <c r="B169" s="2" t="s">
        <v>5025</v>
      </c>
      <c r="C169" s="2" t="s">
        <v>5026</v>
      </c>
      <c r="D169" s="2" t="s">
        <v>5027</v>
      </c>
      <c r="E169" s="3" t="str">
        <f ca="1">IFERROR(__xludf.DUMMYFUNCTION("GOOGLETRANSLATE(B169,""ja"",""vi"")"),"TV tuner")</f>
        <v>TV tuner</v>
      </c>
      <c r="F169" s="3" t="str">
        <f ca="1">IFERROR(__xludf.DUMMYFUNCTION("GOOGLETRANSLATE(C169,""ja"",""vi"")"),"Đấu giá&gt; ô tô, xe máy&gt; hệ thống định vị xe&gt; TV tuner")</f>
        <v>Đấu giá&gt; ô tô, xe máy&gt; hệ thống định vị xe&gt; TV tuner</v>
      </c>
      <c r="G169" s="229" t="str">
        <f t="shared" ca="1" si="4"/>
        <v>"2084047103" : "TV tuner",</v>
      </c>
      <c r="H169" s="229" t="str">
        <f t="shared" si="5"/>
        <v>&lt;li class="col-md-3"&gt;&lt;a class="text-cut" href="javascript:;"(click)="categoryEvent(2084047103)"&gt;{{"2084047103" | translate}}&lt;/a&gt;&lt;/li&gt;</v>
      </c>
    </row>
    <row r="170" spans="1:8" ht="14.25" customHeight="1">
      <c r="A170" s="2">
        <v>2084047102</v>
      </c>
      <c r="B170" s="2" t="s">
        <v>5028</v>
      </c>
      <c r="C170" s="2" t="s">
        <v>5029</v>
      </c>
      <c r="D170" s="2" t="s">
        <v>5030</v>
      </c>
      <c r="E170" s="3" t="str">
        <f ca="1">IFERROR(__xludf.DUMMYFUNCTION("GOOGLETRANSLATE(B170,""ja"",""vi"")"),"Máy ảnh mặt sau, màn hình trở lại")</f>
        <v>Máy ảnh mặt sau, màn hình trở lại</v>
      </c>
      <c r="F170" s="3" t="str">
        <f ca="1">IFERROR(__xludf.DUMMYFUNCTION("GOOGLETRANSLATE(C170,""ja"",""vi"")"),"Đấu giá&gt; ô tô, xe máy&gt; hệ thống định vị xe&gt; máy ảnh trở lại, màn hình trở lại")</f>
        <v>Đấu giá&gt; ô tô, xe máy&gt; hệ thống định vị xe&gt; máy ảnh trở lại, màn hình trở lại</v>
      </c>
      <c r="G170" s="229" t="str">
        <f t="shared" ca="1" si="4"/>
        <v>"2084047102" : "Máy ảnh mặt sau, màn hình trở lại",</v>
      </c>
      <c r="H170" s="229" t="str">
        <f t="shared" si="5"/>
        <v>&lt;li class="col-md-3"&gt;&lt;a class="text-cut" href="javascript:;"(click)="categoryEvent(2084047102)"&gt;{{"2084047102" | translate}}&lt;/a&gt;&lt;/li&gt;</v>
      </c>
    </row>
    <row r="171" spans="1:8" ht="14.25" customHeight="1">
      <c r="A171" s="2">
        <v>2084286643</v>
      </c>
      <c r="B171" s="2" t="s">
        <v>5034</v>
      </c>
      <c r="C171" s="2" t="s">
        <v>5035</v>
      </c>
      <c r="D171" s="2" t="s">
        <v>5037</v>
      </c>
      <c r="E171" s="3" t="str">
        <f ca="1">IFERROR(__xludf.DUMMYFUNCTION("GOOGLETRANSLATE(B171,""ja"",""vi"")"),"Beacon")</f>
        <v>Beacon</v>
      </c>
      <c r="F171" s="3" t="str">
        <f ca="1">IFERROR(__xludf.DUMMYFUNCTION("GOOGLETRANSLATE(C171,""ja"",""vi"")"),"Đấu giá&gt; ô tô, xe máy&gt; hệ thống định vị xe&gt; đèn hiệu")</f>
        <v>Đấu giá&gt; ô tô, xe máy&gt; hệ thống định vị xe&gt; đèn hiệu</v>
      </c>
      <c r="G171" s="229" t="str">
        <f t="shared" ca="1" si="4"/>
        <v>"2084286643" : "Beacon",</v>
      </c>
      <c r="H171" s="229" t="str">
        <f t="shared" si="5"/>
        <v>&lt;li class="col-md-3"&gt;&lt;a class="text-cut" href="javascript:;"(click)="categoryEvent(2084286643)"&gt;{{"2084286643" | translate}}&lt;/a&gt;&lt;/li&gt;</v>
      </c>
    </row>
    <row r="172" spans="1:8" ht="14.25" customHeight="1">
      <c r="A172" s="2">
        <v>2084290679</v>
      </c>
      <c r="B172" s="2" t="s">
        <v>5040</v>
      </c>
      <c r="C172" s="2" t="s">
        <v>5042</v>
      </c>
      <c r="D172" s="2" t="s">
        <v>5043</v>
      </c>
      <c r="E172" s="3" t="str">
        <f ca="1">IFERROR(__xludf.DUMMYFUNCTION("GOOGLETRANSLATE(B172,""ja"",""vi"")"),"điều khiển từ xa")</f>
        <v>điều khiển từ xa</v>
      </c>
      <c r="F172" s="3" t="str">
        <f ca="1">IFERROR(__xludf.DUMMYFUNCTION("GOOGLETRANSLATE(C172,""ja"",""vi"")"),"Đấu giá&gt; ô tô, xe máy&gt; hệ thống định vị xe&gt; điều khiển từ xa")</f>
        <v>Đấu giá&gt; ô tô, xe máy&gt; hệ thống định vị xe&gt; điều khiển từ xa</v>
      </c>
      <c r="G172" s="229" t="str">
        <f t="shared" ca="1" si="4"/>
        <v>"2084290679" : "điều khiển từ xa",</v>
      </c>
      <c r="H172" s="229" t="str">
        <f t="shared" si="5"/>
        <v>&lt;li class="col-md-3"&gt;&lt;a class="text-cut" href="javascript:;"(click)="categoryEvent(2084290679)"&gt;{{"2084290679" | translate}}&lt;/a&gt;&lt;/li&gt;</v>
      </c>
    </row>
    <row r="173" spans="1:8" ht="14.25" customHeight="1">
      <c r="A173" s="2">
        <v>2084286634</v>
      </c>
      <c r="B173" s="2" t="s">
        <v>5045</v>
      </c>
      <c r="C173" s="2" t="s">
        <v>5047</v>
      </c>
      <c r="D173" s="2" t="s">
        <v>5049</v>
      </c>
      <c r="E173" s="3" t="str">
        <f ca="1">IFERROR(__xludf.DUMMYFUNCTION("GOOGLETRANSLATE(B173,""ja"",""vi"")"),"LCD màng bảo vệ, che")</f>
        <v>LCD màng bảo vệ, che</v>
      </c>
      <c r="F173" s="3" t="str">
        <f ca="1">IFERROR(__xludf.DUMMYFUNCTION("GOOGLETRANSLATE(C173,""ja"",""vi"")"),"Đấu giá&gt; ô tô, xe máy&gt; hệ thống định vị xe&gt; màng bảo vệ màn hình LCD, bìa")</f>
        <v>Đấu giá&gt; ô tô, xe máy&gt; hệ thống định vị xe&gt; màng bảo vệ màn hình LCD, bìa</v>
      </c>
      <c r="G173" s="229" t="str">
        <f t="shared" ca="1" si="4"/>
        <v>"2084286634" : "LCD màng bảo vệ, che",</v>
      </c>
      <c r="H173" s="229" t="str">
        <f t="shared" si="5"/>
        <v>&lt;li class="col-md-3"&gt;&lt;a class="text-cut" href="javascript:;"(click)="categoryEvent(2084286634)"&gt;{{"2084286634" | translate}}&lt;/a&gt;&lt;/li&gt;</v>
      </c>
    </row>
    <row r="174" spans="1:8" ht="14.25" customHeight="1">
      <c r="A174" s="2">
        <v>2084286582</v>
      </c>
      <c r="B174" s="2" t="s">
        <v>5050</v>
      </c>
      <c r="C174" s="2" t="s">
        <v>5051</v>
      </c>
      <c r="D174" s="2" t="s">
        <v>5052</v>
      </c>
      <c r="E174" s="3" t="str">
        <f ca="1">IFERROR(__xludf.DUMMYFUNCTION("GOOGLETRANSLATE(B174,""ja"",""vi"")"),"Gắn bộ, đứng")</f>
        <v>Gắn bộ, đứng</v>
      </c>
      <c r="F174" s="3" t="str">
        <f ca="1">IFERROR(__xludf.DUMMYFUNCTION("GOOGLETRANSLATE(C174,""ja"",""vi"")"),"Đấu giá&gt; ô tô, xe máy&gt; xe chuyển hướng&gt; gắn bộ, đứng")</f>
        <v>Đấu giá&gt; ô tô, xe máy&gt; xe chuyển hướng&gt; gắn bộ, đứng</v>
      </c>
      <c r="G174" s="229" t="str">
        <f t="shared" ca="1" si="4"/>
        <v>"2084286582" : "Gắn bộ, đứng",</v>
      </c>
      <c r="H174" s="229" t="str">
        <f t="shared" si="5"/>
        <v>&lt;li class="col-md-3"&gt;&lt;a class="text-cut" href="javascript:;"(click)="categoryEvent(2084286582)"&gt;{{"2084286582" | translate}}&lt;/a&gt;&lt;/li&gt;</v>
      </c>
    </row>
    <row r="175" spans="1:8" ht="14.25" customHeight="1">
      <c r="A175" s="2">
        <v>2084286588</v>
      </c>
      <c r="B175" s="2" t="s">
        <v>5059</v>
      </c>
      <c r="C175" s="2" t="s">
        <v>5060</v>
      </c>
      <c r="D175" s="2" t="s">
        <v>5062</v>
      </c>
      <c r="E175" s="3" t="str">
        <f ca="1">IFERROR(__xludf.DUMMYFUNCTION("GOOGLETRANSLATE(B175,""ja"",""vi"")"),"cáp kết nối, AC adapter")</f>
        <v>cáp kết nối, AC adapter</v>
      </c>
      <c r="F175" s="3" t="str">
        <f ca="1">IFERROR(__xludf.DUMMYFUNCTION("GOOGLETRANSLATE(C175,""ja"",""vi"")"),"Đấu giá&gt; ô tô, xe máy&gt; hệ thống định vị xe&gt; cáp kết nối, AC adapter")</f>
        <v>Đấu giá&gt; ô tô, xe máy&gt; hệ thống định vị xe&gt; cáp kết nối, AC adapter</v>
      </c>
      <c r="G175" s="229" t="str">
        <f t="shared" ca="1" si="4"/>
        <v>"2084286588" : "cáp kết nối, AC adapter",</v>
      </c>
      <c r="H175" s="229" t="str">
        <f t="shared" si="5"/>
        <v>&lt;li class="col-md-3"&gt;&lt;a class="text-cut" href="javascript:;"(click)="categoryEvent(2084286588)"&gt;{{"2084286588" | translate}}&lt;/a&gt;&lt;/li&gt;</v>
      </c>
    </row>
    <row r="176" spans="1:8" ht="14.25" customHeight="1">
      <c r="A176" s="2">
        <v>2084214142</v>
      </c>
      <c r="B176" s="2" t="s">
        <v>4073</v>
      </c>
      <c r="C176" s="2" t="s">
        <v>5068</v>
      </c>
      <c r="D176" s="2" t="s">
        <v>5070</v>
      </c>
      <c r="E176" s="3" t="str">
        <f ca="1">IFERROR(__xludf.DUMMYFUNCTION("GOOGLETRANSLATE(B176,""ja"",""vi"")"),"dịch vụ lắp đặt")</f>
        <v>dịch vụ lắp đặt</v>
      </c>
      <c r="F176" s="3" t="str">
        <f ca="1">IFERROR(__xludf.DUMMYFUNCTION("GOOGLETRANSLATE(C176,""ja"",""vi"")"),"Đấu giá&gt; ô tô, xe máy&gt; xe chuyển hướng&gt; Dịch vụ lắp đặt")</f>
        <v>Đấu giá&gt; ô tô, xe máy&gt; xe chuyển hướng&gt; Dịch vụ lắp đặt</v>
      </c>
      <c r="G176" s="229" t="str">
        <f t="shared" ca="1" si="4"/>
        <v>"2084214142" : "dịch vụ lắp đặt",</v>
      </c>
      <c r="H176" s="229" t="str">
        <f t="shared" si="5"/>
        <v>&lt;li class="col-md-3"&gt;&lt;a class="text-cut" href="javascript:;"(click)="categoryEvent(2084214142)"&gt;{{"2084214142" | translate}}&lt;/a&gt;&lt;/li&gt;</v>
      </c>
    </row>
    <row r="177" spans="1:8" ht="14.25" customHeight="1">
      <c r="A177" s="2">
        <v>2084007932</v>
      </c>
      <c r="B177" s="2" t="s">
        <v>16</v>
      </c>
      <c r="C177" s="2" t="s">
        <v>5076</v>
      </c>
      <c r="D177" s="2" t="s">
        <v>5077</v>
      </c>
      <c r="E177" s="3" t="str">
        <f ca="1">IFERROR(__xludf.DUMMYFUNCTION("GOOGLETRANSLATE(B177,""ja"",""vi"")"),"nếu không thì")</f>
        <v>nếu không thì</v>
      </c>
      <c r="F177" s="3" t="str">
        <f ca="1">IFERROR(__xludf.DUMMYFUNCTION("GOOGLETRANSLATE(C177,""ja"",""vi"")"),"Đấu giá&gt; ô tô, xe máy&gt; chuyển hướng xe&gt; Khác")</f>
        <v>Đấu giá&gt; ô tô, xe máy&gt; chuyển hướng xe&gt; Khác</v>
      </c>
      <c r="G177" s="229" t="str">
        <f t="shared" ca="1" si="4"/>
        <v>"2084007932" : "nếu không thì",</v>
      </c>
      <c r="H177" s="229" t="str">
        <f t="shared" si="5"/>
        <v>&lt;li class="col-md-3"&gt;&lt;a class="text-cut" href="javascript:;"(click)="categoryEvent(2084007932)"&gt;{{"2084007932" | translate}}&lt;/a&gt;&lt;/li&gt;</v>
      </c>
    </row>
    <row r="178" spans="1:8" ht="14.25" customHeight="1">
      <c r="E178" s="3"/>
      <c r="F178" s="3"/>
      <c r="G178" s="229"/>
      <c r="H178" s="229"/>
    </row>
    <row r="179" spans="1:8" ht="14.25" customHeight="1">
      <c r="A179" s="256">
        <v>23852</v>
      </c>
      <c r="B179" s="232"/>
      <c r="C179" s="232"/>
      <c r="D179" s="233"/>
      <c r="E179" s="3"/>
      <c r="F179" s="3"/>
      <c r="G179" s="229"/>
      <c r="H179" s="229"/>
    </row>
    <row r="180" spans="1:8" ht="14.25" customHeight="1">
      <c r="A180" s="2">
        <v>2084290675</v>
      </c>
      <c r="B180" s="2" t="s">
        <v>5085</v>
      </c>
      <c r="C180" s="2" t="s">
        <v>5087</v>
      </c>
      <c r="D180" s="2" t="s">
        <v>5089</v>
      </c>
      <c r="E180" s="3" t="str">
        <f ca="1">IFERROR(__xludf.DUMMYFUNCTION("GOOGLETRANSLATE(B180,""ja"",""vi"")"),"máy phát FM")</f>
        <v>máy phát FM</v>
      </c>
      <c r="F180" s="3" t="str">
        <f ca="1">IFERROR(__xludf.DUMMYFUNCTION("GOOGLETRANSLATE(C180,""ja"",""vi"")"),"Đấu giá&gt; ô tô, xe máy&gt; Car Audio&gt; máy phát FM")</f>
        <v>Đấu giá&gt; ô tô, xe máy&gt; Car Audio&gt; máy phát FM</v>
      </c>
      <c r="G180" s="229" t="str">
        <f t="shared" ca="1" si="4"/>
        <v>"2084290675" : "máy phát FM",</v>
      </c>
      <c r="H180" s="229" t="str">
        <f t="shared" si="5"/>
        <v>&lt;li class="col-md-3"&gt;&lt;a class="text-cut" href="javascript:;"(click)="categoryEvent(2084290675)"&gt;{{"2084290675" | translate}}&lt;/a&gt;&lt;/li&gt;</v>
      </c>
    </row>
    <row r="181" spans="1:8" ht="14.25" customHeight="1">
      <c r="A181" s="2">
        <v>2084048436</v>
      </c>
      <c r="B181" s="2" t="s">
        <v>5093</v>
      </c>
      <c r="C181" s="2" t="s">
        <v>5095</v>
      </c>
      <c r="D181" s="2" t="s">
        <v>5096</v>
      </c>
      <c r="E181" s="3" t="str">
        <f ca="1">IFERROR(__xludf.DUMMYFUNCTION("GOOGLETRANSLATE(B181,""ja"",""vi"")"),"CD &amp; MD")</f>
        <v>CD &amp; MD</v>
      </c>
      <c r="F181" s="3" t="str">
        <f ca="1">IFERROR(__xludf.DUMMYFUNCTION("GOOGLETRANSLATE(C181,""ja"",""vi"")"),"Đấu giá&gt; ô tô, xe máy&gt; Car Audio&gt; CD &amp; MD chơi")</f>
        <v>Đấu giá&gt; ô tô, xe máy&gt; Car Audio&gt; CD &amp; MD chơi</v>
      </c>
      <c r="G181" s="229" t="str">
        <f t="shared" ca="1" si="4"/>
        <v>"2084048436" : "CD &amp; MD",</v>
      </c>
      <c r="H181" s="229" t="str">
        <f t="shared" si="5"/>
        <v>&lt;li class="col-md-3"&gt;&lt;a class="text-cut" href="javascript:;"(click)="categoryEvent(2084048436)"&gt;{{"2084048436" | translate}}&lt;/a&gt;&lt;/li&gt;</v>
      </c>
    </row>
    <row r="182" spans="1:8" ht="14.25" customHeight="1">
      <c r="A182" s="2">
        <v>2084048437</v>
      </c>
      <c r="B182" s="2" t="s">
        <v>5100</v>
      </c>
      <c r="C182" s="2" t="s">
        <v>5101</v>
      </c>
      <c r="D182" s="2" t="s">
        <v>5103</v>
      </c>
      <c r="E182" s="3" t="str">
        <f ca="1">IFERROR(__xludf.DUMMYFUNCTION("GOOGLETRANSLATE(B182,""ja"",""vi"")"),"CD &amp; băng cassette nghe nhạc")</f>
        <v>CD &amp; băng cassette nghe nhạc</v>
      </c>
      <c r="F182" s="3" t="str">
        <f ca="1">IFERROR(__xludf.DUMMYFUNCTION("GOOGLETRANSLATE(C182,""ja"",""vi"")"),"Đấu giá&gt; ô tô, xe máy&gt; Car Audio&gt; CD &amp; băng cassette nghe nhạc")</f>
        <v>Đấu giá&gt; ô tô, xe máy&gt; Car Audio&gt; CD &amp; băng cassette nghe nhạc</v>
      </c>
      <c r="G182" s="229" t="str">
        <f t="shared" ca="1" si="4"/>
        <v>"2084048437" : "CD &amp; băng cassette nghe nhạc",</v>
      </c>
      <c r="H182" s="229" t="str">
        <f t="shared" si="5"/>
        <v>&lt;li class="col-md-3"&gt;&lt;a class="text-cut" href="javascript:;"(click)="categoryEvent(2084048437)"&gt;{{"2084048437" | translate}}&lt;/a&gt;&lt;/li&gt;</v>
      </c>
    </row>
    <row r="183" spans="1:8" ht="14.25" customHeight="1">
      <c r="A183" s="2">
        <v>23856</v>
      </c>
      <c r="B183" s="2" t="s">
        <v>5106</v>
      </c>
      <c r="C183" s="2" t="s">
        <v>5107</v>
      </c>
      <c r="D183" s="2" t="s">
        <v>5108</v>
      </c>
      <c r="E183" s="3" t="str">
        <f ca="1">IFERROR(__xludf.DUMMYFUNCTION("GOOGLETRANSLATE(B183,""ja"",""vi"")"),"CD changer")</f>
        <v>CD changer</v>
      </c>
      <c r="F183" s="3" t="str">
        <f ca="1">IFERROR(__xludf.DUMMYFUNCTION("GOOGLETRANSLATE(C183,""ja"",""vi"")"),"Đấu giá&gt; ô tô, xe máy&gt; Car Audio&gt; CD changer")</f>
        <v>Đấu giá&gt; ô tô, xe máy&gt; Car Audio&gt; CD changer</v>
      </c>
      <c r="G183" s="229" t="str">
        <f t="shared" ca="1" si="4"/>
        <v>"23856" : "CD changer",</v>
      </c>
      <c r="H183" s="229" t="str">
        <f t="shared" si="5"/>
        <v>&lt;li class="col-md-3"&gt;&lt;a class="text-cut" href="javascript:;"(click)="categoryEvent(23856)"&gt;{{"23856" | translate}}&lt;/a&gt;&lt;/li&gt;</v>
      </c>
    </row>
    <row r="184" spans="1:8" ht="14.25" customHeight="1">
      <c r="A184" s="2">
        <v>23860</v>
      </c>
      <c r="B184" s="2" t="s">
        <v>5112</v>
      </c>
      <c r="C184" s="2" t="s">
        <v>5114</v>
      </c>
      <c r="D184" s="2" t="s">
        <v>5115</v>
      </c>
      <c r="E184" s="3" t="str">
        <f ca="1">IFERROR(__xludf.DUMMYFUNCTION("GOOGLETRANSLATE(B184,""ja"",""vi"")"),"máy chơi CD")</f>
        <v>máy chơi CD</v>
      </c>
      <c r="F184" s="3" t="str">
        <f ca="1">IFERROR(__xludf.DUMMYFUNCTION("GOOGLETRANSLATE(C184,""ja"",""vi"")"),"Đấu giá&gt; ô tô, xe máy&gt; Car Audio&gt; CD")</f>
        <v>Đấu giá&gt; ô tô, xe máy&gt; Car Audio&gt; CD</v>
      </c>
      <c r="G184" s="229" t="str">
        <f t="shared" ca="1" si="4"/>
        <v>"23860" : "máy chơi CD",</v>
      </c>
      <c r="H184" s="229" t="str">
        <f t="shared" si="5"/>
        <v>&lt;li class="col-md-3"&gt;&lt;a class="text-cut" href="javascript:;"(click)="categoryEvent(23860)"&gt;{{"23860" | translate}}&lt;/a&gt;&lt;/li&gt;</v>
      </c>
    </row>
    <row r="185" spans="1:8" ht="14.25" customHeight="1">
      <c r="A185" s="2">
        <v>2084049686</v>
      </c>
      <c r="B185" s="2" t="s">
        <v>5119</v>
      </c>
      <c r="C185" s="2" t="s">
        <v>5121</v>
      </c>
      <c r="D185" s="2" t="s">
        <v>5122</v>
      </c>
      <c r="E185" s="3" t="str">
        <f ca="1">IFERROR(__xludf.DUMMYFUNCTION("GOOGLETRANSLATE(B185,""ja"",""vi"")"),"DVD đổi")</f>
        <v>DVD đổi</v>
      </c>
      <c r="F185" s="3" t="str">
        <f ca="1">IFERROR(__xludf.DUMMYFUNCTION("GOOGLETRANSLATE(C185,""ja"",""vi"")"),"Đấu giá&gt; ô tô, xe máy&gt; Car Audio&gt; đổi DVD")</f>
        <v>Đấu giá&gt; ô tô, xe máy&gt; Car Audio&gt; đổi DVD</v>
      </c>
      <c r="G185" s="229" t="str">
        <f t="shared" ca="1" si="4"/>
        <v>"2084049686" : "DVD đổi",</v>
      </c>
      <c r="H185" s="229" t="str">
        <f t="shared" si="5"/>
        <v>&lt;li class="col-md-3"&gt;&lt;a class="text-cut" href="javascript:;"(click)="categoryEvent(2084049686)"&gt;{{"2084049686" | translate}}&lt;/a&gt;&lt;/li&gt;</v>
      </c>
    </row>
    <row r="186" spans="1:8" ht="14.25" customHeight="1">
      <c r="A186" s="2">
        <v>2084049685</v>
      </c>
      <c r="B186" s="2" t="s">
        <v>5127</v>
      </c>
      <c r="C186" s="2" t="s">
        <v>5130</v>
      </c>
      <c r="D186" s="2" t="s">
        <v>5131</v>
      </c>
      <c r="E186" s="3" t="str">
        <f ca="1">IFERROR(__xludf.DUMMYFUNCTION("GOOGLETRANSLATE(B186,""ja"",""vi"")"),"đầu máy DVD")</f>
        <v>đầu máy DVD</v>
      </c>
      <c r="F186" s="3" t="str">
        <f ca="1">IFERROR(__xludf.DUMMYFUNCTION("GOOGLETRANSLATE(C186,""ja"",""vi"")"),"Đấu giá&gt; ô tô, xe máy&gt; Car Audio&gt; Đầu DVD")</f>
        <v>Đấu giá&gt; ô tô, xe máy&gt; Car Audio&gt; Đầu DVD</v>
      </c>
      <c r="G186" s="229" t="str">
        <f t="shared" ca="1" si="4"/>
        <v>"2084049685" : "đầu máy DVD",</v>
      </c>
      <c r="H186" s="229" t="str">
        <f t="shared" si="5"/>
        <v>&lt;li class="col-md-3"&gt;&lt;a class="text-cut" href="javascript:;"(click)="categoryEvent(2084049685)"&gt;{{"2084049685" | translate}}&lt;/a&gt;&lt;/li&gt;</v>
      </c>
    </row>
    <row r="187" spans="1:8" ht="14.25" customHeight="1">
      <c r="A187" s="2">
        <v>2084005295</v>
      </c>
      <c r="B187" s="2" t="s">
        <v>5135</v>
      </c>
      <c r="C187" s="2" t="s">
        <v>5137</v>
      </c>
      <c r="D187" s="2" t="s">
        <v>5139</v>
      </c>
      <c r="E187" s="3" t="str">
        <f ca="1">IFERROR(__xludf.DUMMYFUNCTION("GOOGLETRANSLATE(B187,""ja"",""vi"")"),"người chơi MD")</f>
        <v>người chơi MD</v>
      </c>
      <c r="F187" s="3" t="str">
        <f ca="1">IFERROR(__xludf.DUMMYFUNCTION("GOOGLETRANSLATE(C187,""ja"",""vi"")"),"Đấu giá&gt; ô tô, xe máy&gt; Car Audio&gt; máy nghe nhạc MD")</f>
        <v>Đấu giá&gt; ô tô, xe máy&gt; Car Audio&gt; máy nghe nhạc MD</v>
      </c>
      <c r="G187" s="229" t="str">
        <f t="shared" ca="1" si="4"/>
        <v>"2084005295" : "người chơi MD",</v>
      </c>
      <c r="H187" s="229" t="str">
        <f t="shared" si="5"/>
        <v>&lt;li class="col-md-3"&gt;&lt;a class="text-cut" href="javascript:;"(click)="categoryEvent(2084005295)"&gt;{{"2084005295" | translate}}&lt;/a&gt;&lt;/li&gt;</v>
      </c>
    </row>
    <row r="188" spans="1:8" ht="14.25" customHeight="1">
      <c r="A188" s="2">
        <v>2084005294</v>
      </c>
      <c r="B188" s="2" t="s">
        <v>5143</v>
      </c>
      <c r="C188" s="2" t="s">
        <v>5145</v>
      </c>
      <c r="D188" s="2" t="s">
        <v>5147</v>
      </c>
      <c r="E188" s="3" t="str">
        <f ca="1">IFERROR(__xludf.DUMMYFUNCTION("GOOGLETRANSLATE(B188,""ja"",""vi"")"),"amp")</f>
        <v>amp</v>
      </c>
      <c r="F188" s="3" t="str">
        <f ca="1">IFERROR(__xludf.DUMMYFUNCTION("GOOGLETRANSLATE(C188,""ja"",""vi"")"),"Đấu giá&gt; ô tô, xe máy&gt; Car Audio&gt; Bộ khuếch đại")</f>
        <v>Đấu giá&gt; ô tô, xe máy&gt; Car Audio&gt; Bộ khuếch đại</v>
      </c>
      <c r="G188" s="229" t="str">
        <f t="shared" ca="1" si="4"/>
        <v>"2084005294" : "amp",</v>
      </c>
      <c r="H188" s="229" t="str">
        <f t="shared" si="5"/>
        <v>&lt;li class="col-md-3"&gt;&lt;a class="text-cut" href="javascript:;"(click)="categoryEvent(2084005294)"&gt;{{"2084005294" | translate}}&lt;/a&gt;&lt;/li&gt;</v>
      </c>
    </row>
    <row r="189" spans="1:8" ht="14.25" customHeight="1">
      <c r="A189" s="2">
        <v>2084048322</v>
      </c>
      <c r="B189" s="2" t="s">
        <v>5151</v>
      </c>
      <c r="C189" s="2" t="s">
        <v>5152</v>
      </c>
      <c r="D189" s="2" t="s">
        <v>5154</v>
      </c>
      <c r="E189" s="3" t="str">
        <f ca="1">IFERROR(__xludf.DUMMYFUNCTION("GOOGLETRANSLATE(B189,""ja"",""vi"")"),"woofer")</f>
        <v>woofer</v>
      </c>
      <c r="F189" s="3" t="str">
        <f ca="1">IFERROR(__xludf.DUMMYFUNCTION("GOOGLETRANSLATE(C189,""ja"",""vi"")"),"Đấu giá&gt; ô tô, xe máy&gt; Car Audio&gt; woofer")</f>
        <v>Đấu giá&gt; ô tô, xe máy&gt; Car Audio&gt; woofer</v>
      </c>
      <c r="G189" s="229" t="str">
        <f t="shared" ca="1" si="4"/>
        <v>"2084048322" : "woofer",</v>
      </c>
      <c r="H189" s="229" t="str">
        <f t="shared" si="5"/>
        <v>&lt;li class="col-md-3"&gt;&lt;a class="text-cut" href="javascript:;"(click)="categoryEvent(2084048322)"&gt;{{"2084048322" | translate}}&lt;/a&gt;&lt;/li&gt;</v>
      </c>
    </row>
    <row r="190" spans="1:8" ht="14.25" customHeight="1">
      <c r="A190" s="2">
        <v>23864</v>
      </c>
      <c r="B190" s="2" t="s">
        <v>5160</v>
      </c>
      <c r="C190" s="2" t="s">
        <v>5161</v>
      </c>
      <c r="D190" s="2" t="s">
        <v>5162</v>
      </c>
      <c r="E190" s="3" t="str">
        <f ca="1">IFERROR(__xludf.DUMMYFUNCTION("GOOGLETRANSLATE(B190,""ja"",""vi"")"),"loa")</f>
        <v>loa</v>
      </c>
      <c r="F190" s="3" t="str">
        <f ca="1">IFERROR(__xludf.DUMMYFUNCTION("GOOGLETRANSLATE(C190,""ja"",""vi"")"),"Đấu giá&gt; ô tô, xe máy&gt; Car Audio&gt; Loa")</f>
        <v>Đấu giá&gt; ô tô, xe máy&gt; Car Audio&gt; Loa</v>
      </c>
      <c r="G190" s="229" t="str">
        <f t="shared" ca="1" si="4"/>
        <v>"23864" : "loa",</v>
      </c>
      <c r="H190" s="229" t="str">
        <f t="shared" si="5"/>
        <v>&lt;li class="col-md-3"&gt;&lt;a class="text-cut" href="javascript:;"(click)="categoryEvent(23864)"&gt;{{"23864" | translate}}&lt;/a&gt;&lt;/li&gt;</v>
      </c>
    </row>
    <row r="191" spans="1:8" ht="14.25" customHeight="1">
      <c r="A191" s="2">
        <v>23872</v>
      </c>
      <c r="B191" s="2" t="s">
        <v>5168</v>
      </c>
      <c r="C191" s="2" t="s">
        <v>5169</v>
      </c>
      <c r="D191" s="2" t="s">
        <v>5171</v>
      </c>
      <c r="E191" s="3" t="str">
        <f ca="1">IFERROR(__xludf.DUMMYFUNCTION("GOOGLETRANSLATE(B191,""ja"",""vi"")"),"Tuner")</f>
        <v>Tuner</v>
      </c>
      <c r="F191" s="3" t="str">
        <f ca="1">IFERROR(__xludf.DUMMYFUNCTION("GOOGLETRANSLATE(C191,""ja"",""vi"")"),"Đấu giá&gt; ô tô, xe máy&gt; Car Audio&gt; chỉnh")</f>
        <v>Đấu giá&gt; ô tô, xe máy&gt; Car Audio&gt; chỉnh</v>
      </c>
      <c r="G191" s="229" t="str">
        <f t="shared" ca="1" si="4"/>
        <v>"23872" : "Tuner",</v>
      </c>
      <c r="H191" s="229" t="str">
        <f t="shared" si="5"/>
        <v>&lt;li class="col-md-3"&gt;&lt;a class="text-cut" href="javascript:;"(click)="categoryEvent(23872)"&gt;{{"23872" | translate}}&lt;/a&gt;&lt;/li&gt;</v>
      </c>
    </row>
    <row r="192" spans="1:8" ht="14.25" customHeight="1">
      <c r="A192" s="2">
        <v>23868</v>
      </c>
      <c r="B192" s="2" t="s">
        <v>5177</v>
      </c>
      <c r="C192" s="2" t="s">
        <v>5178</v>
      </c>
      <c r="D192" s="2" t="s">
        <v>5179</v>
      </c>
      <c r="E192" s="3" t="str">
        <f ca="1">IFERROR(__xludf.DUMMYFUNCTION("GOOGLETRANSLATE(B192,""ja"",""vi"")"),"boong Tape")</f>
        <v>boong Tape</v>
      </c>
      <c r="F192" s="3" t="str">
        <f ca="1">IFERROR(__xludf.DUMMYFUNCTION("GOOGLETRANSLATE(C192,""ja"",""vi"")"),"Đấu giá&gt; ô tô, xe máy&gt; Car Audio&gt; boong băng")</f>
        <v>Đấu giá&gt; ô tô, xe máy&gt; Car Audio&gt; boong băng</v>
      </c>
      <c r="G192" s="229" t="str">
        <f t="shared" ca="1" si="4"/>
        <v>"23868" : "boong Tape",</v>
      </c>
      <c r="H192" s="229" t="str">
        <f t="shared" si="5"/>
        <v>&lt;li class="col-md-3"&gt;&lt;a class="text-cut" href="javascript:;"(click)="categoryEvent(23868)"&gt;{{"23868" | translate}}&lt;/a&gt;&lt;/li&gt;</v>
      </c>
    </row>
    <row r="193" spans="1:8" ht="14.25" customHeight="1">
      <c r="A193" s="2">
        <v>2084290676</v>
      </c>
      <c r="B193" s="2" t="s">
        <v>5185</v>
      </c>
      <c r="C193" s="2" t="s">
        <v>5186</v>
      </c>
      <c r="D193" s="2" t="s">
        <v>5187</v>
      </c>
      <c r="E193" s="3" t="str">
        <f ca="1">IFERROR(__xludf.DUMMYFUNCTION("GOOGLETRANSLATE(B193,""ja"",""vi"")"),"Deadning nguồn cung cấp")</f>
        <v>Deadning nguồn cung cấp</v>
      </c>
      <c r="F193" s="3" t="str">
        <f ca="1">IFERROR(__xludf.DUMMYFUNCTION("GOOGLETRANSLATE(C193,""ja"",""vi"")"),"Đấu giá&gt; ô tô, xe máy&gt; Car Audio&gt; nguồn cung cấp Deadning")</f>
        <v>Đấu giá&gt; ô tô, xe máy&gt; Car Audio&gt; nguồn cung cấp Deadning</v>
      </c>
      <c r="G193" s="229" t="str">
        <f t="shared" ca="1" si="4"/>
        <v>"2084290676" : "Deadning nguồn cung cấp",</v>
      </c>
      <c r="H193" s="229" t="str">
        <f t="shared" si="5"/>
        <v>&lt;li class="col-md-3"&gt;&lt;a class="text-cut" href="javascript:;"(click)="categoryEvent(2084290676)"&gt;{{"2084290676" | translate}}&lt;/a&gt;&lt;/li&gt;</v>
      </c>
    </row>
    <row r="194" spans="1:8" ht="14.25" customHeight="1">
      <c r="A194" s="2">
        <v>2084290677</v>
      </c>
      <c r="B194" s="2" t="s">
        <v>5040</v>
      </c>
      <c r="C194" s="2" t="s">
        <v>5193</v>
      </c>
      <c r="D194" s="2" t="s">
        <v>5194</v>
      </c>
      <c r="E194" s="3" t="str">
        <f ca="1">IFERROR(__xludf.DUMMYFUNCTION("GOOGLETRANSLATE(B194,""ja"",""vi"")"),"điều khiển từ xa")</f>
        <v>điều khiển từ xa</v>
      </c>
      <c r="F194" s="3" t="str">
        <f ca="1">IFERROR(__xludf.DUMMYFUNCTION("GOOGLETRANSLATE(C194,""ja"",""vi"")"),"Đấu giá&gt; ô tô, xe máy&gt; Car Audio&gt; điều khiển từ xa")</f>
        <v>Đấu giá&gt; ô tô, xe máy&gt; Car Audio&gt; điều khiển từ xa</v>
      </c>
      <c r="G194" s="229" t="str">
        <f t="shared" ca="1" si="4"/>
        <v>"2084290677" : "điều khiển từ xa",</v>
      </c>
      <c r="H194" s="229" t="str">
        <f t="shared" si="5"/>
        <v>&lt;li class="col-md-3"&gt;&lt;a class="text-cut" href="javascript:;"(click)="categoryEvent(2084290677)"&gt;{{"2084290677" | translate}}&lt;/a&gt;&lt;/li&gt;</v>
      </c>
    </row>
    <row r="195" spans="1:8" ht="14.25" customHeight="1">
      <c r="A195" s="2">
        <v>2084049687</v>
      </c>
      <c r="B195" s="2" t="s">
        <v>5198</v>
      </c>
      <c r="C195" s="2" t="s">
        <v>5201</v>
      </c>
      <c r="D195" s="2" t="s">
        <v>5202</v>
      </c>
      <c r="E195" s="3" t="str">
        <f ca="1">IFERROR(__xludf.DUMMYFUNCTION("GOOGLETRANSLATE(B195,""ja"",""vi"")"),"Gắn bộ, hệ thống dây điện")</f>
        <v>Gắn bộ, hệ thống dây điện</v>
      </c>
      <c r="F195" s="3" t="str">
        <f ca="1">IFERROR(__xludf.DUMMYFUNCTION("GOOGLETRANSLATE(C195,""ja"",""vi"")"),"Đấu giá&gt; ô tô, xe máy&gt; Car Audio&gt; bộ cài đặt, hệ thống dây điện")</f>
        <v>Đấu giá&gt; ô tô, xe máy&gt; Car Audio&gt; bộ cài đặt, hệ thống dây điện</v>
      </c>
      <c r="G195" s="229" t="str">
        <f t="shared" ref="G195:G258" ca="1" si="6">CONCATENATE(CHAR(34)&amp;"",A195,""&amp;CHAR(34)," : ", CHAR(34)&amp;"",E195,""&amp;CHAR(34),",")</f>
        <v>"2084049687" : "Gắn bộ, hệ thống dây điện",</v>
      </c>
      <c r="H195" s="229" t="str">
        <f t="shared" ref="H195:H258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href="javascript:;"(click)="categoryEvent(2084049687)"&gt;{{"2084049687" | translate}}&lt;/a&gt;&lt;/li&gt;</v>
      </c>
    </row>
    <row r="196" spans="1:8" ht="14.25" customHeight="1">
      <c r="A196" s="2">
        <v>2084048323</v>
      </c>
      <c r="B196" s="2" t="s">
        <v>2605</v>
      </c>
      <c r="C196" s="2" t="s">
        <v>5205</v>
      </c>
      <c r="D196" s="2" t="s">
        <v>5208</v>
      </c>
      <c r="E196" s="3" t="str">
        <f ca="1">IFERROR(__xludf.DUMMYFUNCTION("GOOGLETRANSLATE(B196,""ja"",""vi"")"),"bộ")</f>
        <v>bộ</v>
      </c>
      <c r="F196" s="3" t="str">
        <f ca="1">IFERROR(__xludf.DUMMYFUNCTION("GOOGLETRANSLATE(C196,""ja"",""vi"")"),"Đấu giá&gt; ô tô, xe máy&gt; Car Audio&gt; bộ")</f>
        <v>Đấu giá&gt; ô tô, xe máy&gt; Car Audio&gt; bộ</v>
      </c>
      <c r="G196" s="229" t="str">
        <f t="shared" ca="1" si="6"/>
        <v>"2084048323" : "bộ",</v>
      </c>
      <c r="H196" s="229" t="str">
        <f t="shared" si="7"/>
        <v>&lt;li class="col-md-3"&gt;&lt;a class="text-cut" href="javascript:;"(click)="categoryEvent(2084048323)"&gt;{{"2084048323" | translate}}&lt;/a&gt;&lt;/li&gt;</v>
      </c>
    </row>
    <row r="197" spans="1:8" ht="14.25" customHeight="1">
      <c r="A197" s="2">
        <v>2084214143</v>
      </c>
      <c r="B197" s="2" t="s">
        <v>4073</v>
      </c>
      <c r="C197" s="2" t="s">
        <v>5209</v>
      </c>
      <c r="D197" s="2" t="s">
        <v>5210</v>
      </c>
      <c r="E197" s="3" t="str">
        <f ca="1">IFERROR(__xludf.DUMMYFUNCTION("GOOGLETRANSLATE(B197,""ja"",""vi"")"),"dịch vụ lắp đặt")</f>
        <v>dịch vụ lắp đặt</v>
      </c>
      <c r="F197" s="3" t="str">
        <f ca="1">IFERROR(__xludf.DUMMYFUNCTION("GOOGLETRANSLATE(C197,""ja"",""vi"")"),"Đấu giá&gt; ô tô, xe máy&gt; Car Audio&gt; Dịch vụ lắp đặt")</f>
        <v>Đấu giá&gt; ô tô, xe máy&gt; Car Audio&gt; Dịch vụ lắp đặt</v>
      </c>
      <c r="G197" s="229" t="str">
        <f t="shared" ca="1" si="6"/>
        <v>"2084214143" : "dịch vụ lắp đặt",</v>
      </c>
      <c r="H197" s="229" t="str">
        <f t="shared" si="7"/>
        <v>&lt;li class="col-md-3"&gt;&lt;a class="text-cut" href="javascript:;"(click)="categoryEvent(2084214143)"&gt;{{"2084214143" | translate}}&lt;/a&gt;&lt;/li&gt;</v>
      </c>
    </row>
    <row r="198" spans="1:8" ht="14.25" customHeight="1">
      <c r="A198" s="2">
        <v>23876</v>
      </c>
      <c r="B198" s="2" t="s">
        <v>16</v>
      </c>
      <c r="C198" s="2" t="s">
        <v>5214</v>
      </c>
      <c r="D198" s="2" t="s">
        <v>5215</v>
      </c>
      <c r="E198" s="3" t="str">
        <f ca="1">IFERROR(__xludf.DUMMYFUNCTION("GOOGLETRANSLATE(B198,""ja"",""vi"")"),"nếu không thì")</f>
        <v>nếu không thì</v>
      </c>
      <c r="F198" s="3" t="str">
        <f ca="1">IFERROR(__xludf.DUMMYFUNCTION("GOOGLETRANSLATE(C198,""ja"",""vi"")"),"Đấu giá&gt; ô tô, xe máy&gt; Car Audio&gt; Khác")</f>
        <v>Đấu giá&gt; ô tô, xe máy&gt; Car Audio&gt; Khác</v>
      </c>
      <c r="G198" s="229" t="str">
        <f t="shared" ca="1" si="6"/>
        <v>"23876" : "nếu không thì",</v>
      </c>
      <c r="H198" s="229" t="str">
        <f t="shared" si="7"/>
        <v>&lt;li class="col-md-3"&gt;&lt;a class="text-cut" href="javascript:;"(click)="categoryEvent(23876)"&gt;{{"23876" | translate}}&lt;/a&gt;&lt;/li&gt;</v>
      </c>
    </row>
    <row r="199" spans="1:8" ht="14.25" customHeight="1">
      <c r="E199" s="3"/>
      <c r="F199" s="3"/>
      <c r="G199" s="229"/>
      <c r="H199" s="229"/>
    </row>
    <row r="200" spans="1:8" ht="14.25" customHeight="1">
      <c r="A200" s="252">
        <v>26320</v>
      </c>
      <c r="B200" s="232"/>
      <c r="C200" s="232"/>
      <c r="D200" s="233"/>
      <c r="E200" s="3"/>
      <c r="F200" s="3"/>
      <c r="G200" s="229"/>
      <c r="H200" s="229"/>
    </row>
    <row r="201" spans="1:8" ht="14.25" customHeight="1">
      <c r="A201" s="2">
        <v>26310</v>
      </c>
      <c r="B201" s="2" t="s">
        <v>4751</v>
      </c>
      <c r="C201" s="2" t="s">
        <v>5220</v>
      </c>
      <c r="D201" s="2" t="s">
        <v>5221</v>
      </c>
      <c r="E201" s="3" t="str">
        <f ca="1">IFERROR(__xludf.DUMMYFUNCTION("GOOGLETRANSLATE(B201,""ja"",""vi"")"),"Đối với xe máy")</f>
        <v>Đối với xe máy</v>
      </c>
      <c r="F201" s="3" t="str">
        <f ca="1">IFERROR(__xludf.DUMMYFUNCTION("GOOGLETRANSLATE(C201,""ja"",""vi"")"),"Đấu giá&gt; ô tô, xe máy&gt; Phụ kiện&gt; cho xe gắn máy")</f>
        <v>Đấu giá&gt; ô tô, xe máy&gt; Phụ kiện&gt; cho xe gắn máy</v>
      </c>
      <c r="G201" s="229" t="str">
        <f t="shared" ca="1" si="6"/>
        <v>"26310" : "Đối với xe máy",</v>
      </c>
      <c r="H201" s="229" t="str">
        <f t="shared" si="7"/>
        <v>&lt;li class="col-md-3"&gt;&lt;a class="text-cut" href="javascript:;"(click)="categoryEvent(26310)"&gt;{{"26310" | translate}}&lt;/a&gt;&lt;/li&gt;</v>
      </c>
    </row>
    <row r="202" spans="1:8" ht="14.25" customHeight="1">
      <c r="A202" s="2">
        <v>2084241183</v>
      </c>
      <c r="B202" s="2" t="s">
        <v>5227</v>
      </c>
      <c r="C202" s="2" t="s">
        <v>5228</v>
      </c>
      <c r="D202" s="2" t="s">
        <v>5229</v>
      </c>
      <c r="E202" s="3" t="str">
        <f ca="1">IFERROR(__xludf.DUMMYFUNCTION("GOOGLETRANSLATE(B202,""ja"",""vi"")"),"Đường / dump / thiết bị nặng dành riêng")</f>
        <v>Đường / dump / thiết bị nặng dành riêng</v>
      </c>
      <c r="F202" s="3" t="str">
        <f ca="1">IFERROR(__xludf.DUMMYFUNCTION("GOOGLETRANSLATE(C202,""ja"",""vi"")"),"Đấu giá&gt; ô tô, xe máy&gt; Phụ kiện&gt; Theo dõi / dump / thiết bị nặng dành riêng")</f>
        <v>Đấu giá&gt; ô tô, xe máy&gt; Phụ kiện&gt; Theo dõi / dump / thiết bị nặng dành riêng</v>
      </c>
      <c r="G202" s="229" t="str">
        <f t="shared" ca="1" si="6"/>
        <v>"2084241183" : "Đường / dump / thiết bị nặng dành riêng",</v>
      </c>
      <c r="H202" s="229" t="str">
        <f t="shared" si="7"/>
        <v>&lt;li class="col-md-3"&gt;&lt;a class="text-cut" href="javascript:;"(click)="categoryEvent(2084241183)"&gt;{{"2084241183" | translate}}&lt;/a&gt;&lt;/li&gt;</v>
      </c>
    </row>
    <row r="203" spans="1:8" ht="14.25" customHeight="1">
      <c r="A203" s="2">
        <v>2084047104</v>
      </c>
      <c r="B203" s="2" t="s">
        <v>5012</v>
      </c>
      <c r="C203" s="2" t="s">
        <v>5235</v>
      </c>
      <c r="D203" s="2" t="s">
        <v>5236</v>
      </c>
      <c r="E203" s="3" t="str">
        <f ca="1">IFERROR(__xludf.DUMMYFUNCTION("GOOGLETRANSLATE(B203,""ja"",""vi"")"),"Antenna")</f>
        <v>Antenna</v>
      </c>
      <c r="F203" s="3" t="str">
        <f ca="1">IFERROR(__xludf.DUMMYFUNCTION("GOOGLETRANSLATE(C203,""ja"",""vi"")"),"Đấu giá&gt; ô tô, xe máy&gt; Phụ kiện&gt; ăng ten")</f>
        <v>Đấu giá&gt; ô tô, xe máy&gt; Phụ kiện&gt; ăng ten</v>
      </c>
      <c r="G203" s="229" t="str">
        <f t="shared" ca="1" si="6"/>
        <v>"2084047104" : "Antenna",</v>
      </c>
      <c r="H203" s="229" t="str">
        <f t="shared" si="7"/>
        <v>&lt;li class="col-md-3"&gt;&lt;a class="text-cut" href="javascript:;"(click)="categoryEvent(2084047104)"&gt;{{"2084047104" | translate}}&lt;/a&gt;&lt;/li&gt;</v>
      </c>
    </row>
    <row r="204" spans="1:8" ht="14.25" customHeight="1">
      <c r="A204" s="2">
        <v>2084005810</v>
      </c>
      <c r="B204" s="2" t="s">
        <v>5242</v>
      </c>
      <c r="C204" s="2" t="s">
        <v>5243</v>
      </c>
      <c r="D204" s="2" t="s">
        <v>5244</v>
      </c>
      <c r="E204" s="3" t="str">
        <f ca="1">IFERROR(__xludf.DUMMYFUNCTION("GOOGLETRANSLATE(B204,""ja"",""vi"")"),"biến tần")</f>
        <v>biến tần</v>
      </c>
      <c r="F204" s="3" t="str">
        <f ca="1">IFERROR(__xludf.DUMMYFUNCTION("GOOGLETRANSLATE(C204,""ja"",""vi"")"),"Đấu giá&gt; ô tô, xe máy&gt; Phụ kiện&gt; Inverter")</f>
        <v>Đấu giá&gt; ô tô, xe máy&gt; Phụ kiện&gt; Inverter</v>
      </c>
      <c r="G204" s="229" t="str">
        <f t="shared" ca="1" si="6"/>
        <v>"2084005810" : "biến tần",</v>
      </c>
      <c r="H204" s="229" t="str">
        <f t="shared" si="7"/>
        <v>&lt;li class="col-md-3"&gt;&lt;a class="text-cut" href="javascript:;"(click)="categoryEvent(2084005810)"&gt;{{"2084005810" | translate}}&lt;/a&gt;&lt;/li&gt;</v>
      </c>
    </row>
    <row r="205" spans="1:8" ht="14.25" customHeight="1">
      <c r="A205" s="2">
        <v>2084203777</v>
      </c>
      <c r="B205" s="2" t="s">
        <v>5249</v>
      </c>
      <c r="C205" s="2" t="s">
        <v>5251</v>
      </c>
      <c r="D205" s="2" t="s">
        <v>5252</v>
      </c>
      <c r="E205" s="3" t="str">
        <f ca="1">IFERROR(__xludf.DUMMYFUNCTION("GOOGLETRANSLATE(B205,""ja"",""vi"")"),"phim cách nhiệt, phim xe")</f>
        <v>phim cách nhiệt, phim xe</v>
      </c>
      <c r="F205" s="3" t="str">
        <f ca="1">IFERROR(__xludf.DUMMYFUNCTION("GOOGLETRANSLATE(C205,""ja"",""vi"")"),"Đấu giá&gt; ô tô, xe máy&gt; Phụ kiện&gt; phim cửa sổ, phim xe")</f>
        <v>Đấu giá&gt; ô tô, xe máy&gt; Phụ kiện&gt; phim cửa sổ, phim xe</v>
      </c>
      <c r="G205" s="229" t="str">
        <f t="shared" ca="1" si="6"/>
        <v>"2084203777" : "phim cách nhiệt, phim xe",</v>
      </c>
      <c r="H205" s="229" t="str">
        <f t="shared" si="7"/>
        <v>&lt;li class="col-md-3"&gt;&lt;a class="text-cut" href="javascript:;"(click)="categoryEvent(2084203777)"&gt;{{"2084203777" | translate}}&lt;/a&gt;&lt;/li&gt;</v>
      </c>
    </row>
    <row r="206" spans="1:8" ht="14.25" customHeight="1">
      <c r="A206" s="2">
        <v>2084047101</v>
      </c>
      <c r="B206" s="2" t="s">
        <v>5256</v>
      </c>
      <c r="C206" s="2" t="s">
        <v>5257</v>
      </c>
      <c r="D206" s="2" t="s">
        <v>5259</v>
      </c>
      <c r="E206" s="3" t="str">
        <f ca="1">IFERROR(__xludf.DUMMYFUNCTION("GOOGLETRANSLATE(B206,""ja"",""vi"")"),"biểu tượng")</f>
        <v>biểu tượng</v>
      </c>
      <c r="F206" s="3" t="str">
        <f ca="1">IFERROR(__xludf.DUMMYFUNCTION("GOOGLETRANSLATE(C206,""ja"",""vi"")"),"Đấu giá&gt; ô tô, xe máy&gt; Phụ kiện&gt; biểu tượng")</f>
        <v>Đấu giá&gt; ô tô, xe máy&gt; Phụ kiện&gt; biểu tượng</v>
      </c>
      <c r="G206" s="229" t="str">
        <f t="shared" ca="1" si="6"/>
        <v>"2084047101" : "biểu tượng",</v>
      </c>
      <c r="H206" s="229" t="str">
        <f t="shared" si="7"/>
        <v>&lt;li class="col-md-3"&gt;&lt;a class="text-cut" href="javascript:;"(click)="categoryEvent(2084047101)"&gt;{{"2084047101" | translate}}&lt;/a&gt;&lt;/li&gt;</v>
      </c>
    </row>
    <row r="207" spans="1:8" ht="14.25" customHeight="1">
      <c r="A207" s="2">
        <v>2084005812</v>
      </c>
      <c r="B207" s="2" t="s">
        <v>306</v>
      </c>
      <c r="C207" s="2" t="s">
        <v>5265</v>
      </c>
      <c r="D207" s="2" t="s">
        <v>5267</v>
      </c>
      <c r="E207" s="3" t="str">
        <f ca="1">IFERROR(__xludf.DUMMYFUNCTION("GOOGLETRANSLATE(B207,""ja"",""vi"")"),"key Chains")</f>
        <v>key Chains</v>
      </c>
      <c r="F207" s="3" t="str">
        <f ca="1">IFERROR(__xludf.DUMMYFUNCTION("GOOGLETRANSLATE(C207,""ja"",""vi"")"),"Đấu giá&gt; ô tô, xe máy&gt; Phụ kiện&gt; Keychain")</f>
        <v>Đấu giá&gt; ô tô, xe máy&gt; Phụ kiện&gt; Keychain</v>
      </c>
      <c r="G207" s="229" t="str">
        <f t="shared" ca="1" si="6"/>
        <v>"2084005812" : "key Chains",</v>
      </c>
      <c r="H207" s="229" t="str">
        <f t="shared" si="7"/>
        <v>&lt;li class="col-md-3"&gt;&lt;a class="text-cut" href="javascript:;"(click)="categoryEvent(2084005812)"&gt;{{"2084005812" | translate}}&lt;/a&gt;&lt;/li&gt;</v>
      </c>
    </row>
    <row r="208" spans="1:8" ht="14.25" customHeight="1">
      <c r="A208" s="2">
        <v>2084005808</v>
      </c>
      <c r="B208" s="2" t="s">
        <v>5272</v>
      </c>
      <c r="C208" s="2" t="s">
        <v>5273</v>
      </c>
      <c r="D208" s="2" t="s">
        <v>5275</v>
      </c>
      <c r="E208" s="3" t="str">
        <f ca="1">IFERROR(__xludf.DUMMYFUNCTION("GOOGLETRANSLATE(B208,""ja"",""vi"")"),"Career, rack")</f>
        <v>Career, rack</v>
      </c>
      <c r="F208" s="3" t="str">
        <f ca="1">IFERROR(__xludf.DUMMYFUNCTION("GOOGLETRANSLATE(C208,""ja"",""vi"")"),"Đấu giá&gt; ô tô, xe máy&gt; Phụ kiện&gt; hãng, rack")</f>
        <v>Đấu giá&gt; ô tô, xe máy&gt; Phụ kiện&gt; hãng, rack</v>
      </c>
      <c r="G208" s="229" t="str">
        <f t="shared" ca="1" si="6"/>
        <v>"2084005808" : "Career, rack",</v>
      </c>
      <c r="H208" s="229" t="str">
        <f t="shared" si="7"/>
        <v>&lt;li class="col-md-3"&gt;&lt;a class="text-cut" href="javascript:;"(click)="categoryEvent(2084005808)"&gt;{{"2084005808" | translate}}&lt;/a&gt;&lt;/li&gt;</v>
      </c>
    </row>
    <row r="209" spans="1:8" ht="14.25" customHeight="1">
      <c r="A209" s="2">
        <v>2084290712</v>
      </c>
      <c r="B209" s="2" t="s">
        <v>5280</v>
      </c>
      <c r="C209" s="2" t="s">
        <v>5281</v>
      </c>
      <c r="D209" s="2" t="s">
        <v>5283</v>
      </c>
      <c r="E209" s="3" t="str">
        <f ca="1">IFERROR(__xludf.DUMMYFUNCTION("GOOGLETRANSLATE(B209,""ja"",""vi"")"),"chuyển đổi")</f>
        <v>chuyển đổi</v>
      </c>
      <c r="F209" s="3" t="str">
        <f ca="1">IFERROR(__xludf.DUMMYFUNCTION("GOOGLETRANSLATE(C209,""ja"",""vi"")"),"Đấu giá&gt; ô tô, xe máy&gt; Phụ kiện&gt; Converters")</f>
        <v>Đấu giá&gt; ô tô, xe máy&gt; Phụ kiện&gt; Converters</v>
      </c>
      <c r="G209" s="229" t="str">
        <f t="shared" ca="1" si="6"/>
        <v>"2084290712" : "chuyển đổi",</v>
      </c>
      <c r="H209" s="229" t="str">
        <f t="shared" si="7"/>
        <v>&lt;li class="col-md-3"&gt;&lt;a class="text-cut" href="javascript:;"(click)="categoryEvent(2084290712)"&gt;{{"2084290712" | translate}}&lt;/a&gt;&lt;/li&gt;</v>
      </c>
    </row>
    <row r="210" spans="1:8" ht="14.25" customHeight="1">
      <c r="A210" s="2">
        <v>2084262999</v>
      </c>
      <c r="B210" s="2" t="s">
        <v>5287</v>
      </c>
      <c r="C210" s="2" t="s">
        <v>5288</v>
      </c>
      <c r="D210" s="2" t="s">
        <v>5289</v>
      </c>
      <c r="E210" s="3" t="str">
        <f ca="1">IFERROR(__xludf.DUMMYFUNCTION("GOOGLETRANSLATE(B210,""ja"",""vi"")"),"không khí sạch hơn")</f>
        <v>không khí sạch hơn</v>
      </c>
      <c r="F210" s="3" t="str">
        <f ca="1">IFERROR(__xludf.DUMMYFUNCTION("GOOGLETRANSLATE(C210,""ja"",""vi"")"),"Đấu giá&gt; ô tô, xe máy&gt; Phụ kiện&gt; không khí sạch hơn")</f>
        <v>Đấu giá&gt; ô tô, xe máy&gt; Phụ kiện&gt; không khí sạch hơn</v>
      </c>
      <c r="G210" s="229" t="str">
        <f t="shared" ca="1" si="6"/>
        <v>"2084262999" : "không khí sạch hơn",</v>
      </c>
      <c r="H210" s="229" t="str">
        <f t="shared" si="7"/>
        <v>&lt;li class="col-md-3"&gt;&lt;a class="text-cut" href="javascript:;"(click)="categoryEvent(2084262999)"&gt;{{"2084262999" | translate}}&lt;/a&gt;&lt;/li&gt;</v>
      </c>
    </row>
    <row r="211" spans="1:8" ht="14.25" customHeight="1">
      <c r="A211" s="2">
        <v>2084286658</v>
      </c>
      <c r="B211" s="2" t="s">
        <v>5295</v>
      </c>
      <c r="C211" s="2" t="s">
        <v>5296</v>
      </c>
      <c r="D211" s="2" t="s">
        <v>5297</v>
      </c>
      <c r="E211" s="3" t="str">
        <f ca="1">IFERROR(__xludf.DUMMYFUNCTION("GOOGLETRANSLATE(B211,""ja"",""vi"")"),"Điện thoại di động và nguồn cung cấp điện thoại thông minh")</f>
        <v>Điện thoại di động và nguồn cung cấp điện thoại thông minh</v>
      </c>
      <c r="F211" s="3" t="str">
        <f ca="1">IFERROR(__xludf.DUMMYFUNCTION("GOOGLETRANSLATE(C211,""ja"",""vi"")"),"Đấu giá&gt; ô tô, xe máy&gt; Phụ kiện&gt; Điện thoại di động và nguồn cung cấp điện thoại thông minh")</f>
        <v>Đấu giá&gt; ô tô, xe máy&gt; Phụ kiện&gt; Điện thoại di động và nguồn cung cấp điện thoại thông minh</v>
      </c>
      <c r="G211" s="229" t="str">
        <f t="shared" ca="1" si="6"/>
        <v>"2084286658" : "Điện thoại di động và nguồn cung cấp điện thoại thông minh",</v>
      </c>
      <c r="H211" s="229" t="str">
        <f t="shared" si="7"/>
        <v>&lt;li class="col-md-3"&gt;&lt;a class="text-cut" href="javascript:;"(click)="categoryEvent(2084286658)"&gt;{{"2084286658" | translate}}&lt;/a&gt;&lt;/li&gt;</v>
      </c>
    </row>
    <row r="212" spans="1:8" ht="14.25" customHeight="1">
      <c r="A212" s="2">
        <v>2084005811</v>
      </c>
      <c r="B212" s="2" t="s">
        <v>5302</v>
      </c>
      <c r="C212" s="2" t="s">
        <v>5303</v>
      </c>
      <c r="D212" s="2" t="s">
        <v>5304</v>
      </c>
      <c r="E212" s="3" t="str">
        <f ca="1">IFERROR(__xludf.DUMMYFUNCTION("GOOGLETRANSLATE(B212,""ja"",""vi"")"),"vỏ bọc ghế ngồi")</f>
        <v>vỏ bọc ghế ngồi</v>
      </c>
      <c r="F212" s="3" t="str">
        <f ca="1">IFERROR(__xludf.DUMMYFUNCTION("GOOGLETRANSLATE(C212,""ja"",""vi"")"),"Đấu giá&gt; ô tô, xe máy&gt; Phụ kiện&gt; vỏ bọc ghế ngồi")</f>
        <v>Đấu giá&gt; ô tô, xe máy&gt; Phụ kiện&gt; vỏ bọc ghế ngồi</v>
      </c>
      <c r="G212" s="229" t="str">
        <f t="shared" ca="1" si="6"/>
        <v>"2084005811" : "vỏ bọc ghế ngồi",</v>
      </c>
      <c r="H212" s="229" t="str">
        <f t="shared" si="7"/>
        <v>&lt;li class="col-md-3"&gt;&lt;a class="text-cut" href="javascript:;"(click)="categoryEvent(2084005811)"&gt;{{"2084005811" | translate}}&lt;/a&gt;&lt;/li&gt;</v>
      </c>
    </row>
    <row r="213" spans="1:8" ht="14.25" customHeight="1">
      <c r="A213" s="2">
        <v>2084007923</v>
      </c>
      <c r="B213" s="2" t="s">
        <v>5305</v>
      </c>
      <c r="C213" s="2" t="s">
        <v>5306</v>
      </c>
      <c r="D213" s="2" t="s">
        <v>5307</v>
      </c>
      <c r="E213" s="3" t="str">
        <f ca="1">IFERROR(__xludf.DUMMYFUNCTION("GOOGLETRANSLATE(B213,""ja"",""vi"")"),"thay đổi núm")</f>
        <v>thay đổi núm</v>
      </c>
      <c r="F213" s="3" t="str">
        <f ca="1">IFERROR(__xludf.DUMMYFUNCTION("GOOGLETRANSLATE(C213,""ja"",""vi"")"),"Đấu giá&gt; ô tô, xe máy&gt; Phụ kiện&gt; thay đổi núm")</f>
        <v>Đấu giá&gt; ô tô, xe máy&gt; Phụ kiện&gt; thay đổi núm</v>
      </c>
      <c r="G213" s="229" t="str">
        <f t="shared" ca="1" si="6"/>
        <v>"2084007923" : "thay đổi núm",</v>
      </c>
      <c r="H213" s="229" t="str">
        <f t="shared" si="7"/>
        <v>&lt;li class="col-md-3"&gt;&lt;a class="text-cut" href="javascript:;"(click)="categoryEvent(2084007923)"&gt;{{"2084007923" | translate}}&lt;/a&gt;&lt;/li&gt;</v>
      </c>
    </row>
    <row r="214" spans="1:8" ht="14.25" customHeight="1">
      <c r="A214" s="2">
        <v>2084007924</v>
      </c>
      <c r="B214" s="2" t="s">
        <v>5310</v>
      </c>
      <c r="C214" s="2" t="s">
        <v>5311</v>
      </c>
      <c r="D214" s="2" t="s">
        <v>5312</v>
      </c>
      <c r="E214" s="3" t="str">
        <f ca="1">IFERROR(__xludf.DUMMYFUNCTION("GOOGLETRANSLATE(B214,""ja"",""vi"")"),"Sticker, decal")</f>
        <v>Sticker, decal</v>
      </c>
      <c r="F214" s="3" t="str">
        <f ca="1">IFERROR(__xludf.DUMMYFUNCTION("GOOGLETRANSLATE(C214,""ja"",""vi"")"),"Đấu giá&gt; ô tô, xe máy&gt; Phụ kiện&gt; dán, decal")</f>
        <v>Đấu giá&gt; ô tô, xe máy&gt; Phụ kiện&gt; dán, decal</v>
      </c>
      <c r="G214" s="229" t="str">
        <f t="shared" ca="1" si="6"/>
        <v>"2084007924" : "Sticker, decal",</v>
      </c>
      <c r="H214" s="229" t="str">
        <f t="shared" si="7"/>
        <v>&lt;li class="col-md-3"&gt;&lt;a class="text-cut" href="javascript:;"(click)="categoryEvent(2084007924)"&gt;{{"2084007924" | translate}}&lt;/a&gt;&lt;/li&gt;</v>
      </c>
    </row>
    <row r="215" spans="1:8" ht="14.25" customHeight="1">
      <c r="A215" s="2">
        <v>2084005809</v>
      </c>
      <c r="B215" s="2" t="s">
        <v>5315</v>
      </c>
      <c r="C215" s="2" t="s">
        <v>5316</v>
      </c>
      <c r="D215" s="2" t="s">
        <v>5317</v>
      </c>
      <c r="E215" s="3" t="str">
        <f ca="1">IFERROR(__xludf.DUMMYFUNCTION("GOOGLETRANSLATE(B215,""ja"",""vi"")"),"lưu trữ xe, người giữ")</f>
        <v>lưu trữ xe, người giữ</v>
      </c>
      <c r="F215" s="3" t="str">
        <f ca="1">IFERROR(__xludf.DUMMYFUNCTION("GOOGLETRANSLATE(C215,""ja"",""vi"")"),"Đấu giá&gt; ô tô, xe máy&gt; Phụ kiện&gt; lưu trữ nội thất, người giữ")</f>
        <v>Đấu giá&gt; ô tô, xe máy&gt; Phụ kiện&gt; lưu trữ nội thất, người giữ</v>
      </c>
      <c r="G215" s="229" t="str">
        <f t="shared" ca="1" si="6"/>
        <v>"2084005809" : "lưu trữ xe, người giữ",</v>
      </c>
      <c r="H215" s="229" t="str">
        <f t="shared" si="7"/>
        <v>&lt;li class="col-md-3"&gt;&lt;a class="text-cut" href="javascript:;"(click)="categoryEvent(2084005809)"&gt;{{"2084005809" | translate}}&lt;/a&gt;&lt;/li&gt;</v>
      </c>
    </row>
    <row r="216" spans="1:8" ht="14.25" customHeight="1">
      <c r="A216" s="2">
        <v>2084048528</v>
      </c>
      <c r="B216" s="2" t="s">
        <v>5320</v>
      </c>
      <c r="C216" s="2" t="s">
        <v>5321</v>
      </c>
      <c r="D216" s="2" t="s">
        <v>5323</v>
      </c>
      <c r="E216" s="3" t="str">
        <f ca="1">IFERROR(__xludf.DUMMYFUNCTION("GOOGLETRANSLATE(B216,""ja"",""vi"")"),"Turbo hẹn giờ")</f>
        <v>Turbo hẹn giờ</v>
      </c>
      <c r="F216" s="3" t="str">
        <f ca="1">IFERROR(__xludf.DUMMYFUNCTION("GOOGLETRANSLATE(C216,""ja"",""vi"")"),"Đấu giá&gt; ô tô, xe máy&gt; Phụ kiện&gt; tuabin timer")</f>
        <v>Đấu giá&gt; ô tô, xe máy&gt; Phụ kiện&gt; tuabin timer</v>
      </c>
      <c r="G216" s="229" t="str">
        <f t="shared" ca="1" si="6"/>
        <v>"2084048528" : "Turbo hẹn giờ",</v>
      </c>
      <c r="H216" s="229" t="str">
        <f t="shared" si="7"/>
        <v>&lt;li class="col-md-3"&gt;&lt;a class="text-cut" href="javascript:;"(click)="categoryEvent(2084048528)"&gt;{{"2084048528" | translate}}&lt;/a&gt;&lt;/li&gt;</v>
      </c>
    </row>
    <row r="217" spans="1:8" ht="14.25" customHeight="1">
      <c r="A217" s="2">
        <v>2084008459</v>
      </c>
      <c r="B217" s="2" t="s">
        <v>5325</v>
      </c>
      <c r="C217" s="2" t="s">
        <v>5326</v>
      </c>
      <c r="D217" s="2" t="s">
        <v>5327</v>
      </c>
      <c r="E217" s="3" t="str">
        <f ca="1">IFERROR(__xludf.DUMMYFUNCTION("GOOGLETRANSLATE(B217,""ja"",""vi"")"),"dây chuyền lốp, không trơn trượt")</f>
        <v>dây chuyền lốp, không trơn trượt</v>
      </c>
      <c r="F217" s="3" t="str">
        <f ca="1">IFERROR(__xludf.DUMMYFUNCTION("GOOGLETRANSLATE(C217,""ja"",""vi"")"),"Đấu giá&gt; ô tô, xe máy&gt; Phụ kiện&gt; chuỗi lốp, không trơn trượt")</f>
        <v>Đấu giá&gt; ô tô, xe máy&gt; Phụ kiện&gt; chuỗi lốp, không trơn trượt</v>
      </c>
      <c r="G217" s="229" t="str">
        <f t="shared" ca="1" si="6"/>
        <v>"2084008459" : "dây chuyền lốp, không trơn trượt",</v>
      </c>
      <c r="H217" s="229" t="str">
        <f t="shared" si="7"/>
        <v>&lt;li class="col-md-3"&gt;&lt;a class="text-cut" href="javascript:;"(click)="categoryEvent(2084008459)"&gt;{{"2084008459" | translate}}&lt;/a&gt;&lt;/li&gt;</v>
      </c>
    </row>
    <row r="218" spans="1:8" ht="14.25" customHeight="1">
      <c r="A218" s="2">
        <v>2084231726</v>
      </c>
      <c r="B218" s="2" t="s">
        <v>5333</v>
      </c>
      <c r="C218" s="2" t="s">
        <v>5335</v>
      </c>
      <c r="D218" s="2" t="s">
        <v>5336</v>
      </c>
      <c r="E218" s="3" t="str">
        <f ca="1">IFERROR(__xludf.DUMMYFUNCTION("GOOGLETRANSLATE(B218,""ja"",""vi"")"),"ổ ghi")</f>
        <v>ổ ghi</v>
      </c>
      <c r="F218" s="3" t="str">
        <f ca="1">IFERROR(__xludf.DUMMYFUNCTION("GOOGLETRANSLATE(C218,""ja"",""vi"")"),"Đấu giá&gt; ô tô, xe máy&gt; Phụ kiện&gt; Máy ghi ổ đĩa")</f>
        <v>Đấu giá&gt; ô tô, xe máy&gt; Phụ kiện&gt; Máy ghi ổ đĩa</v>
      </c>
      <c r="G218" s="229" t="str">
        <f t="shared" ca="1" si="6"/>
        <v>"2084231726" : "ổ ghi",</v>
      </c>
      <c r="H218" s="229" t="str">
        <f t="shared" si="7"/>
        <v>&lt;li class="col-md-3"&gt;&lt;a class="text-cut" href="javascript:;"(click)="categoryEvent(2084231726)"&gt;{{"2084231726" | translate}}&lt;/a&gt;&lt;/li&gt;</v>
      </c>
    </row>
    <row r="219" spans="1:8" ht="14.25" customHeight="1">
      <c r="A219" s="2">
        <v>2084007925</v>
      </c>
      <c r="B219" s="2" t="s">
        <v>5338</v>
      </c>
      <c r="C219" s="2" t="s">
        <v>5339</v>
      </c>
      <c r="D219" s="2" t="s">
        <v>5341</v>
      </c>
      <c r="E219" s="3" t="str">
        <f ca="1">IFERROR(__xludf.DUMMYFUNCTION("GOOGLETRANSLATE(B219,""ja"",""vi"")"),"khung số")</f>
        <v>khung số</v>
      </c>
      <c r="F219" s="3" t="str">
        <f ca="1">IFERROR(__xludf.DUMMYFUNCTION("GOOGLETRANSLATE(C219,""ja"",""vi"")"),"Đấu giá&gt; ô tô, xe máy&gt; Phụ kiện&gt; khung số")</f>
        <v>Đấu giá&gt; ô tô, xe máy&gt; Phụ kiện&gt; khung số</v>
      </c>
      <c r="G219" s="229" t="str">
        <f t="shared" ca="1" si="6"/>
        <v>"2084007925" : "khung số",</v>
      </c>
      <c r="H219" s="229" t="str">
        <f t="shared" si="7"/>
        <v>&lt;li class="col-md-3"&gt;&lt;a class="text-cut" href="javascript:;"(click)="categoryEvent(2084007925)"&gt;{{"2084007925" | translate}}&lt;/a&gt;&lt;/li&gt;</v>
      </c>
    </row>
    <row r="220" spans="1:8" ht="14.25" customHeight="1">
      <c r="A220" s="2">
        <v>2084005807</v>
      </c>
      <c r="B220" s="2" t="s">
        <v>5346</v>
      </c>
      <c r="C220" s="2" t="s">
        <v>5348</v>
      </c>
      <c r="D220" s="2" t="s">
        <v>5350</v>
      </c>
      <c r="E220" s="3" t="str">
        <f ca="1">IFERROR(__xludf.DUMMYFUNCTION("GOOGLETRANSLATE(B220,""ja"",""vi"")"),"thảm sàn")</f>
        <v>thảm sàn</v>
      </c>
      <c r="F220" s="3" t="str">
        <f ca="1">IFERROR(__xludf.DUMMYFUNCTION("GOOGLETRANSLATE(C220,""ja"",""vi"")"),"Đấu giá&gt; ô tô, xe máy&gt; Phụ kiện&gt; thảm sàn")</f>
        <v>Đấu giá&gt; ô tô, xe máy&gt; Phụ kiện&gt; thảm sàn</v>
      </c>
      <c r="G220" s="229" t="str">
        <f t="shared" ca="1" si="6"/>
        <v>"2084005807" : "thảm sàn",</v>
      </c>
      <c r="H220" s="229" t="str">
        <f t="shared" si="7"/>
        <v>&lt;li class="col-md-3"&gt;&lt;a class="text-cut" href="javascript:;"(click)="categoryEvent(2084005807)"&gt;{{"2084005807" | translate}}&lt;/a&gt;&lt;/li&gt;</v>
      </c>
    </row>
    <row r="221" spans="1:8" ht="14.25" customHeight="1">
      <c r="A221" s="2">
        <v>2084213108</v>
      </c>
      <c r="B221" s="2" t="s">
        <v>5353</v>
      </c>
      <c r="C221" s="2" t="s">
        <v>5354</v>
      </c>
      <c r="D221" s="2" t="s">
        <v>5355</v>
      </c>
      <c r="E221" s="3" t="str">
        <f ca="1">IFERROR(__xludf.DUMMYFUNCTION("GOOGLETRANSLATE(B221,""ja"",""vi"")"),"Body Bìa")</f>
        <v>Body Bìa</v>
      </c>
      <c r="F221" s="3" t="str">
        <f ca="1">IFERROR(__xludf.DUMMYFUNCTION("GOOGLETRANSLATE(C221,""ja"",""vi"")"),"Đấu giá&gt; ô tô, xe máy&gt; Phụ kiện&gt; bìa cơ thể")</f>
        <v>Đấu giá&gt; ô tô, xe máy&gt; Phụ kiện&gt; bìa cơ thể</v>
      </c>
      <c r="G221" s="229" t="str">
        <f t="shared" ca="1" si="6"/>
        <v>"2084213108" : "Body Bìa",</v>
      </c>
      <c r="H221" s="229" t="str">
        <f t="shared" si="7"/>
        <v>&lt;li class="col-md-3"&gt;&lt;a class="text-cut" href="javascript:;"(click)="categoryEvent(2084213108)"&gt;{{"2084213108" | translate}}&lt;/a&gt;&lt;/li&gt;</v>
      </c>
    </row>
    <row r="222" spans="1:8" ht="14.25" customHeight="1">
      <c r="A222" s="2">
        <v>2084007926</v>
      </c>
      <c r="B222" s="2" t="s">
        <v>2409</v>
      </c>
      <c r="C222" s="2" t="s">
        <v>5357</v>
      </c>
      <c r="D222" s="2" t="s">
        <v>5359</v>
      </c>
      <c r="E222" s="3" t="str">
        <f ca="1">IFERROR(__xludf.DUMMYFUNCTION("GOOGLETRANSLATE(B222,""ja"",""vi"")"),"Nước hoa, khử mùi")</f>
        <v>Nước hoa, khử mùi</v>
      </c>
      <c r="F222" s="3" t="str">
        <f ca="1">IFERROR(__xludf.DUMMYFUNCTION("GOOGLETRANSLATE(C222,""ja"",""vi"")"),"Đấu giá&gt; ô tô, xe máy&gt; Phụ kiện&gt; nước hoa, chất khử mùi")</f>
        <v>Đấu giá&gt; ô tô, xe máy&gt; Phụ kiện&gt; nước hoa, chất khử mùi</v>
      </c>
      <c r="G222" s="229" t="str">
        <f t="shared" ca="1" si="6"/>
        <v>"2084007926" : "Nước hoa, khử mùi",</v>
      </c>
      <c r="H222" s="229" t="str">
        <f t="shared" si="7"/>
        <v>&lt;li class="col-md-3"&gt;&lt;a class="text-cut" href="javascript:;"(click)="categoryEvent(2084007926)"&gt;{{"2084007926" | translate}}&lt;/a&gt;&lt;/li&gt;</v>
      </c>
    </row>
    <row r="223" spans="1:8" ht="14.25" customHeight="1">
      <c r="A223" s="2">
        <v>2084007927</v>
      </c>
      <c r="B223" s="2" t="s">
        <v>5361</v>
      </c>
      <c r="C223" s="2" t="s">
        <v>5362</v>
      </c>
      <c r="D223" s="2" t="s">
        <v>5364</v>
      </c>
      <c r="E223" s="3" t="str">
        <f ca="1">IFERROR(__xludf.DUMMYFUNCTION("GOOGLETRANSLATE(B223,""ja"",""vi"")"),"cắt muffler")</f>
        <v>cắt muffler</v>
      </c>
      <c r="F223" s="3" t="str">
        <f ca="1">IFERROR(__xludf.DUMMYFUNCTION("GOOGLETRANSLATE(C223,""ja"",""vi"")"),"Đấu giá&gt; ô tô, xe máy&gt; Phụ kiện&gt; cắt muffler")</f>
        <v>Đấu giá&gt; ô tô, xe máy&gt; Phụ kiện&gt; cắt muffler</v>
      </c>
      <c r="G223" s="229" t="str">
        <f t="shared" ca="1" si="6"/>
        <v>"2084007927" : "cắt muffler",</v>
      </c>
      <c r="H223" s="229" t="str">
        <f t="shared" si="7"/>
        <v>&lt;li class="col-md-3"&gt;&lt;a class="text-cut" href="javascript:;"(click)="categoryEvent(2084007927)"&gt;{{"2084007927" | translate}}&lt;/a&gt;&lt;/li&gt;</v>
      </c>
    </row>
    <row r="224" spans="1:8" ht="14.25" customHeight="1">
      <c r="A224" s="2">
        <v>2084258256</v>
      </c>
      <c r="B224" s="2" t="s">
        <v>5368</v>
      </c>
      <c r="C224" s="2" t="s">
        <v>5369</v>
      </c>
      <c r="D224" s="2" t="s">
        <v>5370</v>
      </c>
      <c r="E224" s="3" t="str">
        <f ca="1">IFERROR(__xludf.DUMMYFUNCTION("GOOGLETRANSLATE(B224,""ja"",""vi"")"),"trung tâm mua sắm")</f>
        <v>trung tâm mua sắm</v>
      </c>
      <c r="F224" s="3" t="str">
        <f ca="1">IFERROR(__xludf.DUMMYFUNCTION("GOOGLETRANSLATE(C224,""ja"",""vi"")"),"Đấu giá&gt; ô tô, xe máy&gt; Phụ kiện&gt; Mall")</f>
        <v>Đấu giá&gt; ô tô, xe máy&gt; Phụ kiện&gt; Mall</v>
      </c>
      <c r="G224" s="229" t="str">
        <f t="shared" ca="1" si="6"/>
        <v>"2084258256" : "trung tâm mua sắm",</v>
      </c>
      <c r="H224" s="229" t="str">
        <f t="shared" si="7"/>
        <v>&lt;li class="col-md-3"&gt;&lt;a class="text-cut" href="javascript:;"(click)="categoryEvent(2084258256)"&gt;{{"2084258256" | translate}}&lt;/a&gt;&lt;/li&gt;</v>
      </c>
    </row>
    <row r="225" spans="1:8" ht="14.25" customHeight="1">
      <c r="A225" s="2">
        <v>2084048527</v>
      </c>
      <c r="B225" s="2" t="s">
        <v>5375</v>
      </c>
      <c r="C225" s="2" t="s">
        <v>5377</v>
      </c>
      <c r="D225" s="2" t="s">
        <v>5378</v>
      </c>
      <c r="E225" s="3" t="str">
        <f ca="1">IFERROR(__xludf.DUMMYFUNCTION("GOOGLETRANSLATE(B225,""ja"",""vi"")"),"khởi động điều khiển từ xa")</f>
        <v>khởi động điều khiển từ xa</v>
      </c>
      <c r="F225" s="3" t="str">
        <f ca="1">IFERROR(__xludf.DUMMYFUNCTION("GOOGLETRANSLATE(C225,""ja"",""vi"")"),"Đấu giá&gt; ô tô, xe máy&gt; Phụ kiện&gt; khởi động điều khiển từ xa")</f>
        <v>Đấu giá&gt; ô tô, xe máy&gt; Phụ kiện&gt; khởi động điều khiển từ xa</v>
      </c>
      <c r="G225" s="229" t="str">
        <f t="shared" ca="1" si="6"/>
        <v>"2084048527" : "khởi động điều khiển từ xa",</v>
      </c>
      <c r="H225" s="229" t="str">
        <f t="shared" si="7"/>
        <v>&lt;li class="col-md-3"&gt;&lt;a class="text-cut" href="javascript:;"(click)="categoryEvent(2084048527)"&gt;{{"2084048527" | translate}}&lt;/a&gt;&lt;/li&gt;</v>
      </c>
    </row>
    <row r="226" spans="1:8" ht="14.25" customHeight="1">
      <c r="A226" s="2">
        <v>2084005806</v>
      </c>
      <c r="B226" s="2" t="s">
        <v>5381</v>
      </c>
      <c r="C226" s="2" t="s">
        <v>5383</v>
      </c>
      <c r="D226" s="2" t="s">
        <v>5385</v>
      </c>
      <c r="E226" s="3" t="str">
        <f ca="1">IFERROR(__xludf.DUMMYFUNCTION("GOOGLETRANSLATE(B226,""ja"",""vi"")"),"chiếu hậu gương")</f>
        <v>chiếu hậu gương</v>
      </c>
      <c r="F226" s="3" t="str">
        <f ca="1">IFERROR(__xludf.DUMMYFUNCTION("GOOGLETRANSLATE(C226,""ja"",""vi"")"),"Đấu giá&gt; ô tô, xe máy&gt; Phụ kiện&gt; gương phòng")</f>
        <v>Đấu giá&gt; ô tô, xe máy&gt; Phụ kiện&gt; gương phòng</v>
      </c>
      <c r="G226" s="229" t="str">
        <f t="shared" ca="1" si="6"/>
        <v>"2084005806" : "chiếu hậu gương",</v>
      </c>
      <c r="H226" s="229" t="str">
        <f t="shared" si="7"/>
        <v>&lt;li class="col-md-3"&gt;&lt;a class="text-cut" href="javascript:;"(click)="categoryEvent(2084005806)"&gt;{{"2084005806" | translate}}&lt;/a&gt;&lt;/li&gt;</v>
      </c>
    </row>
    <row r="227" spans="1:8" ht="14.25" customHeight="1">
      <c r="A227" s="2">
        <v>2084007928</v>
      </c>
      <c r="B227" s="2" t="s">
        <v>5388</v>
      </c>
      <c r="C227" s="2" t="s">
        <v>5390</v>
      </c>
      <c r="D227" s="2" t="s">
        <v>5392</v>
      </c>
      <c r="E227" s="3" t="str">
        <f ca="1">IFERROR(__xludf.DUMMYFUNCTION("GOOGLETRANSLATE(B227,""ja"",""vi"")"),"radar Detectors")</f>
        <v>radar Detectors</v>
      </c>
      <c r="F227" s="3" t="str">
        <f ca="1">IFERROR(__xludf.DUMMYFUNCTION("GOOGLETRANSLATE(C227,""ja"",""vi"")"),"Đấu giá&gt; ô tô, xe máy&gt; Phụ kiện&gt; Radar Detectors")</f>
        <v>Đấu giá&gt; ô tô, xe máy&gt; Phụ kiện&gt; Radar Detectors</v>
      </c>
      <c r="G227" s="229" t="str">
        <f t="shared" ca="1" si="6"/>
        <v>"2084007928" : "radar Detectors",</v>
      </c>
      <c r="H227" s="229" t="str">
        <f t="shared" si="7"/>
        <v>&lt;li class="col-md-3"&gt;&lt;a class="text-cut" href="javascript:;"(click)="categoryEvent(2084007928)"&gt;{{"2084007928" | translate}}&lt;/a&gt;&lt;/li&gt;</v>
      </c>
    </row>
    <row r="228" spans="1:8" ht="14.25" customHeight="1">
      <c r="A228" s="2">
        <v>2084005813</v>
      </c>
      <c r="B228" s="2" t="s">
        <v>16</v>
      </c>
      <c r="C228" s="2" t="s">
        <v>5396</v>
      </c>
      <c r="D228" s="2" t="s">
        <v>5398</v>
      </c>
      <c r="E228" s="3" t="str">
        <f ca="1">IFERROR(__xludf.DUMMYFUNCTION("GOOGLETRANSLATE(B228,""ja"",""vi"")"),"nếu không thì")</f>
        <v>nếu không thì</v>
      </c>
      <c r="F228" s="3" t="str">
        <f ca="1">IFERROR(__xludf.DUMMYFUNCTION("GOOGLETRANSLATE(C228,""ja"",""vi"")"),"Đấu giá&gt; ô tô, xe máy&gt; Phụ kiện&gt; Khác")</f>
        <v>Đấu giá&gt; ô tô, xe máy&gt; Phụ kiện&gt; Khác</v>
      </c>
      <c r="G228" s="229" t="str">
        <f t="shared" ca="1" si="6"/>
        <v>"2084005813" : "nếu không thì",</v>
      </c>
      <c r="H228" s="229" t="str">
        <f t="shared" si="7"/>
        <v>&lt;li class="col-md-3"&gt;&lt;a class="text-cut" href="javascript:;"(click)="categoryEvent(2084005813)"&gt;{{"2084005813" | translate}}&lt;/a&gt;&lt;/li&gt;</v>
      </c>
    </row>
    <row r="229" spans="1:8" ht="14.25" customHeight="1">
      <c r="E229" s="3"/>
      <c r="F229" s="3"/>
      <c r="G229" s="229"/>
      <c r="H229" s="229"/>
    </row>
    <row r="230" spans="1:8" ht="14.25" customHeight="1">
      <c r="A230" s="268">
        <v>2084005798</v>
      </c>
      <c r="B230" s="269"/>
      <c r="C230" s="269"/>
      <c r="D230" s="270"/>
      <c r="E230" s="3"/>
      <c r="F230" s="3"/>
      <c r="G230" s="229"/>
      <c r="H230" s="229"/>
    </row>
    <row r="231" spans="1:8" ht="14.25" customHeight="1">
      <c r="A231" s="87">
        <v>2084005814</v>
      </c>
      <c r="B231" s="2" t="s">
        <v>657</v>
      </c>
      <c r="C231" s="2" t="s">
        <v>5412</v>
      </c>
      <c r="D231" s="2" t="s">
        <v>5413</v>
      </c>
      <c r="E231" s="3" t="str">
        <f ca="1">IFERROR(__xludf.DUMMYFUNCTION("GOOGLETRANSLATE(B231,""ja"",""vi"")"),"ghế trẻ em")</f>
        <v>ghế trẻ em</v>
      </c>
      <c r="F231" s="3" t="str">
        <f ca="1">IFERROR(__xludf.DUMMYFUNCTION("GOOGLETRANSLATE(C231,""ja"",""vi"")"),"Đấu giá&gt; ô tô, xe máy&gt; An toàn&gt; ghế trẻ em")</f>
        <v>Đấu giá&gt; ô tô, xe máy&gt; An toàn&gt; ghế trẻ em</v>
      </c>
      <c r="G231" s="229" t="str">
        <f t="shared" ca="1" si="6"/>
        <v>"2084005814" : "ghế trẻ em",</v>
      </c>
      <c r="H231" s="229" t="str">
        <f t="shared" si="7"/>
        <v>&lt;li class="col-md-3"&gt;&lt;a class="text-cut" href="javascript:;"(click)="categoryEvent(2084005814)"&gt;{{"2084005814" | translate}}&lt;/a&gt;&lt;/li&gt;</v>
      </c>
    </row>
    <row r="232" spans="1:8" ht="14.25" customHeight="1">
      <c r="A232" s="87">
        <v>2084005815</v>
      </c>
      <c r="B232" s="2" t="s">
        <v>5414</v>
      </c>
      <c r="C232" s="2" t="s">
        <v>5415</v>
      </c>
      <c r="D232" s="2" t="s">
        <v>5416</v>
      </c>
      <c r="E232" s="3" t="str">
        <f ca="1">IFERROR(__xludf.DUMMYFUNCTION("GOOGLETRANSLATE(B232,""ja"",""vi"")"),"dây an toàn")</f>
        <v>dây an toàn</v>
      </c>
      <c r="F232" s="3" t="str">
        <f ca="1">IFERROR(__xludf.DUMMYFUNCTION("GOOGLETRANSLATE(C232,""ja"",""vi"")"),"Đấu giá&gt; ô tô, xe máy&gt; An toàn&gt; dây an toàn")</f>
        <v>Đấu giá&gt; ô tô, xe máy&gt; An toàn&gt; dây an toàn</v>
      </c>
      <c r="G232" s="229" t="str">
        <f t="shared" ca="1" si="6"/>
        <v>"2084005815" : "dây an toàn",</v>
      </c>
      <c r="H232" s="229" t="str">
        <f t="shared" si="7"/>
        <v>&lt;li class="col-md-3"&gt;&lt;a class="text-cut" href="javascript:;"(click)="categoryEvent(2084005815)"&gt;{{"2084005815" | translate}}&lt;/a&gt;&lt;/li&gt;</v>
      </c>
    </row>
    <row r="233" spans="1:8" ht="14.25" customHeight="1">
      <c r="A233" s="87">
        <v>2084291448</v>
      </c>
      <c r="B233" s="2" t="s">
        <v>5419</v>
      </c>
      <c r="C233" s="2" t="s">
        <v>5421</v>
      </c>
      <c r="D233" s="2" t="s">
        <v>5423</v>
      </c>
      <c r="E233" s="3" t="str">
        <f ca="1">IFERROR(__xludf.DUMMYFUNCTION("GOOGLETRANSLATE(B233,""ja"",""vi"")"),"dấu hiệu ổ đĩa")</f>
        <v>dấu hiệu ổ đĩa</v>
      </c>
      <c r="F233" s="3" t="str">
        <f ca="1">IFERROR(__xludf.DUMMYFUNCTION("GOOGLETRANSLATE(C233,""ja"",""vi"")"),"Đấu giá&gt; ô tô, xe máy&gt; An toàn&gt; dấu hiệu ổ đĩa")</f>
        <v>Đấu giá&gt; ô tô, xe máy&gt; An toàn&gt; dấu hiệu ổ đĩa</v>
      </c>
      <c r="G233" s="229" t="str">
        <f t="shared" ca="1" si="6"/>
        <v>"2084291448" : "dấu hiệu ổ đĩa",</v>
      </c>
      <c r="H233" s="229" t="str">
        <f t="shared" si="7"/>
        <v>&lt;li class="col-md-3"&gt;&lt;a class="text-cut" href="javascript:;"(click)="categoryEvent(2084291448)"&gt;{{"2084291448" | translate}}&lt;/a&gt;&lt;/li&gt;</v>
      </c>
    </row>
    <row r="234" spans="1:8" ht="14.25" customHeight="1">
      <c r="A234" s="87">
        <v>2084231726</v>
      </c>
      <c r="B234" s="2" t="s">
        <v>5333</v>
      </c>
      <c r="C234" s="2" t="s">
        <v>5429</v>
      </c>
      <c r="D234" s="2" t="s">
        <v>5430</v>
      </c>
      <c r="E234" s="3" t="str">
        <f ca="1">IFERROR(__xludf.DUMMYFUNCTION("GOOGLETRANSLATE(B234,""ja"",""vi"")"),"ổ ghi")</f>
        <v>ổ ghi</v>
      </c>
      <c r="F234" s="3" t="str">
        <f ca="1">IFERROR(__xludf.DUMMYFUNCTION("GOOGLETRANSLATE(C234,""ja"",""vi"")"),"Đấu giá&gt; ô tô, xe máy&gt; An toàn&gt; Máy ghi ổ đĩa")</f>
        <v>Đấu giá&gt; ô tô, xe máy&gt; An toàn&gt; Máy ghi ổ đĩa</v>
      </c>
      <c r="G234" s="229" t="str">
        <f t="shared" ca="1" si="6"/>
        <v>"2084231726" : "ổ ghi",</v>
      </c>
      <c r="H234" s="229" t="str">
        <f t="shared" si="7"/>
        <v>&lt;li class="col-md-3"&gt;&lt;a class="text-cut" href="javascript:;"(click)="categoryEvent(2084231726)"&gt;{{"2084231726" | translate}}&lt;/a&gt;&lt;/li&gt;</v>
      </c>
    </row>
    <row r="235" spans="1:8" ht="14.25" customHeight="1">
      <c r="A235" s="87">
        <v>2084304241</v>
      </c>
      <c r="B235" s="2" t="s">
        <v>5432</v>
      </c>
      <c r="C235" s="2" t="s">
        <v>5435</v>
      </c>
      <c r="D235" s="2" t="s">
        <v>5437</v>
      </c>
      <c r="E235" s="3" t="str">
        <f ca="1">IFERROR(__xludf.DUMMYFUNCTION("GOOGLETRANSLATE(B235,""ja"",""vi"")"),"mũ bảo hiểm")</f>
        <v>mũ bảo hiểm</v>
      </c>
      <c r="F235" s="3" t="str">
        <f ca="1">IFERROR(__xludf.DUMMYFUNCTION("GOOGLETRANSLATE(C235,""ja"",""vi"")"),"Đấu giá&gt; ô tô, xe máy&gt; An toàn&gt; mũ bảo hiểm")</f>
        <v>Đấu giá&gt; ô tô, xe máy&gt; An toàn&gt; mũ bảo hiểm</v>
      </c>
      <c r="G235" s="229" t="str">
        <f t="shared" ca="1" si="6"/>
        <v>"2084304241" : "mũ bảo hiểm",</v>
      </c>
      <c r="H235" s="229" t="str">
        <f t="shared" si="7"/>
        <v>&lt;li class="col-md-3"&gt;&lt;a class="text-cut" href="javascript:;"(click)="categoryEvent(2084304241)"&gt;{{"2084304241" | translate}}&lt;/a&gt;&lt;/li&gt;</v>
      </c>
    </row>
    <row r="236" spans="1:8" ht="14.25" customHeight="1">
      <c r="A236" s="87">
        <v>2084047108</v>
      </c>
      <c r="B236" s="2" t="s">
        <v>661</v>
      </c>
      <c r="C236" s="2" t="s">
        <v>5443</v>
      </c>
      <c r="D236" s="2" t="s">
        <v>5444</v>
      </c>
      <c r="E236" s="3" t="str">
        <f ca="1">IFERROR(__xludf.DUMMYFUNCTION("GOOGLETRANSLATE(B236,""ja"",""vi"")"),"ghế bé")</f>
        <v>ghế bé</v>
      </c>
      <c r="F236" s="3" t="str">
        <f ca="1">IFERROR(__xludf.DUMMYFUNCTION("GOOGLETRANSLATE(C236,""ja"",""vi"")"),"Đấu giá&gt; ô tô, xe máy&gt; An toàn&gt; ghế trẻ em")</f>
        <v>Đấu giá&gt; ô tô, xe máy&gt; An toàn&gt; ghế trẻ em</v>
      </c>
      <c r="G236" s="229" t="str">
        <f t="shared" ca="1" si="6"/>
        <v>"2084047108" : "ghế bé",</v>
      </c>
      <c r="H236" s="229" t="str">
        <f t="shared" si="7"/>
        <v>&lt;li class="col-md-3"&gt;&lt;a class="text-cut" href="javascript:;"(click)="categoryEvent(2084047108)"&gt;{{"2084047108" | translate}}&lt;/a&gt;&lt;/li&gt;</v>
      </c>
    </row>
    <row r="237" spans="1:8" ht="14.25" customHeight="1">
      <c r="A237" s="87">
        <v>2084012441</v>
      </c>
      <c r="B237" s="2" t="s">
        <v>4751</v>
      </c>
      <c r="C237" s="2" t="s">
        <v>5450</v>
      </c>
      <c r="D237" s="2" t="s">
        <v>5452</v>
      </c>
      <c r="E237" s="3" t="str">
        <f ca="1">IFERROR(__xludf.DUMMYFUNCTION("GOOGLETRANSLATE(B237,""ja"",""vi"")"),"Đối với xe máy")</f>
        <v>Đối với xe máy</v>
      </c>
      <c r="F237" s="3" t="str">
        <f ca="1">IFERROR(__xludf.DUMMYFUNCTION("GOOGLETRANSLATE(C237,""ja"",""vi"")"),"Đấu giá&gt; ô tô, xe máy&gt; An toàn&gt; cho xe gắn máy")</f>
        <v>Đấu giá&gt; ô tô, xe máy&gt; An toàn&gt; cho xe gắn máy</v>
      </c>
      <c r="G237" s="229" t="str">
        <f t="shared" ca="1" si="6"/>
        <v>"2084012441" : "Đối với xe máy",</v>
      </c>
      <c r="H237" s="229" t="str">
        <f t="shared" si="7"/>
        <v>&lt;li class="col-md-3"&gt;&lt;a class="text-cut" href="javascript:;"(click)="categoryEvent(2084012441)"&gt;{{"2084012441" | translate}}&lt;/a&gt;&lt;/li&gt;</v>
      </c>
    </row>
    <row r="238" spans="1:8" ht="14.25" customHeight="1">
      <c r="A238" s="87">
        <v>2084005816</v>
      </c>
      <c r="B238" s="2" t="s">
        <v>16</v>
      </c>
      <c r="C238" s="2" t="s">
        <v>5457</v>
      </c>
      <c r="D238" s="2" t="s">
        <v>5459</v>
      </c>
      <c r="E238" s="3" t="str">
        <f ca="1">IFERROR(__xludf.DUMMYFUNCTION("GOOGLETRANSLATE(B238,""ja"",""vi"")"),"nếu không thì")</f>
        <v>nếu không thì</v>
      </c>
      <c r="F238" s="3" t="str">
        <f ca="1">IFERROR(__xludf.DUMMYFUNCTION("GOOGLETRANSLATE(C238,""ja"",""vi"")"),"Đấu giá&gt; ô tô, xe máy&gt; An toàn&gt; Khác")</f>
        <v>Đấu giá&gt; ô tô, xe máy&gt; An toàn&gt; Khác</v>
      </c>
      <c r="G238" s="229" t="str">
        <f t="shared" ca="1" si="6"/>
        <v>"2084005816" : "nếu không thì",</v>
      </c>
      <c r="H238" s="229" t="str">
        <f t="shared" si="7"/>
        <v>&lt;li class="col-md-3"&gt;&lt;a class="text-cut" href="javascript:;"(click)="categoryEvent(2084005816)"&gt;{{"2084005816" | translate}}&lt;/a&gt;&lt;/li&gt;</v>
      </c>
    </row>
    <row r="239" spans="1:8" ht="14.25" customHeight="1">
      <c r="E239" s="3"/>
      <c r="F239" s="3"/>
      <c r="G239" s="229"/>
      <c r="H239" s="229"/>
    </row>
    <row r="240" spans="1:8" ht="14.25" customHeight="1">
      <c r="A240" s="253">
        <v>2084005799</v>
      </c>
      <c r="B240" s="232"/>
      <c r="C240" s="232"/>
      <c r="D240" s="233"/>
      <c r="E240" s="3"/>
      <c r="F240" s="3"/>
      <c r="G240" s="229"/>
      <c r="H240" s="229"/>
    </row>
    <row r="241" spans="1:8" ht="14.25" customHeight="1">
      <c r="A241" s="2">
        <v>2084005817</v>
      </c>
      <c r="B241" s="2" t="s">
        <v>5472</v>
      </c>
      <c r="C241" s="2" t="s">
        <v>5474</v>
      </c>
      <c r="D241" s="2" t="s">
        <v>5476</v>
      </c>
      <c r="E241" s="3" t="str">
        <f ca="1">IFERROR(__xludf.DUMMYFUNCTION("GOOGLETRANSLATE(B241,""ja"",""vi"")"),"báo động")</f>
        <v>báo động</v>
      </c>
      <c r="F241" s="3" t="str">
        <f ca="1">IFERROR(__xludf.DUMMYFUNCTION("GOOGLETRANSLATE(C241,""ja"",""vi"")"),"Đấu giá&gt; ô tô, xe máy&gt; an ninh&gt; báo động")</f>
        <v>Đấu giá&gt; ô tô, xe máy&gt; an ninh&gt; báo động</v>
      </c>
      <c r="G241" s="229" t="str">
        <f t="shared" ca="1" si="6"/>
        <v>"2084005817" : "báo động",</v>
      </c>
      <c r="H241" s="229" t="str">
        <f t="shared" si="7"/>
        <v>&lt;li class="col-md-3"&gt;&lt;a class="text-cut" href="javascript:;"(click)="categoryEvent(2084005817)"&gt;{{"2084005817" | translate}}&lt;/a&gt;&lt;/li&gt;</v>
      </c>
    </row>
    <row r="242" spans="1:8" ht="14.25" customHeight="1">
      <c r="A242" s="2">
        <v>2084291400</v>
      </c>
      <c r="B242" s="2" t="s">
        <v>5479</v>
      </c>
      <c r="C242" s="2" t="s">
        <v>5480</v>
      </c>
      <c r="D242" s="2" t="s">
        <v>5481</v>
      </c>
      <c r="E242" s="3" t="str">
        <f ca="1">IFERROR(__xludf.DUMMYFUNCTION("GOOGLETRANSLATE(B242,""ja"",""vi"")"),"keyless entry")</f>
        <v>keyless entry</v>
      </c>
      <c r="F242" s="3" t="str">
        <f ca="1">IFERROR(__xludf.DUMMYFUNCTION("GOOGLETRANSLATE(C242,""ja"",""vi"")"),"Đấu giá&gt; ô tô, xe máy&gt; an ninh&gt; keyless entry")</f>
        <v>Đấu giá&gt; ô tô, xe máy&gt; an ninh&gt; keyless entry</v>
      </c>
      <c r="G242" s="229" t="str">
        <f t="shared" ca="1" si="6"/>
        <v>"2084291400" : "keyless entry",</v>
      </c>
      <c r="H242" s="229" t="str">
        <f t="shared" si="7"/>
        <v>&lt;li class="col-md-3"&gt;&lt;a class="text-cut" href="javascript:;"(click)="categoryEvent(2084291400)"&gt;{{"2084291400" | translate}}&lt;/a&gt;&lt;/li&gt;</v>
      </c>
    </row>
    <row r="243" spans="1:8" ht="14.25" customHeight="1">
      <c r="A243" s="2">
        <v>2084290723</v>
      </c>
      <c r="B243" s="2" t="s">
        <v>5486</v>
      </c>
      <c r="C243" s="2" t="s">
        <v>5487</v>
      </c>
      <c r="D243" s="2" t="s">
        <v>5488</v>
      </c>
      <c r="E243" s="3" t="str">
        <f ca="1">IFERROR(__xludf.DUMMYFUNCTION("GOOGLETRANSLATE(B243,""ja"",""vi"")"),"khóa tay lái")</f>
        <v>khóa tay lái</v>
      </c>
      <c r="F243" s="3" t="str">
        <f ca="1">IFERROR(__xludf.DUMMYFUNCTION("GOOGLETRANSLATE(C243,""ja"",""vi"")"),"Đấu giá&gt; ô tô, xe máy&gt; an ninh&gt; Khóa tay lái")</f>
        <v>Đấu giá&gt; ô tô, xe máy&gt; an ninh&gt; Khóa tay lái</v>
      </c>
      <c r="G243" s="229" t="str">
        <f t="shared" ca="1" si="6"/>
        <v>"2084290723" : "khóa tay lái",</v>
      </c>
      <c r="H243" s="229" t="str">
        <f t="shared" si="7"/>
        <v>&lt;li class="col-md-3"&gt;&lt;a class="text-cut" href="javascript:;"(click)="categoryEvent(2084290723)"&gt;{{"2084290723" | translate}}&lt;/a&gt;&lt;/li&gt;</v>
      </c>
    </row>
    <row r="244" spans="1:8" ht="14.25" customHeight="1">
      <c r="A244" s="2">
        <v>2084291444</v>
      </c>
      <c r="B244" s="2" t="s">
        <v>329</v>
      </c>
      <c r="C244" s="2" t="s">
        <v>5490</v>
      </c>
      <c r="D244" s="2" t="s">
        <v>5492</v>
      </c>
      <c r="E244" s="3" t="str">
        <f ca="1">IFERROR(__xludf.DUMMYFUNCTION("GOOGLETRANSLATE(B244,""ja"",""vi"")"),"keo")</f>
        <v>keo</v>
      </c>
      <c r="F244" s="3" t="str">
        <f ca="1">IFERROR(__xludf.DUMMYFUNCTION("GOOGLETRANSLATE(C244,""ja"",""vi"")"),"Đấu giá&gt; ô tô, xe máy&gt; an ninh&gt; sticker")</f>
        <v>Đấu giá&gt; ô tô, xe máy&gt; an ninh&gt; sticker</v>
      </c>
      <c r="G244" s="229" t="str">
        <f t="shared" ca="1" si="6"/>
        <v>"2084291444" : "keo",</v>
      </c>
      <c r="H244" s="229" t="str">
        <f t="shared" si="7"/>
        <v>&lt;li class="col-md-3"&gt;&lt;a class="text-cut" href="javascript:;"(click)="categoryEvent(2084291444)"&gt;{{"2084291444" | translate}}&lt;/a&gt;&lt;/li&gt;</v>
      </c>
    </row>
    <row r="245" spans="1:8" ht="14.25" customHeight="1">
      <c r="A245" s="2">
        <v>2084290726</v>
      </c>
      <c r="B245" s="2" t="s">
        <v>5493</v>
      </c>
      <c r="C245" s="2" t="s">
        <v>5496</v>
      </c>
      <c r="D245" s="2" t="s">
        <v>5499</v>
      </c>
      <c r="E245" s="3" t="str">
        <f ca="1">IFERROR(__xludf.DUMMYFUNCTION("GOOGLETRANSLATE(B245,""ja"",""vi"")"),"máy quét an ninh")</f>
        <v>máy quét an ninh</v>
      </c>
      <c r="F245" s="3" t="str">
        <f ca="1">IFERROR(__xludf.DUMMYFUNCTION("GOOGLETRANSLATE(C245,""ja"",""vi"")"),"Đấu giá&gt; ô tô, xe máy&gt; an ninh&gt; máy quét an ninh")</f>
        <v>Đấu giá&gt; ô tô, xe máy&gt; an ninh&gt; máy quét an ninh</v>
      </c>
      <c r="G245" s="229" t="str">
        <f t="shared" ca="1" si="6"/>
        <v>"2084290726" : "máy quét an ninh",</v>
      </c>
      <c r="H245" s="229" t="str">
        <f t="shared" si="7"/>
        <v>&lt;li class="col-md-3"&gt;&lt;a class="text-cut" href="javascript:;"(click)="categoryEvent(2084290726)"&gt;{{"2084290726" | translate}}&lt;/a&gt;&lt;/li&gt;</v>
      </c>
    </row>
    <row r="246" spans="1:8" ht="14.25" customHeight="1">
      <c r="A246" s="2">
        <v>2084290724</v>
      </c>
      <c r="B246" s="2" t="s">
        <v>5502</v>
      </c>
      <c r="C246" s="2" t="s">
        <v>5504</v>
      </c>
      <c r="D246" s="2" t="s">
        <v>5509</v>
      </c>
      <c r="E246" s="3" t="str">
        <f ca="1">IFERROR(__xludf.DUMMYFUNCTION("GOOGLETRANSLATE(B246,""ja"",""vi"")"),"Lốp, khóa bánh xe")</f>
        <v>Lốp, khóa bánh xe</v>
      </c>
      <c r="F246" s="3" t="str">
        <f ca="1">IFERROR(__xludf.DUMMYFUNCTION("GOOGLETRANSLATE(C246,""ja"",""vi"")"),"Đấu giá&gt; ô tô, xe máy&gt; an ninh&gt; lốp, khóa bánh xe")</f>
        <v>Đấu giá&gt; ô tô, xe máy&gt; an ninh&gt; lốp, khóa bánh xe</v>
      </c>
      <c r="G246" s="229" t="str">
        <f t="shared" ca="1" si="6"/>
        <v>"2084290724" : "Lốp, khóa bánh xe",</v>
      </c>
      <c r="H246" s="229" t="str">
        <f t="shared" si="7"/>
        <v>&lt;li class="col-md-3"&gt;&lt;a class="text-cut" href="javascript:;"(click)="categoryEvent(2084290724)"&gt;{{"2084290724" | translate}}&lt;/a&gt;&lt;/li&gt;</v>
      </c>
    </row>
    <row r="247" spans="1:8" ht="14.25" customHeight="1">
      <c r="A247" s="2">
        <v>2084290725</v>
      </c>
      <c r="B247" s="2" t="s">
        <v>5511</v>
      </c>
      <c r="C247" s="2" t="s">
        <v>5513</v>
      </c>
      <c r="D247" s="2" t="s">
        <v>5516</v>
      </c>
      <c r="E247" s="3" t="str">
        <f ca="1">IFERROR(__xludf.DUMMYFUNCTION("GOOGLETRANSLATE(B247,""ja"",""vi"")"),"khóa tấm giấy phép")</f>
        <v>khóa tấm giấy phép</v>
      </c>
      <c r="F247" s="3" t="str">
        <f ca="1">IFERROR(__xludf.DUMMYFUNCTION("GOOGLETRANSLATE(C247,""ja"",""vi"")"),"Đấu giá&gt; ô tô, xe máy&gt; an ninh&gt; Khóa biển số xe")</f>
        <v>Đấu giá&gt; ô tô, xe máy&gt; an ninh&gt; Khóa biển số xe</v>
      </c>
      <c r="G247" s="229" t="str">
        <f t="shared" ca="1" si="6"/>
        <v>"2084290725" : "khóa tấm giấy phép",</v>
      </c>
      <c r="H247" s="229" t="str">
        <f t="shared" si="7"/>
        <v>&lt;li class="col-md-3"&gt;&lt;a class="text-cut" href="javascript:;"(click)="categoryEvent(2084290725)"&gt;{{"2084290725" | translate}}&lt;/a&gt;&lt;/li&gt;</v>
      </c>
    </row>
    <row r="248" spans="1:8" ht="14.25" customHeight="1">
      <c r="A248" s="2">
        <v>2084012441</v>
      </c>
      <c r="B248" s="2" t="s">
        <v>4751</v>
      </c>
      <c r="C248" s="2" t="s">
        <v>5519</v>
      </c>
      <c r="D248" s="2" t="s">
        <v>5522</v>
      </c>
      <c r="E248" s="3" t="str">
        <f ca="1">IFERROR(__xludf.DUMMYFUNCTION("GOOGLETRANSLATE(B248,""ja"",""vi"")"),"Đối với xe máy")</f>
        <v>Đối với xe máy</v>
      </c>
      <c r="F248" s="3" t="str">
        <f ca="1">IFERROR(__xludf.DUMMYFUNCTION("GOOGLETRANSLATE(C248,""ja"",""vi"")"),"Đấu giá&gt; ô tô, xe máy&gt; an ninh&gt; cho xe gắn máy")</f>
        <v>Đấu giá&gt; ô tô, xe máy&gt; an ninh&gt; cho xe gắn máy</v>
      </c>
      <c r="G248" s="229" t="str">
        <f t="shared" ca="1" si="6"/>
        <v>"2084012441" : "Đối với xe máy",</v>
      </c>
      <c r="H248" s="229" t="str">
        <f t="shared" si="7"/>
        <v>&lt;li class="col-md-3"&gt;&lt;a class="text-cut" href="javascript:;"(click)="categoryEvent(2084012441)"&gt;{{"2084012441" | translate}}&lt;/a&gt;&lt;/li&gt;</v>
      </c>
    </row>
    <row r="249" spans="1:8" ht="14.25" customHeight="1">
      <c r="A249" s="2">
        <v>2084005818</v>
      </c>
      <c r="B249" s="2" t="s">
        <v>16</v>
      </c>
      <c r="C249" s="2" t="s">
        <v>5526</v>
      </c>
      <c r="D249" s="2" t="s">
        <v>5528</v>
      </c>
      <c r="E249" s="3" t="str">
        <f ca="1">IFERROR(__xludf.DUMMYFUNCTION("GOOGLETRANSLATE(B249,""ja"",""vi"")"),"nếu không thì")</f>
        <v>nếu không thì</v>
      </c>
      <c r="F249" s="3" t="str">
        <f ca="1">IFERROR(__xludf.DUMMYFUNCTION("GOOGLETRANSLATE(C249,""ja"",""vi"")"),"Đấu giá&gt; ô tô, xe máy&gt; an ninh&gt; Khác")</f>
        <v>Đấu giá&gt; ô tô, xe máy&gt; an ninh&gt; Khác</v>
      </c>
      <c r="G249" s="229" t="str">
        <f t="shared" ca="1" si="6"/>
        <v>"2084005818" : "nếu không thì",</v>
      </c>
      <c r="H249" s="229" t="str">
        <f t="shared" si="7"/>
        <v>&lt;li class="col-md-3"&gt;&lt;a class="text-cut" href="javascript:;"(click)="categoryEvent(2084005818)"&gt;{{"2084005818" | translate}}&lt;/a&gt;&lt;/li&gt;</v>
      </c>
    </row>
    <row r="250" spans="1:8" ht="14.25" customHeight="1">
      <c r="E250" s="3"/>
      <c r="F250" s="3"/>
      <c r="G250" s="229"/>
      <c r="H250" s="229"/>
    </row>
    <row r="251" spans="1:8" ht="14.25" customHeight="1">
      <c r="A251" s="264">
        <v>26092</v>
      </c>
      <c r="B251" s="232"/>
      <c r="C251" s="232"/>
      <c r="D251" s="233"/>
      <c r="E251" s="3"/>
      <c r="F251" s="3"/>
      <c r="G251" s="229"/>
      <c r="H251" s="229"/>
    </row>
    <row r="252" spans="1:8" ht="14.25" customHeight="1">
      <c r="A252" s="2">
        <v>2084005804</v>
      </c>
      <c r="B252" s="2" t="s">
        <v>5533</v>
      </c>
      <c r="C252" s="2" t="s">
        <v>5534</v>
      </c>
      <c r="D252" s="2" t="s">
        <v>5535</v>
      </c>
      <c r="E252" s="3" t="str">
        <f ca="1">IFERROR(__xludf.DUMMYFUNCTION("GOOGLETRANSLATE(B252,""ja"",""vi"")"),"dầu")</f>
        <v>dầu</v>
      </c>
      <c r="F252" s="3" t="str">
        <f ca="1">IFERROR(__xludf.DUMMYFUNCTION("GOOGLETRANSLATE(C252,""ja"",""vi"")"),"Đấu giá&gt; ô tô, xe máy&gt; bảo dưỡng&gt; dầu")</f>
        <v>Đấu giá&gt; ô tô, xe máy&gt; bảo dưỡng&gt; dầu</v>
      </c>
      <c r="G252" s="229" t="str">
        <f t="shared" ca="1" si="6"/>
        <v>"2084005804" : "dầu",</v>
      </c>
      <c r="H252" s="229" t="str">
        <f t="shared" si="7"/>
        <v>&lt;li class="col-md-3"&gt;&lt;a class="text-cut" href="javascript:;"(click)="categoryEvent(2084005804)"&gt;{{"2084005804" | translate}}&lt;/a&gt;&lt;/li&gt;</v>
      </c>
    </row>
    <row r="253" spans="1:8" ht="14.25" customHeight="1">
      <c r="A253" s="2">
        <v>2084005801</v>
      </c>
      <c r="B253" s="2" t="s">
        <v>5538</v>
      </c>
      <c r="C253" s="2" t="s">
        <v>5539</v>
      </c>
      <c r="D253" s="2" t="s">
        <v>5540</v>
      </c>
      <c r="E253" s="3" t="str">
        <f ca="1">IFERROR(__xludf.DUMMYFUNCTION("GOOGLETRANSLATE(B253,""ja"",""vi"")"),"chỗ rửa xe")</f>
        <v>chỗ rửa xe</v>
      </c>
      <c r="F253" s="3" t="str">
        <f ca="1">IFERROR(__xludf.DUMMYFUNCTION("GOOGLETRANSLATE(C253,""ja"",""vi"")"),"Đấu giá&gt; ô tô, xe máy&gt; bảo trì&gt; rửa xe")</f>
        <v>Đấu giá&gt; ô tô, xe máy&gt; bảo trì&gt; rửa xe</v>
      </c>
      <c r="G253" s="229" t="str">
        <f t="shared" ca="1" si="6"/>
        <v>"2084005801" : "chỗ rửa xe",</v>
      </c>
      <c r="H253" s="229" t="str">
        <f t="shared" si="7"/>
        <v>&lt;li class="col-md-3"&gt;&lt;a class="text-cut" href="javascript:;"(click)="categoryEvent(2084005801)"&gt;{{"2084005801" | translate}}&lt;/a&gt;&lt;/li&gt;</v>
      </c>
    </row>
    <row r="254" spans="1:8" ht="14.25" customHeight="1">
      <c r="A254" s="2">
        <v>2084005800</v>
      </c>
      <c r="B254" s="2" t="s">
        <v>5543</v>
      </c>
      <c r="C254" s="2" t="s">
        <v>5544</v>
      </c>
      <c r="D254" s="2" t="s">
        <v>5546</v>
      </c>
      <c r="E254" s="3" t="str">
        <f ca="1">IFERROR(__xludf.DUMMYFUNCTION("GOOGLETRANSLATE(B254,""ja"",""vi"")"),"ắc quy")</f>
        <v>ắc quy</v>
      </c>
      <c r="F254" s="3" t="str">
        <f ca="1">IFERROR(__xludf.DUMMYFUNCTION("GOOGLETRANSLATE(C254,""ja"",""vi"")"),"Đấu giá&gt; ô tô, xe máy&gt; bảo trì&gt; pin")</f>
        <v>Đấu giá&gt; ô tô, xe máy&gt; bảo trì&gt; pin</v>
      </c>
      <c r="G254" s="229" t="str">
        <f t="shared" ca="1" si="6"/>
        <v>"2084005800" : "ắc quy",</v>
      </c>
      <c r="H254" s="229" t="str">
        <f t="shared" si="7"/>
        <v>&lt;li class="col-md-3"&gt;&lt;a class="text-cut" href="javascript:;"(click)="categoryEvent(2084005800)"&gt;{{"2084005800" | translate}}&lt;/a&gt;&lt;/li&gt;</v>
      </c>
    </row>
    <row r="255" spans="1:8" ht="14.25" customHeight="1">
      <c r="A255" s="2">
        <v>2084005802</v>
      </c>
      <c r="B255" s="2" t="s">
        <v>4850</v>
      </c>
      <c r="C255" s="2" t="s">
        <v>5548</v>
      </c>
      <c r="D255" s="2" t="s">
        <v>5549</v>
      </c>
      <c r="E255" s="3" t="str">
        <f ca="1">IFERROR(__xludf.DUMMYFUNCTION("GOOGLETRANSLATE(B255,""ja"",""vi"")"),"Lọc")</f>
        <v>Lọc</v>
      </c>
      <c r="F255" s="3" t="str">
        <f ca="1">IFERROR(__xludf.DUMMYFUNCTION("GOOGLETRANSLATE(C255,""ja"",""vi"")"),"Đấu giá&gt; ô tô, xe máy&gt; bảo trì&gt; lọc")</f>
        <v>Đấu giá&gt; ô tô, xe máy&gt; bảo trì&gt; lọc</v>
      </c>
      <c r="G255" s="229" t="str">
        <f t="shared" ca="1" si="6"/>
        <v>"2084005802" : "Lọc",</v>
      </c>
      <c r="H255" s="229" t="str">
        <f t="shared" si="7"/>
        <v>&lt;li class="col-md-3"&gt;&lt;a class="text-cut" href="javascript:;"(click)="categoryEvent(2084005802)"&gt;{{"2084005802" | translate}}&lt;/a&gt;&lt;/li&gt;</v>
      </c>
    </row>
    <row r="256" spans="1:8" ht="14.25" customHeight="1">
      <c r="A256" s="2">
        <v>2084005803</v>
      </c>
      <c r="B256" s="2" t="s">
        <v>5553</v>
      </c>
      <c r="C256" s="2" t="s">
        <v>5554</v>
      </c>
      <c r="D256" s="2" t="s">
        <v>5555</v>
      </c>
      <c r="E256" s="3" t="str">
        <f ca="1">IFERROR(__xludf.DUMMYFUNCTION("GOOGLETRANSLATE(B256,""ja"",""vi"")"),"chất lỏng máy giặt")</f>
        <v>chất lỏng máy giặt</v>
      </c>
      <c r="F256" s="3" t="str">
        <f ca="1">IFERROR(__xludf.DUMMYFUNCTION("GOOGLETRANSLATE(C256,""ja"",""vi"")"),"Đấu giá&gt; ô tô, xe máy&gt; bảo trì&gt; chất lỏng máy giặt")</f>
        <v>Đấu giá&gt; ô tô, xe máy&gt; bảo trì&gt; chất lỏng máy giặt</v>
      </c>
      <c r="G256" s="229" t="str">
        <f t="shared" ca="1" si="6"/>
        <v>"2084005803" : "chất lỏng máy giặt",</v>
      </c>
      <c r="H256" s="229" t="str">
        <f t="shared" si="7"/>
        <v>&lt;li class="col-md-3"&gt;&lt;a class="text-cut" href="javascript:;"(click)="categoryEvent(2084005803)"&gt;{{"2084005803" | translate}}&lt;/a&gt;&lt;/li&gt;</v>
      </c>
    </row>
    <row r="257" spans="1:8" ht="14.25" customHeight="1">
      <c r="A257" s="2">
        <v>2084008496</v>
      </c>
      <c r="B257" s="2" t="s">
        <v>5558</v>
      </c>
      <c r="C257" s="2" t="s">
        <v>5561</v>
      </c>
      <c r="D257" s="2" t="s">
        <v>5562</v>
      </c>
      <c r="E257" s="3" t="str">
        <f ca="1">IFERROR(__xludf.DUMMYFUNCTION("GOOGLETRANSLATE(B257,""ja"",""vi"")"),"van")</f>
        <v>van</v>
      </c>
      <c r="F257" s="3" t="str">
        <f ca="1">IFERROR(__xludf.DUMMYFUNCTION("GOOGLETRANSLATE(C257,""ja"",""vi"")"),"Đấu giá&gt; ô tô, xe máy&gt; bảo trì&gt; van")</f>
        <v>Đấu giá&gt; ô tô, xe máy&gt; bảo trì&gt; van</v>
      </c>
      <c r="G257" s="229" t="str">
        <f t="shared" ca="1" si="6"/>
        <v>"2084008496" : "van",</v>
      </c>
      <c r="H257" s="229" t="str">
        <f t="shared" si="7"/>
        <v>&lt;li class="col-md-3"&gt;&lt;a class="text-cut" href="javascript:;"(click)="categoryEvent(2084008496)"&gt;{{"2084008496" | translate}}&lt;/a&gt;&lt;/li&gt;</v>
      </c>
    </row>
    <row r="258" spans="1:8" ht="14.25" customHeight="1">
      <c r="A258" s="2">
        <v>2084008424</v>
      </c>
      <c r="B258" s="2" t="s">
        <v>5568</v>
      </c>
      <c r="C258" s="2" t="s">
        <v>5569</v>
      </c>
      <c r="D258" s="2" t="s">
        <v>5570</v>
      </c>
      <c r="E258" s="3" t="str">
        <f ca="1">IFERROR(__xludf.DUMMYFUNCTION("GOOGLETRANSLATE(B258,""ja"",""vi"")"),"cần gạt nước")</f>
        <v>cần gạt nước</v>
      </c>
      <c r="F258" s="3" t="str">
        <f ca="1">IFERROR(__xludf.DUMMYFUNCTION("GOOGLETRANSLATE(C258,""ja"",""vi"")"),"Đấu giá&gt; ô tô, xe máy&gt; bảo trì&gt; gạt nước")</f>
        <v>Đấu giá&gt; ô tô, xe máy&gt; bảo trì&gt; gạt nước</v>
      </c>
      <c r="G258" s="229" t="str">
        <f t="shared" ca="1" si="6"/>
        <v>"2084008424" : "cần gạt nước",</v>
      </c>
      <c r="H258" s="229" t="str">
        <f t="shared" si="7"/>
        <v>&lt;li class="col-md-3"&gt;&lt;a class="text-cut" href="javascript:;"(click)="categoryEvent(2084008424)"&gt;{{"2084008424" | translate}}&lt;/a&gt;&lt;/li&gt;</v>
      </c>
    </row>
    <row r="259" spans="1:8" ht="14.25" customHeight="1">
      <c r="A259" s="2">
        <v>24650</v>
      </c>
      <c r="B259" s="2" t="s">
        <v>3998</v>
      </c>
      <c r="C259" s="2" t="s">
        <v>5574</v>
      </c>
      <c r="D259" s="2" t="s">
        <v>5576</v>
      </c>
      <c r="E259" s="3" t="str">
        <f ca="1">IFERROR(__xludf.DUMMYFUNCTION("GOOGLETRANSLATE(B259,""ja"",""vi"")"),"dụng cụ")</f>
        <v>dụng cụ</v>
      </c>
      <c r="F259" s="3" t="str">
        <f ca="1">IFERROR(__xludf.DUMMYFUNCTION("GOOGLETRANSLATE(C259,""ja"",""vi"")"),"Đấu giá&gt; ô tô, xe máy&gt; bảo trì&gt; Công cụ")</f>
        <v>Đấu giá&gt; ô tô, xe máy&gt; bảo trì&gt; Công cụ</v>
      </c>
      <c r="G259" s="229" t="str">
        <f t="shared" ref="G259:G322" ca="1" si="8">CONCATENATE(CHAR(34)&amp;"",A259,""&amp;CHAR(34)," : ", CHAR(34)&amp;"",E259,""&amp;CHAR(34),",")</f>
        <v>"24650" : "dụng cụ",</v>
      </c>
      <c r="H259" s="229" t="str">
        <f t="shared" ref="H259:H322" si="9">CONCATENATE("&lt;li class=",CHAR(34)&amp;"","col-md-3",""&amp;CHAR(34),"&gt;","&lt;a class=",CHAR(34)&amp;"","text-cut",""&amp;CHAR(34)," href=",CHAR(34)&amp;"","javascript:;",""&amp;CHAR(34), "(click)=",CHAR(34)&amp;"","categoryEvent(",A259,")",""&amp;CHAR(34),"&gt;{{",CHAR(34)&amp;"",A259,""&amp;CHAR(34)," | translate}}&lt;/a&gt;&lt;/li&gt;")</f>
        <v>&lt;li class="col-md-3"&gt;&lt;a class="text-cut" href="javascript:;"(click)="categoryEvent(24650)"&gt;{{"24650" | translate}}&lt;/a&gt;&lt;/li&gt;</v>
      </c>
    </row>
    <row r="260" spans="1:8" ht="14.25" customHeight="1">
      <c r="A260" s="2">
        <v>2084049690</v>
      </c>
      <c r="B260" s="2" t="s">
        <v>2834</v>
      </c>
      <c r="C260" s="2" t="s">
        <v>5581</v>
      </c>
      <c r="D260" s="2" t="s">
        <v>5584</v>
      </c>
      <c r="E260" s="3" t="str">
        <f ca="1">IFERROR(__xludf.DUMMYFUNCTION("GOOGLETRANSLATE(B260,""ja"",""vi"")"),"sơn")</f>
        <v>sơn</v>
      </c>
      <c r="F260" s="3" t="str">
        <f ca="1">IFERROR(__xludf.DUMMYFUNCTION("GOOGLETRANSLATE(C260,""ja"",""vi"")"),"Đấu giá&gt; Ô tô, ô tô-xe đạp&gt; Maintenance&gt; sơn")</f>
        <v>Đấu giá&gt; Ô tô, ô tô-xe đạp&gt; Maintenance&gt; sơn</v>
      </c>
      <c r="G260" s="229" t="str">
        <f t="shared" ca="1" si="8"/>
        <v>"2084049690" : "sơn",</v>
      </c>
      <c r="H260" s="229" t="str">
        <f t="shared" si="9"/>
        <v>&lt;li class="col-md-3"&gt;&lt;a class="text-cut" href="javascript:;"(click)="categoryEvent(2084049690)"&gt;{{"2084049690" | translate}}&lt;/a&gt;&lt;/li&gt;</v>
      </c>
    </row>
    <row r="261" spans="1:8" ht="14.25" customHeight="1">
      <c r="A261" s="2">
        <v>2084007926</v>
      </c>
      <c r="B261" s="2" t="s">
        <v>2409</v>
      </c>
      <c r="C261" s="2" t="s">
        <v>5590</v>
      </c>
      <c r="D261" s="2" t="s">
        <v>5591</v>
      </c>
      <c r="E261" s="3" t="str">
        <f ca="1">IFERROR(__xludf.DUMMYFUNCTION("GOOGLETRANSLATE(B261,""ja"",""vi"")"),"Nước hoa, khử mùi")</f>
        <v>Nước hoa, khử mùi</v>
      </c>
      <c r="F261" s="3" t="str">
        <f ca="1">IFERROR(__xludf.DUMMYFUNCTION("GOOGLETRANSLATE(C261,""ja"",""vi"")"),"Đấu giá&gt; ô tô, xe máy&gt; bảo trì&gt; nước hoa, chất khử mùi")</f>
        <v>Đấu giá&gt; ô tô, xe máy&gt; bảo trì&gt; nước hoa, chất khử mùi</v>
      </c>
      <c r="G261" s="229" t="str">
        <f t="shared" ca="1" si="8"/>
        <v>"2084007926" : "Nước hoa, khử mùi",</v>
      </c>
      <c r="H261" s="229" t="str">
        <f t="shared" si="9"/>
        <v>&lt;li class="col-md-3"&gt;&lt;a class="text-cut" href="javascript:;"(click)="categoryEvent(2084007926)"&gt;{{"2084007926" | translate}}&lt;/a&gt;&lt;/li&gt;</v>
      </c>
    </row>
    <row r="262" spans="1:8" ht="14.25" customHeight="1">
      <c r="A262" s="2">
        <v>2084005805</v>
      </c>
      <c r="B262" s="2" t="s">
        <v>16</v>
      </c>
      <c r="C262" s="2" t="s">
        <v>5596</v>
      </c>
      <c r="D262" s="2" t="s">
        <v>5598</v>
      </c>
      <c r="E262" s="3" t="str">
        <f ca="1">IFERROR(__xludf.DUMMYFUNCTION("GOOGLETRANSLATE(B262,""ja"",""vi"")"),"nếu không thì")</f>
        <v>nếu không thì</v>
      </c>
      <c r="F262" s="3" t="str">
        <f ca="1">IFERROR(__xludf.DUMMYFUNCTION("GOOGLETRANSLATE(C262,""ja"",""vi"")"),"Đấu giá&gt; ô tô, xe máy&gt; bảo trì&gt; Khác")</f>
        <v>Đấu giá&gt; ô tô, xe máy&gt; bảo trì&gt; Khác</v>
      </c>
      <c r="G262" s="229" t="str">
        <f t="shared" ca="1" si="8"/>
        <v>"2084005805" : "nếu không thì",</v>
      </c>
      <c r="H262" s="229" t="str">
        <f t="shared" si="9"/>
        <v>&lt;li class="col-md-3"&gt;&lt;a class="text-cut" href="javascript:;"(click)="categoryEvent(2084005805)"&gt;{{"2084005805" | translate}}&lt;/a&gt;&lt;/li&gt;</v>
      </c>
    </row>
    <row r="263" spans="1:8" ht="14.25" customHeight="1">
      <c r="E263" s="3"/>
      <c r="F263" s="3"/>
      <c r="G263" s="229"/>
      <c r="H263" s="229"/>
    </row>
    <row r="264" spans="1:8" ht="14.25" customHeight="1">
      <c r="A264" s="254">
        <v>26362</v>
      </c>
      <c r="B264" s="232"/>
      <c r="C264" s="232"/>
      <c r="D264" s="233"/>
      <c r="E264" s="3"/>
      <c r="F264" s="3"/>
      <c r="G264" s="229"/>
      <c r="H264" s="229"/>
    </row>
    <row r="265" spans="1:8" ht="14.25" customHeight="1">
      <c r="A265" s="2">
        <v>26368</v>
      </c>
      <c r="B265" s="2" t="s">
        <v>5609</v>
      </c>
      <c r="C265" s="2" t="s">
        <v>5612</v>
      </c>
      <c r="D265" s="2" t="s">
        <v>5615</v>
      </c>
      <c r="E265" s="3" t="str">
        <f ca="1">IFERROR(__xludf.DUMMYFUNCTION("GOOGLETRANSLATE(B265,""ja"",""vi"")"),"cơ thể")</f>
        <v>cơ thể</v>
      </c>
      <c r="F265" s="3" t="str">
        <f ca="1">IFERROR(__xludf.DUMMYFUNCTION("GOOGLETRANSLATE(C265,""ja"",""vi"")"),"Đấu giá&gt; ô tô, xe máy&gt; xe tải, bãi, máy móc xây dựng&gt; thân xe")</f>
        <v>Đấu giá&gt; ô tô, xe máy&gt; xe tải, bãi, máy móc xây dựng&gt; thân xe</v>
      </c>
      <c r="G265" s="229" t="str">
        <f t="shared" ca="1" si="8"/>
        <v>"26368" : "cơ thể",</v>
      </c>
      <c r="H265" s="229" t="str">
        <f t="shared" si="9"/>
        <v>&lt;li class="col-md-3"&gt;&lt;a class="text-cut" href="javascript:;"(click)="categoryEvent(26368)"&gt;{{"26368" | translate}}&lt;/a&gt;&lt;/li&gt;</v>
      </c>
    </row>
    <row r="266" spans="1:8" ht="14.25" customHeight="1">
      <c r="A266" s="2">
        <v>26366</v>
      </c>
      <c r="B266" s="2" t="s">
        <v>3876</v>
      </c>
      <c r="C266" s="2" t="s">
        <v>5620</v>
      </c>
      <c r="D266" s="2" t="s">
        <v>5621</v>
      </c>
      <c r="E266" s="3" t="str">
        <f ca="1">IFERROR(__xludf.DUMMYFUNCTION("GOOGLETRANSLATE(B266,""ja"",""vi"")"),"bộ phận")</f>
        <v>bộ phận</v>
      </c>
      <c r="F266" s="3" t="str">
        <f ca="1">IFERROR(__xludf.DUMMYFUNCTION("GOOGLETRANSLATE(C266,""ja"",""vi"")"),"Đấu giá&gt; ô tô, xe máy&gt; xe tải, bãi, máy móc xây dựng&gt; phụ tùng")</f>
        <v>Đấu giá&gt; ô tô, xe máy&gt; xe tải, bãi, máy móc xây dựng&gt; phụ tùng</v>
      </c>
      <c r="G266" s="229" t="str">
        <f t="shared" ca="1" si="8"/>
        <v>"26366" : "bộ phận",</v>
      </c>
      <c r="H266" s="229" t="str">
        <f t="shared" si="9"/>
        <v>&lt;li class="col-md-3"&gt;&lt;a class="text-cut" href="javascript:;"(click)="categoryEvent(26366)"&gt;{{"26366" | translate}}&lt;/a&gt;&lt;/li&gt;</v>
      </c>
    </row>
    <row r="267" spans="1:8" ht="14.25" customHeight="1">
      <c r="A267" s="2">
        <v>2084241183</v>
      </c>
      <c r="B267" s="2" t="s">
        <v>2182</v>
      </c>
      <c r="C267" s="2" t="s">
        <v>5627</v>
      </c>
      <c r="D267" s="2" t="s">
        <v>5629</v>
      </c>
      <c r="E267" s="3" t="str">
        <f ca="1">IFERROR(__xludf.DUMMYFUNCTION("GOOGLETRANSLATE(B267,""ja"",""vi"")"),"phụ kiện")</f>
        <v>phụ kiện</v>
      </c>
      <c r="F267" s="3" t="str">
        <f ca="1">IFERROR(__xludf.DUMMYFUNCTION("GOOGLETRANSLATE(C267,""ja"",""vi"")"),"Đấu giá&gt; ô tô, xe máy&gt; xe tải, bãi, máy móc xây dựng&gt; Accessories")</f>
        <v>Đấu giá&gt; ô tô, xe máy&gt; xe tải, bãi, máy móc xây dựng&gt; Accessories</v>
      </c>
      <c r="G267" s="229" t="str">
        <f t="shared" ca="1" si="8"/>
        <v>"2084241183" : "phụ kiện",</v>
      </c>
      <c r="H267" s="229" t="str">
        <f t="shared" si="9"/>
        <v>&lt;li class="col-md-3"&gt;&lt;a class="text-cut" href="javascript:;"(click)="categoryEvent(2084241183)"&gt;{{"2084241183" | translate}}&lt;/a&gt;&lt;/li&gt;</v>
      </c>
    </row>
    <row r="268" spans="1:8" ht="14.25" customHeight="1">
      <c r="A268" s="2">
        <v>2084291763</v>
      </c>
      <c r="B268" s="2" t="s">
        <v>3941</v>
      </c>
      <c r="C268" s="2" t="s">
        <v>5635</v>
      </c>
      <c r="D268" s="2" t="s">
        <v>5637</v>
      </c>
      <c r="E268" s="3" t="str">
        <f ca="1">IFERROR(__xludf.DUMMYFUNCTION("GOOGLETRANSLATE(B268,""ja"",""vi"")"),"bảo trì")</f>
        <v>bảo trì</v>
      </c>
      <c r="F268" s="3" t="str">
        <f ca="1">IFERROR(__xludf.DUMMYFUNCTION("GOOGLETRANSLATE(C268,""ja"",""vi"")"),"Đấu giá&gt; ô tô, xe máy&gt; xe tải, bãi, máy móc xây dựng&gt; bảo trì")</f>
        <v>Đấu giá&gt; ô tô, xe máy&gt; xe tải, bãi, máy móc xây dựng&gt; bảo trì</v>
      </c>
      <c r="G268" s="229" t="str">
        <f t="shared" ca="1" si="8"/>
        <v>"2084291763" : "bảo trì",</v>
      </c>
      <c r="H268" s="229" t="str">
        <f t="shared" si="9"/>
        <v>&lt;li class="col-md-3"&gt;&lt;a class="text-cut" href="javascript:;"(click)="categoryEvent(2084291763)"&gt;{{"2084291763" | translate}}&lt;/a&gt;&lt;/li&gt;</v>
      </c>
    </row>
    <row r="269" spans="1:8" ht="14.25" customHeight="1">
      <c r="A269" s="2">
        <v>26364</v>
      </c>
      <c r="B269" s="2" t="s">
        <v>4012</v>
      </c>
      <c r="C269" s="2" t="s">
        <v>5643</v>
      </c>
      <c r="D269" s="2" t="s">
        <v>5644</v>
      </c>
      <c r="E269" s="3" t="str">
        <f ca="1">IFERROR(__xludf.DUMMYFUNCTION("GOOGLETRANSLATE(B269,""ja"",""vi"")"),"Catalogue, danh sách phần, cuốn sách dịch vụ")</f>
        <v>Catalogue, danh sách phần, cuốn sách dịch vụ</v>
      </c>
      <c r="F269" s="3" t="str">
        <f ca="1">IFERROR(__xludf.DUMMYFUNCTION("GOOGLETRANSLATE(C269,""ja"",""vi"")"),"Đấu giá&gt; ô tô, xe máy&gt; xe tải, bãi, máy móc xây dựng&gt; Catalogue, danh sách phần, cuốn sách dịch vụ")</f>
        <v>Đấu giá&gt; ô tô, xe máy&gt; xe tải, bãi, máy móc xây dựng&gt; Catalogue, danh sách phần, cuốn sách dịch vụ</v>
      </c>
      <c r="G269" s="229" t="str">
        <f t="shared" ca="1" si="8"/>
        <v>"26364" : "Catalogue, danh sách phần, cuốn sách dịch vụ",</v>
      </c>
      <c r="H269" s="229" t="str">
        <f t="shared" si="9"/>
        <v>&lt;li class="col-md-3"&gt;&lt;a class="text-cut" href="javascript:;"(click)="categoryEvent(26364)"&gt;{{"26364" | translate}}&lt;/a&gt;&lt;/li&gt;</v>
      </c>
    </row>
    <row r="270" spans="1:8" ht="14.25" customHeight="1">
      <c r="A270" s="2">
        <v>2084008323</v>
      </c>
      <c r="B270" s="2" t="s">
        <v>16</v>
      </c>
      <c r="C270" s="2" t="s">
        <v>5649</v>
      </c>
      <c r="D270" s="2" t="s">
        <v>5650</v>
      </c>
      <c r="E270" s="3" t="str">
        <f ca="1">IFERROR(__xludf.DUMMYFUNCTION("GOOGLETRANSLATE(B270,""ja"",""vi"")"),"nếu không thì")</f>
        <v>nếu không thì</v>
      </c>
      <c r="F270" s="3" t="str">
        <f ca="1">IFERROR(__xludf.DUMMYFUNCTION("GOOGLETRANSLATE(C270,""ja"",""vi"")"),"Đấu giá&gt; ô tô, xe máy&gt; xe tải, bãi, máy móc xây dựng&gt; Khác")</f>
        <v>Đấu giá&gt; ô tô, xe máy&gt; xe tải, bãi, máy móc xây dựng&gt; Khác</v>
      </c>
      <c r="G270" s="229" t="str">
        <f t="shared" ca="1" si="8"/>
        <v>"2084008323" : "nếu không thì",</v>
      </c>
      <c r="H270" s="229" t="str">
        <f t="shared" si="9"/>
        <v>&lt;li class="col-md-3"&gt;&lt;a class="text-cut" href="javascript:;"(click)="categoryEvent(2084008323)"&gt;{{"2084008323" | translate}}&lt;/a&gt;&lt;/li&gt;</v>
      </c>
    </row>
    <row r="271" spans="1:8" ht="14.25" customHeight="1">
      <c r="E271" s="3"/>
      <c r="F271" s="3"/>
      <c r="G271" s="229"/>
      <c r="H271" s="229"/>
    </row>
    <row r="272" spans="1:8" ht="14.25" customHeight="1">
      <c r="A272" s="249">
        <v>2084008324</v>
      </c>
      <c r="B272" s="232"/>
      <c r="C272" s="232"/>
      <c r="D272" s="233"/>
      <c r="E272" s="3"/>
      <c r="F272" s="3"/>
      <c r="G272" s="229"/>
      <c r="H272" s="229"/>
    </row>
    <row r="273" spans="1:8" ht="14.25" customHeight="1">
      <c r="A273" s="2">
        <v>2084008325</v>
      </c>
      <c r="B273" s="2" t="s">
        <v>5609</v>
      </c>
      <c r="C273" s="2" t="s">
        <v>5657</v>
      </c>
      <c r="D273" s="2" t="s">
        <v>5658</v>
      </c>
      <c r="E273" s="3" t="str">
        <f ca="1">IFERROR(__xludf.DUMMYFUNCTION("GOOGLETRANSLATE(B273,""ja"",""vi"")"),"cơ thể")</f>
        <v>cơ thể</v>
      </c>
      <c r="F273" s="3" t="str">
        <f ca="1">IFERROR(__xludf.DUMMYFUNCTION("GOOGLETRANSLATE(C273,""ja"",""vi"")"),"Đấu giá&gt; ô tô, xe máy&gt; xe buýt&gt; cơ thể")</f>
        <v>Đấu giá&gt; ô tô, xe máy&gt; xe buýt&gt; cơ thể</v>
      </c>
      <c r="G273" s="229" t="str">
        <f t="shared" ca="1" si="8"/>
        <v>"2084008325" : "cơ thể",</v>
      </c>
      <c r="H273" s="229" t="str">
        <f t="shared" si="9"/>
        <v>&lt;li class="col-md-3"&gt;&lt;a class="text-cut" href="javascript:;"(click)="categoryEvent(2084008325)"&gt;{{"2084008325" | translate}}&lt;/a&gt;&lt;/li&gt;</v>
      </c>
    </row>
    <row r="274" spans="1:8" ht="14.25" customHeight="1">
      <c r="A274" s="2">
        <v>2084008328</v>
      </c>
      <c r="B274" s="2" t="s">
        <v>5659</v>
      </c>
      <c r="C274" s="2" t="s">
        <v>5661</v>
      </c>
      <c r="D274" s="2" t="s">
        <v>5663</v>
      </c>
      <c r="E274" s="3" t="str">
        <f ca="1">IFERROR(__xludf.DUMMYFUNCTION("GOOGLETRANSLATE(B274,""ja"",""vi"")"),"Xử lý chất thải, hàng xả")</f>
        <v>Xử lý chất thải, hàng xả</v>
      </c>
      <c r="F274" s="3" t="str">
        <f ca="1">IFERROR(__xludf.DUMMYFUNCTION("GOOGLETRANSLATE(C274,""ja"",""vi"")"),"Đấu giá&gt; ô tô, xe máy&gt; xe buýt&gt; Bài viết vô dụng, hàng xả")</f>
        <v>Đấu giá&gt; ô tô, xe máy&gt; xe buýt&gt; Bài viết vô dụng, hàng xả</v>
      </c>
      <c r="G274" s="229" t="str">
        <f t="shared" ca="1" si="8"/>
        <v>"2084008328" : "Xử lý chất thải, hàng xả",</v>
      </c>
      <c r="H274" s="229" t="str">
        <f t="shared" si="9"/>
        <v>&lt;li class="col-md-3"&gt;&lt;a class="text-cut" href="javascript:;"(click)="categoryEvent(2084008328)"&gt;{{"2084008328" | translate}}&lt;/a&gt;&lt;/li&gt;</v>
      </c>
    </row>
    <row r="275" spans="1:8" ht="14.25" customHeight="1">
      <c r="A275" s="2">
        <v>2084008326</v>
      </c>
      <c r="B275" s="2" t="s">
        <v>5664</v>
      </c>
      <c r="C275" s="2" t="s">
        <v>5665</v>
      </c>
      <c r="D275" s="2" t="s">
        <v>5666</v>
      </c>
      <c r="E275" s="3" t="str">
        <f ca="1">IFERROR(__xludf.DUMMYFUNCTION("GOOGLETRANSLATE(B275,""ja"",""vi"")"),"Catalogue, brochure")</f>
        <v>Catalogue, brochure</v>
      </c>
      <c r="F275" s="3" t="str">
        <f ca="1">IFERROR(__xludf.DUMMYFUNCTION("GOOGLETRANSLATE(C275,""ja"",""vi"")"),"Đấu giá&gt; ô tô, xe máy&gt; xe buýt&gt; Catalogue, brochure")</f>
        <v>Đấu giá&gt; ô tô, xe máy&gt; xe buýt&gt; Catalogue, brochure</v>
      </c>
      <c r="G275" s="229" t="str">
        <f t="shared" ca="1" si="8"/>
        <v>"2084008326" : "Catalogue, brochure",</v>
      </c>
      <c r="H275" s="229" t="str">
        <f t="shared" si="9"/>
        <v>&lt;li class="col-md-3"&gt;&lt;a class="text-cut" href="javascript:;"(click)="categoryEvent(2084008326)"&gt;{{"2084008326" | translate}}&lt;/a&gt;&lt;/li&gt;</v>
      </c>
    </row>
    <row r="276" spans="1:8" ht="14.25" customHeight="1">
      <c r="A276" s="2">
        <v>2084008327</v>
      </c>
      <c r="B276" s="2" t="s">
        <v>5667</v>
      </c>
      <c r="C276" s="2" t="s">
        <v>5668</v>
      </c>
      <c r="D276" s="2" t="s">
        <v>5669</v>
      </c>
      <c r="E276" s="3" t="str">
        <f ca="1">IFERROR(__xludf.DUMMYFUNCTION("GOOGLETRANSLATE(B276,""ja"",""vi"")"),"vé hành khách")</f>
        <v>vé hành khách</v>
      </c>
      <c r="F276" s="3" t="str">
        <f ca="1">IFERROR(__xludf.DUMMYFUNCTION("GOOGLETRANSLATE(C276,""ja"",""vi"")"),"Đấu giá&gt; ô tô, xe máy&gt; xe buýt&gt; vé")</f>
        <v>Đấu giá&gt; ô tô, xe máy&gt; xe buýt&gt; vé</v>
      </c>
      <c r="G276" s="229" t="str">
        <f t="shared" ca="1" si="8"/>
        <v>"2084008327" : "vé hành khách",</v>
      </c>
      <c r="H276" s="229" t="str">
        <f t="shared" si="9"/>
        <v>&lt;li class="col-md-3"&gt;&lt;a class="text-cut" href="javascript:;"(click)="categoryEvent(2084008327)"&gt;{{"2084008327" | translate}}&lt;/a&gt;&lt;/li&gt;</v>
      </c>
    </row>
    <row r="277" spans="1:8" ht="14.25" customHeight="1">
      <c r="A277" s="2">
        <v>2084007698</v>
      </c>
      <c r="B277" s="2" t="s">
        <v>1614</v>
      </c>
      <c r="C277" s="2" t="s">
        <v>5670</v>
      </c>
      <c r="D277" s="2" t="s">
        <v>5672</v>
      </c>
      <c r="E277" s="3" t="str">
        <f ca="1">IFERROR(__xludf.DUMMYFUNCTION("GOOGLETRANSLATE(B277,""ja"",""vi"")"),"thẻ xe buýt")</f>
        <v>thẻ xe buýt</v>
      </c>
      <c r="F277" s="3" t="str">
        <f ca="1">IFERROR(__xludf.DUMMYFUNCTION("GOOGLETRANSLATE(C277,""ja"",""vi"")"),"Đấu giá&gt; ô tô, xe máy&gt; xe buýt&gt; thẻ xe buýt")</f>
        <v>Đấu giá&gt; ô tô, xe máy&gt; xe buýt&gt; thẻ xe buýt</v>
      </c>
      <c r="G277" s="229" t="str">
        <f t="shared" ca="1" si="8"/>
        <v>"2084007698" : "thẻ xe buýt",</v>
      </c>
      <c r="H277" s="229" t="str">
        <f t="shared" si="9"/>
        <v>&lt;li class="col-md-3"&gt;&lt;a class="text-cut" href="javascript:;"(click)="categoryEvent(2084007698)"&gt;{{"2084007698" | translate}}&lt;/a&gt;&lt;/li&gt;</v>
      </c>
    </row>
    <row r="278" spans="1:8" ht="14.25" customHeight="1">
      <c r="A278" s="2">
        <v>2084008329</v>
      </c>
      <c r="B278" s="2" t="s">
        <v>16</v>
      </c>
      <c r="C278" s="2" t="s">
        <v>5675</v>
      </c>
      <c r="D278" s="2" t="s">
        <v>5677</v>
      </c>
      <c r="E278" s="3" t="str">
        <f ca="1">IFERROR(__xludf.DUMMYFUNCTION("GOOGLETRANSLATE(B278,""ja"",""vi"")"),"nếu không thì")</f>
        <v>nếu không thì</v>
      </c>
      <c r="F278" s="3" t="str">
        <f ca="1">IFERROR(__xludf.DUMMYFUNCTION("GOOGLETRANSLATE(C278,""ja"",""vi"")"),"Đấu giá&gt; ô tô, xe máy&gt; xe buýt&gt; Khác")</f>
        <v>Đấu giá&gt; ô tô, xe máy&gt; xe buýt&gt; Khác</v>
      </c>
      <c r="G278" s="229" t="str">
        <f t="shared" ca="1" si="8"/>
        <v>"2084008329" : "nếu không thì",</v>
      </c>
      <c r="H278" s="229" t="str">
        <f t="shared" si="9"/>
        <v>&lt;li class="col-md-3"&gt;&lt;a class="text-cut" href="javascript:;"(click)="categoryEvent(2084008329)"&gt;{{"2084008329" | translate}}&lt;/a&gt;&lt;/li&gt;</v>
      </c>
    </row>
    <row r="279" spans="1:8" ht="14.25" customHeight="1">
      <c r="E279" s="3"/>
      <c r="F279" s="3"/>
      <c r="G279" s="229"/>
      <c r="H279" s="229"/>
    </row>
    <row r="280" spans="1:8" ht="14.25" customHeight="1">
      <c r="A280" s="251">
        <v>2084061280</v>
      </c>
      <c r="B280" s="232"/>
      <c r="C280" s="232"/>
      <c r="D280" s="233"/>
      <c r="E280" s="3"/>
      <c r="F280" s="3"/>
      <c r="G280" s="229"/>
      <c r="H280" s="229"/>
    </row>
    <row r="281" spans="1:8" ht="14.25" customHeight="1">
      <c r="A281" s="2">
        <v>2084061284</v>
      </c>
      <c r="B281" s="2" t="s">
        <v>4089</v>
      </c>
      <c r="C281" s="2" t="s">
        <v>5686</v>
      </c>
      <c r="D281" s="2" t="s">
        <v>5687</v>
      </c>
      <c r="E281" s="3" t="str">
        <f ca="1">IFERROR(__xludf.DUMMYFUNCTION("GOOGLETRANSLATE(B281,""ja"",""vi"")"),"Toyota")</f>
        <v>Toyota</v>
      </c>
      <c r="F281" s="3" t="str">
        <f ca="1">IFERROR(__xludf.DUMMYFUNCTION("GOOGLETRANSLATE(C281,""ja"",""vi"")"),"Đấu giá&gt; ô tô, xe máy&gt; phụ tùng lên xe&gt; Toyota")</f>
        <v>Đấu giá&gt; ô tô, xe máy&gt; phụ tùng lên xe&gt; Toyota</v>
      </c>
      <c r="G281" s="229" t="str">
        <f t="shared" ca="1" si="8"/>
        <v>"2084061284" : "Toyota",</v>
      </c>
      <c r="H281" s="229" t="str">
        <f t="shared" si="9"/>
        <v>&lt;li class="col-md-3"&gt;&lt;a class="text-cut" href="javascript:;"(click)="categoryEvent(2084061284)"&gt;{{"2084061284" | translate}}&lt;/a&gt;&lt;/li&gt;</v>
      </c>
    </row>
    <row r="282" spans="1:8" ht="14.25" customHeight="1">
      <c r="A282" s="2">
        <v>2084061282</v>
      </c>
      <c r="B282" s="2" t="s">
        <v>4112</v>
      </c>
      <c r="C282" s="2" t="s">
        <v>5691</v>
      </c>
      <c r="D282" s="2" t="s">
        <v>5692</v>
      </c>
      <c r="E282" s="3" t="str">
        <f ca="1">IFERROR(__xludf.DUMMYFUNCTION("GOOGLETRANSLATE(B282,""ja"",""vi"")"),"Suzuki")</f>
        <v>Suzuki</v>
      </c>
      <c r="F282" s="3" t="str">
        <f ca="1">IFERROR(__xludf.DUMMYFUNCTION("GOOGLETRANSLATE(C282,""ja"",""vi"")"),"Đấu giá&gt; ô tô, xe máy&gt; phụ tùng lên xe&gt; Suzuki")</f>
        <v>Đấu giá&gt; ô tô, xe máy&gt; phụ tùng lên xe&gt; Suzuki</v>
      </c>
      <c r="G282" s="229" t="str">
        <f t="shared" ca="1" si="8"/>
        <v>"2084061282" : "Suzuki",</v>
      </c>
      <c r="H282" s="229" t="str">
        <f t="shared" si="9"/>
        <v>&lt;li class="col-md-3"&gt;&lt;a class="text-cut" href="javascript:;"(click)="categoryEvent(2084061282)"&gt;{{"2084061282" | translate}}&lt;/a&gt;&lt;/li&gt;</v>
      </c>
    </row>
    <row r="283" spans="1:8" ht="14.25" customHeight="1">
      <c r="A283" s="2">
        <v>2084313084</v>
      </c>
      <c r="B283" s="2" t="s">
        <v>4120</v>
      </c>
      <c r="C283" s="2" t="s">
        <v>5695</v>
      </c>
      <c r="D283" s="2" t="s">
        <v>5696</v>
      </c>
      <c r="E283" s="3" t="str">
        <f ca="1">IFERROR(__xludf.DUMMYFUNCTION("GOOGLETRANSLATE(B283,""ja"",""vi"")"),"Subaru")</f>
        <v>Subaru</v>
      </c>
      <c r="F283" s="3" t="str">
        <f ca="1">IFERROR(__xludf.DUMMYFUNCTION("GOOGLETRANSLATE(C283,""ja"",""vi"")"),"Đấu giá&gt; ô tô, xe máy&gt; phụ tùng lên xe&gt; Subaru")</f>
        <v>Đấu giá&gt; ô tô, xe máy&gt; phụ tùng lên xe&gt; Subaru</v>
      </c>
      <c r="G283" s="229" t="str">
        <f t="shared" ca="1" si="8"/>
        <v>"2084313084" : "Subaru",</v>
      </c>
      <c r="H283" s="229" t="str">
        <f t="shared" si="9"/>
        <v>&lt;li class="col-md-3"&gt;&lt;a class="text-cut" href="javascript:;"(click)="categoryEvent(2084313084)"&gt;{{"2084313084" | translate}}&lt;/a&gt;&lt;/li&gt;</v>
      </c>
    </row>
    <row r="284" spans="1:8" ht="14.25" customHeight="1">
      <c r="A284" s="2">
        <v>2084061283</v>
      </c>
      <c r="B284" s="2" t="s">
        <v>4128</v>
      </c>
      <c r="C284" s="2" t="s">
        <v>5700</v>
      </c>
      <c r="D284" s="2" t="s">
        <v>5701</v>
      </c>
      <c r="E284" s="3" t="str">
        <f ca="1">IFERROR(__xludf.DUMMYFUNCTION("GOOGLETRANSLATE(B284,""ja"",""vi"")"),"Daihatsu")</f>
        <v>Daihatsu</v>
      </c>
      <c r="F284" s="3" t="str">
        <f ca="1">IFERROR(__xludf.DUMMYFUNCTION("GOOGLETRANSLATE(C284,""ja"",""vi"")"),"Đấu giá&gt; ô tô, xe máy&gt; phụ tùng lên xe&gt; Daihatsu")</f>
        <v>Đấu giá&gt; ô tô, xe máy&gt; phụ tùng lên xe&gt; Daihatsu</v>
      </c>
      <c r="G284" s="229" t="str">
        <f t="shared" ca="1" si="8"/>
        <v>"2084061283" : "Daihatsu",</v>
      </c>
      <c r="H284" s="229" t="str">
        <f t="shared" si="9"/>
        <v>&lt;li class="col-md-3"&gt;&lt;a class="text-cut" href="javascript:;"(click)="categoryEvent(2084061283)"&gt;{{"2084061283" | translate}}&lt;/a&gt;&lt;/li&gt;</v>
      </c>
    </row>
    <row r="285" spans="1:8" ht="14.25" customHeight="1">
      <c r="A285" s="2">
        <v>2084061285</v>
      </c>
      <c r="B285" s="2" t="s">
        <v>4135</v>
      </c>
      <c r="C285" s="2" t="s">
        <v>5704</v>
      </c>
      <c r="D285" s="2" t="s">
        <v>5706</v>
      </c>
      <c r="E285" s="3" t="str">
        <f ca="1">IFERROR(__xludf.DUMMYFUNCTION("GOOGLETRANSLATE(B285,""ja"",""vi"")"),"Honda")</f>
        <v>Honda</v>
      </c>
      <c r="F285" s="3" t="str">
        <f ca="1">IFERROR(__xludf.DUMMYFUNCTION("GOOGLETRANSLATE(C285,""ja"",""vi"")"),"Đấu giá&gt; ô tô, xe máy&gt; phụ tùng lên xe&gt; Honda")</f>
        <v>Đấu giá&gt; ô tô, xe máy&gt; phụ tùng lên xe&gt; Honda</v>
      </c>
      <c r="G285" s="229" t="str">
        <f t="shared" ca="1" si="8"/>
        <v>"2084061285" : "Honda",</v>
      </c>
      <c r="H285" s="229" t="str">
        <f t="shared" si="9"/>
        <v>&lt;li class="col-md-3"&gt;&lt;a class="text-cut" href="javascript:;"(click)="categoryEvent(2084061285)"&gt;{{"2084061285" | translate}}&lt;/a&gt;&lt;/li&gt;</v>
      </c>
    </row>
    <row r="286" spans="1:8" ht="14.25" customHeight="1">
      <c r="A286" s="2">
        <v>2084313083</v>
      </c>
      <c r="B286" s="2" t="s">
        <v>4141</v>
      </c>
      <c r="C286" s="2" t="s">
        <v>5711</v>
      </c>
      <c r="D286" s="2" t="s">
        <v>5712</v>
      </c>
      <c r="E286" s="3" t="str">
        <f ca="1">IFERROR(__xludf.DUMMYFUNCTION("GOOGLETRANSLATE(B286,""ja"",""vi"")"),"Mazda")</f>
        <v>Mazda</v>
      </c>
      <c r="F286" s="3" t="str">
        <f ca="1">IFERROR(__xludf.DUMMYFUNCTION("GOOGLETRANSLATE(C286,""ja"",""vi"")"),"Đấu giá&gt; ô tô, xe máy&gt; phụ tùng lên xe&gt; Mazda")</f>
        <v>Đấu giá&gt; ô tô, xe máy&gt; phụ tùng lên xe&gt; Mazda</v>
      </c>
      <c r="G286" s="229" t="str">
        <f t="shared" ca="1" si="8"/>
        <v>"2084313083" : "Mazda",</v>
      </c>
      <c r="H286" s="229" t="str">
        <f t="shared" si="9"/>
        <v>&lt;li class="col-md-3"&gt;&lt;a class="text-cut" href="javascript:;"(click)="categoryEvent(2084313083)"&gt;{{"2084313083" | translate}}&lt;/a&gt;&lt;/li&gt;</v>
      </c>
    </row>
    <row r="287" spans="1:8" ht="14.25" customHeight="1">
      <c r="A287" s="2">
        <v>2084061286</v>
      </c>
      <c r="B287" s="2" t="s">
        <v>4158</v>
      </c>
      <c r="C287" s="2" t="s">
        <v>5715</v>
      </c>
      <c r="D287" s="2" t="s">
        <v>5716</v>
      </c>
      <c r="E287" s="3" t="str">
        <f ca="1">IFERROR(__xludf.DUMMYFUNCTION("GOOGLETRANSLATE(B287,""ja"",""vi"")"),"Mitsubishi")</f>
        <v>Mitsubishi</v>
      </c>
      <c r="F287" s="3" t="str">
        <f ca="1">IFERROR(__xludf.DUMMYFUNCTION("GOOGLETRANSLATE(C287,""ja"",""vi"")"),"Đấu giá&gt; ô tô, xe máy&gt; phụ tùng lên xe&gt; Mitsubishi")</f>
        <v>Đấu giá&gt; ô tô, xe máy&gt; phụ tùng lên xe&gt; Mitsubishi</v>
      </c>
      <c r="G287" s="229" t="str">
        <f t="shared" ca="1" si="8"/>
        <v>"2084061286" : "Mitsubishi",</v>
      </c>
      <c r="H287" s="229" t="str">
        <f t="shared" si="9"/>
        <v>&lt;li class="col-md-3"&gt;&lt;a class="text-cut" href="javascript:;"(click)="categoryEvent(2084061286)"&gt;{{"2084061286" | translate}}&lt;/a&gt;&lt;/li&gt;</v>
      </c>
    </row>
    <row r="288" spans="1:8" ht="14.25" customHeight="1">
      <c r="A288" s="2">
        <v>2084061287</v>
      </c>
      <c r="B288" s="2" t="s">
        <v>4166</v>
      </c>
      <c r="C288" s="2" t="s">
        <v>5720</v>
      </c>
      <c r="D288" s="2" t="s">
        <v>5721</v>
      </c>
      <c r="E288" s="3" t="str">
        <f ca="1">IFERROR(__xludf.DUMMYFUNCTION("GOOGLETRANSLATE(B288,""ja"",""vi"")"),"Nissan")</f>
        <v>Nissan</v>
      </c>
      <c r="F288" s="3" t="str">
        <f ca="1">IFERROR(__xludf.DUMMYFUNCTION("GOOGLETRANSLATE(C288,""ja"",""vi"")"),"Đấu giá&gt; ô tô, xe máy&gt; phụ tùng lên xe&gt; Nissan")</f>
        <v>Đấu giá&gt; ô tô, xe máy&gt; phụ tùng lên xe&gt; Nissan</v>
      </c>
      <c r="G288" s="229" t="str">
        <f t="shared" ca="1" si="8"/>
        <v>"2084061287" : "Nissan",</v>
      </c>
      <c r="H288" s="229" t="str">
        <f t="shared" si="9"/>
        <v>&lt;li class="col-md-3"&gt;&lt;a class="text-cut" href="javascript:;"(click)="categoryEvent(2084061287)"&gt;{{"2084061287" | translate}}&lt;/a&gt;&lt;/li&gt;</v>
      </c>
    </row>
    <row r="289" spans="1:8" ht="14.25" customHeight="1">
      <c r="A289" s="2">
        <v>2084061281</v>
      </c>
      <c r="B289" s="2" t="s">
        <v>4185</v>
      </c>
      <c r="C289" s="2" t="s">
        <v>5727</v>
      </c>
      <c r="D289" s="2" t="s">
        <v>5728</v>
      </c>
      <c r="E289" s="3" t="str">
        <f ca="1">IFERROR(__xludf.DUMMYFUNCTION("GOOGLETRANSLATE(B289,""ja"",""vi"")"),"BMW")</f>
        <v>BMW</v>
      </c>
      <c r="F289" s="3" t="str">
        <f ca="1">IFERROR(__xludf.DUMMYFUNCTION("GOOGLETRANSLATE(C289,""ja"",""vi"")"),"Đấu giá&gt; ô tô, xe máy&gt; phụ tùng lên xe&gt; BMW")</f>
        <v>Đấu giá&gt; ô tô, xe máy&gt; phụ tùng lên xe&gt; BMW</v>
      </c>
      <c r="G289" s="229" t="str">
        <f t="shared" ca="1" si="8"/>
        <v>"2084061281" : "BMW",</v>
      </c>
      <c r="H289" s="229" t="str">
        <f t="shared" si="9"/>
        <v>&lt;li class="col-md-3"&gt;&lt;a class="text-cut" href="javascript:;"(click)="categoryEvent(2084061281)"&gt;{{"2084061281" | translate}}&lt;/a&gt;&lt;/li&gt;</v>
      </c>
    </row>
    <row r="290" spans="1:8" ht="14.25" customHeight="1">
      <c r="A290" s="2">
        <v>2084313085</v>
      </c>
      <c r="B290" s="2" t="s">
        <v>4246</v>
      </c>
      <c r="C290" s="2" t="s">
        <v>5731</v>
      </c>
      <c r="D290" s="2" t="s">
        <v>5732</v>
      </c>
      <c r="E290" s="3" t="str">
        <f ca="1">IFERROR(__xludf.DUMMYFUNCTION("GOOGLETRANSLATE(B290,""ja"",""vi"")"),"Mercedes-Benz")</f>
        <v>Mercedes-Benz</v>
      </c>
      <c r="F290" s="3" t="str">
        <f ca="1">IFERROR(__xludf.DUMMYFUNCTION("GOOGLETRANSLATE(C290,""ja"",""vi"")"),"Đấu giá&gt; ô tô, xe máy&gt; phụ tùng lên xe&gt; Mercedes-Benz")</f>
        <v>Đấu giá&gt; ô tô, xe máy&gt; phụ tùng lên xe&gt; Mercedes-Benz</v>
      </c>
      <c r="G290" s="229" t="str">
        <f t="shared" ca="1" si="8"/>
        <v>"2084313085" : "Mercedes-Benz",</v>
      </c>
      <c r="H290" s="229" t="str">
        <f t="shared" si="9"/>
        <v>&lt;li class="col-md-3"&gt;&lt;a class="text-cut" href="javascript:;"(click)="categoryEvent(2084313085)"&gt;{{"2084313085" | translate}}&lt;/a&gt;&lt;/li&gt;</v>
      </c>
    </row>
    <row r="291" spans="1:8" ht="14.25" customHeight="1">
      <c r="A291" s="2">
        <v>2084061288</v>
      </c>
      <c r="B291" s="2" t="s">
        <v>16</v>
      </c>
      <c r="C291" s="2" t="s">
        <v>5735</v>
      </c>
      <c r="D291" s="2" t="s">
        <v>5736</v>
      </c>
      <c r="E291" s="3" t="str">
        <f ca="1">IFERROR(__xludf.DUMMYFUNCTION("GOOGLETRANSLATE(B291,""ja"",""vi"")"),"nếu không thì")</f>
        <v>nếu không thì</v>
      </c>
      <c r="F291" s="3" t="str">
        <f ca="1">IFERROR(__xludf.DUMMYFUNCTION("GOOGLETRANSLATE(C291,""ja"",""vi"")"),"Đấu giá&gt; ô tô, xe máy&gt; phụ tùng lên xe&gt; Khác")</f>
        <v>Đấu giá&gt; ô tô, xe máy&gt; phụ tùng lên xe&gt; Khác</v>
      </c>
      <c r="G291" s="229" t="str">
        <f t="shared" ca="1" si="8"/>
        <v>"2084061288" : "nếu không thì",</v>
      </c>
      <c r="H291" s="229" t="str">
        <f t="shared" si="9"/>
        <v>&lt;li class="col-md-3"&gt;&lt;a class="text-cut" href="javascript:;"(click)="categoryEvent(2084061288)"&gt;{{"2084061288" | translate}}&lt;/a&gt;&lt;/li&gt;</v>
      </c>
    </row>
    <row r="292" spans="1:8" ht="14.25" customHeight="1">
      <c r="E292" s="3"/>
      <c r="F292" s="3"/>
      <c r="G292" s="229"/>
      <c r="H292" s="229"/>
    </row>
    <row r="293" spans="1:8" ht="14.25" customHeight="1">
      <c r="A293" s="255">
        <v>24650</v>
      </c>
      <c r="B293" s="232"/>
      <c r="C293" s="232"/>
      <c r="D293" s="233"/>
      <c r="E293" s="3"/>
      <c r="F293" s="3"/>
      <c r="G293" s="229"/>
      <c r="H293" s="229"/>
    </row>
    <row r="294" spans="1:8" ht="14.25" customHeight="1">
      <c r="A294" s="2">
        <v>2084042022</v>
      </c>
      <c r="B294" s="2" t="s">
        <v>4751</v>
      </c>
      <c r="C294" s="2" t="s">
        <v>5737</v>
      </c>
      <c r="D294" s="2" t="s">
        <v>5739</v>
      </c>
      <c r="E294" s="3" t="str">
        <f ca="1">IFERROR(__xludf.DUMMYFUNCTION("GOOGLETRANSLATE(B294,""ja"",""vi"")"),"Đối với xe máy")</f>
        <v>Đối với xe máy</v>
      </c>
      <c r="F294" s="3" t="str">
        <f ca="1">IFERROR(__xludf.DUMMYFUNCTION("GOOGLETRANSLATE(C294,""ja"",""vi"")"),"Đấu giá&gt; ô tô, xe máy&gt; Công cụ&gt; cho xe gắn máy")</f>
        <v>Đấu giá&gt; ô tô, xe máy&gt; Công cụ&gt; cho xe gắn máy</v>
      </c>
      <c r="G294" s="229" t="str">
        <f t="shared" ca="1" si="8"/>
        <v>"2084042022" : "Đối với xe máy",</v>
      </c>
      <c r="H294" s="229" t="str">
        <f t="shared" si="9"/>
        <v>&lt;li class="col-md-3"&gt;&lt;a class="text-cut" href="javascript:;"(click)="categoryEvent(2084042022)"&gt;{{"2084042022" | translate}}&lt;/a&gt;&lt;/li&gt;</v>
      </c>
    </row>
    <row r="295" spans="1:8" ht="14.25" customHeight="1">
      <c r="A295" s="2">
        <v>2084042060</v>
      </c>
      <c r="B295" s="2" t="s">
        <v>5741</v>
      </c>
      <c r="C295" s="2" t="s">
        <v>5742</v>
      </c>
      <c r="D295" s="2" t="s">
        <v>5744</v>
      </c>
      <c r="E295" s="3" t="str">
        <f ca="1">IFERROR(__xludf.DUMMYFUNCTION("GOOGLETRANSLATE(B295,""ja"",""vi"")"),"lọc dầu cờ lê")</f>
        <v>lọc dầu cờ lê</v>
      </c>
      <c r="F295" s="3" t="str">
        <f ca="1">IFERROR(__xludf.DUMMYFUNCTION("GOOGLETRANSLATE(C295,""ja"",""vi"")"),"Đấu giá&gt; ô tô, xe máy&gt; Công cụ&gt; lọc dầu cờ lê")</f>
        <v>Đấu giá&gt; ô tô, xe máy&gt; Công cụ&gt; lọc dầu cờ lê</v>
      </c>
      <c r="G295" s="229" t="str">
        <f t="shared" ca="1" si="8"/>
        <v>"2084042060" : "lọc dầu cờ lê",</v>
      </c>
      <c r="H295" s="229" t="str">
        <f t="shared" si="9"/>
        <v>&lt;li class="col-md-3"&gt;&lt;a class="text-cut" href="javascript:;"(click)="categoryEvent(2084042060)"&gt;{{"2084042060" | translate}}&lt;/a&gt;&lt;/li&gt;</v>
      </c>
    </row>
    <row r="296" spans="1:8" ht="14.25" customHeight="1">
      <c r="A296" s="2">
        <v>2084042052</v>
      </c>
      <c r="B296" s="2" t="s">
        <v>5748</v>
      </c>
      <c r="C296" s="2" t="s">
        <v>5750</v>
      </c>
      <c r="D296" s="2" t="s">
        <v>5751</v>
      </c>
      <c r="E296" s="3" t="str">
        <f ca="1">IFERROR(__xludf.DUMMYFUNCTION("GOOGLETRANSLATE(B296,""ja"",""vi"")"),"gauge nén")</f>
        <v>gauge nén</v>
      </c>
      <c r="F296" s="3" t="str">
        <f ca="1">IFERROR(__xludf.DUMMYFUNCTION("GOOGLETRANSLATE(C296,""ja"",""vi"")"),"Đấu giá&gt; ô tô, xe máy&gt; Công cụ&gt; gauge nén")</f>
        <v>Đấu giá&gt; ô tô, xe máy&gt; Công cụ&gt; gauge nén</v>
      </c>
      <c r="G296" s="229" t="str">
        <f t="shared" ca="1" si="8"/>
        <v>"2084042052" : "gauge nén",</v>
      </c>
      <c r="H296" s="229" t="str">
        <f t="shared" si="9"/>
        <v>&lt;li class="col-md-3"&gt;&lt;a class="text-cut" href="javascript:;"(click)="categoryEvent(2084042052)"&gt;{{"2084042052" | translate}}&lt;/a&gt;&lt;/li&gt;</v>
      </c>
    </row>
    <row r="297" spans="1:8" ht="14.25" customHeight="1">
      <c r="A297" s="2">
        <v>2084042053</v>
      </c>
      <c r="B297" s="2" t="s">
        <v>5752</v>
      </c>
      <c r="C297" s="2" t="s">
        <v>5754</v>
      </c>
      <c r="D297" s="2" t="s">
        <v>5757</v>
      </c>
      <c r="E297" s="3" t="str">
        <f ca="1">IFERROR(__xludf.DUMMYFUNCTION("GOOGLETRANSLATE(B297,""ja"",""vi"")"),"Jack")</f>
        <v>Jack</v>
      </c>
      <c r="F297" s="3" t="str">
        <f ca="1">IFERROR(__xludf.DUMMYFUNCTION("GOOGLETRANSLATE(C297,""ja"",""vi"")"),"Đấu giá&gt; ô tô, xe máy&gt; Công cụ&gt; jack")</f>
        <v>Đấu giá&gt; ô tô, xe máy&gt; Công cụ&gt; jack</v>
      </c>
      <c r="G297" s="229" t="str">
        <f t="shared" ca="1" si="8"/>
        <v>"2084042053" : "Jack",</v>
      </c>
      <c r="H297" s="229" t="str">
        <f t="shared" si="9"/>
        <v>&lt;li class="col-md-3"&gt;&lt;a class="text-cut" href="javascript:;"(click)="categoryEvent(2084042053)"&gt;{{"2084042053" | translate}}&lt;/a&gt;&lt;/li&gt;</v>
      </c>
    </row>
    <row r="298" spans="1:8" ht="14.25" customHeight="1">
      <c r="A298" s="2">
        <v>2084261043</v>
      </c>
      <c r="B298" s="2" t="s">
        <v>5759</v>
      </c>
      <c r="C298" s="2" t="s">
        <v>5761</v>
      </c>
      <c r="D298" s="2" t="s">
        <v>5762</v>
      </c>
      <c r="E298" s="3" t="str">
        <f ca="1">IFERROR(__xludf.DUMMYFUNCTION("GOOGLETRANSLATE(B298,""ja"",""vi"")"),"lốp đổi")</f>
        <v>lốp đổi</v>
      </c>
      <c r="F298" s="3" t="str">
        <f ca="1">IFERROR(__xludf.DUMMYFUNCTION("GOOGLETRANSLATE(C298,""ja"",""vi"")"),"Đấu giá&gt; ô tô, xe máy&gt; Công cụ&gt; đổi lốp")</f>
        <v>Đấu giá&gt; ô tô, xe máy&gt; Công cụ&gt; đổi lốp</v>
      </c>
      <c r="G298" s="229" t="str">
        <f t="shared" ca="1" si="8"/>
        <v>"2084261043" : "lốp đổi",</v>
      </c>
      <c r="H298" s="229" t="str">
        <f t="shared" si="9"/>
        <v>&lt;li class="col-md-3"&gt;&lt;a class="text-cut" href="javascript:;"(click)="categoryEvent(2084261043)"&gt;{{"2084261043" | translate}}&lt;/a&gt;&lt;/li&gt;</v>
      </c>
    </row>
    <row r="299" spans="1:8" ht="14.25" customHeight="1">
      <c r="A299" s="2">
        <v>2084042020</v>
      </c>
      <c r="B299" s="2" t="s">
        <v>2790</v>
      </c>
      <c r="C299" s="2" t="s">
        <v>5764</v>
      </c>
      <c r="D299" s="2" t="s">
        <v>5766</v>
      </c>
      <c r="E299" s="3" t="str">
        <f ca="1">IFERROR(__xludf.DUMMYFUNCTION("GOOGLETRANSLATE(B299,""ja"",""vi"")"),"Air Tools")</f>
        <v>Air Tools</v>
      </c>
      <c r="F299" s="3" t="str">
        <f ca="1">IFERROR(__xludf.DUMMYFUNCTION("GOOGLETRANSLATE(C299,""ja"",""vi"")"),"Đấu giá&gt; ô tô, xe máy&gt; Công cụ&gt; Air Tools")</f>
        <v>Đấu giá&gt; ô tô, xe máy&gt; Công cụ&gt; Air Tools</v>
      </c>
      <c r="G299" s="229" t="str">
        <f t="shared" ca="1" si="8"/>
        <v>"2084042020" : "Air Tools",</v>
      </c>
      <c r="H299" s="229" t="str">
        <f t="shared" si="9"/>
        <v>&lt;li class="col-md-3"&gt;&lt;a class="text-cut" href="javascript:;"(click)="categoryEvent(2084042020)"&gt;{{"2084042020" | translate}}&lt;/a&gt;&lt;/li&gt;</v>
      </c>
    </row>
    <row r="300" spans="1:8" ht="14.25" customHeight="1">
      <c r="A300" s="2">
        <v>2084042058</v>
      </c>
      <c r="B300" s="2" t="s">
        <v>5769</v>
      </c>
      <c r="C300" s="2" t="s">
        <v>5770</v>
      </c>
      <c r="D300" s="2" t="s">
        <v>5771</v>
      </c>
      <c r="E300" s="3" t="str">
        <f ca="1">IFERROR(__xludf.DUMMYFUNCTION("GOOGLETRANSLATE(B300,""ja"",""vi"")"),"lốp đo")</f>
        <v>lốp đo</v>
      </c>
      <c r="F300" s="3" t="str">
        <f ca="1">IFERROR(__xludf.DUMMYFUNCTION("GOOGLETRANSLATE(C300,""ja"",""vi"")"),"Đấu giá&gt; ô tô, xe máy&gt; Công cụ&gt; gauge lốp")</f>
        <v>Đấu giá&gt; ô tô, xe máy&gt; Công cụ&gt; gauge lốp</v>
      </c>
      <c r="G300" s="229" t="str">
        <f t="shared" ca="1" si="8"/>
        <v>"2084042058" : "lốp đo",</v>
      </c>
      <c r="H300" s="229" t="str">
        <f t="shared" si="9"/>
        <v>&lt;li class="col-md-3"&gt;&lt;a class="text-cut" href="javascript:;"(click)="categoryEvent(2084042058)"&gt;{{"2084042058" | translate}}&lt;/a&gt;&lt;/li&gt;</v>
      </c>
    </row>
    <row r="301" spans="1:8" ht="14.25" customHeight="1">
      <c r="A301" s="2">
        <v>24654</v>
      </c>
      <c r="B301" s="2" t="s">
        <v>5774</v>
      </c>
      <c r="C301" s="2" t="s">
        <v>5776</v>
      </c>
      <c r="D301" s="2" t="s">
        <v>5778</v>
      </c>
      <c r="E301" s="3" t="str">
        <f ca="1">IFERROR(__xludf.DUMMYFUNCTION("GOOGLETRANSLATE(B301,""ja"",""vi"")"),"Dụng cụ cầm tay")</f>
        <v>Dụng cụ cầm tay</v>
      </c>
      <c r="F301" s="3" t="str">
        <f ca="1">IFERROR(__xludf.DUMMYFUNCTION("GOOGLETRANSLATE(C301,""ja"",""vi"")"),"Đấu giá&gt; ô tô, xe máy&gt; Công cụ&gt; Dụng cụ cầm tay")</f>
        <v>Đấu giá&gt; ô tô, xe máy&gt; Công cụ&gt; Dụng cụ cầm tay</v>
      </c>
      <c r="G301" s="229" t="str">
        <f t="shared" ca="1" si="8"/>
        <v>"24654" : "Dụng cụ cầm tay",</v>
      </c>
      <c r="H301" s="229" t="str">
        <f t="shared" si="9"/>
        <v>&lt;li class="col-md-3"&gt;&lt;a class="text-cut" href="javascript:;"(click)="categoryEvent(24654)"&gt;{{"24654" | translate}}&lt;/a&gt;&lt;/li&gt;</v>
      </c>
    </row>
    <row r="302" spans="1:8" ht="14.25" customHeight="1">
      <c r="A302" s="2">
        <v>2084042024</v>
      </c>
      <c r="B302" s="2" t="s">
        <v>5779</v>
      </c>
      <c r="C302" s="2" t="s">
        <v>5780</v>
      </c>
      <c r="D302" s="2" t="s">
        <v>5782</v>
      </c>
      <c r="E302" s="3" t="str">
        <f ca="1">IFERROR(__xludf.DUMMYFUNCTION("GOOGLETRANSLATE(B302,""ja"",""vi"")"),"ống trong máy hút bụi")</f>
        <v>ống trong máy hút bụi</v>
      </c>
      <c r="F302" s="3" t="str">
        <f ca="1">IFERROR(__xludf.DUMMYFUNCTION("GOOGLETRANSLATE(C302,""ja"",""vi"")"),"Đấu giá&gt; ô tô, xe máy&gt; Công cụ&gt; đo chân không")</f>
        <v>Đấu giá&gt; ô tô, xe máy&gt; Công cụ&gt; đo chân không</v>
      </c>
      <c r="G302" s="229" t="str">
        <f t="shared" ca="1" si="8"/>
        <v>"2084042024" : "ống trong máy hút bụi",</v>
      </c>
      <c r="H302" s="229" t="str">
        <f t="shared" si="9"/>
        <v>&lt;li class="col-md-3"&gt;&lt;a class="text-cut" href="javascript:;"(click)="categoryEvent(2084042024)"&gt;{{"2084042024" | translate}}&lt;/a&gt;&lt;/li&gt;</v>
      </c>
    </row>
    <row r="303" spans="1:8" ht="14.25" customHeight="1">
      <c r="A303" s="2">
        <v>2084042059</v>
      </c>
      <c r="B303" s="2" t="s">
        <v>5784</v>
      </c>
      <c r="C303" s="2" t="s">
        <v>5785</v>
      </c>
      <c r="D303" s="2" t="s">
        <v>5786</v>
      </c>
      <c r="E303" s="3" t="str">
        <f ca="1">IFERROR(__xludf.DUMMYFUNCTION("GOOGLETRANSLATE(B303,""ja"",""vi"")"),"cờ lê bánh xe")</f>
        <v>cờ lê bánh xe</v>
      </c>
      <c r="F303" s="3" t="str">
        <f ca="1">IFERROR(__xludf.DUMMYFUNCTION("GOOGLETRANSLATE(C303,""ja"",""vi"")"),"Đấu giá&gt; ô tô, xe máy&gt; Công cụ&gt; cờ lê bánh xe")</f>
        <v>Đấu giá&gt; ô tô, xe máy&gt; Công cụ&gt; cờ lê bánh xe</v>
      </c>
      <c r="G303" s="229" t="str">
        <f t="shared" ca="1" si="8"/>
        <v>"2084042059" : "cờ lê bánh xe",</v>
      </c>
      <c r="H303" s="229" t="str">
        <f t="shared" si="9"/>
        <v>&lt;li class="col-md-3"&gt;&lt;a class="text-cut" href="javascript:;"(click)="categoryEvent(2084042059)"&gt;{{"2084042059" | translate}}&lt;/a&gt;&lt;/li&gt;</v>
      </c>
    </row>
    <row r="304" spans="1:8" ht="14.25" customHeight="1">
      <c r="A304" s="2">
        <v>2084042061</v>
      </c>
      <c r="B304" s="2" t="s">
        <v>5791</v>
      </c>
      <c r="C304" s="2" t="s">
        <v>5792</v>
      </c>
      <c r="D304" s="2" t="s">
        <v>5793</v>
      </c>
      <c r="E304" s="3" t="str">
        <f ca="1">IFERROR(__xludf.DUMMYFUNCTION("GOOGLETRANSLATE(B304,""ja"",""vi"")"),"On-board công cụ")</f>
        <v>On-board công cụ</v>
      </c>
      <c r="F304" s="3" t="str">
        <f ca="1">IFERROR(__xludf.DUMMYFUNCTION("GOOGLETRANSLATE(C304,""ja"",""vi"")"),"Đấu giá&gt; ô tô, xe máy&gt; Công cụ&gt; Tools Automotive")</f>
        <v>Đấu giá&gt; ô tô, xe máy&gt; Công cụ&gt; Tools Automotive</v>
      </c>
      <c r="G304" s="229" t="str">
        <f t="shared" ca="1" si="8"/>
        <v>"2084042061" : "On-board công cụ",</v>
      </c>
      <c r="H304" s="229" t="str">
        <f t="shared" si="9"/>
        <v>&lt;li class="col-md-3"&gt;&lt;a class="text-cut" href="javascript:;"(click)="categoryEvent(2084042061)"&gt;{{"2084042061" | translate}}&lt;/a&gt;&lt;/li&gt;</v>
      </c>
    </row>
    <row r="305" spans="1:8" ht="14.25" customHeight="1">
      <c r="A305" s="2">
        <v>2084042064</v>
      </c>
      <c r="B305" s="2" t="s">
        <v>2627</v>
      </c>
      <c r="C305" s="2" t="s">
        <v>5799</v>
      </c>
      <c r="D305" s="2" t="s">
        <v>5800</v>
      </c>
      <c r="E305" s="3" t="str">
        <f ca="1">IFERROR(__xludf.DUMMYFUNCTION("GOOGLETRANSLATE(B305,""ja"",""vi"")"),"chiếu sáng")</f>
        <v>chiếu sáng</v>
      </c>
      <c r="F305" s="3" t="str">
        <f ca="1">IFERROR(__xludf.DUMMYFUNCTION("GOOGLETRANSLATE(C305,""ja"",""vi"")"),"Đấu giá&gt; ô tô, xe máy&gt; Công cụ&gt; Ánh sáng")</f>
        <v>Đấu giá&gt; ô tô, xe máy&gt; Công cụ&gt; Ánh sáng</v>
      </c>
      <c r="G305" s="229" t="str">
        <f t="shared" ca="1" si="8"/>
        <v>"2084042064" : "chiếu sáng",</v>
      </c>
      <c r="H305" s="229" t="str">
        <f t="shared" si="9"/>
        <v>&lt;li class="col-md-3"&gt;&lt;a class="text-cut" href="javascript:;"(click)="categoryEvent(2084042064)"&gt;{{"2084042064" | translate}}&lt;/a&gt;&lt;/li&gt;</v>
      </c>
    </row>
    <row r="306" spans="1:8" ht="14.25" customHeight="1">
      <c r="A306" s="2">
        <v>24666</v>
      </c>
      <c r="B306" s="2" t="s">
        <v>2781</v>
      </c>
      <c r="C306" s="2" t="s">
        <v>5803</v>
      </c>
      <c r="D306" s="2" t="s">
        <v>5804</v>
      </c>
      <c r="E306" s="3" t="str">
        <f ca="1">IFERROR(__xludf.DUMMYFUNCTION("GOOGLETRANSLATE(B306,""ja"",""vi"")"),"công cụ quyền lực")</f>
        <v>công cụ quyền lực</v>
      </c>
      <c r="F306" s="3" t="str">
        <f ca="1">IFERROR(__xludf.DUMMYFUNCTION("GOOGLETRANSLATE(C306,""ja"",""vi"")"),"Đấu giá&gt; ô tô, xe máy&gt; công cụ&gt; công cụ quyền lực")</f>
        <v>Đấu giá&gt; ô tô, xe máy&gt; công cụ&gt; công cụ quyền lực</v>
      </c>
      <c r="G306" s="229" t="str">
        <f t="shared" ca="1" si="8"/>
        <v>"24666" : "công cụ quyền lực",</v>
      </c>
      <c r="H306" s="229" t="str">
        <f t="shared" si="9"/>
        <v>&lt;li class="col-md-3"&gt;&lt;a class="text-cut" href="javascript:;"(click)="categoryEvent(24666)"&gt;{{"24666" | translate}}&lt;/a&gt;&lt;/li&gt;</v>
      </c>
    </row>
    <row r="307" spans="1:8" ht="14.25" customHeight="1">
      <c r="A307" s="2">
        <v>2084042066</v>
      </c>
      <c r="B307" s="2" t="s">
        <v>2871</v>
      </c>
      <c r="C307" s="2" t="s">
        <v>5808</v>
      </c>
      <c r="D307" s="2" t="s">
        <v>5809</v>
      </c>
      <c r="E307" s="3" t="str">
        <f ca="1">IFERROR(__xludf.DUMMYFUNCTION("GOOGLETRANSLATE(B307,""ja"",""vi"")"),"Hộp công cụ")</f>
        <v>Hộp công cụ</v>
      </c>
      <c r="F307" s="3" t="str">
        <f ca="1">IFERROR(__xludf.DUMMYFUNCTION("GOOGLETRANSLATE(C307,""ja"",""vi"")"),"Đấu giá&gt; ô tô, xe máy&gt; Công cụ&gt; Hộp công cụ")</f>
        <v>Đấu giá&gt; ô tô, xe máy&gt; Công cụ&gt; Hộp công cụ</v>
      </c>
      <c r="G307" s="229" t="str">
        <f t="shared" ca="1" si="8"/>
        <v>"2084042066" : "Hộp công cụ",</v>
      </c>
      <c r="H307" s="229" t="str">
        <f t="shared" si="9"/>
        <v>&lt;li class="col-md-3"&gt;&lt;a class="text-cut" href="javascript:;"(click)="categoryEvent(2084042066)"&gt;{{"2084042066" | translate}}&lt;/a&gt;&lt;/li&gt;</v>
      </c>
    </row>
    <row r="308" spans="1:8" ht="14.25" customHeight="1">
      <c r="A308" s="2">
        <v>2084042062</v>
      </c>
      <c r="B308" s="2" t="s">
        <v>16</v>
      </c>
      <c r="C308" s="2" t="s">
        <v>5814</v>
      </c>
      <c r="D308" s="2" t="s">
        <v>5815</v>
      </c>
      <c r="E308" s="3" t="str">
        <f ca="1">IFERROR(__xludf.DUMMYFUNCTION("GOOGLETRANSLATE(B308,""ja"",""vi"")"),"nếu không thì")</f>
        <v>nếu không thì</v>
      </c>
      <c r="F308" s="3" t="str">
        <f ca="1">IFERROR(__xludf.DUMMYFUNCTION("GOOGLETRANSLATE(C308,""ja"",""vi"")"),"Đấu giá&gt; ô tô, xe máy&gt; Công cụ&gt; Khác")</f>
        <v>Đấu giá&gt; ô tô, xe máy&gt; Công cụ&gt; Khác</v>
      </c>
      <c r="G308" s="229" t="str">
        <f t="shared" ca="1" si="8"/>
        <v>"2084042062" : "nếu không thì",</v>
      </c>
      <c r="H308" s="229" t="str">
        <f t="shared" si="9"/>
        <v>&lt;li class="col-md-3"&gt;&lt;a class="text-cut" href="javascript:;"(click)="categoryEvent(2084042062)"&gt;{{"2084042062" | translate}}&lt;/a&gt;&lt;/li&gt;</v>
      </c>
    </row>
    <row r="309" spans="1:8" ht="14.25" customHeight="1">
      <c r="E309" s="3"/>
      <c r="F309" s="3"/>
      <c r="G309" s="229"/>
      <c r="H309" s="229"/>
    </row>
    <row r="310" spans="1:8" ht="14.25" customHeight="1">
      <c r="A310" s="244">
        <v>2084005545</v>
      </c>
      <c r="B310" s="232"/>
      <c r="C310" s="232"/>
      <c r="D310" s="233"/>
      <c r="E310" s="3"/>
      <c r="F310" s="3"/>
      <c r="G310" s="229"/>
      <c r="H310" s="229"/>
    </row>
    <row r="311" spans="1:8" ht="14.25" customHeight="1">
      <c r="A311" s="2">
        <v>2084005547</v>
      </c>
      <c r="B311" s="2" t="s">
        <v>4751</v>
      </c>
      <c r="C311" s="2" t="s">
        <v>5828</v>
      </c>
      <c r="D311" s="2" t="s">
        <v>5829</v>
      </c>
      <c r="E311" s="3" t="str">
        <f ca="1">IFERROR(__xludf.DUMMYFUNCTION("GOOGLETRANSLATE(B311,""ja"",""vi"")"),"Đối với xe máy")</f>
        <v>Đối với xe máy</v>
      </c>
      <c r="F311" s="3" t="str">
        <f ca="1">IFERROR(__xludf.DUMMYFUNCTION("GOOGLETRANSLATE(C311,""ja"",""vi"")"),"Đấu giá&gt; ô tô, xe máy&gt; Catalogue, danh sách phụ tùng, dịch vụ book&gt; cho xe gắn máy")</f>
        <v>Đấu giá&gt; ô tô, xe máy&gt; Catalogue, danh sách phụ tùng, dịch vụ book&gt; cho xe gắn máy</v>
      </c>
      <c r="G311" s="229" t="str">
        <f t="shared" ca="1" si="8"/>
        <v>"2084005547" : "Đối với xe máy",</v>
      </c>
      <c r="H311" s="229" t="str">
        <f t="shared" si="9"/>
        <v>&lt;li class="col-md-3"&gt;&lt;a class="text-cut" href="javascript:;"(click)="categoryEvent(2084005547)"&gt;{{"2084005547" | translate}}&lt;/a&gt;&lt;/li&gt;</v>
      </c>
    </row>
    <row r="312" spans="1:8" ht="14.25" customHeight="1">
      <c r="A312" s="2">
        <v>26364</v>
      </c>
      <c r="B312" s="2" t="s">
        <v>4758</v>
      </c>
      <c r="C312" s="2" t="s">
        <v>5834</v>
      </c>
      <c r="D312" s="2" t="s">
        <v>5836</v>
      </c>
      <c r="E312" s="3" t="str">
        <f ca="1">IFERROR(__xludf.DUMMYFUNCTION("GOOGLETRANSLATE(B312,""ja"",""vi"")"),"Xe tải, bãi chứa, máy móc thiết bị xây dựng chuyên dụng")</f>
        <v>Xe tải, bãi chứa, máy móc thiết bị xây dựng chuyên dụng</v>
      </c>
      <c r="F312" s="3" t="str">
        <f ca="1">IFERROR(__xludf.DUMMYFUNCTION("GOOGLETRANSLATE(C312,""ja"",""vi"")"),"Đấu giá&gt; ô tô, xe máy&gt; Catalogue, danh sách phần, cuốn sách dịch vụ&gt; xe tải, bãi, máy móc thiết bị xây dựng chuyên dụng")</f>
        <v>Đấu giá&gt; ô tô, xe máy&gt; Catalogue, danh sách phần, cuốn sách dịch vụ&gt; xe tải, bãi, máy móc thiết bị xây dựng chuyên dụng</v>
      </c>
      <c r="G312" s="229" t="str">
        <f t="shared" ca="1" si="8"/>
        <v>"26364" : "Xe tải, bãi chứa, máy móc thiết bị xây dựng chuyên dụng",</v>
      </c>
      <c r="H312" s="229" t="str">
        <f t="shared" si="9"/>
        <v>&lt;li class="col-md-3"&gt;&lt;a class="text-cut" href="javascript:;"(click)="categoryEvent(26364)"&gt;{{"26364" | translate}}&lt;/a&gt;&lt;/li&gt;</v>
      </c>
    </row>
    <row r="313" spans="1:8" ht="14.25" customHeight="1">
      <c r="A313" s="2">
        <v>2084005595</v>
      </c>
      <c r="B313" s="2" t="s">
        <v>4185</v>
      </c>
      <c r="C313" s="2" t="s">
        <v>5840</v>
      </c>
      <c r="D313" s="2" t="s">
        <v>5841</v>
      </c>
      <c r="E313" s="3" t="str">
        <f ca="1">IFERROR(__xludf.DUMMYFUNCTION("GOOGLETRANSLATE(B313,""ja"",""vi"")"),"BMW")</f>
        <v>BMW</v>
      </c>
      <c r="F313" s="3" t="str">
        <f ca="1">IFERROR(__xludf.DUMMYFUNCTION("GOOGLETRANSLATE(C313,""ja"",""vi"")"),"Đấu giá&gt; ô tô, xe máy&gt; Catalogue, danh sách phần, cuốn sách dịch vụ&gt; BMW")</f>
        <v>Đấu giá&gt; ô tô, xe máy&gt; Catalogue, danh sách phần, cuốn sách dịch vụ&gt; BMW</v>
      </c>
      <c r="G313" s="229" t="str">
        <f t="shared" ca="1" si="8"/>
        <v>"2084005595" : "BMW",</v>
      </c>
      <c r="H313" s="229" t="str">
        <f t="shared" si="9"/>
        <v>&lt;li class="col-md-3"&gt;&lt;a class="text-cut" href="javascript:;"(click)="categoryEvent(2084005595)"&gt;{{"2084005595" | translate}}&lt;/a&gt;&lt;/li&gt;</v>
      </c>
    </row>
    <row r="314" spans="1:8" ht="14.25" customHeight="1">
      <c r="A314" s="2">
        <v>2084018967</v>
      </c>
      <c r="B314" s="2" t="s">
        <v>4254</v>
      </c>
      <c r="C314" s="2" t="s">
        <v>5846</v>
      </c>
      <c r="D314" s="2" t="s">
        <v>5848</v>
      </c>
      <c r="E314" s="3" t="str">
        <f ca="1">IFERROR(__xludf.DUMMYFUNCTION("GOOGLETRANSLATE(B314,""ja"",""vi"")"),"MG")</f>
        <v>MG</v>
      </c>
      <c r="F314" s="3" t="str">
        <f ca="1">IFERROR(__xludf.DUMMYFUNCTION("GOOGLETRANSLATE(C314,""ja"",""vi"")"),"Đấu giá&gt; ô tô, xe máy&gt; Catalogue, danh sách phần, cuốn sách dịch vụ&gt; MG")</f>
        <v>Đấu giá&gt; ô tô, xe máy&gt; Catalogue, danh sách phần, cuốn sách dịch vụ&gt; MG</v>
      </c>
      <c r="G314" s="229" t="str">
        <f t="shared" ca="1" si="8"/>
        <v>"2084018967" : "MG",</v>
      </c>
      <c r="H314" s="229" t="str">
        <f t="shared" si="9"/>
        <v>&lt;li class="col-md-3"&gt;&lt;a class="text-cut" href="javascript:;"(click)="categoryEvent(2084018967)"&gt;{{"2084018967" | translate}}&lt;/a&gt;&lt;/li&gt;</v>
      </c>
    </row>
    <row r="315" spans="1:8" ht="14.25" customHeight="1">
      <c r="A315" s="2">
        <v>2084018968</v>
      </c>
      <c r="B315" s="2" t="s">
        <v>4262</v>
      </c>
      <c r="C315" s="2" t="s">
        <v>5853</v>
      </c>
      <c r="D315" s="2" t="s">
        <v>5855</v>
      </c>
      <c r="E315" s="3" t="str">
        <f ca="1">IFERROR(__xludf.DUMMYFUNCTION("GOOGLETRANSLATE(B315,""ja"",""vi"")"),"TVR")</f>
        <v>TVR</v>
      </c>
      <c r="F315" s="3" t="str">
        <f ca="1">IFERROR(__xludf.DUMMYFUNCTION("GOOGLETRANSLATE(C315,""ja"",""vi"")"),"Đấu giá&gt; ô tô, xe máy&gt; Catalogue, danh sách phần, cuốn sách dịch vụ&gt; TVR")</f>
        <v>Đấu giá&gt; ô tô, xe máy&gt; Catalogue, danh sách phần, cuốn sách dịch vụ&gt; TVR</v>
      </c>
      <c r="G315" s="229" t="str">
        <f t="shared" ca="1" si="8"/>
        <v>"2084018968" : "TVR",</v>
      </c>
      <c r="H315" s="229" t="str">
        <f t="shared" si="9"/>
        <v>&lt;li class="col-md-3"&gt;&lt;a class="text-cut" href="javascript:;"(click)="categoryEvent(2084018968)"&gt;{{"2084018968" | translate}}&lt;/a&gt;&lt;/li&gt;</v>
      </c>
    </row>
    <row r="316" spans="1:8" ht="14.25" customHeight="1">
      <c r="A316" s="2">
        <v>2084005594</v>
      </c>
      <c r="B316" s="2" t="s">
        <v>4105</v>
      </c>
      <c r="C316" s="2" t="s">
        <v>5861</v>
      </c>
      <c r="D316" s="2" t="s">
        <v>5863</v>
      </c>
      <c r="E316" s="3" t="str">
        <f ca="1">IFERROR(__xludf.DUMMYFUNCTION("GOOGLETRANSLATE(B316,""ja"",""vi"")"),"Isuzu")</f>
        <v>Isuzu</v>
      </c>
      <c r="F316" s="3" t="str">
        <f ca="1">IFERROR(__xludf.DUMMYFUNCTION("GOOGLETRANSLATE(C316,""ja"",""vi"")"),"Đấu giá&gt; ô tô, xe máy&gt; Catalogue, danh sách phần, cuốn sách dịch vụ&gt; Isuzu")</f>
        <v>Đấu giá&gt; ô tô, xe máy&gt; Catalogue, danh sách phần, cuốn sách dịch vụ&gt; Isuzu</v>
      </c>
      <c r="G316" s="229" t="str">
        <f t="shared" ca="1" si="8"/>
        <v>"2084005594" : "Isuzu",</v>
      </c>
      <c r="H316" s="229" t="str">
        <f t="shared" si="9"/>
        <v>&lt;li class="col-md-3"&gt;&lt;a class="text-cut" href="javascript:;"(click)="categoryEvent(2084005594)"&gt;{{"2084005594" | translate}}&lt;/a&gt;&lt;/li&gt;</v>
      </c>
    </row>
    <row r="317" spans="1:8" ht="14.25" customHeight="1">
      <c r="A317" s="2">
        <v>2084018969</v>
      </c>
      <c r="B317" s="2" t="s">
        <v>4202</v>
      </c>
      <c r="C317" s="2" t="s">
        <v>5870</v>
      </c>
      <c r="D317" s="2" t="s">
        <v>5871</v>
      </c>
      <c r="E317" s="3" t="str">
        <f ca="1">IFERROR(__xludf.DUMMYFUNCTION("GOOGLETRANSLATE(B317,""ja"",""vi"")"),"Audi")</f>
        <v>Audi</v>
      </c>
      <c r="F317" s="3" t="str">
        <f ca="1">IFERROR(__xludf.DUMMYFUNCTION("GOOGLETRANSLATE(C317,""ja"",""vi"")"),"Đấu giá&gt; ô tô, xe máy&gt; Catalogue, danh sách phần, cuốn sách dịch vụ&gt; Audi")</f>
        <v>Đấu giá&gt; ô tô, xe máy&gt; Catalogue, danh sách phần, cuốn sách dịch vụ&gt; Audi</v>
      </c>
      <c r="G317" s="229" t="str">
        <f t="shared" ca="1" si="8"/>
        <v>"2084018969" : "Audi",</v>
      </c>
      <c r="H317" s="229" t="str">
        <f t="shared" si="9"/>
        <v>&lt;li class="col-md-3"&gt;&lt;a class="text-cut" href="javascript:;"(click)="categoryEvent(2084018969)"&gt;{{"2084018969" | translate}}&lt;/a&gt;&lt;/li&gt;</v>
      </c>
    </row>
    <row r="318" spans="1:8" ht="14.25" customHeight="1">
      <c r="A318" s="2">
        <v>2084018970</v>
      </c>
      <c r="B318" s="2" t="s">
        <v>5875</v>
      </c>
      <c r="C318" s="2" t="s">
        <v>5877</v>
      </c>
      <c r="D318" s="2" t="s">
        <v>5878</v>
      </c>
      <c r="E318" s="3" t="str">
        <f ca="1">IFERROR(__xludf.DUMMYFUNCTION("GOOGLETRANSLATE(B318,""ja"",""vi"")"),"Aston Martin")</f>
        <v>Aston Martin</v>
      </c>
      <c r="F318" s="3" t="str">
        <f ca="1">IFERROR(__xludf.DUMMYFUNCTION("GOOGLETRANSLATE(C318,""ja"",""vi"")"),"Đấu giá&gt; ô tô, xe máy&gt; Catalogue, danh sách phần, cuốn sách dịch vụ&gt; Aston Martin")</f>
        <v>Đấu giá&gt; ô tô, xe máy&gt; Catalogue, danh sách phần, cuốn sách dịch vụ&gt; Aston Martin</v>
      </c>
      <c r="G318" s="229" t="str">
        <f t="shared" ca="1" si="8"/>
        <v>"2084018970" : "Aston Martin",</v>
      </c>
      <c r="H318" s="229" t="str">
        <f t="shared" si="9"/>
        <v>&lt;li class="col-md-3"&gt;&lt;a class="text-cut" href="javascript:;"(click)="categoryEvent(2084018970)"&gt;{{"2084018970" | translate}}&lt;/a&gt;&lt;/li&gt;</v>
      </c>
    </row>
    <row r="319" spans="1:8" ht="14.25" customHeight="1">
      <c r="A319" s="2">
        <v>2084018971</v>
      </c>
      <c r="B319" s="2" t="s">
        <v>4389</v>
      </c>
      <c r="C319" s="2" t="s">
        <v>5883</v>
      </c>
      <c r="D319" s="2" t="s">
        <v>5884</v>
      </c>
      <c r="E319" s="3" t="str">
        <f ca="1">IFERROR(__xludf.DUMMYFUNCTION("GOOGLETRANSLATE(B319,""ja"",""vi"")"),"Alfa Romeo")</f>
        <v>Alfa Romeo</v>
      </c>
      <c r="F319" s="3" t="str">
        <f ca="1">IFERROR(__xludf.DUMMYFUNCTION("GOOGLETRANSLATE(C319,""ja"",""vi"")"),"Đấu giá&gt; ô tô, xe máy&gt; Catalogue, danh sách phần, cuốn sách dịch vụ&gt; Alfa Romeo")</f>
        <v>Đấu giá&gt; ô tô, xe máy&gt; Catalogue, danh sách phần, cuốn sách dịch vụ&gt; Alfa Romeo</v>
      </c>
      <c r="G319" s="229" t="str">
        <f t="shared" ca="1" si="8"/>
        <v>"2084018971" : "Alfa Romeo",</v>
      </c>
      <c r="H319" s="229" t="str">
        <f t="shared" si="9"/>
        <v>&lt;li class="col-md-3"&gt;&lt;a class="text-cut" href="javascript:;"(click)="categoryEvent(2084018971)"&gt;{{"2084018971" | translate}}&lt;/a&gt;&lt;/li&gt;</v>
      </c>
    </row>
    <row r="320" spans="1:8" ht="14.25" customHeight="1">
      <c r="A320" s="2">
        <v>2084018972</v>
      </c>
      <c r="B320" s="2" t="s">
        <v>4210</v>
      </c>
      <c r="C320" s="2" t="s">
        <v>5886</v>
      </c>
      <c r="D320" s="2" t="s">
        <v>5888</v>
      </c>
      <c r="E320" s="3" t="str">
        <f ca="1">IFERROR(__xludf.DUMMYFUNCTION("GOOGLETRANSLATE(B320,""ja"",""vi"")"),"Opel")</f>
        <v>Opel</v>
      </c>
      <c r="F320" s="3" t="str">
        <f ca="1">IFERROR(__xludf.DUMMYFUNCTION("GOOGLETRANSLATE(C320,""ja"",""vi"")"),"Đấu giá&gt; ô tô, xe máy&gt; Catalogue, danh sách phần, cuốn sách dịch vụ&gt; Opel")</f>
        <v>Đấu giá&gt; ô tô, xe máy&gt; Catalogue, danh sách phần, cuốn sách dịch vụ&gt; Opel</v>
      </c>
      <c r="G320" s="229" t="str">
        <f t="shared" ca="1" si="8"/>
        <v>"2084018972" : "Opel",</v>
      </c>
      <c r="H320" s="229" t="str">
        <f t="shared" si="9"/>
        <v>&lt;li class="col-md-3"&gt;&lt;a class="text-cut" href="javascript:;"(click)="categoryEvent(2084018972)"&gt;{{"2084018972" | translate}}&lt;/a&gt;&lt;/li&gt;</v>
      </c>
    </row>
    <row r="321" spans="1:8" ht="14.25" customHeight="1">
      <c r="A321" s="2">
        <v>2084018973</v>
      </c>
      <c r="B321" s="2" t="s">
        <v>4513</v>
      </c>
      <c r="C321" s="2" t="s">
        <v>5893</v>
      </c>
      <c r="D321" s="2" t="s">
        <v>5894</v>
      </c>
      <c r="E321" s="3" t="str">
        <f ca="1">IFERROR(__xludf.DUMMYFUNCTION("GOOGLETRANSLATE(B321,""ja"",""vi"")"),"Cadillac")</f>
        <v>Cadillac</v>
      </c>
      <c r="F321" s="3" t="str">
        <f ca="1">IFERROR(__xludf.DUMMYFUNCTION("GOOGLETRANSLATE(C321,""ja"",""vi"")"),"Đấu giá&gt; ô tô, xe máy&gt; Catalogue, danh sách phần, cuốn sách dịch vụ&gt; Cadillac")</f>
        <v>Đấu giá&gt; ô tô, xe máy&gt; Catalogue, danh sách phần, cuốn sách dịch vụ&gt; Cadillac</v>
      </c>
      <c r="G321" s="229" t="str">
        <f t="shared" ca="1" si="8"/>
        <v>"2084018973" : "Cadillac",</v>
      </c>
      <c r="H321" s="229" t="str">
        <f t="shared" si="9"/>
        <v>&lt;li class="col-md-3"&gt;&lt;a class="text-cut" href="javascript:;"(click)="categoryEvent(2084018973)"&gt;{{"2084018973" | translate}}&lt;/a&gt;&lt;/li&gt;</v>
      </c>
    </row>
    <row r="322" spans="1:8" ht="14.25" customHeight="1">
      <c r="A322" s="2">
        <v>2084018974</v>
      </c>
      <c r="B322" s="2" t="s">
        <v>4519</v>
      </c>
      <c r="C322" s="2" t="s">
        <v>5898</v>
      </c>
      <c r="D322" s="2" t="s">
        <v>5899</v>
      </c>
      <c r="E322" s="3" t="str">
        <f ca="1">IFERROR(__xludf.DUMMYFUNCTION("GOOGLETRANSLATE(B322,""ja"",""vi"")"),"Chrysler")</f>
        <v>Chrysler</v>
      </c>
      <c r="F322" s="3" t="str">
        <f ca="1">IFERROR(__xludf.DUMMYFUNCTION("GOOGLETRANSLATE(C322,""ja"",""vi"")"),"Đấu giá&gt; ô tô, xe máy&gt; Catalogue, danh sách phần, cuốn sách dịch vụ&gt; Chrysler")</f>
        <v>Đấu giá&gt; ô tô, xe máy&gt; Catalogue, danh sách phần, cuốn sách dịch vụ&gt; Chrysler</v>
      </c>
      <c r="G322" s="229" t="str">
        <f t="shared" ca="1" si="8"/>
        <v>"2084018974" : "Chrysler",</v>
      </c>
      <c r="H322" s="229" t="str">
        <f t="shared" si="9"/>
        <v>&lt;li class="col-md-3"&gt;&lt;a class="text-cut" href="javascript:;"(click)="categoryEvent(2084018974)"&gt;{{"2084018974" | translate}}&lt;/a&gt;&lt;/li&gt;</v>
      </c>
    </row>
    <row r="323" spans="1:8" ht="14.25" customHeight="1">
      <c r="A323" s="2">
        <v>2084018975</v>
      </c>
      <c r="B323" s="2" t="s">
        <v>4471</v>
      </c>
      <c r="C323" s="2" t="s">
        <v>5903</v>
      </c>
      <c r="D323" s="2" t="s">
        <v>5905</v>
      </c>
      <c r="E323" s="3" t="str">
        <f ca="1">IFERROR(__xludf.DUMMYFUNCTION("GOOGLETRANSLATE(B323,""ja"",""vi"")"),"phục vụ")</f>
        <v>phục vụ</v>
      </c>
      <c r="F323" s="3" t="str">
        <f ca="1">IFERROR(__xludf.DUMMYFUNCTION("GOOGLETRANSLATE(C323,""ja"",""vi"")"),"Đấu giá&gt; ô tô, xe máy&gt; Catalogue, danh sách phần, cuốn sách dịch vụ&gt; Saab")</f>
        <v>Đấu giá&gt; ô tô, xe máy&gt; Catalogue, danh sách phần, cuốn sách dịch vụ&gt; Saab</v>
      </c>
      <c r="G323" s="229" t="str">
        <f t="shared" ref="G323:G384" ca="1" si="10">CONCATENATE(CHAR(34)&amp;"",A323,""&amp;CHAR(34)," : ", CHAR(34)&amp;"",E323,""&amp;CHAR(34),",")</f>
        <v>"2084018975" : "phục vụ",</v>
      </c>
      <c r="H323" s="229" t="str">
        <f t="shared" ref="H323:H384" si="11">CONCATENATE("&lt;li class=",CHAR(34)&amp;"","col-md-3",""&amp;CHAR(34),"&gt;","&lt;a class=",CHAR(34)&amp;"","text-cut",""&amp;CHAR(34)," href=",CHAR(34)&amp;"","javascript:;",""&amp;CHAR(34), "(click)=",CHAR(34)&amp;"","categoryEvent(",A323,")",""&amp;CHAR(34),"&gt;{{",CHAR(34)&amp;"",A323,""&amp;CHAR(34)," | translate}}&lt;/a&gt;&lt;/li&gt;")</f>
        <v>&lt;li class="col-md-3"&gt;&lt;a class="text-cut" href="javascript:;"(click)="categoryEvent(2084018975)"&gt;{{"2084018975" | translate}}&lt;/a&gt;&lt;/li&gt;</v>
      </c>
    </row>
    <row r="324" spans="1:8" ht="14.25" customHeight="1">
      <c r="A324" s="2">
        <v>2084018976</v>
      </c>
      <c r="B324" s="2" t="s">
        <v>4526</v>
      </c>
      <c r="C324" s="2" t="s">
        <v>5907</v>
      </c>
      <c r="D324" s="2" t="s">
        <v>5909</v>
      </c>
      <c r="E324" s="3" t="str">
        <f ca="1">IFERROR(__xludf.DUMMYFUNCTION("GOOGLETRANSLATE(B324,""ja"",""vi"")"),"sao Thổ")</f>
        <v>sao Thổ</v>
      </c>
      <c r="F324" s="3" t="str">
        <f ca="1">IFERROR(__xludf.DUMMYFUNCTION("GOOGLETRANSLATE(C324,""ja"",""vi"")"),"Đấu giá&gt; ô tô, xe máy&gt; Catalogue, danh sách phần, cuốn sách dịch vụ&gt; Saturn")</f>
        <v>Đấu giá&gt; ô tô, xe máy&gt; Catalogue, danh sách phần, cuốn sách dịch vụ&gt; Saturn</v>
      </c>
      <c r="G324" s="229" t="str">
        <f t="shared" ca="1" si="10"/>
        <v>"2084018976" : "sao Thổ",</v>
      </c>
      <c r="H324" s="229" t="str">
        <f t="shared" si="11"/>
        <v>&lt;li class="col-md-3"&gt;&lt;a class="text-cut" href="javascript:;"(click)="categoryEvent(2084018976)"&gt;{{"2084018976" | translate}}&lt;/a&gt;&lt;/li&gt;</v>
      </c>
    </row>
    <row r="325" spans="1:8" ht="14.25" customHeight="1">
      <c r="A325" s="2">
        <v>2084018977</v>
      </c>
      <c r="B325" s="2" t="s">
        <v>4439</v>
      </c>
      <c r="C325" s="2" t="s">
        <v>5913</v>
      </c>
      <c r="D325" s="2" t="s">
        <v>5914</v>
      </c>
      <c r="E325" s="3" t="str">
        <f ca="1">IFERROR(__xludf.DUMMYFUNCTION("GOOGLETRANSLATE(B325,""ja"",""vi"")"),"Citroen")</f>
        <v>Citroen</v>
      </c>
      <c r="F325" s="3" t="str">
        <f ca="1">IFERROR(__xludf.DUMMYFUNCTION("GOOGLETRANSLATE(C325,""ja"",""vi"")"),"Đấu giá&gt; ô tô, xe máy&gt; Catalogue, danh sách phần, cuốn sách dịch vụ&gt; Citroen")</f>
        <v>Đấu giá&gt; ô tô, xe máy&gt; Catalogue, danh sách phần, cuốn sách dịch vụ&gt; Citroen</v>
      </c>
      <c r="G325" s="229" t="str">
        <f t="shared" ca="1" si="10"/>
        <v>"2084018977" : "Citroen",</v>
      </c>
      <c r="H325" s="229" t="str">
        <f t="shared" si="11"/>
        <v>&lt;li class="col-md-3"&gt;&lt;a class="text-cut" href="javascript:;"(click)="categoryEvent(2084018977)"&gt;{{"2084018977" | translate}}&lt;/a&gt;&lt;/li&gt;</v>
      </c>
    </row>
    <row r="326" spans="1:8" ht="14.25" customHeight="1">
      <c r="A326" s="2">
        <v>2084018978</v>
      </c>
      <c r="B326" s="2" t="s">
        <v>4534</v>
      </c>
      <c r="C326" s="2" t="s">
        <v>5921</v>
      </c>
      <c r="D326" s="2" t="s">
        <v>5923</v>
      </c>
      <c r="E326" s="3" t="str">
        <f ca="1">IFERROR(__xludf.DUMMYFUNCTION("GOOGLETRANSLATE(B326,""ja"",""vi"")"),"Chevrolet")</f>
        <v>Chevrolet</v>
      </c>
      <c r="F326" s="3" t="str">
        <f ca="1">IFERROR(__xludf.DUMMYFUNCTION("GOOGLETRANSLATE(C326,""ja"",""vi"")"),"Đấu giá&gt; ô tô, xe máy&gt; Catalogue, danh sách phần, cuốn sách dịch vụ&gt; Chevrolet")</f>
        <v>Đấu giá&gt; ô tô, xe máy&gt; Catalogue, danh sách phần, cuốn sách dịch vụ&gt; Chevrolet</v>
      </c>
      <c r="G326" s="229" t="str">
        <f t="shared" ca="1" si="10"/>
        <v>"2084018978" : "Chevrolet",</v>
      </c>
      <c r="H326" s="229" t="str">
        <f t="shared" si="11"/>
        <v>&lt;li class="col-md-3"&gt;&lt;a class="text-cut" href="javascript:;"(click)="categoryEvent(2084018978)"&gt;{{"2084018978" | translate}}&lt;/a&gt;&lt;/li&gt;</v>
      </c>
    </row>
    <row r="327" spans="1:8" ht="14.25" customHeight="1">
      <c r="A327" s="2">
        <v>2084018979</v>
      </c>
      <c r="B327" s="2" t="s">
        <v>4298</v>
      </c>
      <c r="C327" s="2" t="s">
        <v>5928</v>
      </c>
      <c r="D327" s="2" t="s">
        <v>5930</v>
      </c>
      <c r="E327" s="3" t="str">
        <f ca="1">IFERROR(__xludf.DUMMYFUNCTION("GOOGLETRANSLATE(B327,""ja"",""vi"")"),"giống beo ở mỹ")</f>
        <v>giống beo ở mỹ</v>
      </c>
      <c r="F327" s="3" t="str">
        <f ca="1">IFERROR(__xludf.DUMMYFUNCTION("GOOGLETRANSLATE(C327,""ja"",""vi"")"),"Đấu giá&gt; ô tô, xe máy&gt; Catalogue, danh sách phần, cuốn sách dịch vụ&gt; Jaguar")</f>
        <v>Đấu giá&gt; ô tô, xe máy&gt; Catalogue, danh sách phần, cuốn sách dịch vụ&gt; Jaguar</v>
      </c>
      <c r="G327" s="229" t="str">
        <f t="shared" ca="1" si="10"/>
        <v>"2084018979" : "giống beo ở mỹ",</v>
      </c>
      <c r="H327" s="229" t="str">
        <f t="shared" si="11"/>
        <v>&lt;li class="col-md-3"&gt;&lt;a class="text-cut" href="javascript:;"(click)="categoryEvent(2084018979)"&gt;{{"2084018979" | translate}}&lt;/a&gt;&lt;/li&gt;</v>
      </c>
    </row>
    <row r="328" spans="1:8" ht="14.25" customHeight="1">
      <c r="A328" s="2">
        <v>2084018980</v>
      </c>
      <c r="B328" s="2" t="s">
        <v>5936</v>
      </c>
      <c r="C328" s="2" t="s">
        <v>5937</v>
      </c>
      <c r="D328" s="2" t="s">
        <v>5941</v>
      </c>
      <c r="E328" s="3" t="str">
        <f ca="1">IFERROR(__xludf.DUMMYFUNCTION("GOOGLETRANSLATE(B328,""ja"",""vi"")"),"siêu Bảy")</f>
        <v>siêu Bảy</v>
      </c>
      <c r="F328" s="3" t="str">
        <f ca="1">IFERROR(__xludf.DUMMYFUNCTION("GOOGLETRANSLATE(C328,""ja"",""vi"")"),"Đấu giá&gt; ô tô, xe máy&gt; Catalogue, danh sách phần, cuốn sách dịch vụ&gt; Siêu Bảy")</f>
        <v>Đấu giá&gt; ô tô, xe máy&gt; Catalogue, danh sách phần, cuốn sách dịch vụ&gt; Siêu Bảy</v>
      </c>
      <c r="G328" s="229" t="str">
        <f t="shared" ca="1" si="10"/>
        <v>"2084018980" : "siêu Bảy",</v>
      </c>
      <c r="H328" s="229" t="str">
        <f t="shared" si="11"/>
        <v>&lt;li class="col-md-3"&gt;&lt;a class="text-cut" href="javascript:;"(click)="categoryEvent(2084018980)"&gt;{{"2084018980" | translate}}&lt;/a&gt;&lt;/li&gt;</v>
      </c>
    </row>
    <row r="329" spans="1:8" ht="14.25" customHeight="1">
      <c r="A329" s="2">
        <v>2084005589</v>
      </c>
      <c r="B329" s="2" t="s">
        <v>4112</v>
      </c>
      <c r="C329" s="2" t="s">
        <v>5945</v>
      </c>
      <c r="D329" s="2" t="s">
        <v>5948</v>
      </c>
      <c r="E329" s="3" t="str">
        <f ca="1">IFERROR(__xludf.DUMMYFUNCTION("GOOGLETRANSLATE(B329,""ja"",""vi"")"),"Suzuki")</f>
        <v>Suzuki</v>
      </c>
      <c r="F329" s="3" t="str">
        <f ca="1">IFERROR(__xludf.DUMMYFUNCTION("GOOGLETRANSLATE(C329,""ja"",""vi"")"),"Đấu giá&gt; ô tô, xe máy&gt; Catalogue, danh sách phần, cuốn sách dịch vụ&gt; Suzuki")</f>
        <v>Đấu giá&gt; ô tô, xe máy&gt; Catalogue, danh sách phần, cuốn sách dịch vụ&gt; Suzuki</v>
      </c>
      <c r="G329" s="229" t="str">
        <f t="shared" ca="1" si="10"/>
        <v>"2084005589" : "Suzuki",</v>
      </c>
      <c r="H329" s="229" t="str">
        <f t="shared" si="11"/>
        <v>&lt;li class="col-md-3"&gt;&lt;a class="text-cut" href="javascript:;"(click)="categoryEvent(2084005589)"&gt;{{"2084005589" | translate}}&lt;/a&gt;&lt;/li&gt;</v>
      </c>
    </row>
    <row r="330" spans="1:8" ht="14.25" customHeight="1">
      <c r="A330" s="2">
        <v>2084005590</v>
      </c>
      <c r="B330" s="2" t="s">
        <v>4120</v>
      </c>
      <c r="C330" s="2" t="s">
        <v>5950</v>
      </c>
      <c r="D330" s="2" t="s">
        <v>5952</v>
      </c>
      <c r="E330" s="3" t="str">
        <f ca="1">IFERROR(__xludf.DUMMYFUNCTION("GOOGLETRANSLATE(B330,""ja"",""vi"")"),"Subaru")</f>
        <v>Subaru</v>
      </c>
      <c r="F330" s="3" t="str">
        <f ca="1">IFERROR(__xludf.DUMMYFUNCTION("GOOGLETRANSLATE(C330,""ja"",""vi"")"),"Đấu giá&gt; ô tô, xe máy&gt; Catalogue, danh sách phần, cuốn sách dịch vụ&gt; Subaru")</f>
        <v>Đấu giá&gt; ô tô, xe máy&gt; Catalogue, danh sách phần, cuốn sách dịch vụ&gt; Subaru</v>
      </c>
      <c r="G330" s="229" t="str">
        <f t="shared" ca="1" si="10"/>
        <v>"2084005590" : "Subaru",</v>
      </c>
      <c r="H330" s="229" t="str">
        <f t="shared" si="11"/>
        <v>&lt;li class="col-md-3"&gt;&lt;a class="text-cut" href="javascript:;"(click)="categoryEvent(2084005590)"&gt;{{"2084005590" | translate}}&lt;/a&gt;&lt;/li&gt;</v>
      </c>
    </row>
    <row r="331" spans="1:8" ht="14.25" customHeight="1">
      <c r="A331" s="2">
        <v>2084005593</v>
      </c>
      <c r="B331" s="2" t="s">
        <v>4128</v>
      </c>
      <c r="C331" s="2" t="s">
        <v>5954</v>
      </c>
      <c r="D331" s="2" t="s">
        <v>5956</v>
      </c>
      <c r="E331" s="3" t="str">
        <f ca="1">IFERROR(__xludf.DUMMYFUNCTION("GOOGLETRANSLATE(B331,""ja"",""vi"")"),"Daihatsu")</f>
        <v>Daihatsu</v>
      </c>
      <c r="F331" s="3" t="str">
        <f ca="1">IFERROR(__xludf.DUMMYFUNCTION("GOOGLETRANSLATE(C331,""ja"",""vi"")"),"Đấu giá&gt; ô tô, xe máy&gt; Catalogue, danh sách phần, cuốn sách dịch vụ&gt; Daihatsu")</f>
        <v>Đấu giá&gt; ô tô, xe máy&gt; Catalogue, danh sách phần, cuốn sách dịch vụ&gt; Daihatsu</v>
      </c>
      <c r="G331" s="229" t="str">
        <f t="shared" ca="1" si="10"/>
        <v>"2084005593" : "Daihatsu",</v>
      </c>
      <c r="H331" s="229" t="str">
        <f t="shared" si="11"/>
        <v>&lt;li class="col-md-3"&gt;&lt;a class="text-cut" href="javascript:;"(click)="categoryEvent(2084005593)"&gt;{{"2084005593" | translate}}&lt;/a&gt;&lt;/li&gt;</v>
      </c>
    </row>
    <row r="332" spans="1:8" ht="14.25" customHeight="1">
      <c r="A332" s="2">
        <v>2084018981</v>
      </c>
      <c r="B332" s="2" t="s">
        <v>5961</v>
      </c>
      <c r="C332" s="2" t="s">
        <v>5962</v>
      </c>
      <c r="D332" s="2" t="s">
        <v>5966</v>
      </c>
      <c r="E332" s="3" t="str">
        <f ca="1">IFERROR(__xludf.DUMMYFUNCTION("GOOGLETRANSLATE(B332,""ja"",""vi"")"),"tránh")</f>
        <v>tránh</v>
      </c>
      <c r="F332" s="3" t="str">
        <f ca="1">IFERROR(__xludf.DUMMYFUNCTION("GOOGLETRANSLATE(C332,""ja"",""vi"")"),"Đấu giá&gt; ô tô, xe máy&gt; Catalogue, danh sách phần, cuốn sách dịch vụ&gt; Dodge")</f>
        <v>Đấu giá&gt; ô tô, xe máy&gt; Catalogue, danh sách phần, cuốn sách dịch vụ&gt; Dodge</v>
      </c>
      <c r="G332" s="229" t="str">
        <f t="shared" ca="1" si="10"/>
        <v>"2084018981" : "tránh",</v>
      </c>
      <c r="H332" s="229" t="str">
        <f t="shared" si="11"/>
        <v>&lt;li class="col-md-3"&gt;&lt;a class="text-cut" href="javascript:;"(click)="categoryEvent(2084018981)"&gt;{{"2084018981" | translate}}&lt;/a&gt;&lt;/li&gt;</v>
      </c>
    </row>
    <row r="333" spans="1:8" ht="14.25" customHeight="1">
      <c r="A333" s="2">
        <v>2084005586</v>
      </c>
      <c r="B333" s="2" t="s">
        <v>4089</v>
      </c>
      <c r="C333" s="2" t="s">
        <v>5971</v>
      </c>
      <c r="D333" s="2" t="s">
        <v>5974</v>
      </c>
      <c r="E333" s="3" t="str">
        <f ca="1">IFERROR(__xludf.DUMMYFUNCTION("GOOGLETRANSLATE(B333,""ja"",""vi"")"),"Toyota")</f>
        <v>Toyota</v>
      </c>
      <c r="F333" s="3" t="str">
        <f ca="1">IFERROR(__xludf.DUMMYFUNCTION("GOOGLETRANSLATE(C333,""ja"",""vi"")"),"Đấu giá&gt; ô tô, xe máy&gt; Catalogue, danh sách phần, cuốn sách dịch vụ&gt; Toyota")</f>
        <v>Đấu giá&gt; ô tô, xe máy&gt; Catalogue, danh sách phần, cuốn sách dịch vụ&gt; Toyota</v>
      </c>
      <c r="G333" s="229" t="str">
        <f t="shared" ca="1" si="10"/>
        <v>"2084005586" : "Toyota",</v>
      </c>
      <c r="H333" s="229" t="str">
        <f t="shared" si="11"/>
        <v>&lt;li class="col-md-3"&gt;&lt;a class="text-cut" href="javascript:;"(click)="categoryEvent(2084005586)"&gt;{{"2084005586" | translate}}&lt;/a&gt;&lt;/li&gt;</v>
      </c>
    </row>
    <row r="334" spans="1:8" ht="14.25" customHeight="1">
      <c r="A334" s="2">
        <v>2084018982</v>
      </c>
      <c r="B334" s="2" t="s">
        <v>4399</v>
      </c>
      <c r="C334" s="2" t="s">
        <v>5980</v>
      </c>
      <c r="D334" s="2" t="s">
        <v>5981</v>
      </c>
      <c r="E334" s="3" t="str">
        <f ca="1">IFERROR(__xludf.DUMMYFUNCTION("GOOGLETRANSLATE(B334,""ja"",""vi"")"),"sự đồng ý")</f>
        <v>sự đồng ý</v>
      </c>
      <c r="F334" s="3" t="str">
        <f ca="1">IFERROR(__xludf.DUMMYFUNCTION("GOOGLETRANSLATE(C334,""ja"",""vi"")"),"Đấu giá&gt; ô tô, xe máy&gt; Catalogue, danh sách phần, cuốn sách dịch vụ&gt; Fiat")</f>
        <v>Đấu giá&gt; ô tô, xe máy&gt; Catalogue, danh sách phần, cuốn sách dịch vụ&gt; Fiat</v>
      </c>
      <c r="G334" s="229" t="str">
        <f t="shared" ca="1" si="10"/>
        <v>"2084018982" : "sự đồng ý",</v>
      </c>
      <c r="H334" s="229" t="str">
        <f t="shared" si="11"/>
        <v>&lt;li class="col-md-3"&gt;&lt;a class="text-cut" href="javascript:;"(click)="categoryEvent(2084018982)"&gt;{{"2084018982" | translate}}&lt;/a&gt;&lt;/li&gt;</v>
      </c>
    </row>
    <row r="335" spans="1:8" ht="14.25" customHeight="1">
      <c r="A335" s="2">
        <v>2084018983</v>
      </c>
      <c r="B335" s="2" t="s">
        <v>4405</v>
      </c>
      <c r="C335" s="2" t="s">
        <v>5987</v>
      </c>
      <c r="D335" s="2" t="s">
        <v>5988</v>
      </c>
      <c r="E335" s="3" t="str">
        <f ca="1">IFERROR(__xludf.DUMMYFUNCTION("GOOGLETRANSLATE(B335,""ja"",""vi"")"),"Ferrari")</f>
        <v>Ferrari</v>
      </c>
      <c r="F335" s="3" t="str">
        <f ca="1">IFERROR(__xludf.DUMMYFUNCTION("GOOGLETRANSLATE(C335,""ja"",""vi"")"),"Đấu giá&gt; ô tô, xe máy&gt; Catalogue, danh sách phần, cuốn sách dịch vụ&gt; Ferrari")</f>
        <v>Đấu giá&gt; ô tô, xe máy&gt; Catalogue, danh sách phần, cuốn sách dịch vụ&gt; Ferrari</v>
      </c>
      <c r="G335" s="229" t="str">
        <f t="shared" ca="1" si="10"/>
        <v>"2084018983" : "Ferrari",</v>
      </c>
      <c r="H335" s="229" t="str">
        <f t="shared" si="11"/>
        <v>&lt;li class="col-md-3"&gt;&lt;a class="text-cut" href="javascript:;"(click)="categoryEvent(2084018983)"&gt;{{"2084018983" | translate}}&lt;/a&gt;&lt;/li&gt;</v>
      </c>
    </row>
    <row r="336" spans="1:8" ht="14.25" customHeight="1">
      <c r="A336" s="2">
        <v>2084018984</v>
      </c>
      <c r="B336" s="2" t="s">
        <v>4566</v>
      </c>
      <c r="C336" s="2" t="s">
        <v>5992</v>
      </c>
      <c r="D336" s="2" t="s">
        <v>5993</v>
      </c>
      <c r="E336" s="3" t="str">
        <f ca="1">IFERROR(__xludf.DUMMYFUNCTION("GOOGLETRANSLATE(B336,""ja"",""vi"")"),"xe hơi hiệu ford")</f>
        <v>xe hơi hiệu ford</v>
      </c>
      <c r="F336" s="3" t="str">
        <f ca="1">IFERROR(__xludf.DUMMYFUNCTION("GOOGLETRANSLATE(C336,""ja"",""vi"")"),"Đấu giá&gt; ô tô, xe máy&gt; Catalogue, danh sách phần, cuốn sách dịch vụ&gt; Ford")</f>
        <v>Đấu giá&gt; ô tô, xe máy&gt; Catalogue, danh sách phần, cuốn sách dịch vụ&gt; Ford</v>
      </c>
      <c r="G336" s="229" t="str">
        <f t="shared" ca="1" si="10"/>
        <v>"2084018984" : "xe hơi hiệu ford",</v>
      </c>
      <c r="H336" s="229" t="str">
        <f t="shared" si="11"/>
        <v>&lt;li class="col-md-3"&gt;&lt;a class="text-cut" href="javascript:;"(click)="categoryEvent(2084018984)"&gt;{{"2084018984" | translate}}&lt;/a&gt;&lt;/li&gt;</v>
      </c>
    </row>
    <row r="337" spans="1:8" ht="14.25" customHeight="1">
      <c r="A337" s="2">
        <v>2084018985</v>
      </c>
      <c r="B337" s="2" t="s">
        <v>4225</v>
      </c>
      <c r="C337" s="2" t="s">
        <v>5997</v>
      </c>
      <c r="D337" s="2" t="s">
        <v>5999</v>
      </c>
      <c r="E337" s="3" t="str">
        <f ca="1">IFERROR(__xludf.DUMMYFUNCTION("GOOGLETRANSLATE(B337,""ja"",""vi"")"),"Volkswagen")</f>
        <v>Volkswagen</v>
      </c>
      <c r="F337" s="3" t="str">
        <f ca="1">IFERROR(__xludf.DUMMYFUNCTION("GOOGLETRANSLATE(C337,""ja"",""vi"")"),"Đấu giá&gt; ô tô, xe máy&gt; Catalogue, danh sách phần, cuốn sách dịch vụ&gt; Volkswagen")</f>
        <v>Đấu giá&gt; ô tô, xe máy&gt; Catalogue, danh sách phần, cuốn sách dịch vụ&gt; Volkswagen</v>
      </c>
      <c r="G337" s="229" t="str">
        <f t="shared" ca="1" si="10"/>
        <v>"2084018985" : "Volkswagen",</v>
      </c>
      <c r="H337" s="229" t="str">
        <f t="shared" si="11"/>
        <v>&lt;li class="col-md-3"&gt;&lt;a class="text-cut" href="javascript:;"(click)="categoryEvent(2084018985)"&gt;{{"2084018985" | translate}}&lt;/a&gt;&lt;/li&gt;</v>
      </c>
    </row>
    <row r="338" spans="1:8" ht="14.25" customHeight="1">
      <c r="A338" s="2">
        <v>2084018986</v>
      </c>
      <c r="B338" s="2" t="s">
        <v>6002</v>
      </c>
      <c r="C338" s="2" t="s">
        <v>6003</v>
      </c>
      <c r="D338" s="2" t="s">
        <v>6006</v>
      </c>
      <c r="E338" s="3" t="str">
        <f ca="1">IFERROR(__xludf.DUMMYFUNCTION("GOOGLETRANSLATE(B338,""ja"",""vi"")"),"Bugatti")</f>
        <v>Bugatti</v>
      </c>
      <c r="F338" s="3" t="str">
        <f ca="1">IFERROR(__xludf.DUMMYFUNCTION("GOOGLETRANSLATE(C338,""ja"",""vi"")"),"Đấu giá&gt; ô tô, xe máy&gt; Catalogue, danh sách phần, cuốn sách dịch vụ&gt; Bugatti")</f>
        <v>Đấu giá&gt; ô tô, xe máy&gt; Catalogue, danh sách phần, cuốn sách dịch vụ&gt; Bugatti</v>
      </c>
      <c r="G338" s="229" t="str">
        <f t="shared" ca="1" si="10"/>
        <v>"2084018986" : "Bugatti",</v>
      </c>
      <c r="H338" s="229" t="str">
        <f t="shared" si="11"/>
        <v>&lt;li class="col-md-3"&gt;&lt;a class="text-cut" href="javascript:;"(click)="categoryEvent(2084018986)"&gt;{{"2084018986" | translate}}&lt;/a&gt;&lt;/li&gt;</v>
      </c>
    </row>
    <row r="339" spans="1:8" ht="14.25" customHeight="1">
      <c r="A339" s="2">
        <v>2084018987</v>
      </c>
      <c r="B339" s="2" t="s">
        <v>4450</v>
      </c>
      <c r="C339" s="2" t="s">
        <v>6010</v>
      </c>
      <c r="D339" s="2" t="s">
        <v>6012</v>
      </c>
      <c r="E339" s="3" t="str">
        <f ca="1">IFERROR(__xludf.DUMMYFUNCTION("GOOGLETRANSLATE(B339,""ja"",""vi"")"),"Peugeot")</f>
        <v>Peugeot</v>
      </c>
      <c r="F339" s="3" t="str">
        <f ca="1">IFERROR(__xludf.DUMMYFUNCTION("GOOGLETRANSLATE(C339,""ja"",""vi"")"),"Đấu giá&gt; ô tô, xe máy&gt; Catalogue, danh sách phần, cuốn sách dịch vụ&gt; Peugeot")</f>
        <v>Đấu giá&gt; ô tô, xe máy&gt; Catalogue, danh sách phần, cuốn sách dịch vụ&gt; Peugeot</v>
      </c>
      <c r="G339" s="229" t="str">
        <f t="shared" ca="1" si="10"/>
        <v>"2084018987" : "Peugeot",</v>
      </c>
      <c r="H339" s="229" t="str">
        <f t="shared" si="11"/>
        <v>&lt;li class="col-md-3"&gt;&lt;a class="text-cut" href="javascript:;"(click)="categoryEvent(2084018987)"&gt;{{"2084018987" | translate}}&lt;/a&gt;&lt;/li&gt;</v>
      </c>
    </row>
    <row r="340" spans="1:8" ht="14.25" customHeight="1">
      <c r="A340" s="2">
        <v>2084018988</v>
      </c>
      <c r="B340" s="2" t="s">
        <v>4325</v>
      </c>
      <c r="C340" s="2" t="s">
        <v>6015</v>
      </c>
      <c r="D340" s="2" t="s">
        <v>6016</v>
      </c>
      <c r="E340" s="3" t="str">
        <f ca="1">IFERROR(__xludf.DUMMYFUNCTION("GOOGLETRANSLATE(B340,""ja"",""vi"")"),"Bentley")</f>
        <v>Bentley</v>
      </c>
      <c r="F340" s="3" t="str">
        <f ca="1">IFERROR(__xludf.DUMMYFUNCTION("GOOGLETRANSLATE(C340,""ja"",""vi"")"),"Đấu giá&gt; ô tô, xe máy&gt; Catalogue, danh sách phần, cuốn sách dịch vụ&gt; Bentley")</f>
        <v>Đấu giá&gt; ô tô, xe máy&gt; Catalogue, danh sách phần, cuốn sách dịch vụ&gt; Bentley</v>
      </c>
      <c r="G340" s="229" t="str">
        <f t="shared" ca="1" si="10"/>
        <v>"2084018988" : "Bentley",</v>
      </c>
      <c r="H340" s="229" t="str">
        <f t="shared" si="11"/>
        <v>&lt;li class="col-md-3"&gt;&lt;a class="text-cut" href="javascript:;"(click)="categoryEvent(2084018988)"&gt;{{"2084018988" | translate}}&lt;/a&gt;&lt;/li&gt;</v>
      </c>
    </row>
    <row r="341" spans="1:8" ht="14.25" customHeight="1">
      <c r="A341" s="2">
        <v>2084005588</v>
      </c>
      <c r="B341" s="2" t="s">
        <v>4135</v>
      </c>
      <c r="C341" s="2" t="s">
        <v>6019</v>
      </c>
      <c r="D341" s="2" t="s">
        <v>6020</v>
      </c>
      <c r="E341" s="3" t="str">
        <f ca="1">IFERROR(__xludf.DUMMYFUNCTION("GOOGLETRANSLATE(B341,""ja"",""vi"")"),"Honda")</f>
        <v>Honda</v>
      </c>
      <c r="F341" s="3" t="str">
        <f ca="1">IFERROR(__xludf.DUMMYFUNCTION("GOOGLETRANSLATE(C341,""ja"",""vi"")"),"Đấu giá&gt; ô tô, xe máy&gt; Catalogue, danh sách phần, cuốn sách dịch vụ&gt; Honda")</f>
        <v>Đấu giá&gt; ô tô, xe máy&gt; Catalogue, danh sách phần, cuốn sách dịch vụ&gt; Honda</v>
      </c>
      <c r="G341" s="229" t="str">
        <f t="shared" ca="1" si="10"/>
        <v>"2084005588" : "Honda",</v>
      </c>
      <c r="H341" s="229" t="str">
        <f t="shared" si="11"/>
        <v>&lt;li class="col-md-3"&gt;&lt;a class="text-cut" href="javascript:;"(click)="categoryEvent(2084005588)"&gt;{{"2084005588" | translate}}&lt;/a&gt;&lt;/li&gt;</v>
      </c>
    </row>
    <row r="342" spans="1:8" ht="14.25" customHeight="1">
      <c r="A342" s="2">
        <v>2084018989</v>
      </c>
      <c r="B342" s="2" t="s">
        <v>4478</v>
      </c>
      <c r="C342" s="2" t="s">
        <v>6023</v>
      </c>
      <c r="D342" s="2" t="s">
        <v>6024</v>
      </c>
      <c r="E342" s="3" t="str">
        <f ca="1">IFERROR(__xludf.DUMMYFUNCTION("GOOGLETRANSLATE(B342,""ja"",""vi"")"),"Volvo")</f>
        <v>Volvo</v>
      </c>
      <c r="F342" s="3" t="str">
        <f ca="1">IFERROR(__xludf.DUMMYFUNCTION("GOOGLETRANSLATE(C342,""ja"",""vi"")"),"Đấu giá&gt; ô tô, xe máy&gt; Catalogue, danh sách phần, cuốn sách dịch vụ&gt; Volvo")</f>
        <v>Đấu giá&gt; ô tô, xe máy&gt; Catalogue, danh sách phần, cuốn sách dịch vụ&gt; Volvo</v>
      </c>
      <c r="G342" s="229" t="str">
        <f t="shared" ca="1" si="10"/>
        <v>"2084018989" : "Volvo",</v>
      </c>
      <c r="H342" s="229" t="str">
        <f t="shared" si="11"/>
        <v>&lt;li class="col-md-3"&gt;&lt;a class="text-cut" href="javascript:;"(click)="categoryEvent(2084018989)"&gt;{{"2084018989" | translate}}&lt;/a&gt;&lt;/li&gt;</v>
      </c>
    </row>
    <row r="343" spans="1:8" ht="14.25" customHeight="1">
      <c r="A343" s="2">
        <v>2084005596</v>
      </c>
      <c r="B343" s="2" t="s">
        <v>4238</v>
      </c>
      <c r="C343" s="2" t="s">
        <v>6025</v>
      </c>
      <c r="D343" s="2" t="s">
        <v>6026</v>
      </c>
      <c r="E343" s="3" t="str">
        <f ca="1">IFERROR(__xludf.DUMMYFUNCTION("GOOGLETRANSLATE(B343,""ja"",""vi"")"),"Porsche")</f>
        <v>Porsche</v>
      </c>
      <c r="F343" s="3" t="str">
        <f ca="1">IFERROR(__xludf.DUMMYFUNCTION("GOOGLETRANSLATE(C343,""ja"",""vi"")"),"Đấu giá&gt; ô tô, xe máy&gt; Catalogue, danh sách phần, cuốn sách dịch vụ&gt; Porsche")</f>
        <v>Đấu giá&gt; ô tô, xe máy&gt; Catalogue, danh sách phần, cuốn sách dịch vụ&gt; Porsche</v>
      </c>
      <c r="G343" s="229" t="str">
        <f t="shared" ca="1" si="10"/>
        <v>"2084005596" : "Porsche",</v>
      </c>
      <c r="H343" s="229" t="str">
        <f t="shared" si="11"/>
        <v>&lt;li class="col-md-3"&gt;&lt;a class="text-cut" href="javascript:;"(click)="categoryEvent(2084005596)"&gt;{{"2084005596" | translate}}&lt;/a&gt;&lt;/li&gt;</v>
      </c>
    </row>
    <row r="344" spans="1:8" ht="14.25" customHeight="1">
      <c r="A344" s="2">
        <v>2084018990</v>
      </c>
      <c r="B344" s="2" t="s">
        <v>6029</v>
      </c>
      <c r="C344" s="2" t="s">
        <v>6030</v>
      </c>
      <c r="D344" s="2" t="s">
        <v>6031</v>
      </c>
      <c r="E344" s="3" t="str">
        <f ca="1">IFERROR(__xludf.DUMMYFUNCTION("GOOGLETRANSLATE(B344,""ja"",""vi"")"),"Maserati")</f>
        <v>Maserati</v>
      </c>
      <c r="F344" s="3" t="str">
        <f ca="1">IFERROR(__xludf.DUMMYFUNCTION("GOOGLETRANSLATE(C344,""ja"",""vi"")"),"Đấu giá&gt; ô tô, xe máy&gt; Catalogue, danh sách phần, cuốn sách dịch vụ&gt; Maserati")</f>
        <v>Đấu giá&gt; ô tô, xe máy&gt; Catalogue, danh sách phần, cuốn sách dịch vụ&gt; Maserati</v>
      </c>
      <c r="G344" s="229" t="str">
        <f t="shared" ca="1" si="10"/>
        <v>"2084018990" : "Maserati",</v>
      </c>
      <c r="H344" s="229" t="str">
        <f t="shared" si="11"/>
        <v>&lt;li class="col-md-3"&gt;&lt;a class="text-cut" href="javascript:;"(click)="categoryEvent(2084018990)"&gt;{{"2084018990" | translate}}&lt;/a&gt;&lt;/li&gt;</v>
      </c>
    </row>
    <row r="345" spans="1:8" ht="14.25" customHeight="1">
      <c r="A345" s="2">
        <v>2084005591</v>
      </c>
      <c r="B345" s="2" t="s">
        <v>4141</v>
      </c>
      <c r="C345" s="2" t="s">
        <v>6032</v>
      </c>
      <c r="D345" s="2" t="s">
        <v>6033</v>
      </c>
      <c r="E345" s="3" t="str">
        <f ca="1">IFERROR(__xludf.DUMMYFUNCTION("GOOGLETRANSLATE(B345,""ja"",""vi"")"),"Mazda")</f>
        <v>Mazda</v>
      </c>
      <c r="F345" s="3" t="str">
        <f ca="1">IFERROR(__xludf.DUMMYFUNCTION("GOOGLETRANSLATE(C345,""ja"",""vi"")"),"Đấu giá&gt; ô tô, xe máy&gt; Catalogue, danh sách phần, cuốn sách dịch vụ&gt; Mazda")</f>
        <v>Đấu giá&gt; ô tô, xe máy&gt; Catalogue, danh sách phần, cuốn sách dịch vụ&gt; Mazda</v>
      </c>
      <c r="G345" s="229" t="str">
        <f t="shared" ca="1" si="10"/>
        <v>"2084005591" : "Mazda",</v>
      </c>
      <c r="H345" s="229" t="str">
        <f t="shared" si="11"/>
        <v>&lt;li class="col-md-3"&gt;&lt;a class="text-cut" href="javascript:;"(click)="categoryEvent(2084005591)"&gt;{{"2084005591" | translate}}&lt;/a&gt;&lt;/li&gt;</v>
      </c>
    </row>
    <row r="346" spans="1:8" ht="14.25" customHeight="1">
      <c r="A346" s="2">
        <v>2084018991</v>
      </c>
      <c r="B346" s="2" t="s">
        <v>4337</v>
      </c>
      <c r="C346" s="2" t="s">
        <v>6034</v>
      </c>
      <c r="D346" s="2" t="s">
        <v>6035</v>
      </c>
      <c r="E346" s="3" t="str">
        <f ca="1">IFERROR(__xludf.DUMMYFUNCTION("GOOGLETRANSLATE(B346,""ja"",""vi"")"),"Mini")</f>
        <v>Mini</v>
      </c>
      <c r="F346" s="3" t="str">
        <f ca="1">IFERROR(__xludf.DUMMYFUNCTION("GOOGLETRANSLATE(C346,""ja"",""vi"")"),"Đấu giá&gt; ô tô, xe máy&gt; Catalogue, danh sách phần, cuốn sách dịch vụ&gt; Mini")</f>
        <v>Đấu giá&gt; ô tô, xe máy&gt; Catalogue, danh sách phần, cuốn sách dịch vụ&gt; Mini</v>
      </c>
      <c r="G346" s="229" t="str">
        <f t="shared" ca="1" si="10"/>
        <v>"2084018991" : "Mini",</v>
      </c>
      <c r="H346" s="229" t="str">
        <f t="shared" si="11"/>
        <v>&lt;li class="col-md-3"&gt;&lt;a class="text-cut" href="javascript:;"(click)="categoryEvent(2084018991)"&gt;{{"2084018991" | translate}}&lt;/a&gt;&lt;/li&gt;</v>
      </c>
    </row>
    <row r="347" spans="1:8" ht="14.25" customHeight="1">
      <c r="A347" s="2">
        <v>2084005597</v>
      </c>
      <c r="B347" s="2" t="s">
        <v>4246</v>
      </c>
      <c r="C347" s="2" t="s">
        <v>6038</v>
      </c>
      <c r="D347" s="2" t="s">
        <v>6039</v>
      </c>
      <c r="E347" s="3" t="str">
        <f ca="1">IFERROR(__xludf.DUMMYFUNCTION("GOOGLETRANSLATE(B347,""ja"",""vi"")"),"Mercedes-Benz")</f>
        <v>Mercedes-Benz</v>
      </c>
      <c r="F347" s="3" t="str">
        <f ca="1">IFERROR(__xludf.DUMMYFUNCTION("GOOGLETRANSLATE(C347,""ja"",""vi"")"),"Đấu giá&gt; ô tô, xe máy&gt; Catalogue, danh sách phần, cuốn sách dịch vụ&gt; Mercedes-Benz")</f>
        <v>Đấu giá&gt; ô tô, xe máy&gt; Catalogue, danh sách phần, cuốn sách dịch vụ&gt; Mercedes-Benz</v>
      </c>
      <c r="G347" s="229" t="str">
        <f t="shared" ca="1" si="10"/>
        <v>"2084005597" : "Mercedes-Benz",</v>
      </c>
      <c r="H347" s="229" t="str">
        <f t="shared" si="11"/>
        <v>&lt;li class="col-md-3"&gt;&lt;a class="text-cut" href="javascript:;"(click)="categoryEvent(2084005597)"&gt;{{"2084005597" | translate}}&lt;/a&gt;&lt;/li&gt;</v>
      </c>
    </row>
    <row r="348" spans="1:8" ht="14.25" customHeight="1">
      <c r="A348" s="2">
        <v>2084018992</v>
      </c>
      <c r="B348" s="2" t="s">
        <v>4424</v>
      </c>
      <c r="C348" s="2" t="s">
        <v>6040</v>
      </c>
      <c r="D348" s="2" t="s">
        <v>6041</v>
      </c>
      <c r="E348" s="3" t="str">
        <f ca="1">IFERROR(__xludf.DUMMYFUNCTION("GOOGLETRANSLATE(B348,""ja"",""vi"")"),"Lancia")</f>
        <v>Lancia</v>
      </c>
      <c r="F348" s="3" t="str">
        <f ca="1">IFERROR(__xludf.DUMMYFUNCTION("GOOGLETRANSLATE(C348,""ja"",""vi"")"),"Đấu giá&gt; ô tô, xe máy&gt; Catalogue, danh sách phần, cuốn sách dịch vụ&gt; Lancia")</f>
        <v>Đấu giá&gt; ô tô, xe máy&gt; Catalogue, danh sách phần, cuốn sách dịch vụ&gt; Lancia</v>
      </c>
      <c r="G348" s="229" t="str">
        <f t="shared" ca="1" si="10"/>
        <v>"2084018992" : "Lancia",</v>
      </c>
      <c r="H348" s="229" t="str">
        <f t="shared" si="11"/>
        <v>&lt;li class="col-md-3"&gt;&lt;a class="text-cut" href="javascript:;"(click)="categoryEvent(2084018992)"&gt;{{"2084018992" | translate}}&lt;/a&gt;&lt;/li&gt;</v>
      </c>
    </row>
    <row r="349" spans="1:8" ht="14.25" customHeight="1">
      <c r="A349" s="2">
        <v>2084018993</v>
      </c>
      <c r="B349" s="2" t="s">
        <v>4429</v>
      </c>
      <c r="C349" s="2" t="s">
        <v>6044</v>
      </c>
      <c r="D349" s="2" t="s">
        <v>6045</v>
      </c>
      <c r="E349" s="3" t="str">
        <f ca="1">IFERROR(__xludf.DUMMYFUNCTION("GOOGLETRANSLATE(B349,""ja"",""vi"")"),"Lamborghini")</f>
        <v>Lamborghini</v>
      </c>
      <c r="F349" s="3" t="str">
        <f ca="1">IFERROR(__xludf.DUMMYFUNCTION("GOOGLETRANSLATE(C349,""ja"",""vi"")"),"Đấu giá&gt; ô tô, xe máy&gt; Catalogue, danh sách phần, cuốn sách dịch vụ&gt; Lamborghini")</f>
        <v>Đấu giá&gt; ô tô, xe máy&gt; Catalogue, danh sách phần, cuốn sách dịch vụ&gt; Lamborghini</v>
      </c>
      <c r="G349" s="229" t="str">
        <f t="shared" ca="1" si="10"/>
        <v>"2084018993" : "Lamborghini",</v>
      </c>
      <c r="H349" s="229" t="str">
        <f t="shared" si="11"/>
        <v>&lt;li class="col-md-3"&gt;&lt;a class="text-cut" href="javascript:;"(click)="categoryEvent(2084018993)"&gt;{{"2084018993" | translate}}&lt;/a&gt;&lt;/li&gt;</v>
      </c>
    </row>
    <row r="350" spans="1:8" ht="14.25" customHeight="1">
      <c r="A350" s="2">
        <v>2084018994</v>
      </c>
      <c r="B350" s="2" t="s">
        <v>4460</v>
      </c>
      <c r="C350" s="2" t="s">
        <v>6047</v>
      </c>
      <c r="D350" s="2" t="s">
        <v>6048</v>
      </c>
      <c r="E350" s="3" t="str">
        <f ca="1">IFERROR(__xludf.DUMMYFUNCTION("GOOGLETRANSLATE(B350,""ja"",""vi"")"),"Renault")</f>
        <v>Renault</v>
      </c>
      <c r="F350" s="3" t="str">
        <f ca="1">IFERROR(__xludf.DUMMYFUNCTION("GOOGLETRANSLATE(C350,""ja"",""vi"")"),"Đấu giá&gt; ô tô, xe máy&gt; Catalogue, danh sách phần, cuốn sách dịch vụ&gt; Renault")</f>
        <v>Đấu giá&gt; ô tô, xe máy&gt; Catalogue, danh sách phần, cuốn sách dịch vụ&gt; Renault</v>
      </c>
      <c r="G350" s="229" t="str">
        <f t="shared" ca="1" si="10"/>
        <v>"2084018994" : "Renault",</v>
      </c>
      <c r="H350" s="229" t="str">
        <f t="shared" si="11"/>
        <v>&lt;li class="col-md-3"&gt;&lt;a class="text-cut" href="javascript:;"(click)="categoryEvent(2084018994)"&gt;{{"2084018994" | translate}}&lt;/a&gt;&lt;/li&gt;</v>
      </c>
    </row>
    <row r="351" spans="1:8" ht="14.25" customHeight="1">
      <c r="A351" s="2">
        <v>2084230501</v>
      </c>
      <c r="B351" s="2" t="s">
        <v>4097</v>
      </c>
      <c r="C351" s="2" t="s">
        <v>6050</v>
      </c>
      <c r="D351" s="2" t="s">
        <v>6051</v>
      </c>
      <c r="E351" s="3" t="str">
        <f ca="1">IFERROR(__xludf.DUMMYFUNCTION("GOOGLETRANSLATE(B351,""ja"",""vi"")"),"Lexus")</f>
        <v>Lexus</v>
      </c>
      <c r="F351" s="3" t="str">
        <f ca="1">IFERROR(__xludf.DUMMYFUNCTION("GOOGLETRANSLATE(C351,""ja"",""vi"")"),"Đấu giá&gt; ô tô, xe máy&gt; Catalogue, danh sách phần, cuốn sách dịch vụ&gt; Lexus")</f>
        <v>Đấu giá&gt; ô tô, xe máy&gt; Catalogue, danh sách phần, cuốn sách dịch vụ&gt; Lexus</v>
      </c>
      <c r="G351" s="229" t="str">
        <f t="shared" ca="1" si="10"/>
        <v>"2084230501" : "Lexus",</v>
      </c>
      <c r="H351" s="229" t="str">
        <f t="shared" si="11"/>
        <v>&lt;li class="col-md-3"&gt;&lt;a class="text-cut" href="javascript:;"(click)="categoryEvent(2084230501)"&gt;{{"2084230501" | translate}}&lt;/a&gt;&lt;/li&gt;</v>
      </c>
    </row>
    <row r="352" spans="1:8" ht="14.25" customHeight="1">
      <c r="A352" s="2">
        <v>2084018995</v>
      </c>
      <c r="B352" s="2" t="s">
        <v>4362</v>
      </c>
      <c r="C352" s="2" t="s">
        <v>6055</v>
      </c>
      <c r="D352" s="2" t="s">
        <v>6056</v>
      </c>
      <c r="E352" s="3" t="str">
        <f ca="1">IFERROR(__xludf.DUMMYFUNCTION("GOOGLETRANSLATE(B352,""ja"",""vi"")"),"Lotus")</f>
        <v>Lotus</v>
      </c>
      <c r="F352" s="3" t="str">
        <f ca="1">IFERROR(__xludf.DUMMYFUNCTION("GOOGLETRANSLATE(C352,""ja"",""vi"")"),"Đấu giá&gt; ô tô, xe máy&gt; Catalogue, danh sách phần, cuốn sách dịch vụ&gt; Lotus")</f>
        <v>Đấu giá&gt; ô tô, xe máy&gt; Catalogue, danh sách phần, cuốn sách dịch vụ&gt; Lotus</v>
      </c>
      <c r="G352" s="229" t="str">
        <f t="shared" ca="1" si="10"/>
        <v>"2084018995" : "Lotus",</v>
      </c>
      <c r="H352" s="229" t="str">
        <f t="shared" si="11"/>
        <v>&lt;li class="col-md-3"&gt;&lt;a class="text-cut" href="javascript:;"(click)="categoryEvent(2084018995)"&gt;{{"2084018995" | translate}}&lt;/a&gt;&lt;/li&gt;</v>
      </c>
    </row>
    <row r="353" spans="1:8" ht="14.25" customHeight="1">
      <c r="A353" s="2">
        <v>2084018996</v>
      </c>
      <c r="B353" s="2" t="s">
        <v>4370</v>
      </c>
      <c r="C353" s="2" t="s">
        <v>6059</v>
      </c>
      <c r="D353" s="2" t="s">
        <v>6060</v>
      </c>
      <c r="E353" s="3" t="str">
        <f ca="1">IFERROR(__xludf.DUMMYFUNCTION("GOOGLETRANSLATE(B353,""ja"",""vi"")"),"người đi lang thang")</f>
        <v>người đi lang thang</v>
      </c>
      <c r="F353" s="3" t="str">
        <f ca="1">IFERROR(__xludf.DUMMYFUNCTION("GOOGLETRANSLATE(C353,""ja"",""vi"")"),"Đấu giá&gt; ô tô, xe máy&gt; Catalogue, danh sách phần, cuốn sách dịch vụ&gt; Rover")</f>
        <v>Đấu giá&gt; ô tô, xe máy&gt; Catalogue, danh sách phần, cuốn sách dịch vụ&gt; Rover</v>
      </c>
      <c r="G353" s="229" t="str">
        <f t="shared" ca="1" si="10"/>
        <v>"2084018996" : "người đi lang thang",</v>
      </c>
      <c r="H353" s="229" t="str">
        <f t="shared" si="11"/>
        <v>&lt;li class="col-md-3"&gt;&lt;a class="text-cut" href="javascript:;"(click)="categoryEvent(2084018996)"&gt;{{"2084018996" | translate}}&lt;/a&gt;&lt;/li&gt;</v>
      </c>
    </row>
    <row r="354" spans="1:8" ht="14.25" customHeight="1">
      <c r="A354" s="2">
        <v>2084018997</v>
      </c>
      <c r="B354" s="2" t="s">
        <v>6064</v>
      </c>
      <c r="C354" s="2" t="s">
        <v>6065</v>
      </c>
      <c r="D354" s="2" t="s">
        <v>6066</v>
      </c>
      <c r="E354" s="3" t="str">
        <f ca="1">IFERROR(__xludf.DUMMYFUNCTION("GOOGLETRANSLATE(B354,""ja"",""vi"")"),"Rolls-Royce")</f>
        <v>Rolls-Royce</v>
      </c>
      <c r="F354" s="3" t="str">
        <f ca="1">IFERROR(__xludf.DUMMYFUNCTION("GOOGLETRANSLATE(C354,""ja"",""vi"")"),"Đấu giá&gt; ô tô, xe máy&gt; Catalogue, danh sách phần, cuốn sách dịch vụ&gt; Rolls-Royce")</f>
        <v>Đấu giá&gt; ô tô, xe máy&gt; Catalogue, danh sách phần, cuốn sách dịch vụ&gt; Rolls-Royce</v>
      </c>
      <c r="G354" s="229" t="str">
        <f t="shared" ca="1" si="10"/>
        <v>"2084018997" : "Rolls-Royce",</v>
      </c>
      <c r="H354" s="229" t="str">
        <f t="shared" si="11"/>
        <v>&lt;li class="col-md-3"&gt;&lt;a class="text-cut" href="javascript:;"(click)="categoryEvent(2084018997)"&gt;{{"2084018997" | translate}}&lt;/a&gt;&lt;/li&gt;</v>
      </c>
    </row>
    <row r="355" spans="1:8" ht="14.25" customHeight="1">
      <c r="A355" s="2">
        <v>2084005592</v>
      </c>
      <c r="B355" s="2" t="s">
        <v>4158</v>
      </c>
      <c r="C355" s="2" t="s">
        <v>6069</v>
      </c>
      <c r="D355" s="2" t="s">
        <v>6070</v>
      </c>
      <c r="E355" s="3" t="str">
        <f ca="1">IFERROR(__xludf.DUMMYFUNCTION("GOOGLETRANSLATE(B355,""ja"",""vi"")"),"Mitsubishi")</f>
        <v>Mitsubishi</v>
      </c>
      <c r="F355" s="3" t="str">
        <f ca="1">IFERROR(__xludf.DUMMYFUNCTION("GOOGLETRANSLATE(C355,""ja"",""vi"")"),"Đấu giá&gt; ô tô, xe máy&gt; Catalogue, danh sách phần, cuốn sách dịch vụ&gt; Mitsubishi")</f>
        <v>Đấu giá&gt; ô tô, xe máy&gt; Catalogue, danh sách phần, cuốn sách dịch vụ&gt; Mitsubishi</v>
      </c>
      <c r="G355" s="229" t="str">
        <f t="shared" ca="1" si="10"/>
        <v>"2084005592" : "Mitsubishi",</v>
      </c>
      <c r="H355" s="229" t="str">
        <f t="shared" si="11"/>
        <v>&lt;li class="col-md-3"&gt;&lt;a class="text-cut" href="javascript:;"(click)="categoryEvent(2084005592)"&gt;{{"2084005592" | translate}}&lt;/a&gt;&lt;/li&gt;</v>
      </c>
    </row>
    <row r="356" spans="1:8" ht="14.25" customHeight="1">
      <c r="A356" s="2">
        <v>2084005587</v>
      </c>
      <c r="B356" s="2" t="s">
        <v>4166</v>
      </c>
      <c r="C356" s="2" t="s">
        <v>6072</v>
      </c>
      <c r="D356" s="2" t="s">
        <v>6073</v>
      </c>
      <c r="E356" s="3" t="str">
        <f ca="1">IFERROR(__xludf.DUMMYFUNCTION("GOOGLETRANSLATE(B356,""ja"",""vi"")"),"Nissan")</f>
        <v>Nissan</v>
      </c>
      <c r="F356" s="3" t="str">
        <f ca="1">IFERROR(__xludf.DUMMYFUNCTION("GOOGLETRANSLATE(C356,""ja"",""vi"")"),"Đấu giá&gt; xe hơi, xe máy&gt; Catalogue, danh sách phần, cuốn sách dịch vụ&gt; Nissan")</f>
        <v>Đấu giá&gt; xe hơi, xe máy&gt; Catalogue, danh sách phần, cuốn sách dịch vụ&gt; Nissan</v>
      </c>
      <c r="G356" s="229" t="str">
        <f t="shared" ca="1" si="10"/>
        <v>"2084005587" : "Nissan",</v>
      </c>
      <c r="H356" s="229" t="str">
        <f t="shared" si="11"/>
        <v>&lt;li class="col-md-3"&gt;&lt;a class="text-cut" href="javascript:;"(click)="categoryEvent(2084005587)"&gt;{{"2084005587" | translate}}&lt;/a&gt;&lt;/li&gt;</v>
      </c>
    </row>
    <row r="357" spans="1:8" ht="14.25" customHeight="1">
      <c r="A357" s="2">
        <v>2084005598</v>
      </c>
      <c r="B357" s="2" t="s">
        <v>16</v>
      </c>
      <c r="C357" s="2" t="s">
        <v>6075</v>
      </c>
      <c r="D357" s="2" t="s">
        <v>6076</v>
      </c>
      <c r="E357" s="3" t="str">
        <f ca="1">IFERROR(__xludf.DUMMYFUNCTION("GOOGLETRANSLATE(B357,""ja"",""vi"")"),"nếu không thì")</f>
        <v>nếu không thì</v>
      </c>
      <c r="F357" s="3" t="str">
        <f ca="1">IFERROR(__xludf.DUMMYFUNCTION("GOOGLETRANSLATE(C357,""ja"",""vi"")"),"Đấu giá&gt; ô tô, xe máy&gt; Catalogue, danh sách phần, cuốn sách dịch vụ&gt; Khác")</f>
        <v>Đấu giá&gt; ô tô, xe máy&gt; Catalogue, danh sách phần, cuốn sách dịch vụ&gt; Khác</v>
      </c>
      <c r="G357" s="229" t="str">
        <f t="shared" ca="1" si="10"/>
        <v>"2084005598" : "nếu không thì",</v>
      </c>
      <c r="H357" s="229" t="str">
        <f t="shared" si="11"/>
        <v>&lt;li class="col-md-3"&gt;&lt;a class="text-cut" href="javascript:;"(click)="categoryEvent(2084005598)"&gt;{{"2084005598" | translate}}&lt;/a&gt;&lt;/li&gt;</v>
      </c>
    </row>
    <row r="358" spans="1:8" ht="14.25" customHeight="1">
      <c r="E358" s="3"/>
      <c r="F358" s="3"/>
      <c r="G358" s="229"/>
      <c r="H358" s="229"/>
    </row>
    <row r="359" spans="1:8" ht="14.25" customHeight="1">
      <c r="A359" s="245">
        <v>2084005546</v>
      </c>
      <c r="B359" s="232"/>
      <c r="C359" s="232"/>
      <c r="D359" s="233"/>
      <c r="E359" s="3"/>
      <c r="F359" s="3"/>
      <c r="G359" s="229"/>
      <c r="H359" s="229"/>
    </row>
    <row r="360" spans="1:8" ht="14.25" customHeight="1">
      <c r="A360" s="2">
        <v>2084019953</v>
      </c>
      <c r="B360" s="2" t="s">
        <v>6077</v>
      </c>
      <c r="C360" s="2" t="s">
        <v>6078</v>
      </c>
      <c r="D360" s="2" t="s">
        <v>6079</v>
      </c>
      <c r="E360" s="3" t="str">
        <f ca="1">IFERROR(__xludf.DUMMYFUNCTION("GOOGLETRANSLATE(B360,""ja"",""vi"")"),"quần áo")</f>
        <v>quần áo</v>
      </c>
      <c r="F360" s="3" t="str">
        <f ca="1">IFERROR(__xludf.DUMMYFUNCTION("GOOGLETRANSLATE(C360,""ja"",""vi"")"),"Đấu giá&gt; ô tô, xe máy&gt; hàng ô tô liên quan đến&gt; quần áo")</f>
        <v>Đấu giá&gt; ô tô, xe máy&gt; hàng ô tô liên quan đến&gt; quần áo</v>
      </c>
      <c r="G360" s="229" t="str">
        <f t="shared" ca="1" si="10"/>
        <v>"2084019953" : "quần áo",</v>
      </c>
      <c r="H360" s="229" t="str">
        <f t="shared" si="11"/>
        <v>&lt;li class="col-md-3"&gt;&lt;a class="text-cut" href="javascript:;"(click)="categoryEvent(2084019953)"&gt;{{"2084019953" | translate}}&lt;/a&gt;&lt;/li&gt;</v>
      </c>
    </row>
    <row r="361" spans="1:8" ht="14.25" customHeight="1">
      <c r="A361" s="2">
        <v>2084005812</v>
      </c>
      <c r="B361" s="2" t="s">
        <v>306</v>
      </c>
      <c r="C361" s="2" t="s">
        <v>6080</v>
      </c>
      <c r="D361" s="2" t="s">
        <v>6081</v>
      </c>
      <c r="E361" s="3" t="str">
        <f ca="1">IFERROR(__xludf.DUMMYFUNCTION("GOOGLETRANSLATE(B361,""ja"",""vi"")"),"key Chains")</f>
        <v>key Chains</v>
      </c>
      <c r="F361" s="3" t="str">
        <f ca="1">IFERROR(__xludf.DUMMYFUNCTION("GOOGLETRANSLATE(C361,""ja"",""vi"")"),"Đấu giá&gt; ô tô, xe máy&gt; hàng ô tô liên quan đến&gt; Keychain")</f>
        <v>Đấu giá&gt; ô tô, xe máy&gt; hàng ô tô liên quan đến&gt; Keychain</v>
      </c>
      <c r="G361" s="229" t="str">
        <f t="shared" ca="1" si="10"/>
        <v>"2084005812" : "key Chains",</v>
      </c>
      <c r="H361" s="229" t="str">
        <f t="shared" si="11"/>
        <v>&lt;li class="col-md-3"&gt;&lt;a class="text-cut" href="javascript:;"(click)="categoryEvent(2084005812)"&gt;{{"2084005812" | translate}}&lt;/a&gt;&lt;/li&gt;</v>
      </c>
    </row>
    <row r="362" spans="1:8" ht="14.25" customHeight="1">
      <c r="A362" s="2">
        <v>2084007924</v>
      </c>
      <c r="B362" s="2" t="s">
        <v>5310</v>
      </c>
      <c r="C362" s="2" t="s">
        <v>6082</v>
      </c>
      <c r="D362" s="2" t="s">
        <v>6083</v>
      </c>
      <c r="E362" s="3" t="str">
        <f ca="1">IFERROR(__xludf.DUMMYFUNCTION("GOOGLETRANSLATE(B362,""ja"",""vi"")"),"Sticker, decal")</f>
        <v>Sticker, decal</v>
      </c>
      <c r="F362" s="3" t="str">
        <f ca="1">IFERROR(__xludf.DUMMYFUNCTION("GOOGLETRANSLATE(C362,""ja"",""vi"")"),"Đấu giá&gt; ô tô, xe máy&gt; hàng ô tô liên quan đến&gt; dán, decal")</f>
        <v>Đấu giá&gt; ô tô, xe máy&gt; hàng ô tô liên quan đến&gt; dán, decal</v>
      </c>
      <c r="G362" s="229" t="str">
        <f t="shared" ca="1" si="10"/>
        <v>"2084007924" : "Sticker, decal",</v>
      </c>
      <c r="H362" s="229" t="str">
        <f t="shared" si="11"/>
        <v>&lt;li class="col-md-3"&gt;&lt;a class="text-cut" href="javascript:;"(click)="categoryEvent(2084007924)"&gt;{{"2084007924" | translate}}&lt;/a&gt;&lt;/li&gt;</v>
      </c>
    </row>
    <row r="363" spans="1:8" ht="14.25" customHeight="1">
      <c r="A363" s="2">
        <v>2084007950</v>
      </c>
      <c r="B363" s="2" t="s">
        <v>389</v>
      </c>
      <c r="C363" s="2" t="s">
        <v>6084</v>
      </c>
      <c r="D363" s="2" t="s">
        <v>6085</v>
      </c>
      <c r="E363" s="3" t="str">
        <f ca="1">IFERROR(__xludf.DUMMYFUNCTION("GOOGLETRANSLATE(B363,""ja"",""vi"")"),"thẻ điện thoại")</f>
        <v>thẻ điện thoại</v>
      </c>
      <c r="F363" s="3" t="str">
        <f ca="1">IFERROR(__xludf.DUMMYFUNCTION("GOOGLETRANSLATE(C363,""ja"",""vi"")"),"Đấu giá&gt; ô tô, xe máy&gt; hàng ô tô liên quan đến&gt; Thẻ điện thoại")</f>
        <v>Đấu giá&gt; ô tô, xe máy&gt; hàng ô tô liên quan đến&gt; Thẻ điện thoại</v>
      </c>
      <c r="G363" s="229" t="str">
        <f t="shared" ca="1" si="10"/>
        <v>"2084007950" : "thẻ điện thoại",</v>
      </c>
      <c r="H363" s="229" t="str">
        <f t="shared" si="11"/>
        <v>&lt;li class="col-md-3"&gt;&lt;a class="text-cut" href="javascript:;"(click)="categoryEvent(2084007950)"&gt;{{"2084007950" | translate}}&lt;/a&gt;&lt;/li&gt;</v>
      </c>
    </row>
    <row r="364" spans="1:8" ht="14.25" customHeight="1">
      <c r="A364" s="2">
        <v>2084047456</v>
      </c>
      <c r="B364" s="2" t="s">
        <v>6086</v>
      </c>
      <c r="C364" s="2" t="s">
        <v>6087</v>
      </c>
      <c r="D364" s="2" t="s">
        <v>6088</v>
      </c>
      <c r="E364" s="3" t="str">
        <f ca="1">IFERROR(__xludf.DUMMYFUNCTION("GOOGLETRANSLATE(B364,""ja"",""vi"")"),"Race liên quan")</f>
        <v>Race liên quan</v>
      </c>
      <c r="F364" s="3" t="str">
        <f ca="1">IFERROR(__xludf.DUMMYFUNCTION("GOOGLETRANSLATE(C364,""ja"",""vi"")"),"Đấu giá&gt; ô tô, xe máy&gt; hàng ô tô liên quan đến&gt; chủng tộc liên quan đến")</f>
        <v>Đấu giá&gt; ô tô, xe máy&gt; hàng ô tô liên quan đến&gt; chủng tộc liên quan đến</v>
      </c>
      <c r="G364" s="229" t="str">
        <f t="shared" ca="1" si="10"/>
        <v>"2084047456" : "Race liên quan",</v>
      </c>
      <c r="H364" s="229" t="str">
        <f t="shared" si="11"/>
        <v>&lt;li class="col-md-3"&gt;&lt;a class="text-cut" href="javascript:;"(click)="categoryEvent(2084047456)"&gt;{{"2084047456" | translate}}&lt;/a&gt;&lt;/li&gt;</v>
      </c>
    </row>
    <row r="365" spans="1:8" ht="14.25" customHeight="1">
      <c r="A365" s="2">
        <v>2084019956</v>
      </c>
      <c r="B365" s="2" t="s">
        <v>1601</v>
      </c>
      <c r="C365" s="2" t="s">
        <v>6089</v>
      </c>
      <c r="D365" s="2" t="s">
        <v>6091</v>
      </c>
      <c r="E365" s="3" t="str">
        <f ca="1">IFERROR(__xludf.DUMMYFUNCTION("GOOGLETRANSLATE(B365,""ja"",""vi"")"),"Văn phòng phẩm")</f>
        <v>Văn phòng phẩm</v>
      </c>
      <c r="F365" s="3" t="str">
        <f ca="1">IFERROR(__xludf.DUMMYFUNCTION("GOOGLETRANSLATE(C365,""ja"",""vi"")"),"Đấu giá&gt; ô tô, xe máy&gt; hàng ô tô liên quan đến&gt; Văn phòng phẩm")</f>
        <v>Đấu giá&gt; ô tô, xe máy&gt; hàng ô tô liên quan đến&gt; Văn phòng phẩm</v>
      </c>
      <c r="G365" s="229" t="str">
        <f t="shared" ca="1" si="10"/>
        <v>"2084019956" : "Văn phòng phẩm",</v>
      </c>
      <c r="H365" s="229" t="str">
        <f t="shared" si="11"/>
        <v>&lt;li class="col-md-3"&gt;&lt;a class="text-cut" href="javascript:;"(click)="categoryEvent(2084019956)"&gt;{{"2084019956" | translate}}&lt;/a&gt;&lt;/li&gt;</v>
      </c>
    </row>
    <row r="366" spans="1:8" ht="14.25" customHeight="1">
      <c r="A366" s="2">
        <v>2084015625</v>
      </c>
      <c r="B366" s="2" t="s">
        <v>4889</v>
      </c>
      <c r="C366" s="2" t="s">
        <v>6093</v>
      </c>
      <c r="D366" s="2" t="s">
        <v>6094</v>
      </c>
      <c r="E366" s="3" t="str">
        <f ca="1">IFERROR(__xludf.DUMMYFUNCTION("GOOGLETRANSLATE(B366,""ja"",""vi"")"),"ô tô Brands")</f>
        <v>ô tô Brands</v>
      </c>
      <c r="F366" s="3" t="str">
        <f ca="1">IFERROR(__xludf.DUMMYFUNCTION("GOOGLETRANSLATE(C366,""ja"",""vi"")"),"Đấu giá&gt; ô tô, xe máy&gt; hàng ô tô liên quan đến&gt; Auto Brands")</f>
        <v>Đấu giá&gt; ô tô, xe máy&gt; hàng ô tô liên quan đến&gt; Auto Brands</v>
      </c>
      <c r="G366" s="229" t="str">
        <f t="shared" ca="1" si="10"/>
        <v>"2084015625" : "ô tô Brands",</v>
      </c>
      <c r="H366" s="229" t="str">
        <f t="shared" si="11"/>
        <v>&lt;li class="col-md-3"&gt;&lt;a class="text-cut" href="javascript:;"(click)="categoryEvent(2084015625)"&gt;{{"2084015625" | translate}}&lt;/a&gt;&lt;/li&gt;</v>
      </c>
    </row>
    <row r="367" spans="1:8" ht="14.25" customHeight="1">
      <c r="A367" s="2">
        <v>2084019957</v>
      </c>
      <c r="B367" s="2" t="s">
        <v>16</v>
      </c>
      <c r="C367" s="2" t="s">
        <v>6097</v>
      </c>
      <c r="D367" s="2" t="s">
        <v>6099</v>
      </c>
      <c r="E367" s="3" t="str">
        <f ca="1">IFERROR(__xludf.DUMMYFUNCTION("GOOGLETRANSLATE(B367,""ja"",""vi"")"),"nếu không thì")</f>
        <v>nếu không thì</v>
      </c>
      <c r="F367" s="3" t="str">
        <f ca="1">IFERROR(__xludf.DUMMYFUNCTION("GOOGLETRANSLATE(C367,""ja"",""vi"")"),"Đấu giá&gt; ô tô, xe máy&gt; hàng ô tô liên quan đến&gt; Khác")</f>
        <v>Đấu giá&gt; ô tô, xe máy&gt; hàng ô tô liên quan đến&gt; Khác</v>
      </c>
      <c r="G367" s="229" t="str">
        <f t="shared" ca="1" si="10"/>
        <v>"2084019957" : "nếu không thì",</v>
      </c>
      <c r="H367" s="229" t="str">
        <f t="shared" si="11"/>
        <v>&lt;li class="col-md-3"&gt;&lt;a class="text-cut" href="javascript:;"(click)="categoryEvent(2084019957)"&gt;{{"2084019957" | translate}}&lt;/a&gt;&lt;/li&gt;</v>
      </c>
    </row>
    <row r="368" spans="1:8" ht="14.25" customHeight="1">
      <c r="E368" s="3"/>
      <c r="F368" s="3"/>
      <c r="G368" s="229"/>
      <c r="H368" s="229"/>
    </row>
    <row r="369" spans="1:8" ht="14.25" customHeight="1">
      <c r="A369" s="246">
        <v>2084018483</v>
      </c>
      <c r="B369" s="232"/>
      <c r="C369" s="232"/>
      <c r="D369" s="233"/>
      <c r="E369" s="3"/>
      <c r="F369" s="3"/>
      <c r="G369" s="229"/>
      <c r="H369" s="229"/>
    </row>
    <row r="370" spans="1:8" ht="14.25" customHeight="1">
      <c r="A370" s="2">
        <v>2084018484</v>
      </c>
      <c r="B370" s="2" t="s">
        <v>3876</v>
      </c>
      <c r="C370" s="2" t="s">
        <v>6103</v>
      </c>
      <c r="D370" s="2" t="s">
        <v>6104</v>
      </c>
      <c r="E370" s="3" t="str">
        <f ca="1">IFERROR(__xludf.DUMMYFUNCTION("GOOGLETRANSLATE(B370,""ja"",""vi"")"),"bộ phận")</f>
        <v>bộ phận</v>
      </c>
      <c r="F370" s="3" t="str">
        <f ca="1">IFERROR(__xludf.DUMMYFUNCTION("GOOGLETRANSLATE(C370,""ja"",""vi"")"),"Đấu giá&gt; thể thao, giải trí&gt; thể thao khác&gt; xe đua&gt; đua giỏ hàng&gt; phần")</f>
        <v>Đấu giá&gt; thể thao, giải trí&gt; thể thao khác&gt; xe đua&gt; đua giỏ hàng&gt; phần</v>
      </c>
      <c r="G370" s="229" t="str">
        <f t="shared" ca="1" si="10"/>
        <v>"2084018484" : "bộ phận",</v>
      </c>
      <c r="H370" s="229" t="str">
        <f t="shared" si="11"/>
        <v>&lt;li class="col-md-3"&gt;&lt;a class="text-cut" href="javascript:;"(click)="categoryEvent(2084018484)"&gt;{{"2084018484" | translate}}&lt;/a&gt;&lt;/li&gt;</v>
      </c>
    </row>
    <row r="371" spans="1:8" ht="14.25" customHeight="1">
      <c r="A371" s="2">
        <v>2084018485</v>
      </c>
      <c r="B371" s="2" t="s">
        <v>5609</v>
      </c>
      <c r="C371" s="2" t="s">
        <v>6109</v>
      </c>
      <c r="D371" s="2" t="s">
        <v>6110</v>
      </c>
      <c r="E371" s="3" t="str">
        <f ca="1">IFERROR(__xludf.DUMMYFUNCTION("GOOGLETRANSLATE(B371,""ja"",""vi"")"),"cơ thể")</f>
        <v>cơ thể</v>
      </c>
      <c r="F371" s="3" t="str">
        <f ca="1">IFERROR(__xludf.DUMMYFUNCTION("GOOGLETRANSLATE(C371,""ja"",""vi"")"),"Đấu giá&gt; thể thao, giải trí&gt; thể thao khác&gt; xe đua&gt; đua giỏ&gt; thân")</f>
        <v>Đấu giá&gt; thể thao, giải trí&gt; thể thao khác&gt; xe đua&gt; đua giỏ&gt; thân</v>
      </c>
      <c r="G371" s="229" t="str">
        <f t="shared" ca="1" si="10"/>
        <v>"2084018485" : "cơ thể",</v>
      </c>
      <c r="H371" s="229" t="str">
        <f t="shared" si="11"/>
        <v>&lt;li class="col-md-3"&gt;&lt;a class="text-cut" href="javascript:;"(click)="categoryEvent(2084018485)"&gt;{{"2084018485" | translate}}&lt;/a&gt;&lt;/li&gt;</v>
      </c>
    </row>
    <row r="372" spans="1:8" ht="14.25" customHeight="1">
      <c r="A372" s="2">
        <v>2084018486</v>
      </c>
      <c r="B372" s="2" t="s">
        <v>16</v>
      </c>
      <c r="C372" s="2" t="s">
        <v>6112</v>
      </c>
      <c r="D372" s="2" t="s">
        <v>6115</v>
      </c>
      <c r="E372" s="3" t="str">
        <f ca="1">IFERROR(__xludf.DUMMYFUNCTION("GOOGLETRANSLATE(B372,""ja"",""vi"")"),"nếu không thì")</f>
        <v>nếu không thì</v>
      </c>
      <c r="F372" s="3" t="str">
        <f ca="1">IFERROR(__xludf.DUMMYFUNCTION("GOOGLETRANSLATE(C372,""ja"",""vi"")"),"Đấu giá&gt; thể thao, giải trí&gt; thể thao khác&gt; xe đua&gt; đua giỏ hàng&gt; Khác")</f>
        <v>Đấu giá&gt; thể thao, giải trí&gt; thể thao khác&gt; xe đua&gt; đua giỏ hàng&gt; Khác</v>
      </c>
      <c r="G372" s="229" t="str">
        <f t="shared" ca="1" si="10"/>
        <v>"2084018486" : "nếu không thì",</v>
      </c>
      <c r="H372" s="229" t="str">
        <f t="shared" si="11"/>
        <v>&lt;li class="col-md-3"&gt;&lt;a class="text-cut" href="javascript:;"(click)="categoryEvent(2084018486)"&gt;{{"2084018486" | translate}}&lt;/a&gt;&lt;/li&gt;</v>
      </c>
    </row>
    <row r="373" spans="1:8" ht="14.25" customHeight="1">
      <c r="E373" s="3"/>
      <c r="F373" s="3"/>
      <c r="G373" s="229"/>
      <c r="H373" s="229"/>
    </row>
    <row r="374" spans="1:8" ht="14.25" customHeight="1">
      <c r="A374" s="267">
        <v>2084008871</v>
      </c>
      <c r="B374" s="232"/>
      <c r="C374" s="232"/>
      <c r="D374" s="233"/>
      <c r="E374" s="3"/>
      <c r="F374" s="3"/>
      <c r="G374" s="229"/>
      <c r="H374" s="229"/>
    </row>
    <row r="375" spans="1:8" ht="14.25" customHeight="1">
      <c r="A375" s="2">
        <v>2084008872</v>
      </c>
      <c r="B375" s="2" t="s">
        <v>6126</v>
      </c>
      <c r="C375" s="2" t="s">
        <v>6127</v>
      </c>
      <c r="D375" s="2" t="s">
        <v>6128</v>
      </c>
      <c r="E375" s="3" t="str">
        <f ca="1">IFERROR(__xludf.DUMMYFUNCTION("GOOGLETRANSLATE(B375,""ja"",""vi"")"),"xe chung")</f>
        <v>xe chung</v>
      </c>
      <c r="F375" s="3" t="str">
        <f ca="1">IFERROR(__xludf.DUMMYFUNCTION("GOOGLETRANSLATE(C375,""ja"",""vi"")"),"Đấu giá&gt; cuốn sách, tạp chí&gt; sở thích, thể thao, sử dụng thực tế&gt; ô tô&gt; chung ô tô")</f>
        <v>Đấu giá&gt; cuốn sách, tạp chí&gt; sở thích, thể thao, sử dụng thực tế&gt; ô tô&gt; chung ô tô</v>
      </c>
      <c r="G375" s="229" t="str">
        <f t="shared" ca="1" si="10"/>
        <v>"2084008872" : "xe chung",</v>
      </c>
      <c r="H375" s="229" t="str">
        <f t="shared" si="11"/>
        <v>&lt;li class="col-md-3"&gt;&lt;a class="text-cut" href="javascript:;"(click)="categoryEvent(2084008872)"&gt;{{"2084008872" | translate}}&lt;/a&gt;&lt;/li&gt;</v>
      </c>
    </row>
    <row r="376" spans="1:8" ht="14.25" customHeight="1">
      <c r="A376" s="2">
        <v>2084008873</v>
      </c>
      <c r="B376" s="2" t="s">
        <v>6131</v>
      </c>
      <c r="C376" s="2" t="s">
        <v>6134</v>
      </c>
      <c r="D376" s="2" t="s">
        <v>6136</v>
      </c>
      <c r="E376" s="3" t="str">
        <f ca="1">IFERROR(__xludf.DUMMYFUNCTION("GOOGLETRANSLATE(B376,""ja"",""vi"")"),"cơ chế")</f>
        <v>cơ chế</v>
      </c>
      <c r="F376" s="3" t="str">
        <f ca="1">IFERROR(__xludf.DUMMYFUNCTION("GOOGLETRANSLATE(C376,""ja"",""vi"")"),"Đấu giá&gt; cuốn sách, tạp chí&gt; sở thích, thể thao, sử dụng thực tế&gt; ô tô&gt; cơ chế")</f>
        <v>Đấu giá&gt; cuốn sách, tạp chí&gt; sở thích, thể thao, sử dụng thực tế&gt; ô tô&gt; cơ chế</v>
      </c>
      <c r="G376" s="229" t="str">
        <f t="shared" ca="1" si="10"/>
        <v>"2084008873" : "cơ chế",</v>
      </c>
      <c r="H376" s="229" t="str">
        <f t="shared" si="11"/>
        <v>&lt;li class="col-md-3"&gt;&lt;a class="text-cut" href="javascript:;"(click)="categoryEvent(2084008873)"&gt;{{"2084008873" | translate}}&lt;/a&gt;&lt;/li&gt;</v>
      </c>
    </row>
    <row r="377" spans="1:8" ht="14.25" customHeight="1">
      <c r="A377" s="2">
        <v>2084008874</v>
      </c>
      <c r="B377" s="2" t="s">
        <v>3941</v>
      </c>
      <c r="C377" s="2" t="s">
        <v>6138</v>
      </c>
      <c r="D377" s="2" t="s">
        <v>6139</v>
      </c>
      <c r="E377" s="3" t="str">
        <f ca="1">IFERROR(__xludf.DUMMYFUNCTION("GOOGLETRANSLATE(B377,""ja"",""vi"")"),"bảo trì")</f>
        <v>bảo trì</v>
      </c>
      <c r="F377" s="3" t="str">
        <f ca="1">IFERROR(__xludf.DUMMYFUNCTION("GOOGLETRANSLATE(C377,""ja"",""vi"")"),"Đấu giá&gt; cuốn sách, tạp chí&gt; sở thích, thể thao, sử dụng thực tế&gt; ô tô&gt; bảo trì")</f>
        <v>Đấu giá&gt; cuốn sách, tạp chí&gt; sở thích, thể thao, sử dụng thực tế&gt; ô tô&gt; bảo trì</v>
      </c>
      <c r="G377" s="229" t="str">
        <f t="shared" ca="1" si="10"/>
        <v>"2084008874" : "bảo trì",</v>
      </c>
      <c r="H377" s="229" t="str">
        <f t="shared" si="11"/>
        <v>&lt;li class="col-md-3"&gt;&lt;a class="text-cut" href="javascript:;"(click)="categoryEvent(2084008874)"&gt;{{"2084008874" | translate}}&lt;/a&gt;&lt;/li&gt;</v>
      </c>
    </row>
    <row r="378" spans="1:8" ht="14.25" customHeight="1">
      <c r="A378" s="2">
        <v>2084008099</v>
      </c>
      <c r="B378" s="2" t="s">
        <v>351</v>
      </c>
      <c r="C378" s="2" t="s">
        <v>6143</v>
      </c>
      <c r="D378" s="2" t="s">
        <v>6147</v>
      </c>
      <c r="E378" s="3" t="str">
        <f ca="1">IFERROR(__xludf.DUMMYFUNCTION("GOOGLETRANSLATE(B378,""ja"",""vi"")"),"tạp chí")</f>
        <v>tạp chí</v>
      </c>
      <c r="F378" s="3" t="str">
        <f ca="1">IFERROR(__xludf.DUMMYFUNCTION("GOOGLETRANSLATE(C378,""ja"",""vi"")"),"Đấu giá&gt; cuốn sách, tạp chí&gt; sở thích, thể thao, sử dụng thực tế&gt; ô tô&gt; tạp chí")</f>
        <v>Đấu giá&gt; cuốn sách, tạp chí&gt; sở thích, thể thao, sử dụng thực tế&gt; ô tô&gt; tạp chí</v>
      </c>
      <c r="G378" s="229" t="str">
        <f t="shared" ca="1" si="10"/>
        <v>"2084008099" : "tạp chí",</v>
      </c>
      <c r="H378" s="229" t="str">
        <f t="shared" si="11"/>
        <v>&lt;li class="col-md-3"&gt;&lt;a class="text-cut" href="javascript:;"(click)="categoryEvent(2084008099)"&gt;{{"2084008099" | translate}}&lt;/a&gt;&lt;/li&gt;</v>
      </c>
    </row>
    <row r="379" spans="1:8" ht="14.25" customHeight="1">
      <c r="A379" s="2">
        <v>2084008875</v>
      </c>
      <c r="B379" s="2" t="s">
        <v>6157</v>
      </c>
      <c r="C379" s="2" t="s">
        <v>6159</v>
      </c>
      <c r="D379" s="2" t="s">
        <v>6160</v>
      </c>
      <c r="E379" s="3" t="str">
        <f ca="1">IFERROR(__xludf.DUMMYFUNCTION("GOOGLETRANSLATE(B379,""ja"",""vi"")"),"Bằng lái xe")</f>
        <v>Bằng lái xe</v>
      </c>
      <c r="F379" s="3" t="str">
        <f ca="1">IFERROR(__xludf.DUMMYFUNCTION("GOOGLETRANSLATE(C379,""ja"",""vi"")"),"Đấu giá&gt; cuốn sách, tạp chí&gt; sở thích, thể thao, sử dụng thực tế&gt; ô tô&gt; mua lại giấy phép")</f>
        <v>Đấu giá&gt; cuốn sách, tạp chí&gt; sở thích, thể thao, sử dụng thực tế&gt; ô tô&gt; mua lại giấy phép</v>
      </c>
      <c r="G379" s="229" t="str">
        <f t="shared" ca="1" si="10"/>
        <v>"2084008875" : "Bằng lái xe",</v>
      </c>
      <c r="H379" s="229" t="str">
        <f t="shared" si="11"/>
        <v>&lt;li class="col-md-3"&gt;&lt;a class="text-cut" href="javascript:;"(click)="categoryEvent(2084008875)"&gt;{{"2084008875" | translate}}&lt;/a&gt;&lt;/li&gt;</v>
      </c>
    </row>
    <row r="380" spans="1:8" ht="14.25" customHeight="1">
      <c r="E380" s="3"/>
      <c r="F380" s="3"/>
      <c r="G380" s="229"/>
      <c r="H380" s="229"/>
    </row>
    <row r="381" spans="1:8" ht="14.25" customHeight="1">
      <c r="A381" s="265">
        <v>2084214141</v>
      </c>
      <c r="B381" s="232"/>
      <c r="C381" s="232"/>
      <c r="D381" s="233"/>
      <c r="E381" s="3"/>
      <c r="F381" s="3"/>
      <c r="G381" s="229"/>
      <c r="H381" s="229"/>
    </row>
    <row r="382" spans="1:8" ht="14.25" customHeight="1">
      <c r="A382" s="2">
        <v>2084214144</v>
      </c>
      <c r="B382" s="2" t="s">
        <v>6172</v>
      </c>
      <c r="C382" s="2" t="s">
        <v>6174</v>
      </c>
      <c r="D382" s="2" t="s">
        <v>6179</v>
      </c>
      <c r="E382" s="3" t="str">
        <f ca="1">IFERROR(__xludf.DUMMYFUNCTION("GOOGLETRANSLATE(B382,""ja"",""vi"")"),"ETC gắn")</f>
        <v>ETC gắn</v>
      </c>
      <c r="F382" s="3" t="str">
        <f ca="1">IFERROR(__xludf.DUMMYFUNCTION("GOOGLETRANSLATE(C382,""ja"",""vi"")"),"Đấu giá&gt; Khác&gt; sửa chữa, lắp đặt&gt; ô tô, xe máy&gt; ETC gắn")</f>
        <v>Đấu giá&gt; Khác&gt; sửa chữa, lắp đặt&gt; ô tô, xe máy&gt; ETC gắn</v>
      </c>
      <c r="G382" s="229" t="str">
        <f t="shared" ca="1" si="10"/>
        <v>"2084214144" : "ETC gắn",</v>
      </c>
      <c r="H382" s="229" t="str">
        <f t="shared" si="11"/>
        <v>&lt;li class="col-md-3"&gt;&lt;a class="text-cut" href="javascript:;"(click)="categoryEvent(2084214144)"&gt;{{"2084214144" | translate}}&lt;/a&gt;&lt;/li&gt;</v>
      </c>
    </row>
    <row r="383" spans="1:8" ht="14.25" customHeight="1">
      <c r="A383" s="2">
        <v>2084214143</v>
      </c>
      <c r="B383" s="2" t="s">
        <v>6185</v>
      </c>
      <c r="C383" s="2" t="s">
        <v>6187</v>
      </c>
      <c r="D383" s="2" t="s">
        <v>6190</v>
      </c>
      <c r="E383" s="3" t="str">
        <f ca="1">IFERROR(__xludf.DUMMYFUNCTION("GOOGLETRANSLATE(B383,""ja"",""vi"")"),"tập tin đính kèm âm thanh xe hơi")</f>
        <v>tập tin đính kèm âm thanh xe hơi</v>
      </c>
      <c r="F383" s="3" t="str">
        <f ca="1">IFERROR(__xludf.DUMMYFUNCTION("GOOGLETRANSLATE(C383,""ja"",""vi"")"),"Đấu giá&gt; Khác&gt; sửa chữa, lắp đặt&gt; ô tô, xe máy&gt; tập tin đính kèm âm thanh xe")</f>
        <v>Đấu giá&gt; Khác&gt; sửa chữa, lắp đặt&gt; ô tô, xe máy&gt; tập tin đính kèm âm thanh xe</v>
      </c>
      <c r="G383" s="229" t="str">
        <f t="shared" ca="1" si="10"/>
        <v>"2084214143" : "tập tin đính kèm âm thanh xe hơi",</v>
      </c>
      <c r="H383" s="229" t="str">
        <f t="shared" si="11"/>
        <v>&lt;li class="col-md-3"&gt;&lt;a class="text-cut" href="javascript:;"(click)="categoryEvent(2084214143)"&gt;{{"2084214143" | translate}}&lt;/a&gt;&lt;/li&gt;</v>
      </c>
    </row>
    <row r="384" spans="1:8" ht="14.25" customHeight="1">
      <c r="A384" s="2">
        <v>2084214142</v>
      </c>
      <c r="B384" s="2" t="s">
        <v>6195</v>
      </c>
      <c r="C384" s="2" t="s">
        <v>6197</v>
      </c>
      <c r="D384" s="2" t="s">
        <v>6198</v>
      </c>
      <c r="E384" s="3" t="str">
        <f ca="1">IFERROR(__xludf.DUMMYFUNCTION("GOOGLETRANSLATE(B384,""ja"",""vi"")"),"xe chuyển hướng Gắn")</f>
        <v>xe chuyển hướng Gắn</v>
      </c>
      <c r="F384" s="3" t="str">
        <f ca="1">IFERROR(__xludf.DUMMYFUNCTION("GOOGLETRANSLATE(C384,""ja"",""vi"")"),"Đấu giá&gt; Khác&gt; sửa chữa, lắp đặt&gt; ô tô, xe máy&gt; xe chuyển hướng Gắn")</f>
        <v>Đấu giá&gt; Khác&gt; sửa chữa, lắp đặt&gt; ô tô, xe máy&gt; xe chuyển hướng Gắn</v>
      </c>
      <c r="G384" s="229" t="str">
        <f t="shared" ca="1" si="10"/>
        <v>"2084214142" : "xe chuyển hướng Gắn",</v>
      </c>
      <c r="H384" s="229" t="str">
        <f t="shared" si="11"/>
        <v>&lt;li class="col-md-3"&gt;&lt;a class="text-cut" href="javascript:;"(click)="categoryEvent(2084214142)"&gt;{{"2084214142" | translate}}&lt;/a&gt;&lt;/li&gt;</v>
      </c>
    </row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240:D240"/>
    <mergeCell ref="A251:D251"/>
    <mergeCell ref="A28:D28"/>
    <mergeCell ref="A105:D105"/>
    <mergeCell ref="A122:D122"/>
    <mergeCell ref="A163:D163"/>
    <mergeCell ref="A147:D147"/>
    <mergeCell ref="A156:D156"/>
    <mergeCell ref="A179:D179"/>
    <mergeCell ref="A200:D200"/>
    <mergeCell ref="A230:D230"/>
    <mergeCell ref="A374:D374"/>
    <mergeCell ref="A264:D264"/>
    <mergeCell ref="A381:D381"/>
    <mergeCell ref="A272:D272"/>
    <mergeCell ref="A310:D310"/>
    <mergeCell ref="A293:D293"/>
    <mergeCell ref="A369:D369"/>
    <mergeCell ref="A359:D359"/>
    <mergeCell ref="A280:D280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B1" workbookViewId="0">
      <selection activeCell="H2" sqref="H2"/>
    </sheetView>
  </sheetViews>
  <sheetFormatPr defaultColWidth="12.59765625" defaultRowHeight="15" customHeight="1"/>
  <cols>
    <col min="1" max="1" width="15.5" customWidth="1"/>
    <col min="2" max="2" width="25.59765625" customWidth="1"/>
    <col min="3" max="3" width="35.8984375" customWidth="1"/>
    <col min="4" max="4" width="39" customWidth="1"/>
    <col min="5" max="5" width="7.59765625" customWidth="1"/>
    <col min="6" max="6" width="38.09765625" customWidth="1"/>
    <col min="7" max="7" width="23.89843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2084024008</v>
      </c>
      <c r="B2" s="2" t="s">
        <v>4985</v>
      </c>
      <c r="C2" s="2" t="s">
        <v>4986</v>
      </c>
      <c r="D2" s="89" t="s">
        <v>4987</v>
      </c>
      <c r="E2" s="3" t="str">
        <f ca="1">IFERROR(__xludf.DUMMYFUNCTION("GOOGLETRANSLATE(B2,""ja"",""vi"")"),"đồ thủ công")</f>
        <v>đồ thủ công</v>
      </c>
      <c r="F2" s="3" t="str">
        <f ca="1">IFERROR(__xludf.DUMMYFUNCTION("GOOGLETRANSLATE(C2,""ja"",""vi"")"),"Đấu giá&gt; cổ, bộ sưu tập&gt; thủ công mỹ nghệ")</f>
        <v>Đấu giá&gt; cổ, bộ sưu tập&gt; thủ công mỹ nghệ</v>
      </c>
      <c r="G2" s="229" t="str">
        <f ca="1">CONCATENATE(CHAR(34)&amp;"",A2,""&amp;CHAR(34)," : ", CHAR(34)&amp;"",E2,""&amp;CHAR(34),",")</f>
        <v>"2084024008" : "đồ thủ công",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href="javascript:;"(click)="categoryEvent(2084024008)"&gt;{{"2084024008" | translate}}&lt;/a&gt;&lt;/li&gt;</v>
      </c>
    </row>
    <row r="3" spans="1:8" ht="14.25" customHeight="1">
      <c r="A3" s="4">
        <v>20056</v>
      </c>
      <c r="B3" s="4" t="s">
        <v>4993</v>
      </c>
      <c r="C3" s="4" t="s">
        <v>4994</v>
      </c>
      <c r="D3" s="90" t="s">
        <v>4996</v>
      </c>
      <c r="E3" s="3" t="str">
        <f ca="1">IFERROR(__xludf.DUMMYFUNCTION("GOOGLETRANSLATE(B3,""ja"",""vi"")"),"Tác phẩm nghệ thuật")</f>
        <v>Tác phẩm nghệ thuật</v>
      </c>
      <c r="F3" s="3" t="str">
        <f ca="1">IFERROR(__xludf.DUMMYFUNCTION("GOOGLETRANSLATE(C3,""ja"",""vi"")"),"Đấu giá&gt; cổ, bộ sưu tập&gt; tác phẩm nghệ thuật")</f>
        <v>Đấu giá&gt; cổ, bộ sưu tập&gt; tác phẩm nghệ thuật</v>
      </c>
      <c r="G3" s="229" t="str">
        <f t="shared" ref="G3:G66" ca="1" si="0">CONCATENATE(CHAR(34)&amp;"",A3,""&amp;CHAR(34)," : ", CHAR(34)&amp;"",E3,""&amp;CHAR(34),",")</f>
        <v>"20056" : "Tác phẩm nghệ thuật",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href="javascript:;"(click)="categoryEvent(20056)"&gt;{{"20056" | translate}}&lt;/a&gt;&lt;/li&gt;</v>
      </c>
    </row>
    <row r="4" spans="1:8" ht="14.25" customHeight="1">
      <c r="A4" s="91">
        <v>2084236067</v>
      </c>
      <c r="B4" s="91" t="s">
        <v>5018</v>
      </c>
      <c r="C4" s="91" t="s">
        <v>5021</v>
      </c>
      <c r="D4" s="92" t="s">
        <v>5023</v>
      </c>
      <c r="E4" s="3" t="str">
        <f ca="1">IFERROR(__xludf.DUMMYFUNCTION("GOOGLETRANSLATE(B4,""ja"",""vi"")"),"bàn ghế")</f>
        <v>bàn ghế</v>
      </c>
      <c r="F4" s="3" t="str">
        <f ca="1">IFERROR(__xludf.DUMMYFUNCTION("GOOGLETRANSLATE(C4,""ja"",""vi"")"),"Đấu giá&gt; cổ, bộ sưu tập&gt; đồ nội thất")</f>
        <v>Đấu giá&gt; cổ, bộ sưu tập&gt; đồ nội thất</v>
      </c>
      <c r="G4" s="229" t="str">
        <f t="shared" ca="1" si="0"/>
        <v>"2084236067" : "bàn ghế",</v>
      </c>
      <c r="H4" s="229" t="str">
        <f t="shared" si="1"/>
        <v>&lt;li class="col-md-3"&gt;&lt;a class="text-cut" href="javascript:;"(click)="categoryEvent(2084236067)"&gt;{{"2084236067" | translate}}&lt;/a&gt;&lt;/li&gt;</v>
      </c>
    </row>
    <row r="5" spans="1:8" ht="14.25" customHeight="1">
      <c r="A5" s="8">
        <v>2084261100</v>
      </c>
      <c r="B5" s="8" t="s">
        <v>5033</v>
      </c>
      <c r="C5" s="8" t="s">
        <v>5036</v>
      </c>
      <c r="D5" s="93" t="s">
        <v>5038</v>
      </c>
      <c r="E5" s="3" t="str">
        <f ca="1">IFERROR(__xludf.DUMMYFUNCTION("GOOGLETRANSLATE(B5,""ja"",""vi"")"),"bàn ghế")</f>
        <v>bàn ghế</v>
      </c>
      <c r="F5" s="3" t="str">
        <f ca="1">IFERROR(__xludf.DUMMYFUNCTION("GOOGLETRANSLATE(C5,""ja"",""vi"")"),"Đấu giá&gt; cổ, bộ sưu tập&gt; phụ kiện")</f>
        <v>Đấu giá&gt; cổ, bộ sưu tập&gt; phụ kiện</v>
      </c>
      <c r="G5" s="229" t="str">
        <f t="shared" ca="1" si="0"/>
        <v>"2084261100" : "bàn ghế",</v>
      </c>
      <c r="H5" s="229" t="str">
        <f t="shared" si="1"/>
        <v>&lt;li class="col-md-3"&gt;&lt;a class="text-cut" href="javascript:;"(click)="categoryEvent(2084261100)"&gt;{{"2084261100" | translate}}&lt;/a&gt;&lt;/li&gt;</v>
      </c>
    </row>
    <row r="6" spans="1:8" ht="14.25" customHeight="1">
      <c r="A6" s="6">
        <v>2084259484</v>
      </c>
      <c r="B6" s="6" t="s">
        <v>5044</v>
      </c>
      <c r="C6" s="6" t="s">
        <v>5046</v>
      </c>
      <c r="D6" s="94" t="s">
        <v>5048</v>
      </c>
      <c r="E6" s="3" t="str">
        <f ca="1">IFERROR(__xludf.DUMMYFUNCTION("GOOGLETRANSLATE(B6,""ja"",""vi"")"),"áo giáp")</f>
        <v>áo giáp</v>
      </c>
      <c r="F6" s="3" t="str">
        <f ca="1">IFERROR(__xludf.DUMMYFUNCTION("GOOGLETRANSLATE(C6,""ja"",""vi"")"),"Đấu giá&gt; cổ, bộ sưu tập&gt; áo giáp")</f>
        <v>Đấu giá&gt; cổ, bộ sưu tập&gt; áo giáp</v>
      </c>
      <c r="G6" s="229" t="str">
        <f t="shared" ca="1" si="0"/>
        <v>"2084259484" : "áo giáp",</v>
      </c>
      <c r="H6" s="229" t="str">
        <f t="shared" si="1"/>
        <v>&lt;li class="col-md-3"&gt;&lt;a class="text-cut" href="javascript:;"(click)="categoryEvent(2084259484)"&gt;{{"2084259484" | translate}}&lt;/a&gt;&lt;/li&gt;</v>
      </c>
    </row>
    <row r="7" spans="1:8" ht="14.25" customHeight="1">
      <c r="A7" s="9">
        <v>20960</v>
      </c>
      <c r="B7" s="9" t="s">
        <v>5054</v>
      </c>
      <c r="C7" s="9" t="s">
        <v>5056</v>
      </c>
      <c r="D7" s="95" t="s">
        <v>5058</v>
      </c>
      <c r="E7" s="3" t="str">
        <f ca="1">IFERROR(__xludf.DUMMYFUNCTION("GOOGLETRANSLATE(B7,""ja"",""vi"")"),"Tem, bưu thiếp")</f>
        <v>Tem, bưu thiếp</v>
      </c>
      <c r="F7" s="3" t="str">
        <f ca="1">IFERROR(__xludf.DUMMYFUNCTION("GOOGLETRANSLATE(C7,""ja"",""vi"")"),"Đấu giá&gt; cổ, bộ sưu tập&gt; tem, bưu thiếp")</f>
        <v>Đấu giá&gt; cổ, bộ sưu tập&gt; tem, bưu thiếp</v>
      </c>
      <c r="G7" s="229" t="str">
        <f t="shared" ca="1" si="0"/>
        <v>"20960" : "Tem, bưu thiếp",</v>
      </c>
      <c r="H7" s="229" t="str">
        <f t="shared" si="1"/>
        <v>&lt;li class="col-md-3"&gt;&lt;a class="text-cut" href="javascript:;"(click)="categoryEvent(20960)"&gt;{{"20960" | translate}}&lt;/a&gt;&lt;/li&gt;</v>
      </c>
    </row>
    <row r="8" spans="1:8" ht="14.25" customHeight="1">
      <c r="A8" s="7">
        <v>20452</v>
      </c>
      <c r="B8" s="7" t="s">
        <v>5065</v>
      </c>
      <c r="C8" s="7" t="s">
        <v>5066</v>
      </c>
      <c r="D8" s="96" t="s">
        <v>5067</v>
      </c>
      <c r="E8" s="3" t="str">
        <f ca="1">IFERROR(__xludf.DUMMYFUNCTION("GOOGLETRANSLATE(B8,""ja"",""vi"")"),"tiền")</f>
        <v>tiền</v>
      </c>
      <c r="F8" s="3" t="str">
        <f ca="1">IFERROR(__xludf.DUMMYFUNCTION("GOOGLETRANSLATE(C8,""ja"",""vi"")"),"Đấu giá&gt; cổ, bộ sưu tập&gt; tiền")</f>
        <v>Đấu giá&gt; cổ, bộ sưu tập&gt; tiền</v>
      </c>
      <c r="G8" s="229" t="str">
        <f t="shared" ca="1" si="0"/>
        <v>"20452" : "tiền",</v>
      </c>
      <c r="H8" s="229" t="str">
        <f t="shared" si="1"/>
        <v>&lt;li class="col-md-3"&gt;&lt;a class="text-cut" href="javascript:;"(click)="categoryEvent(20452)"&gt;{{"20452" | translate}}&lt;/a&gt;&lt;/li&gt;</v>
      </c>
    </row>
    <row r="9" spans="1:8" ht="14.25" customHeight="1">
      <c r="A9" s="41">
        <v>20116</v>
      </c>
      <c r="B9" s="41" t="s">
        <v>5073</v>
      </c>
      <c r="C9" s="41" t="s">
        <v>5074</v>
      </c>
      <c r="D9" s="97" t="s">
        <v>5075</v>
      </c>
      <c r="E9" s="3" t="str">
        <f ca="1">IFERROR(__xludf.DUMMYFUNCTION("GOOGLETRANSLATE(B9,""ja"",""vi"")"),"ấn phẩm")</f>
        <v>ấn phẩm</v>
      </c>
      <c r="F9" s="3" t="str">
        <f ca="1">IFERROR(__xludf.DUMMYFUNCTION("GOOGLETRANSLATE(C9,""ja"",""vi"")"),"Đấu giá&gt; cổ, bộ sưu tập&gt; vấn đề in")</f>
        <v>Đấu giá&gt; cổ, bộ sưu tập&gt; vấn đề in</v>
      </c>
      <c r="G9" s="229" t="str">
        <f t="shared" ca="1" si="0"/>
        <v>"20116" : "ấn phẩm",</v>
      </c>
      <c r="H9" s="229" t="str">
        <f t="shared" si="1"/>
        <v>&lt;li class="col-md-3"&gt;&lt;a class="text-cut" href="javascript:;"(click)="categoryEvent(20116)"&gt;{{"20116" | translate}}&lt;/a&gt;&lt;/li&gt;</v>
      </c>
    </row>
    <row r="10" spans="1:8" ht="14.25" customHeight="1">
      <c r="A10" s="16">
        <v>20992</v>
      </c>
      <c r="B10" s="16" t="s">
        <v>396</v>
      </c>
      <c r="C10" s="16" t="s">
        <v>5080</v>
      </c>
      <c r="D10" s="98" t="s">
        <v>5081</v>
      </c>
      <c r="E10" s="3" t="str">
        <f ca="1">IFERROR(__xludf.DUMMYFUNCTION("GOOGLETRANSLATE(B10,""ja"",""vi"")"),"thẻ giao dịch")</f>
        <v>thẻ giao dịch</v>
      </c>
      <c r="F10" s="3" t="str">
        <f ca="1">IFERROR(__xludf.DUMMYFUNCTION("GOOGLETRANSLATE(C10,""ja"",""vi"")"),"Đấu giá&gt; cổ, bộ sưu tập&gt; giao dịch thẻ")</f>
        <v>Đấu giá&gt; cổ, bộ sưu tập&gt; giao dịch thẻ</v>
      </c>
      <c r="G10" s="229" t="str">
        <f t="shared" ca="1" si="0"/>
        <v>"20992" : "thẻ giao dịch",</v>
      </c>
      <c r="H10" s="229" t="str">
        <f t="shared" si="1"/>
        <v>&lt;li class="col-md-3"&gt;&lt;a class="text-cut" href="javascript:;"(click)="categoryEvent(20992)"&gt;{{"20992" | translate}}&lt;/a&gt;&lt;/li&gt;</v>
      </c>
    </row>
    <row r="11" spans="1:8" ht="14.25" customHeight="1">
      <c r="A11" s="43">
        <v>27771</v>
      </c>
      <c r="B11" s="43" t="s">
        <v>5086</v>
      </c>
      <c r="C11" s="43" t="s">
        <v>5088</v>
      </c>
      <c r="D11" s="99" t="s">
        <v>5090</v>
      </c>
      <c r="E11" s="3" t="str">
        <f ca="1">IFERROR(__xludf.DUMMYFUNCTION("GOOGLETRANSLATE(B11,""ja"",""vi"")"),"Quảng cáo, hàng hóa mới lạ")</f>
        <v>Quảng cáo, hàng hóa mới lạ</v>
      </c>
      <c r="F11" s="3" t="str">
        <f ca="1">IFERROR(__xludf.DUMMYFUNCTION("GOOGLETRANSLATE(C11,""ja"",""vi"")"),"Đấu giá&gt; cổ, bộ sưu tập&gt; quảng cáo, hàng hóa mới lạ")</f>
        <v>Đấu giá&gt; cổ, bộ sưu tập&gt; quảng cáo, hàng hóa mới lạ</v>
      </c>
      <c r="G11" s="229" t="str">
        <f t="shared" ca="1" si="0"/>
        <v>"27771" : "Quảng cáo, hàng hóa mới lạ",</v>
      </c>
      <c r="H11" s="229" t="str">
        <f t="shared" si="1"/>
        <v>&lt;li class="col-md-3"&gt;&lt;a class="text-cut" href="javascript:;"(click)="categoryEvent(27771)"&gt;{{"27771" | translate}}&lt;/a&gt;&lt;/li&gt;</v>
      </c>
    </row>
    <row r="12" spans="1:8" ht="14.25" customHeight="1">
      <c r="A12" s="45">
        <v>20764</v>
      </c>
      <c r="B12" s="45" t="s">
        <v>5097</v>
      </c>
      <c r="C12" s="45" t="s">
        <v>5098</v>
      </c>
      <c r="D12" s="100" t="s">
        <v>5099</v>
      </c>
      <c r="E12" s="3" t="str">
        <f ca="1">IFERROR(__xludf.DUMMYFUNCTION("GOOGLETRANSLATE(B12,""ja"",""vi"")"),"Khoa học, thiên nhiên")</f>
        <v>Khoa học, thiên nhiên</v>
      </c>
      <c r="F12" s="3" t="str">
        <f ca="1">IFERROR(__xludf.DUMMYFUNCTION("GOOGLETRANSLATE(C12,""ja"",""vi"")"),"Đấu giá&gt; cổ, bộ sưu tập&gt; khoa học, thiên nhiên")</f>
        <v>Đấu giá&gt; cổ, bộ sưu tập&gt; khoa học, thiên nhiên</v>
      </c>
      <c r="G12" s="229" t="str">
        <f t="shared" ca="1" si="0"/>
        <v>"20764" : "Khoa học, thiên nhiên",</v>
      </c>
      <c r="H12" s="229" t="str">
        <f t="shared" si="1"/>
        <v>&lt;li class="col-md-3"&gt;&lt;a class="text-cut" href="javascript:;"(click)="categoryEvent(20764)"&gt;{{"20764" | translate}}&lt;/a&gt;&lt;/li&gt;</v>
      </c>
    </row>
    <row r="13" spans="1:8" ht="14.25" customHeight="1">
      <c r="A13" s="48">
        <v>20004</v>
      </c>
      <c r="B13" s="48" t="s">
        <v>2073</v>
      </c>
      <c r="C13" s="48" t="s">
        <v>5109</v>
      </c>
      <c r="D13" s="101" t="s">
        <v>5110</v>
      </c>
      <c r="E13" s="3" t="str">
        <f ca="1">IFERROR(__xludf.DUMMYFUNCTION("GOOGLETRANSLATE(B13,""ja"",""vi"")"),"thiết bị điện")</f>
        <v>thiết bị điện</v>
      </c>
      <c r="F13" s="3" t="str">
        <f ca="1">IFERROR(__xludf.DUMMYFUNCTION("GOOGLETRANSLATE(C13,""ja"",""vi"")"),"Đấu giá&gt; cổ, bộ sưu tập&gt; thiết bị điện")</f>
        <v>Đấu giá&gt; cổ, bộ sưu tập&gt; thiết bị điện</v>
      </c>
      <c r="G13" s="229" t="str">
        <f t="shared" ca="1" si="0"/>
        <v>"20004" : "thiết bị điện",</v>
      </c>
      <c r="H13" s="229" t="str">
        <f t="shared" si="1"/>
        <v>&lt;li class="col-md-3"&gt;&lt;a class="text-cut" href="javascript:;"(click)="categoryEvent(20004)"&gt;{{"20004" | translate}}&lt;/a&gt;&lt;/li&gt;</v>
      </c>
    </row>
    <row r="14" spans="1:8" ht="14.25" customHeight="1">
      <c r="A14" s="50">
        <v>2084048439</v>
      </c>
      <c r="B14" s="50" t="s">
        <v>5117</v>
      </c>
      <c r="C14" s="50" t="s">
        <v>5118</v>
      </c>
      <c r="D14" s="102" t="s">
        <v>5120</v>
      </c>
      <c r="E14" s="3" t="str">
        <f ca="1">IFERROR(__xludf.DUMMYFUNCTION("GOOGLETRANSLATE(B14,""ja"",""vi"")"),"máy hát")</f>
        <v>máy hát</v>
      </c>
      <c r="F14" s="3" t="str">
        <f ca="1">IFERROR(__xludf.DUMMYFUNCTION("GOOGLETRANSLATE(C14,""ja"",""vi"")"),"Đấu giá&gt; cổ, bộ sưu tập&gt; máy hát")</f>
        <v>Đấu giá&gt; cổ, bộ sưu tập&gt; máy hát</v>
      </c>
      <c r="G14" s="229" t="str">
        <f t="shared" ca="1" si="0"/>
        <v>"2084048439" : "máy hát",</v>
      </c>
      <c r="H14" s="229" t="str">
        <f t="shared" si="1"/>
        <v>&lt;li class="col-md-3"&gt;&lt;a class="text-cut" href="javascript:;"(click)="categoryEvent(2084048439)"&gt;{{"2084048439" | translate}}&lt;/a&gt;&lt;/li&gt;</v>
      </c>
    </row>
    <row r="15" spans="1:8" ht="14.25" customHeight="1">
      <c r="A15" s="53">
        <v>21060</v>
      </c>
      <c r="B15" s="53" t="s">
        <v>5126</v>
      </c>
      <c r="C15" s="53" t="s">
        <v>5128</v>
      </c>
      <c r="D15" s="103" t="s">
        <v>5129</v>
      </c>
      <c r="E15" s="3" t="str">
        <f ca="1">IFERROR(__xludf.DUMMYFUNCTION("GOOGLETRANSLATE(B15,""ja"",""vi"")"),"xe cộ")</f>
        <v>xe cộ</v>
      </c>
      <c r="F15" s="3" t="str">
        <f ca="1">IFERROR(__xludf.DUMMYFUNCTION("GOOGLETRANSLATE(C15,""ja"",""vi"")"),"Đấu giá&gt; cổ, bộ sưu tập&gt; xe")</f>
        <v>Đấu giá&gt; cổ, bộ sưu tập&gt; xe</v>
      </c>
      <c r="G15" s="229" t="str">
        <f t="shared" ca="1" si="0"/>
        <v>"21060" : "xe cộ",</v>
      </c>
      <c r="H15" s="229" t="str">
        <f t="shared" si="1"/>
        <v>&lt;li class="col-md-3"&gt;&lt;a class="text-cut" href="javascript:;"(click)="categoryEvent(21060)"&gt;{{"21060" | translate}}&lt;/a&gt;&lt;/li&gt;</v>
      </c>
    </row>
    <row r="16" spans="1:8" ht="14.25" customHeight="1">
      <c r="A16" s="56">
        <v>27858</v>
      </c>
      <c r="B16" s="56" t="s">
        <v>1207</v>
      </c>
      <c r="C16" s="56" t="s">
        <v>5136</v>
      </c>
      <c r="D16" s="104" t="s">
        <v>5138</v>
      </c>
      <c r="E16" s="3" t="str">
        <f ca="1">IFERROR(__xludf.DUMMYFUNCTION("GOOGLETRANSLATE(B16,""ja"",""vi"")"),"Disney")</f>
        <v>Disney</v>
      </c>
      <c r="F16" s="3" t="str">
        <f ca="1">IFERROR(__xludf.DUMMYFUNCTION("GOOGLETRANSLATE(C16,""ja"",""vi"")"),"Đấu giá&gt; cổ, bộ sưu tập&gt; Disney")</f>
        <v>Đấu giá&gt; cổ, bộ sưu tập&gt; Disney</v>
      </c>
      <c r="G16" s="229" t="str">
        <f t="shared" ca="1" si="0"/>
        <v>"27858" : "Disney",</v>
      </c>
      <c r="H16" s="229" t="str">
        <f t="shared" si="1"/>
        <v>&lt;li class="col-md-3"&gt;&lt;a class="text-cut" href="javascript:;"(click)="categoryEvent(27858)"&gt;{{"27858" | translate}}&lt;/a&gt;&lt;/li&gt;</v>
      </c>
    </row>
    <row r="17" spans="1:8" ht="14.25" customHeight="1">
      <c r="A17" s="59">
        <v>42223</v>
      </c>
      <c r="B17" s="59" t="s">
        <v>5144</v>
      </c>
      <c r="C17" s="59" t="s">
        <v>5146</v>
      </c>
      <c r="D17" s="105" t="s">
        <v>5148</v>
      </c>
      <c r="E17" s="3" t="str">
        <f ca="1">IFERROR(__xludf.DUMMYFUNCTION("GOOGLETRANSLATE(B17,""ja"",""vi"")"),"SF")</f>
        <v>SF</v>
      </c>
      <c r="F17" s="3" t="str">
        <f ca="1">IFERROR(__xludf.DUMMYFUNCTION("GOOGLETRANSLATE(C17,""ja"",""vi"")"),"Đấu giá&gt; cổ, bộ sưu tập&gt; SF")</f>
        <v>Đấu giá&gt; cổ, bộ sưu tập&gt; SF</v>
      </c>
      <c r="G17" s="229" t="str">
        <f t="shared" ca="1" si="0"/>
        <v>"42223" : "SF",</v>
      </c>
      <c r="H17" s="229" t="str">
        <f t="shared" si="1"/>
        <v>&lt;li class="col-md-3"&gt;&lt;a class="text-cut" href="javascript:;"(click)="categoryEvent(42223)"&gt;{{"42223" | translate}}&lt;/a&gt;&lt;/li&gt;</v>
      </c>
    </row>
    <row r="18" spans="1:8" ht="14.25" customHeight="1">
      <c r="A18" s="63">
        <v>2084045612</v>
      </c>
      <c r="B18" s="63" t="s">
        <v>5153</v>
      </c>
      <c r="C18" s="63" t="s">
        <v>5155</v>
      </c>
      <c r="D18" s="106" t="s">
        <v>5156</v>
      </c>
      <c r="E18" s="3" t="str">
        <f ca="1">IFERROR(__xludf.DUMMYFUNCTION("GOOGLETRANSLATE(B18,""ja"",""vi"")"),"nắp chai")</f>
        <v>nắp chai</v>
      </c>
      <c r="F18" s="3" t="str">
        <f ca="1">IFERROR(__xludf.DUMMYFUNCTION("GOOGLETRANSLATE(C18,""ja"",""vi"")"),"Đấu giá&gt; cổ, bộ sưu tập&gt; nắp chai")</f>
        <v>Đấu giá&gt; cổ, bộ sưu tập&gt; nắp chai</v>
      </c>
      <c r="G18" s="229" t="str">
        <f t="shared" ca="1" si="0"/>
        <v>"2084045612" : "nắp chai",</v>
      </c>
      <c r="H18" s="229" t="str">
        <f t="shared" si="1"/>
        <v>&lt;li class="col-md-3"&gt;&lt;a class="text-cut" href="javascript:;"(click)="categoryEvent(2084045612)"&gt;{{"2084045612" | translate}}&lt;/a&gt;&lt;/li&gt;</v>
      </c>
    </row>
    <row r="19" spans="1:8" ht="14.25" customHeight="1">
      <c r="A19" s="68">
        <v>27856</v>
      </c>
      <c r="B19" s="68" t="s">
        <v>339</v>
      </c>
      <c r="C19" s="68" t="s">
        <v>5163</v>
      </c>
      <c r="D19" s="107" t="s">
        <v>5164</v>
      </c>
      <c r="E19" s="3" t="str">
        <f ca="1">IFERROR(__xludf.DUMMYFUNCTION("GOOGLETRANSLATE(B19,""ja"",""vi"")"),"dấu")</f>
        <v>dấu</v>
      </c>
      <c r="F19" s="3" t="str">
        <f ca="1">IFERROR(__xludf.DUMMYFUNCTION("GOOGLETRANSLATE(C19,""ja"",""vi"")"),"Đấu giá&gt; cổ, bộ sưu tập&gt; dấu")</f>
        <v>Đấu giá&gt; cổ, bộ sưu tập&gt; dấu</v>
      </c>
      <c r="G19" s="229" t="str">
        <f t="shared" ca="1" si="0"/>
        <v>"27856" : "dấu",</v>
      </c>
      <c r="H19" s="229" t="str">
        <f t="shared" si="1"/>
        <v>&lt;li class="col-md-3"&gt;&lt;a class="text-cut" href="javascript:;"(click)="categoryEvent(27856)"&gt;{{"27856" | translate}}&lt;/a&gt;&lt;/li&gt;</v>
      </c>
    </row>
    <row r="20" spans="1:8" ht="14.25" customHeight="1">
      <c r="A20" s="65">
        <v>21152</v>
      </c>
      <c r="B20" s="65" t="s">
        <v>5170</v>
      </c>
      <c r="C20" s="65" t="s">
        <v>5172</v>
      </c>
      <c r="D20" s="108" t="s">
        <v>5173</v>
      </c>
      <c r="E20" s="3" t="str">
        <f ca="1">IFERROR(__xludf.DUMMYFUNCTION("GOOGLETRANSLATE(B20,""ja"",""vi"")"),"hàng hóa linh tinh")</f>
        <v>hàng hóa linh tinh</v>
      </c>
      <c r="F20" s="3" t="str">
        <f ca="1">IFERROR(__xludf.DUMMYFUNCTION("GOOGLETRANSLATE(C20,""ja"",""vi"")"),"Đấu giá&gt; cổ, bộ sưu tập&gt; hàng linh tinh")</f>
        <v>Đấu giá&gt; cổ, bộ sưu tập&gt; hàng linh tinh</v>
      </c>
      <c r="G20" s="229" t="str">
        <f t="shared" ca="1" si="0"/>
        <v>"21152" : "hàng hóa linh tinh",</v>
      </c>
      <c r="H20" s="229" t="str">
        <f t="shared" si="1"/>
        <v>&lt;li class="col-md-3"&gt;&lt;a class="text-cut" href="javascript:;"(click)="categoryEvent(21152)"&gt;{{"21152" | translate}}&lt;/a&gt;&lt;/li&gt;</v>
      </c>
    </row>
    <row r="21" spans="1:8" ht="14.25" customHeight="1">
      <c r="A21" s="77">
        <v>27673</v>
      </c>
      <c r="B21" s="77" t="s">
        <v>184</v>
      </c>
      <c r="C21" s="77" t="s">
        <v>5181</v>
      </c>
      <c r="D21" s="109" t="s">
        <v>5183</v>
      </c>
      <c r="E21" s="3" t="str">
        <f ca="1">IFERROR(__xludf.DUMMYFUNCTION("GOOGLETRANSLATE(B21,""ja"",""vi"")"),"Đồ chơi, trò chơi")</f>
        <v>Đồ chơi, trò chơi</v>
      </c>
      <c r="F21" s="3" t="str">
        <f ca="1">IFERROR(__xludf.DUMMYFUNCTION("GOOGLETRANSLATE(C21,""ja"",""vi"")"),"Đấu giá&gt; cổ, bộ sưu tập&gt; đồ chơi, trò chơi")</f>
        <v>Đấu giá&gt; cổ, bộ sưu tập&gt; đồ chơi, trò chơi</v>
      </c>
      <c r="G21" s="229" t="str">
        <f t="shared" ca="1" si="0"/>
        <v>"27673" : "Đồ chơi, trò chơi",</v>
      </c>
      <c r="H21" s="229" t="str">
        <f t="shared" si="1"/>
        <v>&lt;li class="col-md-3"&gt;&lt;a class="text-cut" href="javascript:;"(click)="categoryEvent(27673)"&gt;{{"27673" | translate}}&lt;/a&gt;&lt;/li&gt;</v>
      </c>
    </row>
    <row r="22" spans="1:8" ht="14.25" customHeight="1">
      <c r="A22" s="78">
        <v>23968</v>
      </c>
      <c r="B22" s="78" t="s">
        <v>389</v>
      </c>
      <c r="C22" s="78" t="s">
        <v>5189</v>
      </c>
      <c r="D22" s="110" t="s">
        <v>5191</v>
      </c>
      <c r="E22" s="3" t="str">
        <f ca="1">IFERROR(__xludf.DUMMYFUNCTION("GOOGLETRANSLATE(B22,""ja"",""vi"")"),"thẻ điện thoại")</f>
        <v>thẻ điện thoại</v>
      </c>
      <c r="F22" s="3" t="str">
        <f ca="1">IFERROR(__xludf.DUMMYFUNCTION("GOOGLETRANSLATE(C22,""ja"",""vi"")"),"Đấu giá&gt; cổ, bộ sưu tập&gt; Thẻ điện thoại")</f>
        <v>Đấu giá&gt; cổ, bộ sưu tập&gt; Thẻ điện thoại</v>
      </c>
      <c r="G22" s="229" t="str">
        <f t="shared" ca="1" si="0"/>
        <v>"23968" : "thẻ điện thoại",</v>
      </c>
      <c r="H22" s="229" t="str">
        <f t="shared" si="1"/>
        <v>&lt;li class="col-md-3"&gt;&lt;a class="text-cut" href="javascript:;"(click)="categoryEvent(23968)"&gt;{{"23968" | translate}}&lt;/a&gt;&lt;/li&gt;</v>
      </c>
    </row>
    <row r="23" spans="1:8" ht="14.25" customHeight="1">
      <c r="A23" s="79">
        <v>25888</v>
      </c>
      <c r="B23" s="79" t="s">
        <v>357</v>
      </c>
      <c r="C23" s="79" t="s">
        <v>5196</v>
      </c>
      <c r="D23" s="111" t="s">
        <v>5199</v>
      </c>
      <c r="E23" s="3" t="str">
        <f ca="1">IFERROR(__xludf.DUMMYFUNCTION("GOOGLETRANSLATE(B23,""ja"",""vi"")"),"nhân vật")</f>
        <v>nhân vật</v>
      </c>
      <c r="F23" s="3" t="str">
        <f ca="1">IFERROR(__xludf.DUMMYFUNCTION("GOOGLETRANSLATE(C23,""ja"",""vi"")"),"Đấu giá&gt; cổ, bộ sưu tập&gt; Hình")</f>
        <v>Đấu giá&gt; cổ, bộ sưu tập&gt; Hình</v>
      </c>
      <c r="G23" s="229" t="str">
        <f t="shared" ca="1" si="0"/>
        <v>"25888" : "nhân vật",</v>
      </c>
      <c r="H23" s="229" t="str">
        <f t="shared" si="1"/>
        <v>&lt;li class="col-md-3"&gt;&lt;a class="text-cut" href="javascript:;"(click)="categoryEvent(25888)"&gt;{{"25888" | translate}}&lt;/a&gt;&lt;/li&gt;</v>
      </c>
    </row>
    <row r="24" spans="1:8" ht="14.25" customHeight="1">
      <c r="A24" s="75">
        <v>20428</v>
      </c>
      <c r="B24" s="75" t="s">
        <v>805</v>
      </c>
      <c r="C24" s="75" t="s">
        <v>5204</v>
      </c>
      <c r="D24" s="112" t="s">
        <v>5206</v>
      </c>
      <c r="E24" s="3" t="str">
        <f ca="1">IFERROR(__xludf.DUMMYFUNCTION("GOOGLETRANSLATE(B24,""ja"",""vi"")"),"quân đội")</f>
        <v>quân đội</v>
      </c>
      <c r="F24" s="3" t="str">
        <f ca="1">IFERROR(__xludf.DUMMYFUNCTION("GOOGLETRANSLATE(C24,""ja"",""vi"")"),"Đấu giá&gt; cổ, bộ sưu tập&gt; Quân sự")</f>
        <v>Đấu giá&gt; cổ, bộ sưu tập&gt; Quân sự</v>
      </c>
      <c r="G24" s="229" t="str">
        <f t="shared" ca="1" si="0"/>
        <v>"20428" : "quân đội",</v>
      </c>
      <c r="H24" s="229" t="str">
        <f t="shared" si="1"/>
        <v>&lt;li class="col-md-3"&gt;&lt;a class="text-cut" href="javascript:;"(click)="categoryEvent(20428)"&gt;{{"20428" | translate}}&lt;/a&gt;&lt;/li&gt;</v>
      </c>
    </row>
    <row r="25" spans="1:8" ht="14.25" customHeight="1">
      <c r="A25" s="113">
        <v>2084307788</v>
      </c>
      <c r="B25" s="113" t="s">
        <v>5211</v>
      </c>
      <c r="C25" s="113" t="s">
        <v>5212</v>
      </c>
      <c r="D25" s="114" t="s">
        <v>5213</v>
      </c>
      <c r="E25" s="3" t="str">
        <f ca="1">IFERROR(__xludf.DUMMYFUNCTION("GOOGLETRANSLATE(B25,""ja"",""vi"")"),"Tranh vẽ trên vải, hàng thủ công cho thuê")</f>
        <v>Tranh vẽ trên vải, hàng thủ công cho thuê</v>
      </c>
      <c r="F25" s="3" t="str">
        <f ca="1">IFERROR(__xludf.DUMMYFUNCTION("GOOGLETRANSLATE(C25,""ja"",""vi"")"),"Đấu giá&gt; cổ, bộ sưu tập&gt; bức tranh, hàng thủ công cho thuê")</f>
        <v>Đấu giá&gt; cổ, bộ sưu tập&gt; bức tranh, hàng thủ công cho thuê</v>
      </c>
      <c r="G25" s="229" t="str">
        <f t="shared" ca="1" si="0"/>
        <v>"2084307788" : "Tranh vẽ trên vải, hàng thủ công cho thuê",</v>
      </c>
      <c r="H25" s="229" t="str">
        <f t="shared" si="1"/>
        <v>&lt;li class="col-md-3"&gt;&lt;a class="text-cut" href="javascript:;"(click)="categoryEvent(2084307788)"&gt;{{"2084307788" | translate}}&lt;/a&gt;&lt;/li&gt;</v>
      </c>
    </row>
    <row r="26" spans="1:8" ht="14.25" customHeight="1">
      <c r="D26" s="115"/>
      <c r="E26" s="3"/>
      <c r="F26" s="3"/>
      <c r="G26" s="229"/>
      <c r="H26" s="229"/>
    </row>
    <row r="27" spans="1:8" ht="14.25" customHeight="1">
      <c r="A27" s="239">
        <v>20056</v>
      </c>
      <c r="B27" s="232"/>
      <c r="C27" s="232"/>
      <c r="D27" s="233"/>
      <c r="E27" s="3"/>
      <c r="F27" s="3"/>
      <c r="G27" s="229"/>
      <c r="H27" s="229"/>
    </row>
    <row r="28" spans="1:8" ht="14.25" customHeight="1">
      <c r="A28" s="2">
        <v>20080</v>
      </c>
      <c r="B28" s="2" t="s">
        <v>5223</v>
      </c>
      <c r="C28" s="2" t="s">
        <v>5224</v>
      </c>
      <c r="D28" s="2" t="s">
        <v>5226</v>
      </c>
      <c r="E28" s="3" t="str">
        <f ca="1">IFERROR(__xludf.DUMMYFUNCTION("GOOGLETRANSLATE(B28,""ja"",""vi"")"),"hình ảnh")</f>
        <v>hình ảnh</v>
      </c>
      <c r="F28" s="3" t="str">
        <f ca="1">IFERROR(__xludf.DUMMYFUNCTION("GOOGLETRANSLATE(C28,""ja"",""vi"")"),"Đấu giá&gt; Sở thích, văn hóa&gt; tác phẩm nghệ thuật&gt; Tranh")</f>
        <v>Đấu giá&gt; Sở thích, văn hóa&gt; tác phẩm nghệ thuật&gt; Tranh</v>
      </c>
      <c r="G28" s="229" t="str">
        <f t="shared" ca="1" si="0"/>
        <v>"20080" : "hình ảnh",</v>
      </c>
      <c r="H28" s="229" t="str">
        <f t="shared" si="1"/>
        <v>&lt;li class="col-md-3"&gt;&lt;a class="text-cut" href="javascript:;"(click)="categoryEvent(20080)"&gt;{{"20080" | translate}}&lt;/a&gt;&lt;/li&gt;</v>
      </c>
    </row>
    <row r="29" spans="1:8" ht="14.25" customHeight="1">
      <c r="A29" s="2">
        <v>2084006148</v>
      </c>
      <c r="B29" s="2" t="s">
        <v>5230</v>
      </c>
      <c r="C29" s="2" t="s">
        <v>5232</v>
      </c>
      <c r="D29" s="2" t="s">
        <v>5234</v>
      </c>
      <c r="E29" s="3" t="str">
        <f ca="1">IFERROR(__xludf.DUMMYFUNCTION("GOOGLETRANSLATE(B29,""ja"",""vi"")"),"khắc")</f>
        <v>khắc</v>
      </c>
      <c r="F29" s="3" t="str">
        <f ca="1">IFERROR(__xludf.DUMMYFUNCTION("GOOGLETRANSLATE(C29,""ja"",""vi"")"),"Đấu giá&gt; Sở thích, văn hóa&gt; tác phẩm nghệ thuật&gt; In")</f>
        <v>Đấu giá&gt; Sở thích, văn hóa&gt; tác phẩm nghệ thuật&gt; In</v>
      </c>
      <c r="G29" s="229" t="str">
        <f t="shared" ca="1" si="0"/>
        <v>"2084006148" : "khắc",</v>
      </c>
      <c r="H29" s="229" t="str">
        <f t="shared" si="1"/>
        <v>&lt;li class="col-md-3"&gt;&lt;a class="text-cut" href="javascript:;"(click)="categoryEvent(2084006148)"&gt;{{"2084006148" | translate}}&lt;/a&gt;&lt;/li&gt;</v>
      </c>
    </row>
    <row r="30" spans="1:8" ht="14.25" customHeight="1">
      <c r="A30" s="2">
        <v>20120</v>
      </c>
      <c r="B30" s="2" t="s">
        <v>5237</v>
      </c>
      <c r="C30" s="2" t="s">
        <v>5238</v>
      </c>
      <c r="D30" s="2" t="s">
        <v>5239</v>
      </c>
      <c r="E30" s="3" t="str">
        <f ca="1">IFERROR(__xludf.DUMMYFUNCTION("GOOGLETRANSLATE(B30,""ja"",""vi"")"),"Điêu khắc, các đối tượng")</f>
        <v>Điêu khắc, các đối tượng</v>
      </c>
      <c r="F30" s="3" t="str">
        <f ca="1">IFERROR(__xludf.DUMMYFUNCTION("GOOGLETRANSLATE(C30,""ja"",""vi"")"),"Đấu giá&gt; Sở thích, văn hóa&gt; tác phẩm nghệ thuật&gt; điêu khắc, các đối tượng")</f>
        <v>Đấu giá&gt; Sở thích, văn hóa&gt; tác phẩm nghệ thuật&gt; điêu khắc, các đối tượng</v>
      </c>
      <c r="G30" s="229" t="str">
        <f t="shared" ca="1" si="0"/>
        <v>"20120" : "Điêu khắc, các đối tượng",</v>
      </c>
      <c r="H30" s="229" t="str">
        <f t="shared" si="1"/>
        <v>&lt;li class="col-md-3"&gt;&lt;a class="text-cut" href="javascript:;"(click)="categoryEvent(20120)"&gt;{{"20120" | translate}}&lt;/a&gt;&lt;/li&gt;</v>
      </c>
    </row>
    <row r="31" spans="1:8" ht="14.25" customHeight="1">
      <c r="A31" s="2">
        <v>2084024008</v>
      </c>
      <c r="B31" s="2" t="s">
        <v>5245</v>
      </c>
      <c r="C31" s="2" t="s">
        <v>5246</v>
      </c>
      <c r="D31" s="2" t="s">
        <v>5247</v>
      </c>
      <c r="E31" s="3" t="str">
        <f ca="1">IFERROR(__xludf.DUMMYFUNCTION("GOOGLETRANSLATE(B31,""ja"",""vi"")"),"đồ thủ công")</f>
        <v>đồ thủ công</v>
      </c>
      <c r="F31" s="3" t="str">
        <f ca="1">IFERROR(__xludf.DUMMYFUNCTION("GOOGLETRANSLATE(C31,""ja"",""vi"")"),"Đấu giá&gt; Sở thích, văn hóa&gt; nghệ thuật&gt; thủ công")</f>
        <v>Đấu giá&gt; Sở thích, văn hóa&gt; nghệ thuật&gt; thủ công</v>
      </c>
      <c r="G31" s="229" t="str">
        <f t="shared" ca="1" si="0"/>
        <v>"2084024008" : "đồ thủ công",</v>
      </c>
      <c r="H31" s="229" t="str">
        <f t="shared" si="1"/>
        <v>&lt;li class="col-md-3"&gt;&lt;a class="text-cut" href="javascript:;"(click)="categoryEvent(2084024008)"&gt;{{"2084024008" | translate}}&lt;/a&gt;&lt;/li&gt;</v>
      </c>
    </row>
    <row r="32" spans="1:8" ht="14.25" customHeight="1">
      <c r="A32" s="2">
        <v>2084006189</v>
      </c>
      <c r="B32" s="2" t="s">
        <v>5253</v>
      </c>
      <c r="C32" s="2" t="s">
        <v>5254</v>
      </c>
      <c r="D32" s="2" t="s">
        <v>5255</v>
      </c>
      <c r="E32" s="3" t="str">
        <f ca="1">IFERROR(__xludf.DUMMYFUNCTION("GOOGLETRANSLATE(B32,""ja"",""vi"")"),"khung hình")</f>
        <v>khung hình</v>
      </c>
      <c r="F32" s="3" t="str">
        <f ca="1">IFERROR(__xludf.DUMMYFUNCTION("GOOGLETRANSLATE(C32,""ja"",""vi"")"),"Đấu giá&gt; Sở thích, văn hóa&gt; tác phẩm nghệ thuật&gt; khung hình")</f>
        <v>Đấu giá&gt; Sở thích, văn hóa&gt; tác phẩm nghệ thuật&gt; khung hình</v>
      </c>
      <c r="G32" s="229" t="str">
        <f t="shared" ca="1" si="0"/>
        <v>"2084006189" : "khung hình",</v>
      </c>
      <c r="H32" s="229" t="str">
        <f t="shared" si="1"/>
        <v>&lt;li class="col-md-3"&gt;&lt;a class="text-cut" href="javascript:;"(click)="categoryEvent(2084006189)"&gt;{{"2084006189" | translate}}&lt;/a&gt;&lt;/li&gt;</v>
      </c>
    </row>
    <row r="33" spans="1:8" ht="14.25" customHeight="1">
      <c r="A33" s="2">
        <v>2084006117</v>
      </c>
      <c r="B33" s="2" t="s">
        <v>5260</v>
      </c>
      <c r="C33" s="2" t="s">
        <v>5262</v>
      </c>
      <c r="D33" s="2" t="s">
        <v>5264</v>
      </c>
      <c r="E33" s="3" t="str">
        <f ca="1">IFERROR(__xludf.DUMMYFUNCTION("GOOGLETRANSLATE(B33,""ja"",""vi"")"),"Viết")</f>
        <v>Viết</v>
      </c>
      <c r="F33" s="3" t="str">
        <f ca="1">IFERROR(__xludf.DUMMYFUNCTION("GOOGLETRANSLATE(C33,""ja"",""vi"")"),"Đấu giá&gt; Sở thích, văn hóa&gt; tác phẩm nghệ thuật&gt; Bản Tuyên Bố")</f>
        <v>Đấu giá&gt; Sở thích, văn hóa&gt; tác phẩm nghệ thuật&gt; Bản Tuyên Bố</v>
      </c>
      <c r="G33" s="229" t="str">
        <f t="shared" ca="1" si="0"/>
        <v>"2084006117" : "Viết",</v>
      </c>
      <c r="H33" s="229" t="str">
        <f t="shared" si="1"/>
        <v>&lt;li class="col-md-3"&gt;&lt;a class="text-cut" href="javascript:;"(click)="categoryEvent(2084006117)"&gt;{{"2084006117" | translate}}&lt;/a&gt;&lt;/li&gt;</v>
      </c>
    </row>
    <row r="34" spans="1:8" ht="14.25" customHeight="1">
      <c r="A34" s="2">
        <v>20084</v>
      </c>
      <c r="B34" s="2" t="s">
        <v>5266</v>
      </c>
      <c r="C34" s="2" t="s">
        <v>5268</v>
      </c>
      <c r="D34" s="2" t="s">
        <v>5269</v>
      </c>
      <c r="E34" s="3" t="str">
        <f ca="1">IFERROR(__xludf.DUMMYFUNCTION("GOOGLETRANSLATE(B34,""ja"",""vi"")"),"nhiếp ảnh nghệ thuật")</f>
        <v>nhiếp ảnh nghệ thuật</v>
      </c>
      <c r="F34" s="3" t="str">
        <f ca="1">IFERROR(__xludf.DUMMYFUNCTION("GOOGLETRANSLATE(C34,""ja"",""vi"")"),"Đấu giá&gt; Sở thích, văn hóa&gt; tác phẩm nghệ thuật&gt; nhiếp ảnh nghệ thuật")</f>
        <v>Đấu giá&gt; Sở thích, văn hóa&gt; tác phẩm nghệ thuật&gt; nhiếp ảnh nghệ thuật</v>
      </c>
      <c r="G34" s="229" t="str">
        <f t="shared" ca="1" si="0"/>
        <v>"20084" : "nhiếp ảnh nghệ thuật",</v>
      </c>
      <c r="H34" s="229" t="str">
        <f t="shared" si="1"/>
        <v>&lt;li class="col-md-3"&gt;&lt;a class="text-cut" href="javascript:;"(click)="categoryEvent(20084)"&gt;{{"20084" | translate}}&lt;/a&gt;&lt;/li&gt;</v>
      </c>
    </row>
    <row r="35" spans="1:8" ht="14.25" customHeight="1">
      <c r="A35" s="2">
        <v>2084060415</v>
      </c>
      <c r="B35" s="2" t="s">
        <v>5274</v>
      </c>
      <c r="C35" s="2" t="s">
        <v>5276</v>
      </c>
      <c r="D35" s="2" t="s">
        <v>5277</v>
      </c>
      <c r="E35" s="3" t="str">
        <f ca="1">IFERROR(__xludf.DUMMYFUNCTION("GOOGLETRANSLATE(B35,""ja"",""vi"")"),"điều này")</f>
        <v>điều này</v>
      </c>
      <c r="F35" s="3" t="str">
        <f ca="1">IFERROR(__xludf.DUMMYFUNCTION("GOOGLETRANSLATE(C35,""ja"",""vi"")"),"Đấu giá&gt; Sở thích, văn hóa&gt; tác phẩm nghệ thuật&gt; Sách")</f>
        <v>Đấu giá&gt; Sở thích, văn hóa&gt; tác phẩm nghệ thuật&gt; Sách</v>
      </c>
      <c r="G35" s="229" t="str">
        <f t="shared" ca="1" si="0"/>
        <v>"2084060415" : "điều này",</v>
      </c>
      <c r="H35" s="229" t="str">
        <f t="shared" si="1"/>
        <v>&lt;li class="col-md-3"&gt;&lt;a class="text-cut" href="javascript:;"(click)="categoryEvent(2084060415)"&gt;{{"2084060415" | translate}}&lt;/a&gt;&lt;/li&gt;</v>
      </c>
    </row>
    <row r="36" spans="1:8" ht="14.25" customHeight="1">
      <c r="A36" s="2">
        <v>2084307788</v>
      </c>
      <c r="B36" s="2" t="s">
        <v>5211</v>
      </c>
      <c r="C36" s="2" t="s">
        <v>5282</v>
      </c>
      <c r="D36" s="2" t="s">
        <v>5284</v>
      </c>
      <c r="E36" s="3" t="str">
        <f ca="1">IFERROR(__xludf.DUMMYFUNCTION("GOOGLETRANSLATE(B36,""ja"",""vi"")"),"Tranh vẽ trên vải, hàng thủ công cho thuê")</f>
        <v>Tranh vẽ trên vải, hàng thủ công cho thuê</v>
      </c>
      <c r="F36" s="3" t="str">
        <f ca="1">IFERROR(__xludf.DUMMYFUNCTION("GOOGLETRANSLATE(C36,""ja"",""vi"")"),"Đấu giá&gt; Sở thích, văn hóa&gt; tác phẩm nghệ thuật&gt; Tranh, hàng thủ công cho thuê")</f>
        <v>Đấu giá&gt; Sở thích, văn hóa&gt; tác phẩm nghệ thuật&gt; Tranh, hàng thủ công cho thuê</v>
      </c>
      <c r="G36" s="229" t="str">
        <f t="shared" ca="1" si="0"/>
        <v>"2084307788" : "Tranh vẽ trên vải, hàng thủ công cho thuê",</v>
      </c>
      <c r="H36" s="229" t="str">
        <f t="shared" si="1"/>
        <v>&lt;li class="col-md-3"&gt;&lt;a class="text-cut" href="javascript:;"(click)="categoryEvent(2084307788)"&gt;{{"2084307788" | translate}}&lt;/a&gt;&lt;/li&gt;</v>
      </c>
    </row>
    <row r="37" spans="1:8" ht="14.25" customHeight="1">
      <c r="A37" s="2">
        <v>2084060423</v>
      </c>
      <c r="B37" s="2" t="s">
        <v>351</v>
      </c>
      <c r="C37" s="2" t="s">
        <v>5290</v>
      </c>
      <c r="D37" s="2" t="s">
        <v>5291</v>
      </c>
      <c r="E37" s="3" t="str">
        <f ca="1">IFERROR(__xludf.DUMMYFUNCTION("GOOGLETRANSLATE(B37,""ja"",""vi"")"),"tạp chí")</f>
        <v>tạp chí</v>
      </c>
      <c r="F37" s="3" t="str">
        <f ca="1">IFERROR(__xludf.DUMMYFUNCTION("GOOGLETRANSLATE(C37,""ja"",""vi"")"),"Đấu giá&gt; Sở thích, văn hóa&gt; tác phẩm nghệ thuật&gt; Tạp chí")</f>
        <v>Đấu giá&gt; Sở thích, văn hóa&gt; tác phẩm nghệ thuật&gt; Tạp chí</v>
      </c>
      <c r="G37" s="229" t="str">
        <f t="shared" ca="1" si="0"/>
        <v>"2084060423" : "tạp chí",</v>
      </c>
      <c r="H37" s="229" t="str">
        <f t="shared" si="1"/>
        <v>&lt;li class="col-md-3"&gt;&lt;a class="text-cut" href="javascript:;"(click)="categoryEvent(2084060423)"&gt;{{"2084060423" | translate}}&lt;/a&gt;&lt;/li&gt;</v>
      </c>
    </row>
    <row r="38" spans="1:8" ht="14.25" customHeight="1">
      <c r="A38" s="2">
        <v>20128</v>
      </c>
      <c r="B38" s="2" t="s">
        <v>16</v>
      </c>
      <c r="C38" s="2" t="s">
        <v>5298</v>
      </c>
      <c r="D38" s="2" t="s">
        <v>5299</v>
      </c>
      <c r="E38" s="3" t="str">
        <f ca="1">IFERROR(__xludf.DUMMYFUNCTION("GOOGLETRANSLATE(B38,""ja"",""vi"")"),"nếu không thì")</f>
        <v>nếu không thì</v>
      </c>
      <c r="F38" s="3" t="str">
        <f ca="1">IFERROR(__xludf.DUMMYFUNCTION("GOOGLETRANSLATE(C38,""ja"",""vi"")"),"Đấu giá&gt; Sở thích, văn hóa&gt; tác phẩm nghệ thuật&gt; Khác")</f>
        <v>Đấu giá&gt; Sở thích, văn hóa&gt; tác phẩm nghệ thuật&gt; Khác</v>
      </c>
      <c r="G38" s="229" t="str">
        <f t="shared" ca="1" si="0"/>
        <v>"20128" : "nếu không thì",</v>
      </c>
      <c r="H38" s="229" t="str">
        <f t="shared" si="1"/>
        <v>&lt;li class="col-md-3"&gt;&lt;a class="text-cut" href="javascript:;"(click)="categoryEvent(20128)"&gt;{{"20128" | translate}}&lt;/a&gt;&lt;/li&gt;</v>
      </c>
    </row>
    <row r="39" spans="1:8" ht="14.25" customHeight="1">
      <c r="E39" s="3"/>
      <c r="F39" s="3"/>
      <c r="G39" s="229"/>
      <c r="H39" s="229"/>
    </row>
    <row r="40" spans="1:8" ht="14.25" customHeight="1">
      <c r="A40" s="273">
        <v>2084236067</v>
      </c>
      <c r="B40" s="232"/>
      <c r="C40" s="232"/>
      <c r="D40" s="233"/>
      <c r="E40" s="3"/>
      <c r="F40" s="3"/>
      <c r="G40" s="229"/>
      <c r="H40" s="229"/>
    </row>
    <row r="41" spans="1:8" ht="14.25" customHeight="1">
      <c r="A41" s="2">
        <v>2084236074</v>
      </c>
      <c r="B41" s="2" t="s">
        <v>1135</v>
      </c>
      <c r="C41" s="2" t="s">
        <v>5318</v>
      </c>
      <c r="D41" s="2" t="s">
        <v>5319</v>
      </c>
      <c r="E41" s="3" t="str">
        <f ca="1">IFERROR(__xludf.DUMMYFUNCTION("GOOGLETRANSLATE(B41,""ja"",""vi"")"),"sơn mài Nhật")</f>
        <v>sơn mài Nhật</v>
      </c>
      <c r="F41" s="3" t="str">
        <f ca="1">IFERROR(__xludf.DUMMYFUNCTION("GOOGLETRANSLATE(C41,""ja"",""vi"")"),"Đấu giá&gt; cổ, bộ sưu tập&gt; nội thất&gt; Nhật Bản")</f>
        <v>Đấu giá&gt; cổ, bộ sưu tập&gt; nội thất&gt; Nhật Bản</v>
      </c>
      <c r="G41" s="229" t="str">
        <f t="shared" ca="1" si="0"/>
        <v>"2084236074" : "sơn mài Nhật",</v>
      </c>
      <c r="H41" s="229" t="str">
        <f t="shared" si="1"/>
        <v>&lt;li class="col-md-3"&gt;&lt;a class="text-cut" href="javascript:;"(click)="categoryEvent(2084236074)"&gt;{{"2084236074" | translate}}&lt;/a&gt;&lt;/li&gt;</v>
      </c>
    </row>
    <row r="42" spans="1:8" ht="14.25" customHeight="1">
      <c r="A42" s="2">
        <v>2084236075</v>
      </c>
      <c r="B42" s="2" t="s">
        <v>5328</v>
      </c>
      <c r="C42" s="2" t="s">
        <v>5330</v>
      </c>
      <c r="D42" s="2" t="s">
        <v>5332</v>
      </c>
      <c r="E42" s="3" t="str">
        <f ca="1">IFERROR(__xludf.DUMMYFUNCTION("GOOGLETRANSLATE(B42,""ja"",""vi"")"),"Á châu")</f>
        <v>Á châu</v>
      </c>
      <c r="F42" s="3" t="str">
        <f ca="1">IFERROR(__xludf.DUMMYFUNCTION("GOOGLETRANSLATE(C42,""ja"",""vi"")"),"Đấu giá&gt; cổ, bộ sưu tập&gt; nội thất&gt; Châu Á")</f>
        <v>Đấu giá&gt; cổ, bộ sưu tập&gt; nội thất&gt; Châu Á</v>
      </c>
      <c r="G42" s="229" t="str">
        <f t="shared" ca="1" si="0"/>
        <v>"2084236075" : "Á châu",</v>
      </c>
      <c r="H42" s="229" t="str">
        <f t="shared" si="1"/>
        <v>&lt;li class="col-md-3"&gt;&lt;a class="text-cut" href="javascript:;"(click)="categoryEvent(2084236075)"&gt;{{"2084236075" | translate}}&lt;/a&gt;&lt;/li&gt;</v>
      </c>
    </row>
    <row r="43" spans="1:8" ht="14.25" customHeight="1">
      <c r="A43" s="2">
        <v>2084236076</v>
      </c>
      <c r="B43" s="2" t="s">
        <v>5337</v>
      </c>
      <c r="C43" s="2" t="s">
        <v>5340</v>
      </c>
      <c r="D43" s="2" t="s">
        <v>5342</v>
      </c>
      <c r="E43" s="3" t="str">
        <f ca="1">IFERROR(__xludf.DUMMYFUNCTION("GOOGLETRANSLATE(B43,""ja"",""vi"")"),"tây")</f>
        <v>tây</v>
      </c>
      <c r="F43" s="3" t="str">
        <f ca="1">IFERROR(__xludf.DUMMYFUNCTION("GOOGLETRANSLATE(C43,""ja"",""vi"")"),"Đấu giá&gt; cổ, bộ sưu tập&gt; nội thất&gt; Tây")</f>
        <v>Đấu giá&gt; cổ, bộ sưu tập&gt; nội thất&gt; Tây</v>
      </c>
      <c r="G43" s="229" t="str">
        <f t="shared" ca="1" si="0"/>
        <v>"2084236076" : "tây",</v>
      </c>
      <c r="H43" s="229" t="str">
        <f t="shared" si="1"/>
        <v>&lt;li class="col-md-3"&gt;&lt;a class="text-cut" href="javascript:;"(click)="categoryEvent(2084236076)"&gt;{{"2084236076" | translate}}&lt;/a&gt;&lt;/li&gt;</v>
      </c>
    </row>
    <row r="44" spans="1:8" ht="14.25" customHeight="1">
      <c r="A44" s="2">
        <v>2084263156</v>
      </c>
      <c r="B44" s="2" t="s">
        <v>5345</v>
      </c>
      <c r="C44" s="2" t="s">
        <v>5347</v>
      </c>
      <c r="D44" s="2" t="s">
        <v>5349</v>
      </c>
      <c r="E44" s="3" t="str">
        <f ca="1">IFERROR(__xludf.DUMMYFUNCTION("GOOGLETRANSLATE(B44,""ja"",""vi"")"),"đồ đạc cửa hàng")</f>
        <v>đồ đạc cửa hàng</v>
      </c>
      <c r="F44" s="3" t="str">
        <f ca="1">IFERROR(__xludf.DUMMYFUNCTION("GOOGLETRANSLATE(C44,""ja"",""vi"")"),"Đấu giá&gt; cổ, bộ sưu tập&gt; nội thất&gt; đồ đạc cửa hàng")</f>
        <v>Đấu giá&gt; cổ, bộ sưu tập&gt; nội thất&gt; đồ đạc cửa hàng</v>
      </c>
      <c r="G44" s="229" t="str">
        <f t="shared" ca="1" si="0"/>
        <v>"2084263156" : "đồ đạc cửa hàng",</v>
      </c>
      <c r="H44" s="229" t="str">
        <f t="shared" si="1"/>
        <v>&lt;li class="col-md-3"&gt;&lt;a class="text-cut" href="javascript:;"(click)="categoryEvent(2084263156)"&gt;{{"2084263156" | translate}}&lt;/a&gt;&lt;/li&gt;</v>
      </c>
    </row>
    <row r="45" spans="1:8" ht="14.25" customHeight="1">
      <c r="E45" s="3"/>
      <c r="F45" s="3"/>
      <c r="G45" s="229"/>
      <c r="H45" s="229"/>
    </row>
    <row r="46" spans="1:8" ht="14.25" customHeight="1">
      <c r="A46" s="241">
        <v>2084259484</v>
      </c>
      <c r="B46" s="232"/>
      <c r="C46" s="232"/>
      <c r="D46" s="233"/>
      <c r="E46" s="3"/>
      <c r="F46" s="3"/>
      <c r="G46" s="229"/>
      <c r="H46" s="229"/>
    </row>
    <row r="47" spans="1:8" ht="14.25" customHeight="1">
      <c r="A47" s="2">
        <v>2084310194</v>
      </c>
      <c r="B47" s="2" t="s">
        <v>5360</v>
      </c>
      <c r="C47" s="2" t="s">
        <v>5363</v>
      </c>
      <c r="D47" s="2" t="s">
        <v>5365</v>
      </c>
      <c r="E47" s="3" t="str">
        <f ca="1">IFERROR(__xludf.DUMMYFUNCTION("GOOGLETRANSLATE(B47,""ja"",""vi"")"),"thanh kiếm Nhật, kiếm")</f>
        <v>thanh kiếm Nhật, kiếm</v>
      </c>
      <c r="F47" s="3" t="str">
        <f ca="1">IFERROR(__xludf.DUMMYFUNCTION("GOOGLETRANSLATE(C47,""ja"",""vi"")"),"Đấu giá&gt; cổ, bộ sưu tập&gt; giáp&gt; thanh kiếm Nhật, kiếm")</f>
        <v>Đấu giá&gt; cổ, bộ sưu tập&gt; giáp&gt; thanh kiếm Nhật, kiếm</v>
      </c>
      <c r="G47" s="229" t="str">
        <f t="shared" ca="1" si="0"/>
        <v>"2084310194" : "thanh kiếm Nhật, kiếm",</v>
      </c>
      <c r="H47" s="229" t="str">
        <f t="shared" si="1"/>
        <v>&lt;li class="col-md-3"&gt;&lt;a class="text-cut" href="javascript:;"(click)="categoryEvent(2084310194)"&gt;{{"2084310194" | translate}}&lt;/a&gt;&lt;/li&gt;</v>
      </c>
    </row>
    <row r="48" spans="1:8" ht="14.25" customHeight="1">
      <c r="A48" s="2">
        <v>2084057815</v>
      </c>
      <c r="B48" s="2" t="s">
        <v>5371</v>
      </c>
      <c r="C48" s="2" t="s">
        <v>5372</v>
      </c>
      <c r="D48" s="2" t="s">
        <v>5373</v>
      </c>
      <c r="E48" s="3" t="str">
        <f ca="1">IFERROR(__xludf.DUMMYFUNCTION("GOOGLETRANSLATE(B48,""ja"",""vi"")"),"Cổ áo, phụ kiện thanh gươm")</f>
        <v>Cổ áo, phụ kiện thanh gươm</v>
      </c>
      <c r="F48" s="3" t="str">
        <f ca="1">IFERROR(__xludf.DUMMYFUNCTION("GOOGLETRANSLATE(C48,""ja"",""vi"")"),"Đấu giá&gt; cổ, bộ sưu tập&gt; giáp&gt; cổ áo, phụ kiện thanh gươm")</f>
        <v>Đấu giá&gt; cổ, bộ sưu tập&gt; giáp&gt; cổ áo, phụ kiện thanh gươm</v>
      </c>
      <c r="G48" s="229" t="str">
        <f t="shared" ca="1" si="0"/>
        <v>"2084057815" : "Cổ áo, phụ kiện thanh gươm",</v>
      </c>
      <c r="H48" s="229" t="str">
        <f t="shared" si="1"/>
        <v>&lt;li class="col-md-3"&gt;&lt;a class="text-cut" href="javascript:;"(click)="categoryEvent(2084057815)"&gt;{{"2084057815" | translate}}&lt;/a&gt;&lt;/li&gt;</v>
      </c>
    </row>
    <row r="49" spans="1:8" ht="14.25" customHeight="1">
      <c r="A49" s="2">
        <v>2084311415</v>
      </c>
      <c r="B49" s="2" t="s">
        <v>5379</v>
      </c>
      <c r="C49" s="2" t="s">
        <v>5380</v>
      </c>
      <c r="D49" s="2" t="s">
        <v>5382</v>
      </c>
      <c r="E49" s="3" t="str">
        <f ca="1">IFERROR(__xludf.DUMMYFUNCTION("GOOGLETRANSLATE(B49,""ja"",""vi"")"),"Súng có ngòi, súng kiểu cũ")</f>
        <v>Súng có ngòi, súng kiểu cũ</v>
      </c>
      <c r="F49" s="3" t="str">
        <f ca="1">IFERROR(__xludf.DUMMYFUNCTION("GOOGLETRANSLATE(C49,""ja"",""vi"")"),"Đấu giá&gt; cổ, bộ sưu tập&gt; giáp&gt; súng có ngòi, súng kiểu cũ")</f>
        <v>Đấu giá&gt; cổ, bộ sưu tập&gt; giáp&gt; súng có ngòi, súng kiểu cũ</v>
      </c>
      <c r="G49" s="229" t="str">
        <f t="shared" ca="1" si="0"/>
        <v>"2084311415" : "Súng có ngòi, súng kiểu cũ",</v>
      </c>
      <c r="H49" s="229" t="str">
        <f t="shared" si="1"/>
        <v>&lt;li class="col-md-3"&gt;&lt;a class="text-cut" href="javascript:;"(click)="categoryEvent(2084311415)"&gt;{{"2084311415" | translate}}&lt;/a&gt;&lt;/li&gt;</v>
      </c>
    </row>
    <row r="50" spans="1:8" ht="14.25" customHeight="1">
      <c r="A50" s="2">
        <v>2084311419</v>
      </c>
      <c r="B50" s="2" t="s">
        <v>5387</v>
      </c>
      <c r="C50" s="2" t="s">
        <v>5389</v>
      </c>
      <c r="D50" s="2" t="s">
        <v>5391</v>
      </c>
      <c r="E50" s="3" t="str">
        <f ca="1">IFERROR(__xludf.DUMMYFUNCTION("GOOGLETRANSLATE(B50,""ja"",""vi"")"),"Replica, súng trang trí")</f>
        <v>Replica, súng trang trí</v>
      </c>
      <c r="F50" s="3" t="str">
        <f ca="1">IFERROR(__xludf.DUMMYFUNCTION("GOOGLETRANSLATE(C50,""ja"",""vi"")"),"Đấu giá&gt; cổ, bộ sưu tập&gt; giáp&gt; replica, súng trang trí")</f>
        <v>Đấu giá&gt; cổ, bộ sưu tập&gt; giáp&gt; replica, súng trang trí</v>
      </c>
      <c r="G50" s="229" t="str">
        <f t="shared" ca="1" si="0"/>
        <v>"2084311419" : "Replica, súng trang trí",</v>
      </c>
      <c r="H50" s="229" t="str">
        <f t="shared" si="1"/>
        <v>&lt;li class="col-md-3"&gt;&lt;a class="text-cut" href="javascript:;"(click)="categoryEvent(2084311419)"&gt;{{"2084311419" | translate}}&lt;/a&gt;&lt;/li&gt;</v>
      </c>
    </row>
    <row r="51" spans="1:8" ht="14.25" customHeight="1">
      <c r="A51" s="2">
        <v>2084259485</v>
      </c>
      <c r="B51" s="2" t="s">
        <v>5395</v>
      </c>
      <c r="C51" s="2" t="s">
        <v>5397</v>
      </c>
      <c r="D51" s="2" t="s">
        <v>5399</v>
      </c>
      <c r="E51" s="3" t="str">
        <f ca="1">IFERROR(__xludf.DUMMYFUNCTION("GOOGLETRANSLATE(B51,""ja"",""vi"")"),"Armor (mũ bảo hiểm, áo giáp)")</f>
        <v>Armor (mũ bảo hiểm, áo giáp)</v>
      </c>
      <c r="F51" s="3" t="str">
        <f ca="1">IFERROR(__xludf.DUMMYFUNCTION("GOOGLETRANSLATE(C51,""ja"",""vi"")"),"Đấu giá&gt; cổ, bộ sưu tập&gt; giáp&gt; áo giáp (mũ bảo hiểm, áo giáp)")</f>
        <v>Đấu giá&gt; cổ, bộ sưu tập&gt; giáp&gt; áo giáp (mũ bảo hiểm, áo giáp)</v>
      </c>
      <c r="G51" s="229" t="str">
        <f t="shared" ca="1" si="0"/>
        <v>"2084259485" : "Armor (mũ bảo hiểm, áo giáp)",</v>
      </c>
      <c r="H51" s="229" t="str">
        <f t="shared" si="1"/>
        <v>&lt;li class="col-md-3"&gt;&lt;a class="text-cut" href="javascript:;"(click)="categoryEvent(2084259485)"&gt;{{"2084259485" | translate}}&lt;/a&gt;&lt;/li&gt;</v>
      </c>
    </row>
    <row r="52" spans="1:8" ht="14.25" customHeight="1">
      <c r="A52" s="2">
        <v>2084259486</v>
      </c>
      <c r="B52" s="2" t="s">
        <v>5402</v>
      </c>
      <c r="C52" s="2" t="s">
        <v>5403</v>
      </c>
      <c r="D52" s="2" t="s">
        <v>5405</v>
      </c>
      <c r="E52" s="3" t="str">
        <f ca="1">IFERROR(__xludf.DUMMYFUNCTION("GOOGLETRANSLATE(B52,""ja"",""vi"")"),"yên cương")</f>
        <v>yên cương</v>
      </c>
      <c r="F52" s="3" t="str">
        <f ca="1">IFERROR(__xludf.DUMMYFUNCTION("GOOGLETRANSLATE(C52,""ja"",""vi"")"),"Đấu giá&gt; cổ, bộ sưu tập&gt; giáp&gt; khai thác")</f>
        <v>Đấu giá&gt; cổ, bộ sưu tập&gt; giáp&gt; khai thác</v>
      </c>
      <c r="G52" s="229" t="str">
        <f t="shared" ca="1" si="0"/>
        <v>"2084259486" : "yên cương",</v>
      </c>
      <c r="H52" s="229" t="str">
        <f t="shared" si="1"/>
        <v>&lt;li class="col-md-3"&gt;&lt;a class="text-cut" href="javascript:;"(click)="categoryEvent(2084259486)"&gt;{{"2084259486" | translate}}&lt;/a&gt;&lt;/li&gt;</v>
      </c>
    </row>
    <row r="53" spans="1:8" ht="14.25" customHeight="1">
      <c r="A53" s="2">
        <v>2084259487</v>
      </c>
      <c r="B53" s="2" t="s">
        <v>16</v>
      </c>
      <c r="C53" s="2" t="s">
        <v>5408</v>
      </c>
      <c r="D53" s="2" t="s">
        <v>5411</v>
      </c>
      <c r="E53" s="3" t="str">
        <f ca="1">IFERROR(__xludf.DUMMYFUNCTION("GOOGLETRANSLATE(B53,""ja"",""vi"")"),"nếu không thì")</f>
        <v>nếu không thì</v>
      </c>
      <c r="F53" s="3" t="str">
        <f ca="1">IFERROR(__xludf.DUMMYFUNCTION("GOOGLETRANSLATE(C53,""ja"",""vi"")"),"Đấu giá&gt; cổ, bộ sưu tập&gt; giáp&gt; Khác")</f>
        <v>Đấu giá&gt; cổ, bộ sưu tập&gt; giáp&gt; Khác</v>
      </c>
      <c r="G53" s="229" t="str">
        <f t="shared" ca="1" si="0"/>
        <v>"2084259487" : "nếu không thì",</v>
      </c>
      <c r="H53" s="229" t="str">
        <f t="shared" si="1"/>
        <v>&lt;li class="col-md-3"&gt;&lt;a class="text-cut" href="javascript:;"(click)="categoryEvent(2084259487)"&gt;{{"2084259487" | translate}}&lt;/a&gt;&lt;/li&gt;</v>
      </c>
    </row>
    <row r="54" spans="1:8" ht="14.25" customHeight="1">
      <c r="E54" s="3"/>
      <c r="F54" s="3"/>
      <c r="G54" s="229"/>
      <c r="H54" s="229"/>
    </row>
    <row r="55" spans="1:8" ht="14.25" customHeight="1">
      <c r="A55" s="242">
        <v>20960</v>
      </c>
      <c r="B55" s="232"/>
      <c r="C55" s="232"/>
      <c r="D55" s="233"/>
      <c r="E55" s="3"/>
      <c r="F55" s="3"/>
      <c r="G55" s="229"/>
      <c r="H55" s="229"/>
    </row>
    <row r="56" spans="1:8" ht="14.25" customHeight="1">
      <c r="A56" s="2">
        <v>40575</v>
      </c>
      <c r="B56" s="2" t="s">
        <v>5417</v>
      </c>
      <c r="C56" s="2" t="s">
        <v>5418</v>
      </c>
      <c r="D56" s="2" t="s">
        <v>5420</v>
      </c>
      <c r="E56" s="3" t="str">
        <f ca="1">IFERROR(__xludf.DUMMYFUNCTION("GOOGLETRANSLATE(B56,""ja"",""vi"")"),"bìa ngày đầu tiên")</f>
        <v>bìa ngày đầu tiên</v>
      </c>
      <c r="F56" s="3" t="str">
        <f ca="1">IFERROR(__xludf.DUMMYFUNCTION("GOOGLETRANSLATE(C56,""ja"",""vi"")"),"Đấu giá&gt; cổ, bộ sưu tập&gt; tem, thẻ bưu chính&gt; ngày bìa đầu tiên")</f>
        <v>Đấu giá&gt; cổ, bộ sưu tập&gt; tem, thẻ bưu chính&gt; ngày bìa đầu tiên</v>
      </c>
      <c r="G56" s="229" t="str">
        <f t="shared" ca="1" si="0"/>
        <v>"40575" : "bìa ngày đầu tiên",</v>
      </c>
      <c r="H56" s="229" t="str">
        <f t="shared" si="1"/>
        <v>&lt;li class="col-md-3"&gt;&lt;a class="text-cut" href="javascript:;"(click)="categoryEvent(40575)"&gt;{{"40575" | translate}}&lt;/a&gt;&lt;/li&gt;</v>
      </c>
    </row>
    <row r="57" spans="1:8" ht="14.25" customHeight="1">
      <c r="A57" s="2">
        <v>44293</v>
      </c>
      <c r="B57" s="2" t="s">
        <v>1135</v>
      </c>
      <c r="C57" s="2" t="s">
        <v>5425</v>
      </c>
      <c r="D57" s="2" t="s">
        <v>5426</v>
      </c>
      <c r="E57" s="3" t="str">
        <f ca="1">IFERROR(__xludf.DUMMYFUNCTION("GOOGLETRANSLATE(B57,""ja"",""vi"")"),"sơn mài Nhật")</f>
        <v>sơn mài Nhật</v>
      </c>
      <c r="F57" s="3" t="str">
        <f ca="1">IFERROR(__xludf.DUMMYFUNCTION("GOOGLETRANSLATE(C57,""ja"",""vi"")"),"Đấu giá&gt; cổ, bộ sưu tập&gt; tem, thẻ bưu chính&gt; Nhật Bản")</f>
        <v>Đấu giá&gt; cổ, bộ sưu tập&gt; tem, thẻ bưu chính&gt; Nhật Bản</v>
      </c>
      <c r="G57" s="229" t="str">
        <f t="shared" ca="1" si="0"/>
        <v>"44293" : "sơn mài Nhật",</v>
      </c>
      <c r="H57" s="229" t="str">
        <f t="shared" si="1"/>
        <v>&lt;li class="col-md-3"&gt;&lt;a class="text-cut" href="javascript:;"(click)="categoryEvent(44293)"&gt;{{"44293" | translate}}&lt;/a&gt;&lt;/li&gt;</v>
      </c>
    </row>
    <row r="58" spans="1:8" ht="14.25" customHeight="1">
      <c r="A58" s="2">
        <v>44279</v>
      </c>
      <c r="B58" s="2" t="s">
        <v>5328</v>
      </c>
      <c r="C58" s="2" t="s">
        <v>5431</v>
      </c>
      <c r="D58" s="2" t="s">
        <v>5433</v>
      </c>
      <c r="E58" s="3" t="str">
        <f ca="1">IFERROR(__xludf.DUMMYFUNCTION("GOOGLETRANSLATE(B58,""ja"",""vi"")"),"Á châu")</f>
        <v>Á châu</v>
      </c>
      <c r="F58" s="3" t="str">
        <f ca="1">IFERROR(__xludf.DUMMYFUNCTION("GOOGLETRANSLATE(C58,""ja"",""vi"")"),"Đấu giá&gt; cổ, bộ sưu tập&gt; tem, thẻ bưu chính&gt; Châu Á")</f>
        <v>Đấu giá&gt; cổ, bộ sưu tập&gt; tem, thẻ bưu chính&gt; Châu Á</v>
      </c>
      <c r="G58" s="229" t="str">
        <f t="shared" ca="1" si="0"/>
        <v>"44279" : "Á châu",</v>
      </c>
      <c r="H58" s="229" t="str">
        <f t="shared" si="1"/>
        <v>&lt;li class="col-md-3"&gt;&lt;a class="text-cut" href="javascript:;"(click)="categoryEvent(44279)"&gt;{{"44279" | translate}}&lt;/a&gt;&lt;/li&gt;</v>
      </c>
    </row>
    <row r="59" spans="1:8" ht="14.25" customHeight="1">
      <c r="A59" s="2">
        <v>44168</v>
      </c>
      <c r="B59" s="2" t="s">
        <v>5438</v>
      </c>
      <c r="C59" s="2" t="s">
        <v>5439</v>
      </c>
      <c r="D59" s="2" t="s">
        <v>5440</v>
      </c>
      <c r="E59" s="3" t="str">
        <f ca="1">IFERROR(__xludf.DUMMYFUNCTION("GOOGLETRANSLATE(B59,""ja"",""vi"")"),"Bắc Mỹ")</f>
        <v>Bắc Mỹ</v>
      </c>
      <c r="F59" s="3" t="str">
        <f ca="1">IFERROR(__xludf.DUMMYFUNCTION("GOOGLETRANSLATE(C59,""ja"",""vi"")"),"Đấu giá&gt; cổ, bộ sưu tập&gt; tem, thẻ bưu chính&gt; Bắc Mỹ")</f>
        <v>Đấu giá&gt; cổ, bộ sưu tập&gt; tem, thẻ bưu chính&gt; Bắc Mỹ</v>
      </c>
      <c r="G59" s="229" t="str">
        <f t="shared" ca="1" si="0"/>
        <v>"44168" : "Bắc Mỹ",</v>
      </c>
      <c r="H59" s="229" t="str">
        <f t="shared" si="1"/>
        <v>&lt;li class="col-md-3"&gt;&lt;a class="text-cut" href="javascript:;"(click)="categoryEvent(44168)"&gt;{{"44168" | translate}}&lt;/a&gt;&lt;/li&gt;</v>
      </c>
    </row>
    <row r="60" spans="1:8" ht="14.25" customHeight="1">
      <c r="A60" s="2">
        <v>44170</v>
      </c>
      <c r="B60" s="2" t="s">
        <v>5445</v>
      </c>
      <c r="C60" s="2" t="s">
        <v>5446</v>
      </c>
      <c r="D60" s="2" t="s">
        <v>5447</v>
      </c>
      <c r="E60" s="3" t="str">
        <f ca="1">IFERROR(__xludf.DUMMYFUNCTION("GOOGLETRANSLATE(B60,""ja"",""vi"")"),"nam Mỹ")</f>
        <v>nam Mỹ</v>
      </c>
      <c r="F60" s="3" t="str">
        <f ca="1">IFERROR(__xludf.DUMMYFUNCTION("GOOGLETRANSLATE(C60,""ja"",""vi"")"),"Đấu giá&gt; cổ, bộ sưu tập&gt; tem, thẻ bưu chính&gt; Nam Mỹ")</f>
        <v>Đấu giá&gt; cổ, bộ sưu tập&gt; tem, thẻ bưu chính&gt; Nam Mỹ</v>
      </c>
      <c r="G60" s="229" t="str">
        <f t="shared" ca="1" si="0"/>
        <v>"44170" : "nam Mỹ",</v>
      </c>
      <c r="H60" s="229" t="str">
        <f t="shared" si="1"/>
        <v>&lt;li class="col-md-3"&gt;&lt;a class="text-cut" href="javascript:;"(click)="categoryEvent(44170)"&gt;{{"44170" | translate}}&lt;/a&gt;&lt;/li&gt;</v>
      </c>
    </row>
    <row r="61" spans="1:8" ht="14.25" customHeight="1">
      <c r="A61" s="2">
        <v>44180</v>
      </c>
      <c r="B61" s="2" t="s">
        <v>5451</v>
      </c>
      <c r="C61" s="2" t="s">
        <v>5453</v>
      </c>
      <c r="D61" s="2" t="s">
        <v>5454</v>
      </c>
      <c r="E61" s="3" t="str">
        <f ca="1">IFERROR(__xludf.DUMMYFUNCTION("GOOGLETRANSLATE(B61,""ja"",""vi"")"),"Âu châu")</f>
        <v>Âu châu</v>
      </c>
      <c r="F61" s="3" t="str">
        <f ca="1">IFERROR(__xludf.DUMMYFUNCTION("GOOGLETRANSLATE(C61,""ja"",""vi"")"),"Đấu giá&gt; cổ, bộ sưu tập&gt; tem, bưu thiếp&gt; Châu Âu")</f>
        <v>Đấu giá&gt; cổ, bộ sưu tập&gt; tem, bưu thiếp&gt; Châu Âu</v>
      </c>
      <c r="G61" s="229" t="str">
        <f t="shared" ca="1" si="0"/>
        <v>"44180" : "Âu châu",</v>
      </c>
      <c r="H61" s="229" t="str">
        <f t="shared" si="1"/>
        <v>&lt;li class="col-md-3"&gt;&lt;a class="text-cut" href="javascript:;"(click)="categoryEvent(44180)"&gt;{{"44180" | translate}}&lt;/a&gt;&lt;/li&gt;</v>
      </c>
    </row>
    <row r="62" spans="1:8" ht="14.25" customHeight="1">
      <c r="A62" s="2">
        <v>2084005731</v>
      </c>
      <c r="B62" s="2" t="s">
        <v>5458</v>
      </c>
      <c r="C62" s="2" t="s">
        <v>5460</v>
      </c>
      <c r="D62" s="2" t="s">
        <v>5461</v>
      </c>
      <c r="E62" s="3" t="str">
        <f ca="1">IFERROR(__xludf.DUMMYFUNCTION("GOOGLETRANSLATE(B62,""ja"",""vi"")"),"Châu phi")</f>
        <v>Châu phi</v>
      </c>
      <c r="F62" s="3" t="str">
        <f ca="1">IFERROR(__xludf.DUMMYFUNCTION("GOOGLETRANSLATE(C62,""ja"",""vi"")"),"Đấu giá&gt; cổ, bộ sưu tập&gt; tem, bưu thiếp&gt; Châu Phi")</f>
        <v>Đấu giá&gt; cổ, bộ sưu tập&gt; tem, bưu thiếp&gt; Châu Phi</v>
      </c>
      <c r="G62" s="229" t="str">
        <f t="shared" ca="1" si="0"/>
        <v>"2084005731" : "Châu phi",</v>
      </c>
      <c r="H62" s="229" t="str">
        <f t="shared" si="1"/>
        <v>&lt;li class="col-md-3"&gt;&lt;a class="text-cut" href="javascript:;"(click)="categoryEvent(2084005731)"&gt;{{"2084005731" | translate}}&lt;/a&gt;&lt;/li&gt;</v>
      </c>
    </row>
    <row r="63" spans="1:8" ht="14.25" customHeight="1">
      <c r="A63" s="2">
        <v>2084005730</v>
      </c>
      <c r="B63" s="2" t="s">
        <v>5464</v>
      </c>
      <c r="C63" s="2" t="s">
        <v>5465</v>
      </c>
      <c r="D63" s="2" t="s">
        <v>5467</v>
      </c>
      <c r="E63" s="3" t="str">
        <f ca="1">IFERROR(__xludf.DUMMYFUNCTION("GOOGLETRANSLATE(B63,""ja"",""vi"")"),"Đại dương")</f>
        <v>Đại dương</v>
      </c>
      <c r="F63" s="3" t="str">
        <f ca="1">IFERROR(__xludf.DUMMYFUNCTION("GOOGLETRANSLATE(C63,""ja"",""vi"")"),"Đấu giá&gt; cổ, bộ sưu tập&gt; tem, bưu thiếp&gt; Châu Đại Dương")</f>
        <v>Đấu giá&gt; cổ, bộ sưu tập&gt; tem, bưu thiếp&gt; Châu Đại Dương</v>
      </c>
      <c r="G63" s="229" t="str">
        <f t="shared" ca="1" si="0"/>
        <v>"2084005730" : "Đại dương",</v>
      </c>
      <c r="H63" s="229" t="str">
        <f t="shared" si="1"/>
        <v>&lt;li class="col-md-3"&gt;&lt;a class="text-cut" href="javascript:;"(click)="categoryEvent(2084005730)"&gt;{{"2084005730" | translate}}&lt;/a&gt;&lt;/li&gt;</v>
      </c>
    </row>
    <row r="64" spans="1:8" ht="14.25" customHeight="1">
      <c r="A64" s="2">
        <v>2084046934</v>
      </c>
      <c r="B64" s="2" t="s">
        <v>5469</v>
      </c>
      <c r="C64" s="2" t="s">
        <v>5470</v>
      </c>
      <c r="D64" s="2" t="s">
        <v>5471</v>
      </c>
      <c r="E64" s="3" t="str">
        <f ca="1">IFERROR(__xludf.DUMMYFUNCTION("GOOGLETRANSLATE(B64,""ja"",""vi"")"),"bưu thiếp")</f>
        <v>bưu thiếp</v>
      </c>
      <c r="F64" s="3" t="str">
        <f ca="1">IFERROR(__xludf.DUMMYFUNCTION("GOOGLETRANSLATE(C64,""ja"",""vi"")"),"Đấu giá&gt; cổ, bộ sưu tập&gt; tem, thẻ bưu chính&gt; bưu thiếp")</f>
        <v>Đấu giá&gt; cổ, bộ sưu tập&gt; tem, thẻ bưu chính&gt; bưu thiếp</v>
      </c>
      <c r="G64" s="229" t="str">
        <f t="shared" ca="1" si="0"/>
        <v>"2084046934" : "bưu thiếp",</v>
      </c>
      <c r="H64" s="229" t="str">
        <f t="shared" si="1"/>
        <v>&lt;li class="col-md-3"&gt;&lt;a class="text-cut" href="javascript:;"(click)="categoryEvent(2084046934)"&gt;{{"2084046934" | translate}}&lt;/a&gt;&lt;/li&gt;</v>
      </c>
    </row>
    <row r="65" spans="1:8" ht="14.25" customHeight="1">
      <c r="A65" s="2">
        <v>21632</v>
      </c>
      <c r="B65" s="2" t="s">
        <v>162</v>
      </c>
      <c r="C65" s="2" t="s">
        <v>5477</v>
      </c>
      <c r="D65" s="2" t="s">
        <v>5478</v>
      </c>
      <c r="E65" s="3" t="str">
        <f ca="1">IFERROR(__xludf.DUMMYFUNCTION("GOOGLETRANSLATE(B65,""ja"",""vi"")"),"Sách, tạp chí")</f>
        <v>Sách, tạp chí</v>
      </c>
      <c r="F65" s="3" t="str">
        <f ca="1">IFERROR(__xludf.DUMMYFUNCTION("GOOGLETRANSLATE(C65,""ja"",""vi"")"),"Đấu giá&gt; cổ, bộ sưu tập&gt; tem, bưu thiếp&gt; sách, tạp chí")</f>
        <v>Đấu giá&gt; cổ, bộ sưu tập&gt; tem, bưu thiếp&gt; sách, tạp chí</v>
      </c>
      <c r="G65" s="229" t="str">
        <f t="shared" ca="1" si="0"/>
        <v>"21632" : "Sách, tạp chí",</v>
      </c>
      <c r="H65" s="229" t="str">
        <f t="shared" si="1"/>
        <v>&lt;li class="col-md-3"&gt;&lt;a class="text-cut" href="javascript:;"(click)="categoryEvent(21632)"&gt;{{"21632" | translate}}&lt;/a&gt;&lt;/li&gt;</v>
      </c>
    </row>
    <row r="66" spans="1:8" ht="14.25" customHeight="1">
      <c r="A66" s="2">
        <v>20984</v>
      </c>
      <c r="B66" s="2" t="s">
        <v>16</v>
      </c>
      <c r="C66" s="2" t="s">
        <v>5483</v>
      </c>
      <c r="D66" s="2" t="s">
        <v>5485</v>
      </c>
      <c r="E66" s="3" t="str">
        <f ca="1">IFERROR(__xludf.DUMMYFUNCTION("GOOGLETRANSLATE(B66,""ja"",""vi"")"),"nếu không thì")</f>
        <v>nếu không thì</v>
      </c>
      <c r="F66" s="3" t="str">
        <f ca="1">IFERROR(__xludf.DUMMYFUNCTION("GOOGLETRANSLATE(C66,""ja"",""vi"")"),"Đấu giá&gt; cổ, bộ sưu tập&gt; tem, bưu thiếp&gt; Khác")</f>
        <v>Đấu giá&gt; cổ, bộ sưu tập&gt; tem, bưu thiếp&gt; Khác</v>
      </c>
      <c r="G66" s="229" t="str">
        <f t="shared" ca="1" si="0"/>
        <v>"20984" : "nếu không thì",</v>
      </c>
      <c r="H66" s="229" t="str">
        <f t="shared" si="1"/>
        <v>&lt;li class="col-md-3"&gt;&lt;a class="text-cut" href="javascript:;"(click)="categoryEvent(20984)"&gt;{{"20984" | translate}}&lt;/a&gt;&lt;/li&gt;</v>
      </c>
    </row>
    <row r="67" spans="1:8" ht="14.25" customHeight="1">
      <c r="E67" s="3"/>
      <c r="F67" s="3"/>
      <c r="G67" s="229"/>
      <c r="H67" s="229"/>
    </row>
    <row r="68" spans="1:8" ht="14.25" customHeight="1">
      <c r="A68" s="238">
        <v>20452</v>
      </c>
      <c r="B68" s="232"/>
      <c r="C68" s="232"/>
      <c r="D68" s="233"/>
      <c r="E68" s="3"/>
      <c r="F68" s="3"/>
      <c r="G68" s="229"/>
      <c r="H68" s="229"/>
    </row>
    <row r="69" spans="1:8" ht="14.25" customHeight="1">
      <c r="A69" s="2">
        <v>20460</v>
      </c>
      <c r="B69" s="2" t="s">
        <v>5495</v>
      </c>
      <c r="C69" s="2" t="s">
        <v>5498</v>
      </c>
      <c r="D69" s="2" t="s">
        <v>5501</v>
      </c>
      <c r="E69" s="3" t="str">
        <f ca="1">IFERROR(__xludf.DUMMYFUNCTION("GOOGLETRANSLATE(B69,""ja"",""vi"")"),"đồng tiền")</f>
        <v>đồng tiền</v>
      </c>
      <c r="F69" s="3" t="str">
        <f ca="1">IFERROR(__xludf.DUMMYFUNCTION("GOOGLETRANSLATE(C69,""ja"",""vi"")"),"Đấu giá&gt; cổ, bộ sưu tập&gt; tiền&gt; đồng xu")</f>
        <v>Đấu giá&gt; cổ, bộ sưu tập&gt; tiền&gt; đồng xu</v>
      </c>
      <c r="G69" s="229" t="str">
        <f t="shared" ref="G69:G130" ca="1" si="2">CONCATENATE(CHAR(34)&amp;"",A69,""&amp;CHAR(34)," : ", CHAR(34)&amp;"",E69,""&amp;CHAR(34),",")</f>
        <v>"20460" : "đồng tiền",</v>
      </c>
      <c r="H69" s="229" t="str">
        <f t="shared" ref="H69:H130" si="3">CONCATENATE("&lt;li class=",CHAR(34)&amp;"","col-md-3",""&amp;CHAR(34),"&gt;","&lt;a class=",CHAR(34)&amp;"","text-cut",""&amp;CHAR(34)," href=",CHAR(34)&amp;"","javascript:;",""&amp;CHAR(34), "(click)=",CHAR(34)&amp;"","categoryEvent(",A69,")",""&amp;CHAR(34),"&gt;{{",CHAR(34)&amp;"",A69,""&amp;CHAR(34)," | translate}}&lt;/a&gt;&lt;/li&gt;")</f>
        <v>&lt;li class="col-md-3"&gt;&lt;a class="text-cut" href="javascript:;"(click)="categoryEvent(20460)"&gt;{{"20460" | translate}}&lt;/a&gt;&lt;/li&gt;</v>
      </c>
    </row>
    <row r="70" spans="1:8" ht="14.25" customHeight="1">
      <c r="A70" s="2">
        <v>20640</v>
      </c>
      <c r="B70" s="2" t="s">
        <v>5506</v>
      </c>
      <c r="C70" s="2" t="s">
        <v>5508</v>
      </c>
      <c r="D70" s="2" t="s">
        <v>5510</v>
      </c>
      <c r="E70" s="3" t="str">
        <f ca="1">IFERROR(__xludf.DUMMYFUNCTION("GOOGLETRANSLATE(B70,""ja"",""vi"")"),"hóa đơn")</f>
        <v>hóa đơn</v>
      </c>
      <c r="F70" s="3" t="str">
        <f ca="1">IFERROR(__xludf.DUMMYFUNCTION("GOOGLETRANSLATE(C70,""ja"",""vi"")"),"Đấu giá&gt; cổ, bộ sưu tập&gt; tiền&gt; hóa đơn")</f>
        <v>Đấu giá&gt; cổ, bộ sưu tập&gt; tiền&gt; hóa đơn</v>
      </c>
      <c r="G70" s="229" t="str">
        <f t="shared" ca="1" si="2"/>
        <v>"20640" : "hóa đơn",</v>
      </c>
      <c r="H70" s="229" t="str">
        <f t="shared" si="3"/>
        <v>&lt;li class="col-md-3"&gt;&lt;a class="text-cut" href="javascript:;"(click)="categoryEvent(20640)"&gt;{{"20640" | translate}}&lt;/a&gt;&lt;/li&gt;</v>
      </c>
    </row>
    <row r="71" spans="1:8" ht="14.25" customHeight="1">
      <c r="A71" s="2">
        <v>20456</v>
      </c>
      <c r="B71" s="2" t="s">
        <v>5514</v>
      </c>
      <c r="C71" s="2" t="s">
        <v>5517</v>
      </c>
      <c r="D71" s="2" t="s">
        <v>5518</v>
      </c>
      <c r="E71" s="3" t="str">
        <f ca="1">IFERROR(__xludf.DUMMYFUNCTION("GOOGLETRANSLATE(B71,""ja"",""vi"")"),"thỏi vàng")</f>
        <v>thỏi vàng</v>
      </c>
      <c r="F71" s="3" t="str">
        <f ca="1">IFERROR(__xludf.DUMMYFUNCTION("GOOGLETRANSLATE(C71,""ja"",""vi"")"),"Đấu giá&gt; cổ, bộ sưu tập&gt; tiền&gt; vàng")</f>
        <v>Đấu giá&gt; cổ, bộ sưu tập&gt; tiền&gt; vàng</v>
      </c>
      <c r="G71" s="229" t="str">
        <f t="shared" ca="1" si="2"/>
        <v>"20456" : "thỏi vàng",</v>
      </c>
      <c r="H71" s="229" t="str">
        <f t="shared" si="3"/>
        <v>&lt;li class="col-md-3"&gt;&lt;a class="text-cut" href="javascript:;"(click)="categoryEvent(20456)"&gt;{{"20456" | translate}}&lt;/a&gt;&lt;/li&gt;</v>
      </c>
    </row>
    <row r="72" spans="1:8" ht="14.25" customHeight="1">
      <c r="A72" s="2">
        <v>21632</v>
      </c>
      <c r="B72" s="2" t="s">
        <v>5274</v>
      </c>
      <c r="C72" s="2" t="s">
        <v>5521</v>
      </c>
      <c r="D72" s="2" t="s">
        <v>5523</v>
      </c>
      <c r="E72" s="3" t="str">
        <f ca="1">IFERROR(__xludf.DUMMYFUNCTION("GOOGLETRANSLATE(B72,""ja"",""vi"")"),"điều này")</f>
        <v>điều này</v>
      </c>
      <c r="F72" s="3" t="str">
        <f ca="1">IFERROR(__xludf.DUMMYFUNCTION("GOOGLETRANSLATE(C72,""ja"",""vi"")"),"Đấu giá&gt; cổ, bộ sưu tập&gt; tiền&gt; Sách")</f>
        <v>Đấu giá&gt; cổ, bộ sưu tập&gt; tiền&gt; Sách</v>
      </c>
      <c r="G72" s="229" t="str">
        <f t="shared" ca="1" si="2"/>
        <v>"21632" : "điều này",</v>
      </c>
      <c r="H72" s="229" t="str">
        <f t="shared" si="3"/>
        <v>&lt;li class="col-md-3"&gt;&lt;a class="text-cut" href="javascript:;"(click)="categoryEvent(21632)"&gt;{{"21632" | translate}}&lt;/a&gt;&lt;/li&gt;</v>
      </c>
    </row>
    <row r="73" spans="1:8" ht="14.25" customHeight="1">
      <c r="A73" s="2">
        <v>20644</v>
      </c>
      <c r="B73" s="2" t="s">
        <v>16</v>
      </c>
      <c r="C73" s="2" t="s">
        <v>5525</v>
      </c>
      <c r="D73" s="2" t="s">
        <v>5527</v>
      </c>
      <c r="E73" s="3" t="str">
        <f ca="1">IFERROR(__xludf.DUMMYFUNCTION("GOOGLETRANSLATE(B73,""ja"",""vi"")"),"nếu không thì")</f>
        <v>nếu không thì</v>
      </c>
      <c r="F73" s="3" t="str">
        <f ca="1">IFERROR(__xludf.DUMMYFUNCTION("GOOGLETRANSLATE(C73,""ja"",""vi"")"),"Đấu giá&gt; cổ, bộ sưu tập&gt; tiền&gt; Khác")</f>
        <v>Đấu giá&gt; cổ, bộ sưu tập&gt; tiền&gt; Khác</v>
      </c>
      <c r="G73" s="229" t="str">
        <f t="shared" ca="1" si="2"/>
        <v>"20644" : "nếu không thì",</v>
      </c>
      <c r="H73" s="229" t="str">
        <f t="shared" si="3"/>
        <v>&lt;li class="col-md-3"&gt;&lt;a class="text-cut" href="javascript:;"(click)="categoryEvent(20644)"&gt;{{"20644" | translate}}&lt;/a&gt;&lt;/li&gt;</v>
      </c>
    </row>
    <row r="74" spans="1:8" ht="14.25" customHeight="1">
      <c r="E74" s="3"/>
      <c r="F74" s="3"/>
      <c r="G74" s="229"/>
      <c r="H74" s="229"/>
    </row>
    <row r="75" spans="1:8" ht="14.25" customHeight="1">
      <c r="A75" s="256">
        <v>20116</v>
      </c>
      <c r="B75" s="232"/>
      <c r="C75" s="232"/>
      <c r="D75" s="233"/>
      <c r="E75" s="3"/>
      <c r="F75" s="3"/>
      <c r="G75" s="229"/>
      <c r="H75" s="229"/>
    </row>
    <row r="76" spans="1:8" ht="14.25" customHeight="1">
      <c r="A76" s="2">
        <v>20072</v>
      </c>
      <c r="B76" s="2" t="s">
        <v>303</v>
      </c>
      <c r="C76" s="2" t="s">
        <v>5536</v>
      </c>
      <c r="D76" s="2" t="s">
        <v>5537</v>
      </c>
      <c r="E76" s="3" t="str">
        <f ca="1">IFERROR(__xludf.DUMMYFUNCTION("GOOGLETRANSLATE(B76,""ja"",""vi"")"),"lịch")</f>
        <v>lịch</v>
      </c>
      <c r="F76" s="3" t="str">
        <f ca="1">IFERROR(__xludf.DUMMYFUNCTION("GOOGLETRANSLATE(C76,""ja"",""vi"")"),"Đấu giá&gt; cổ, bộ sưu tập&gt; vấn đề in&gt; Lịch")</f>
        <v>Đấu giá&gt; cổ, bộ sưu tập&gt; vấn đề in&gt; Lịch</v>
      </c>
      <c r="G76" s="229" t="str">
        <f t="shared" ca="1" si="2"/>
        <v>"20072" : "lịch",</v>
      </c>
      <c r="H76" s="229" t="str">
        <f t="shared" si="3"/>
        <v>&lt;li class="col-md-3"&gt;&lt;a class="text-cut" href="javascript:;"(click)="categoryEvent(20072)"&gt;{{"20072" | translate}}&lt;/a&gt;&lt;/li&gt;</v>
      </c>
    </row>
    <row r="77" spans="1:8" ht="14.25" customHeight="1">
      <c r="A77" s="2">
        <v>2084006176</v>
      </c>
      <c r="B77" s="2" t="s">
        <v>1005</v>
      </c>
      <c r="C77" s="2" t="s">
        <v>5545</v>
      </c>
      <c r="D77" s="2" t="s">
        <v>5547</v>
      </c>
      <c r="E77" s="3" t="str">
        <f ca="1">IFERROR(__xludf.DUMMYFUNCTION("GOOGLETRANSLATE(B77,""ja"",""vi"")"),"tờ rơi")</f>
        <v>tờ rơi</v>
      </c>
      <c r="F77" s="3" t="str">
        <f ca="1">IFERROR(__xludf.DUMMYFUNCTION("GOOGLETRANSLATE(C77,""ja"",""vi"")"),"Đấu giá&gt; cổ, bộ sưu tập&gt; vấn đề in&gt; tờ rơi")</f>
        <v>Đấu giá&gt; cổ, bộ sưu tập&gt; vấn đề in&gt; tờ rơi</v>
      </c>
      <c r="G77" s="229" t="str">
        <f t="shared" ca="1" si="2"/>
        <v>"2084006176" : "tờ rơi",</v>
      </c>
      <c r="H77" s="229" t="str">
        <f t="shared" si="3"/>
        <v>&lt;li class="col-md-3"&gt;&lt;a class="text-cut" href="javascript:;"(click)="categoryEvent(2084006176)"&gt;{{"2084006176" | translate}}&lt;/a&gt;&lt;/li&gt;</v>
      </c>
    </row>
    <row r="78" spans="1:8" ht="14.25" customHeight="1">
      <c r="A78" s="2">
        <v>2084006155</v>
      </c>
      <c r="B78" s="2" t="s">
        <v>5550</v>
      </c>
      <c r="C78" s="2" t="s">
        <v>5551</v>
      </c>
      <c r="D78" s="2" t="s">
        <v>5552</v>
      </c>
      <c r="E78" s="3" t="str">
        <f ca="1">IFERROR(__xludf.DUMMYFUNCTION("GOOGLETRANSLATE(B78,""ja"",""vi"")"),"bromide")</f>
        <v>bromide</v>
      </c>
      <c r="F78" s="3" t="str">
        <f ca="1">IFERROR(__xludf.DUMMYFUNCTION("GOOGLETRANSLATE(C78,""ja"",""vi"")"),"Đấu giá&gt; cổ, bộ sưu tập&gt; vấn đề in&gt; bromide")</f>
        <v>Đấu giá&gt; cổ, bộ sưu tập&gt; vấn đề in&gt; bromide</v>
      </c>
      <c r="G78" s="229" t="str">
        <f t="shared" ca="1" si="2"/>
        <v>"2084006155" : "bromide",</v>
      </c>
      <c r="H78" s="229" t="str">
        <f t="shared" si="3"/>
        <v>&lt;li class="col-md-3"&gt;&lt;a class="text-cut" href="javascript:;"(click)="categoryEvent(2084006155)"&gt;{{"2084006155" | translate}}&lt;/a&gt;&lt;/li&gt;</v>
      </c>
    </row>
    <row r="79" spans="1:8" ht="14.25" customHeight="1">
      <c r="A79" s="2">
        <v>20112</v>
      </c>
      <c r="B79" s="2" t="s">
        <v>427</v>
      </c>
      <c r="C79" s="2" t="s">
        <v>5559</v>
      </c>
      <c r="D79" s="2" t="s">
        <v>5560</v>
      </c>
      <c r="E79" s="3" t="str">
        <f ca="1">IFERROR(__xludf.DUMMYFUNCTION("GOOGLETRANSLATE(B79,""ja"",""vi"")"),"poster")</f>
        <v>poster</v>
      </c>
      <c r="F79" s="3" t="str">
        <f ca="1">IFERROR(__xludf.DUMMYFUNCTION("GOOGLETRANSLATE(C79,""ja"",""vi"")"),"Đấu giá&gt; cổ, bộ sưu tập&gt; vấn đề in&gt; tấm áp phích")</f>
        <v>Đấu giá&gt; cổ, bộ sưu tập&gt; vấn đề in&gt; tấm áp phích</v>
      </c>
      <c r="G79" s="229" t="str">
        <f t="shared" ca="1" si="2"/>
        <v>"20112" : "poster",</v>
      </c>
      <c r="H79" s="229" t="str">
        <f t="shared" si="3"/>
        <v>&lt;li class="col-md-3"&gt;&lt;a class="text-cut" href="javascript:;"(click)="categoryEvent(20112)"&gt;{{"20112" | translate}}&lt;/a&gt;&lt;/li&gt;</v>
      </c>
    </row>
    <row r="80" spans="1:8" ht="14.25" customHeight="1">
      <c r="A80" s="2">
        <v>2084007958</v>
      </c>
      <c r="B80" s="2" t="s">
        <v>5563</v>
      </c>
      <c r="C80" s="2" t="s">
        <v>5564</v>
      </c>
      <c r="D80" s="2" t="s">
        <v>5566</v>
      </c>
      <c r="E80" s="3" t="str">
        <f ca="1">IFERROR(__xludf.DUMMYFUNCTION("GOOGLETRANSLATE(B80,""ja"",""vi"")"),"Bưu thiếp, thẻ bài")</f>
        <v>Bưu thiếp, thẻ bài</v>
      </c>
      <c r="F80" s="3" t="str">
        <f ca="1">IFERROR(__xludf.DUMMYFUNCTION("GOOGLETRANSLATE(C80,""ja"",""vi"")"),"Đấu giá&gt; cổ, bộ sưu tập&gt; vấn đề in&gt; hình ảnh bưu thiếp, thẻ bài")</f>
        <v>Đấu giá&gt; cổ, bộ sưu tập&gt; vấn đề in&gt; hình ảnh bưu thiếp, thẻ bài</v>
      </c>
      <c r="G80" s="229" t="str">
        <f t="shared" ca="1" si="2"/>
        <v>"2084007958" : "Bưu thiếp, thẻ bài",</v>
      </c>
      <c r="H80" s="229" t="str">
        <f t="shared" si="3"/>
        <v>&lt;li class="col-md-3"&gt;&lt;a class="text-cut" href="javascript:;"(click)="categoryEvent(2084007958)"&gt;{{"2084007958" | translate}}&lt;/a&gt;&lt;/li&gt;</v>
      </c>
    </row>
    <row r="81" spans="1:8" ht="14.25" customHeight="1">
      <c r="A81" s="2">
        <v>2084263670</v>
      </c>
      <c r="B81" s="2" t="s">
        <v>5571</v>
      </c>
      <c r="C81" s="2" t="s">
        <v>5572</v>
      </c>
      <c r="D81" s="2" t="s">
        <v>5573</v>
      </c>
      <c r="E81" s="3" t="str">
        <f ca="1">IFERROR(__xludf.DUMMYFUNCTION("GOOGLETRANSLATE(B81,""ja"",""vi"")"),"sách cũ, tài liệu cũ")</f>
        <v>sách cũ, tài liệu cũ</v>
      </c>
      <c r="F81" s="3" t="str">
        <f ca="1">IFERROR(__xludf.DUMMYFUNCTION("GOOGLETRANSLATE(C81,""ja"",""vi"")"),"Đấu giá&gt; cổ, bộ sưu tập&gt; vấn đề in&gt; cuốn sách cũ, tài liệu cổ")</f>
        <v>Đấu giá&gt; cổ, bộ sưu tập&gt; vấn đề in&gt; cuốn sách cũ, tài liệu cổ</v>
      </c>
      <c r="G81" s="229" t="str">
        <f t="shared" ca="1" si="2"/>
        <v>"2084263670" : "sách cũ, tài liệu cũ",</v>
      </c>
      <c r="H81" s="229" t="str">
        <f t="shared" si="3"/>
        <v>&lt;li class="col-md-3"&gt;&lt;a class="text-cut" href="javascript:;"(click)="categoryEvent(2084263670)"&gt;{{"2084263670" | translate}}&lt;/a&gt;&lt;/li&gt;</v>
      </c>
    </row>
    <row r="82" spans="1:8" ht="14.25" customHeight="1">
      <c r="A82" s="2">
        <v>2084008931</v>
      </c>
      <c r="B82" s="2" t="s">
        <v>5578</v>
      </c>
      <c r="C82" s="2" t="s">
        <v>5579</v>
      </c>
      <c r="D82" s="2" t="s">
        <v>5582</v>
      </c>
      <c r="E82" s="3" t="str">
        <f ca="1">IFERROR(__xludf.DUMMYFUNCTION("GOOGLETRANSLATE(B82,""ja"",""vi"")"),"bản đồ cũ")</f>
        <v>bản đồ cũ</v>
      </c>
      <c r="F82" s="3" t="str">
        <f ca="1">IFERROR(__xludf.DUMMYFUNCTION("GOOGLETRANSLATE(C82,""ja"",""vi"")"),"Đấu giá&gt; cổ, bộ sưu tập&gt; vấn đề in&gt; bản đồ cũ")</f>
        <v>Đấu giá&gt; cổ, bộ sưu tập&gt; vấn đề in&gt; bản đồ cũ</v>
      </c>
      <c r="G82" s="229" t="str">
        <f t="shared" ca="1" si="2"/>
        <v>"2084008931" : "bản đồ cũ",</v>
      </c>
      <c r="H82" s="229" t="str">
        <f t="shared" si="3"/>
        <v>&lt;li class="col-md-3"&gt;&lt;a class="text-cut" href="javascript:;"(click)="categoryEvent(2084008931)"&gt;{{"2084008931" | translate}}&lt;/a&gt;&lt;/li&gt;</v>
      </c>
    </row>
    <row r="83" spans="1:8" ht="14.25" customHeight="1">
      <c r="A83" s="2">
        <v>2084283227</v>
      </c>
      <c r="B83" s="2" t="s">
        <v>5586</v>
      </c>
      <c r="C83" s="2" t="s">
        <v>5587</v>
      </c>
      <c r="D83" s="2" t="s">
        <v>5588</v>
      </c>
      <c r="E83" s="3" t="str">
        <f ca="1">IFERROR(__xludf.DUMMYFUNCTION("GOOGLETRANSLATE(B83,""ja"",""vi"")"),"báo")</f>
        <v>báo</v>
      </c>
      <c r="F83" s="3" t="str">
        <f ca="1">IFERROR(__xludf.DUMMYFUNCTION("GOOGLETRANSLATE(C83,""ja"",""vi"")"),"Đấu giá&gt; cổ, bộ sưu tập&gt; vấn đề in&gt; báo")</f>
        <v>Đấu giá&gt; cổ, bộ sưu tập&gt; vấn đề in&gt; báo</v>
      </c>
      <c r="G83" s="229" t="str">
        <f t="shared" ca="1" si="2"/>
        <v>"2084283227" : "báo",</v>
      </c>
      <c r="H83" s="229" t="str">
        <f t="shared" si="3"/>
        <v>&lt;li class="col-md-3"&gt;&lt;a class="text-cut" href="javascript:;"(click)="categoryEvent(2084283227)"&gt;{{"2084283227" | translate}}&lt;/a&gt;&lt;/li&gt;</v>
      </c>
    </row>
    <row r="84" spans="1:8" ht="14.25" customHeight="1">
      <c r="A84" s="2">
        <v>20108</v>
      </c>
      <c r="B84" s="2" t="s">
        <v>331</v>
      </c>
      <c r="C84" s="2" t="s">
        <v>5594</v>
      </c>
      <c r="D84" s="2" t="s">
        <v>5595</v>
      </c>
      <c r="E84" s="3" t="str">
        <f ca="1">IFERROR(__xludf.DUMMYFUNCTION("GOOGLETRANSLATE(B84,""ja"",""vi"")"),"cắt giảm")</f>
        <v>cắt giảm</v>
      </c>
      <c r="F84" s="3" t="str">
        <f ca="1">IFERROR(__xludf.DUMMYFUNCTION("GOOGLETRANSLATE(C84,""ja"",""vi"")"),"Đấu giá&gt; cổ, bộ sưu tập&gt; in vấn đề&gt; cutout")</f>
        <v>Đấu giá&gt; cổ, bộ sưu tập&gt; in vấn đề&gt; cutout</v>
      </c>
      <c r="G84" s="229" t="str">
        <f t="shared" ca="1" si="2"/>
        <v>"20108" : "cắt giảm",</v>
      </c>
      <c r="H84" s="229" t="str">
        <f t="shared" si="3"/>
        <v>&lt;li class="col-md-3"&gt;&lt;a class="text-cut" href="javascript:;"(click)="categoryEvent(20108)"&gt;{{"20108" | translate}}&lt;/a&gt;&lt;/li&gt;</v>
      </c>
    </row>
    <row r="85" spans="1:8" ht="14.25" customHeight="1">
      <c r="A85" s="2">
        <v>2084006156</v>
      </c>
      <c r="B85" s="2" t="s">
        <v>16</v>
      </c>
      <c r="C85" s="2" t="s">
        <v>5599</v>
      </c>
      <c r="D85" s="2" t="s">
        <v>5601</v>
      </c>
      <c r="E85" s="3" t="str">
        <f ca="1">IFERROR(__xludf.DUMMYFUNCTION("GOOGLETRANSLATE(B85,""ja"",""vi"")"),"nếu không thì")</f>
        <v>nếu không thì</v>
      </c>
      <c r="F85" s="3" t="str">
        <f ca="1">IFERROR(__xludf.DUMMYFUNCTION("GOOGLETRANSLATE(C85,""ja"",""vi"")"),"Đấu giá&gt; cổ, bộ sưu tập&gt; vấn đề in&gt; Khác")</f>
        <v>Đấu giá&gt; cổ, bộ sưu tập&gt; vấn đề in&gt; Khác</v>
      </c>
      <c r="G85" s="229" t="str">
        <f t="shared" ca="1" si="2"/>
        <v>"2084006156" : "nếu không thì",</v>
      </c>
      <c r="H85" s="229" t="str">
        <f t="shared" si="3"/>
        <v>&lt;li class="col-md-3"&gt;&lt;a class="text-cut" href="javascript:;"(click)="categoryEvent(2084006156)"&gt;{{"2084006156" | translate}}&lt;/a&gt;&lt;/li&gt;</v>
      </c>
    </row>
    <row r="86" spans="1:8" ht="14.25" customHeight="1">
      <c r="E86" s="3"/>
      <c r="F86" s="3"/>
      <c r="G86" s="229"/>
      <c r="H86" s="229"/>
    </row>
    <row r="87" spans="1:8" ht="25.5" customHeight="1">
      <c r="A87" s="252">
        <v>20992</v>
      </c>
      <c r="B87" s="232"/>
      <c r="C87" s="232"/>
      <c r="D87" s="233"/>
      <c r="E87" s="3"/>
      <c r="F87" s="3"/>
      <c r="G87" s="229"/>
      <c r="H87" s="229"/>
    </row>
    <row r="88" spans="1:8" ht="14.25" customHeight="1">
      <c r="A88" s="2">
        <v>25826</v>
      </c>
      <c r="B88" s="2" t="s">
        <v>5605</v>
      </c>
      <c r="C88" s="2" t="s">
        <v>5606</v>
      </c>
      <c r="D88" s="2" t="s">
        <v>5607</v>
      </c>
      <c r="E88" s="3" t="str">
        <f ca="1">IFERROR(__xludf.DUMMYFUNCTION("GOOGLETRANSLATE(B88,""ja"",""vi"")"),"Trading Card Game")</f>
        <v>Trading Card Game</v>
      </c>
      <c r="F88" s="3" t="str">
        <f ca="1">IFERROR(__xludf.DUMMYFUNCTION("GOOGLETRANSLATE(C88,""ja"",""vi"")"),"Đấu giá&gt; cổ, bộ sưu tập&gt; giao dịch thẻ&gt; Trading Card Game")</f>
        <v>Đấu giá&gt; cổ, bộ sưu tập&gt; giao dịch thẻ&gt; Trading Card Game</v>
      </c>
      <c r="G88" s="229" t="str">
        <f t="shared" ca="1" si="2"/>
        <v>"25826" : "Trading Card Game",</v>
      </c>
      <c r="H88" s="229" t="str">
        <f t="shared" si="3"/>
        <v>&lt;li class="col-md-3"&gt;&lt;a class="text-cut" href="javascript:;"(click)="categoryEvent(25826)"&gt;{{"25826" | translate}}&lt;/a&gt;&lt;/li&gt;</v>
      </c>
    </row>
    <row r="89" spans="1:8" ht="14.25" customHeight="1">
      <c r="A89" s="2">
        <v>21020</v>
      </c>
      <c r="B89" s="2" t="s">
        <v>5610</v>
      </c>
      <c r="C89" s="2" t="s">
        <v>5613</v>
      </c>
      <c r="D89" s="2" t="s">
        <v>5614</v>
      </c>
      <c r="E89" s="3" t="str">
        <f ca="1">IFERROR(__xludf.DUMMYFUNCTION("GOOGLETRANSLATE(B89,""ja"",""vi"")"),"Truyện tranh, hoạt hình")</f>
        <v>Truyện tranh, hoạt hình</v>
      </c>
      <c r="F89" s="3" t="str">
        <f ca="1">IFERROR(__xludf.DUMMYFUNCTION("GOOGLETRANSLATE(C89,""ja"",""vi"")"),"Đấu giá&gt; cổ, bộ sưu tập&gt; giao dịch thẻ&gt; truyện tranh, hoạt hình")</f>
        <v>Đấu giá&gt; cổ, bộ sưu tập&gt; giao dịch thẻ&gt; truyện tranh, hoạt hình</v>
      </c>
      <c r="G89" s="229" t="str">
        <f t="shared" ca="1" si="2"/>
        <v>"21020" : "Truyện tranh, hoạt hình",</v>
      </c>
      <c r="H89" s="229" t="str">
        <f t="shared" si="3"/>
        <v>&lt;li class="col-md-3"&gt;&lt;a class="text-cut" href="javascript:;"(click)="categoryEvent(21020)"&gt;{{"21020" | translate}}&lt;/a&gt;&lt;/li&gt;</v>
      </c>
    </row>
    <row r="90" spans="1:8" ht="14.25" customHeight="1">
      <c r="A90" s="2">
        <v>2084006003</v>
      </c>
      <c r="B90" s="2" t="s">
        <v>262</v>
      </c>
      <c r="C90" s="2" t="s">
        <v>5617</v>
      </c>
      <c r="D90" s="2" t="s">
        <v>5619</v>
      </c>
      <c r="E90" s="3" t="str">
        <f ca="1">IFERROR(__xludf.DUMMYFUNCTION("GOOGLETRANSLATE(B90,""ja"",""vi"")"),"thể thao")</f>
        <v>thể thao</v>
      </c>
      <c r="F90" s="3" t="str">
        <f ca="1">IFERROR(__xludf.DUMMYFUNCTION("GOOGLETRANSLATE(C90,""ja"",""vi"")"),"Đấu giá&gt; cổ, bộ sưu tập&gt; giao dịch thẻ&gt; Thể Thao")</f>
        <v>Đấu giá&gt; cổ, bộ sưu tập&gt; giao dịch thẻ&gt; Thể Thao</v>
      </c>
      <c r="G90" s="229" t="str">
        <f t="shared" ca="1" si="2"/>
        <v>"2084006003" : "thể thao",</v>
      </c>
      <c r="H90" s="229" t="str">
        <f t="shared" si="3"/>
        <v>&lt;li class="col-md-3"&gt;&lt;a class="text-cut" href="javascript:;"(click)="categoryEvent(2084006003)"&gt;{{"2084006003" | translate}}&lt;/a&gt;&lt;/li&gt;</v>
      </c>
    </row>
    <row r="91" spans="1:8" ht="14.25" customHeight="1">
      <c r="A91" s="2">
        <v>2084006042</v>
      </c>
      <c r="B91" s="2" t="s">
        <v>10</v>
      </c>
      <c r="C91" s="2" t="s">
        <v>5622</v>
      </c>
      <c r="D91" s="2" t="s">
        <v>5624</v>
      </c>
      <c r="E91" s="3" t="str">
        <f ca="1">IFERROR(__xludf.DUMMYFUNCTION("GOOGLETRANSLATE(B91,""ja"",""vi"")"),"năng lực")</f>
        <v>năng lực</v>
      </c>
      <c r="F91" s="3" t="str">
        <f ca="1">IFERROR(__xludf.DUMMYFUNCTION("GOOGLETRANSLATE(C91,""ja"",""vi"")"),"Đấu giá&gt; cổ, bộ sưu tập&gt; giao dịch thẻ&gt; Talent")</f>
        <v>Đấu giá&gt; cổ, bộ sưu tập&gt; giao dịch thẻ&gt; Talent</v>
      </c>
      <c r="G91" s="229" t="str">
        <f t="shared" ca="1" si="2"/>
        <v>"2084006042" : "năng lực",</v>
      </c>
      <c r="H91" s="229" t="str">
        <f t="shared" si="3"/>
        <v>&lt;li class="col-md-3"&gt;&lt;a class="text-cut" href="javascript:;"(click)="categoryEvent(2084006042)"&gt;{{"2084006042" | translate}}&lt;/a&gt;&lt;/li&gt;</v>
      </c>
    </row>
    <row r="92" spans="1:8" ht="14.25" customHeight="1">
      <c r="A92" s="2">
        <v>2084006008</v>
      </c>
      <c r="B92" s="2" t="s">
        <v>5628</v>
      </c>
      <c r="C92" s="2" t="s">
        <v>5630</v>
      </c>
      <c r="D92" s="2" t="s">
        <v>5631</v>
      </c>
      <c r="E92" s="3" t="str">
        <f ca="1">IFERROR(__xludf.DUMMYFUNCTION("GOOGLETRANSLATE(B92,""ja"",""vi"")"),"Mã số trò chơi")</f>
        <v>Mã số trò chơi</v>
      </c>
      <c r="F92" s="3" t="str">
        <f ca="1">IFERROR(__xludf.DUMMYFUNCTION("GOOGLETRANSLATE(C92,""ja"",""vi"")"),"Đấu giá&gt; cổ, bộ sưu tập&gt; giao dịch thẻ&gt; trò chơi video")</f>
        <v>Đấu giá&gt; cổ, bộ sưu tập&gt; giao dịch thẻ&gt; trò chơi video</v>
      </c>
      <c r="G92" s="229" t="str">
        <f t="shared" ca="1" si="2"/>
        <v>"2084006008" : "Mã số trò chơi",</v>
      </c>
      <c r="H92" s="229" t="str">
        <f t="shared" si="3"/>
        <v>&lt;li class="col-md-3"&gt;&lt;a class="text-cut" href="javascript:;"(click)="categoryEvent(2084006008)"&gt;{{"2084006008" | translate}}&lt;/a&gt;&lt;/li&gt;</v>
      </c>
    </row>
    <row r="93" spans="1:8" ht="14.25" customHeight="1">
      <c r="A93" s="2">
        <v>2084006088</v>
      </c>
      <c r="B93" s="2" t="s">
        <v>13</v>
      </c>
      <c r="C93" s="2" t="s">
        <v>5634</v>
      </c>
      <c r="D93" s="2" t="s">
        <v>5636</v>
      </c>
      <c r="E93" s="3" t="str">
        <f ca="1">IFERROR(__xludf.DUMMYFUNCTION("GOOGLETRANSLATE(B93,""ja"",""vi"")"),"nhạc sĩ")</f>
        <v>nhạc sĩ</v>
      </c>
      <c r="F93" s="3" t="str">
        <f ca="1">IFERROR(__xludf.DUMMYFUNCTION("GOOGLETRANSLATE(C93,""ja"",""vi"")"),"Đấu giá&gt; cổ, bộ sưu tập&gt; giao dịch thẻ&gt; nhạc sĩ")</f>
        <v>Đấu giá&gt; cổ, bộ sưu tập&gt; giao dịch thẻ&gt; nhạc sĩ</v>
      </c>
      <c r="G93" s="229" t="str">
        <f t="shared" ca="1" si="2"/>
        <v>"2084006088" : "nhạc sĩ",</v>
      </c>
      <c r="H93" s="229" t="str">
        <f t="shared" si="3"/>
        <v>&lt;li class="col-md-3"&gt;&lt;a class="text-cut" href="javascript:;"(click)="categoryEvent(2084006088)"&gt;{{"2084006088" | translate}}&lt;/a&gt;&lt;/li&gt;</v>
      </c>
    </row>
    <row r="94" spans="1:8" ht="14.25" customHeight="1">
      <c r="A94" s="2">
        <v>2084007536</v>
      </c>
      <c r="B94" s="2" t="s">
        <v>5640</v>
      </c>
      <c r="C94" s="2" t="s">
        <v>5641</v>
      </c>
      <c r="D94" s="2" t="s">
        <v>5642</v>
      </c>
      <c r="E94" s="3" t="str">
        <f ca="1">IFERROR(__xludf.DUMMYFUNCTION("GOOGLETRANSLATE(B94,""ja"",""vi"")"),"horseracing")</f>
        <v>horseracing</v>
      </c>
      <c r="F94" s="3" t="str">
        <f ca="1">IFERROR(__xludf.DUMMYFUNCTION("GOOGLETRANSLATE(C94,""ja"",""vi"")"),"Đấu giá&gt; cổ, bộ sưu tập&gt; giao dịch thẻ&gt; đua ngựa")</f>
        <v>Đấu giá&gt; cổ, bộ sưu tập&gt; giao dịch thẻ&gt; đua ngựa</v>
      </c>
      <c r="G94" s="229" t="str">
        <f t="shared" ca="1" si="2"/>
        <v>"2084007536" : "horseracing",</v>
      </c>
      <c r="H94" s="229" t="str">
        <f t="shared" si="3"/>
        <v>&lt;li class="col-md-3"&gt;&lt;a class="text-cut" href="javascript:;"(click)="categoryEvent(2084007536)"&gt;{{"2084007536" | translate}}&lt;/a&gt;&lt;/li&gt;</v>
      </c>
    </row>
    <row r="95" spans="1:8" ht="14.25" customHeight="1">
      <c r="A95" s="2">
        <v>2084006025</v>
      </c>
      <c r="B95" s="2" t="s">
        <v>776</v>
      </c>
      <c r="C95" s="2" t="s">
        <v>5647</v>
      </c>
      <c r="D95" s="2" t="s">
        <v>5648</v>
      </c>
      <c r="E95" s="3" t="str">
        <f ca="1">IFERROR(__xludf.DUMMYFUNCTION("GOOGLETRANSLATE(B95,""ja"",""vi"")"),"hiệu ứng đặc biệt")</f>
        <v>hiệu ứng đặc biệt</v>
      </c>
      <c r="F95" s="3" t="str">
        <f ca="1">IFERROR(__xludf.DUMMYFUNCTION("GOOGLETRANSLATE(C95,""ja"",""vi"")"),"Đấu giá&gt; cổ, bộ sưu tập&gt; giao dịch thẻ&gt; hiệu ứng đặc biệt")</f>
        <v>Đấu giá&gt; cổ, bộ sưu tập&gt; giao dịch thẻ&gt; hiệu ứng đặc biệt</v>
      </c>
      <c r="G95" s="229" t="str">
        <f t="shared" ca="1" si="2"/>
        <v>"2084006025" : "hiệu ứng đặc biệt",</v>
      </c>
      <c r="H95" s="229" t="str">
        <f t="shared" si="3"/>
        <v>&lt;li class="col-md-3"&gt;&lt;a class="text-cut" href="javascript:;"(click)="categoryEvent(2084006025)"&gt;{{"2084006025" | translate}}&lt;/a&gt;&lt;/li&gt;</v>
      </c>
    </row>
    <row r="96" spans="1:8" ht="14.25" customHeight="1">
      <c r="A96" s="2">
        <v>21056</v>
      </c>
      <c r="B96" s="2" t="s">
        <v>16</v>
      </c>
      <c r="C96" s="2" t="s">
        <v>5653</v>
      </c>
      <c r="D96" s="2" t="s">
        <v>5654</v>
      </c>
      <c r="E96" s="3" t="str">
        <f ca="1">IFERROR(__xludf.DUMMYFUNCTION("GOOGLETRANSLATE(B96,""ja"",""vi"")"),"nếu không thì")</f>
        <v>nếu không thì</v>
      </c>
      <c r="F96" s="3" t="str">
        <f ca="1">IFERROR(__xludf.DUMMYFUNCTION("GOOGLETRANSLATE(C96,""ja"",""vi"")"),"Đấu giá&gt; cổ, bộ sưu tập&gt; giao dịch thẻ&gt; Khác")</f>
        <v>Đấu giá&gt; cổ, bộ sưu tập&gt; giao dịch thẻ&gt; Khác</v>
      </c>
      <c r="G96" s="229" t="str">
        <f t="shared" ca="1" si="2"/>
        <v>"21056" : "nếu không thì",</v>
      </c>
      <c r="H96" s="229" t="str">
        <f t="shared" si="3"/>
        <v>&lt;li class="col-md-3"&gt;&lt;a class="text-cut" href="javascript:;"(click)="categoryEvent(21056)"&gt;{{"21056" | translate}}&lt;/a&gt;&lt;/li&gt;</v>
      </c>
    </row>
    <row r="97" spans="1:8" ht="14.25" customHeight="1">
      <c r="A97" s="116"/>
      <c r="B97" s="116"/>
      <c r="C97" s="116"/>
      <c r="D97" s="116"/>
      <c r="E97" s="3"/>
      <c r="F97" s="3"/>
      <c r="G97" s="229"/>
      <c r="H97" s="229"/>
    </row>
    <row r="98" spans="1:8" ht="14.25" customHeight="1">
      <c r="E98" s="3"/>
      <c r="F98" s="3"/>
      <c r="G98" s="229"/>
      <c r="H98" s="229"/>
    </row>
    <row r="99" spans="1:8" ht="14.25" customHeight="1">
      <c r="A99" s="261">
        <v>27771</v>
      </c>
      <c r="B99" s="232"/>
      <c r="C99" s="232"/>
      <c r="D99" s="233"/>
      <c r="E99" s="3"/>
      <c r="F99" s="3"/>
      <c r="G99" s="229"/>
      <c r="H99" s="229"/>
    </row>
    <row r="100" spans="1:8" ht="14.25" customHeight="1">
      <c r="A100" s="2">
        <v>2084005454</v>
      </c>
      <c r="B100" s="2" t="s">
        <v>969</v>
      </c>
      <c r="C100" s="2" t="s">
        <v>5674</v>
      </c>
      <c r="D100" s="2" t="s">
        <v>5676</v>
      </c>
      <c r="E100" s="3" t="str">
        <f ca="1">IFERROR(__xludf.DUMMYFUNCTION("GOOGLETRANSLATE(B100,""ja"",""vi"")"),"Một T-shirt")</f>
        <v>Một T-shirt</v>
      </c>
      <c r="F100" s="3" t="str">
        <f ca="1">IFERROR(__xludf.DUMMYFUNCTION("GOOGLETRANSLATE(C100,""ja"",""vi"")"),"Đấu giá&gt; cổ, bộ sưu tập&gt; quảng cáo, hàng hóa mới lạ&gt; T-Shirts")</f>
        <v>Đấu giá&gt; cổ, bộ sưu tập&gt; quảng cáo, hàng hóa mới lạ&gt; T-Shirts</v>
      </c>
      <c r="G100" s="229" t="str">
        <f t="shared" ca="1" si="2"/>
        <v>"2084005454" : "Một T-shirt",</v>
      </c>
      <c r="H100" s="229" t="str">
        <f t="shared" si="3"/>
        <v>&lt;li class="col-md-3"&gt;&lt;a class="text-cut" href="javascript:;"(click)="categoryEvent(2084005454)"&gt;{{"2084005454" | translate}}&lt;/a&gt;&lt;/li&gt;</v>
      </c>
    </row>
    <row r="101" spans="1:8" ht="14.25" customHeight="1">
      <c r="A101" s="2">
        <v>27776</v>
      </c>
      <c r="B101" s="2" t="s">
        <v>5680</v>
      </c>
      <c r="C101" s="2" t="s">
        <v>5681</v>
      </c>
      <c r="D101" s="2" t="s">
        <v>5682</v>
      </c>
      <c r="E101" s="3" t="str">
        <f ca="1">IFERROR(__xludf.DUMMYFUNCTION("GOOGLETRANSLATE(B101,""ja"",""vi"")"),"thuốc lá")</f>
        <v>thuốc lá</v>
      </c>
      <c r="F101" s="3" t="str">
        <f ca="1">IFERROR(__xludf.DUMMYFUNCTION("GOOGLETRANSLATE(C101,""ja"",""vi"")"),"Đấu giá&gt; cổ, bộ sưu tập&gt; quảng cáo, hàng hóa mới lạ&gt; thuốc lá")</f>
        <v>Đấu giá&gt; cổ, bộ sưu tập&gt; quảng cáo, hàng hóa mới lạ&gt; thuốc lá</v>
      </c>
      <c r="G101" s="229" t="str">
        <f t="shared" ca="1" si="2"/>
        <v>"27776" : "thuốc lá",</v>
      </c>
      <c r="H101" s="229" t="str">
        <f t="shared" si="3"/>
        <v>&lt;li class="col-md-3"&gt;&lt;a class="text-cut" href="javascript:;"(click)="categoryEvent(27776)"&gt;{{"27776" | translate}}&lt;/a&gt;&lt;/li&gt;</v>
      </c>
    </row>
    <row r="102" spans="1:8" ht="14.25" customHeight="1">
      <c r="A102" s="2">
        <v>27774</v>
      </c>
      <c r="B102" s="2" t="s">
        <v>5688</v>
      </c>
      <c r="C102" s="2" t="s">
        <v>5689</v>
      </c>
      <c r="D102" s="2" t="s">
        <v>5690</v>
      </c>
      <c r="E102" s="3" t="str">
        <f ca="1">IFERROR(__xludf.DUMMYFUNCTION("GOOGLETRANSLATE(B102,""ja"",""vi"")"),"nhân vật")</f>
        <v>nhân vật</v>
      </c>
      <c r="F102" s="3" t="str">
        <f ca="1">IFERROR(__xludf.DUMMYFUNCTION("GOOGLETRANSLATE(C102,""ja"",""vi"")"),"Đấu giá&gt; cổ, bộ sưu tập&gt; quảng cáo, hàng hóa mới lạ&gt; Nhân vật")</f>
        <v>Đấu giá&gt; cổ, bộ sưu tập&gt; quảng cáo, hàng hóa mới lạ&gt; Nhân vật</v>
      </c>
      <c r="G102" s="229" t="str">
        <f t="shared" ca="1" si="2"/>
        <v>"27774" : "nhân vật",</v>
      </c>
      <c r="H102" s="229" t="str">
        <f t="shared" si="3"/>
        <v>&lt;li class="col-md-3"&gt;&lt;a class="text-cut" href="javascript:;"(click)="categoryEvent(27774)"&gt;{{"27774" | translate}}&lt;/a&gt;&lt;/li&gt;</v>
      </c>
    </row>
    <row r="103" spans="1:8" ht="14.25" customHeight="1">
      <c r="A103" s="2">
        <v>20652</v>
      </c>
      <c r="B103" s="2" t="s">
        <v>5697</v>
      </c>
      <c r="C103" s="2" t="s">
        <v>5698</v>
      </c>
      <c r="D103" s="2" t="s">
        <v>5699</v>
      </c>
      <c r="E103" s="3" t="str">
        <f ca="1">IFERROR(__xludf.DUMMYFUNCTION("GOOGLETRANSLATE(B103,""ja"",""vi"")"),"uống")</f>
        <v>uống</v>
      </c>
      <c r="F103" s="3" t="str">
        <f ca="1">IFERROR(__xludf.DUMMYFUNCTION("GOOGLETRANSLATE(C103,""ja"",""vi"")"),"Đấu giá&gt; cổ, bộ sưu tập&gt; quảng cáo, hàng hóa mới lạ&gt; uống")</f>
        <v>Đấu giá&gt; cổ, bộ sưu tập&gt; quảng cáo, hàng hóa mới lạ&gt; uống</v>
      </c>
      <c r="G103" s="229" t="str">
        <f t="shared" ca="1" si="2"/>
        <v>"20652" : "uống",</v>
      </c>
      <c r="H103" s="229" t="str">
        <f t="shared" si="3"/>
        <v>&lt;li class="col-md-3"&gt;&lt;a class="text-cut" href="javascript:;"(click)="categoryEvent(20652)"&gt;{{"20652" | translate}}&lt;/a&gt;&lt;/li&gt;</v>
      </c>
    </row>
    <row r="104" spans="1:8" ht="14.25" customHeight="1">
      <c r="A104" s="2">
        <v>27782</v>
      </c>
      <c r="B104" s="2" t="s">
        <v>5705</v>
      </c>
      <c r="C104" s="2" t="s">
        <v>5707</v>
      </c>
      <c r="D104" s="2" t="s">
        <v>5708</v>
      </c>
      <c r="E104" s="3" t="str">
        <f ca="1">IFERROR(__xludf.DUMMYFUNCTION("GOOGLETRANSLATE(B104,""ja"",""vi"")"),"nhãn")</f>
        <v>nhãn</v>
      </c>
      <c r="F104" s="3" t="str">
        <f ca="1">IFERROR(__xludf.DUMMYFUNCTION("GOOGLETRANSLATE(C104,""ja"",""vi"")"),"Đấu giá&gt; cổ, bộ sưu tập&gt; quảng cáo, hàng hóa mới lạ&gt; nhãn")</f>
        <v>Đấu giá&gt; cổ, bộ sưu tập&gt; quảng cáo, hàng hóa mới lạ&gt; nhãn</v>
      </c>
      <c r="G104" s="229" t="str">
        <f t="shared" ca="1" si="2"/>
        <v>"27782" : "nhãn",</v>
      </c>
      <c r="H104" s="229" t="str">
        <f t="shared" si="3"/>
        <v>&lt;li class="col-md-3"&gt;&lt;a class="text-cut" href="javascript:;"(click)="categoryEvent(27782)"&gt;{{"27782" | translate}}&lt;/a&gt;&lt;/li&gt;</v>
      </c>
    </row>
    <row r="105" spans="1:8" ht="14.25" customHeight="1">
      <c r="A105" s="2">
        <v>27784</v>
      </c>
      <c r="B105" s="2" t="s">
        <v>1725</v>
      </c>
      <c r="C105" s="2" t="s">
        <v>5713</v>
      </c>
      <c r="D105" s="2" t="s">
        <v>5714</v>
      </c>
      <c r="E105" s="3" t="str">
        <f ca="1">IFERROR(__xludf.DUMMYFUNCTION("GOOGLETRANSLATE(B105,""ja"",""vi"")"),"nơi ký tên")</f>
        <v>nơi ký tên</v>
      </c>
      <c r="F105" s="3" t="str">
        <f ca="1">IFERROR(__xludf.DUMMYFUNCTION("GOOGLETRANSLATE(C105,""ja"",""vi"")"),"Đấu giá&gt; cổ, bộ sưu tập&gt; quảng cáo, hàng hóa mới lạ&gt; bảng hiệu")</f>
        <v>Đấu giá&gt; cổ, bộ sưu tập&gt; quảng cáo, hàng hóa mới lạ&gt; bảng hiệu</v>
      </c>
      <c r="G105" s="229" t="str">
        <f t="shared" ca="1" si="2"/>
        <v>"27784" : "nơi ký tên",</v>
      </c>
      <c r="H105" s="229" t="str">
        <f t="shared" si="3"/>
        <v>&lt;li class="col-md-3"&gt;&lt;a class="text-cut" href="javascript:;"(click)="categoryEvent(27784)"&gt;{{"27784" | translate}}&lt;/a&gt;&lt;/li&gt;</v>
      </c>
    </row>
    <row r="106" spans="1:8" ht="14.25" customHeight="1">
      <c r="A106" s="2">
        <v>25887</v>
      </c>
      <c r="B106" s="2" t="s">
        <v>5719</v>
      </c>
      <c r="C106" s="2" t="s">
        <v>5722</v>
      </c>
      <c r="D106" s="2" t="s">
        <v>5723</v>
      </c>
      <c r="E106" s="3" t="str">
        <f ca="1">IFERROR(__xludf.DUMMYFUNCTION("GOOGLETRANSLATE(B106,""ja"",""vi"")"),"bao bì thực phẩm")</f>
        <v>bao bì thực phẩm</v>
      </c>
      <c r="F106" s="3" t="str">
        <f ca="1">IFERROR(__xludf.DUMMYFUNCTION("GOOGLETRANSLATE(C106,""ja"",""vi"")"),"Đấu giá&gt; cổ, bộ sưu tập&gt; quảng cáo, hàng hóa mới lạ&gt; bao bì thực phẩm")</f>
        <v>Đấu giá&gt; cổ, bộ sưu tập&gt; quảng cáo, hàng hóa mới lạ&gt; bao bì thực phẩm</v>
      </c>
      <c r="G106" s="229" t="str">
        <f t="shared" ca="1" si="2"/>
        <v>"25887" : "bao bì thực phẩm",</v>
      </c>
      <c r="H106" s="229" t="str">
        <f t="shared" si="3"/>
        <v>&lt;li class="col-md-3"&gt;&lt;a class="text-cut" href="javascript:;"(click)="categoryEvent(25887)"&gt;{{"25887" | translate}}&lt;/a&gt;&lt;/li&gt;</v>
      </c>
    </row>
    <row r="107" spans="1:8" ht="14.25" customHeight="1">
      <c r="A107" s="2">
        <v>27788</v>
      </c>
      <c r="B107" s="2" t="s">
        <v>16</v>
      </c>
      <c r="C107" s="2" t="s">
        <v>5729</v>
      </c>
      <c r="D107" s="2" t="s">
        <v>5730</v>
      </c>
      <c r="E107" s="3" t="str">
        <f ca="1">IFERROR(__xludf.DUMMYFUNCTION("GOOGLETRANSLATE(B107,""ja"",""vi"")"),"nếu không thì")</f>
        <v>nếu không thì</v>
      </c>
      <c r="F107" s="3" t="str">
        <f ca="1">IFERROR(__xludf.DUMMYFUNCTION("GOOGLETRANSLATE(C107,""ja"",""vi"")"),"Đấu giá&gt; cổ, bộ sưu tập&gt; quảng cáo, hàng hóa mới lạ&gt; Khác")</f>
        <v>Đấu giá&gt; cổ, bộ sưu tập&gt; quảng cáo, hàng hóa mới lạ&gt; Khác</v>
      </c>
      <c r="G107" s="229" t="str">
        <f t="shared" ca="1" si="2"/>
        <v>"27788" : "nếu không thì",</v>
      </c>
      <c r="H107" s="229" t="str">
        <f t="shared" si="3"/>
        <v>&lt;li class="col-md-3"&gt;&lt;a class="text-cut" href="javascript:;"(click)="categoryEvent(27788)"&gt;{{"27788" | translate}}&lt;/a&gt;&lt;/li&gt;</v>
      </c>
    </row>
    <row r="108" spans="1:8" ht="14.25" customHeight="1">
      <c r="E108" s="3"/>
      <c r="F108" s="3"/>
      <c r="G108" s="229"/>
      <c r="H108" s="229"/>
    </row>
    <row r="109" spans="1:8" ht="14.25" customHeight="1">
      <c r="A109" s="253">
        <v>20764</v>
      </c>
      <c r="B109" s="232"/>
      <c r="C109" s="232"/>
      <c r="D109" s="233"/>
      <c r="E109" s="3"/>
      <c r="F109" s="3"/>
      <c r="G109" s="229"/>
      <c r="H109" s="229"/>
    </row>
    <row r="110" spans="1:8" ht="14.25" customHeight="1">
      <c r="A110" s="89">
        <v>42528</v>
      </c>
      <c r="B110" s="2" t="s">
        <v>427</v>
      </c>
      <c r="C110" s="2" t="s">
        <v>5738</v>
      </c>
      <c r="D110" s="2" t="s">
        <v>5740</v>
      </c>
      <c r="E110" s="3" t="str">
        <f ca="1">IFERROR(__xludf.DUMMYFUNCTION("GOOGLETRANSLATE(B110,""ja"",""vi"")"),"poster")</f>
        <v>poster</v>
      </c>
      <c r="F110" s="3" t="str">
        <f ca="1">IFERROR(__xludf.DUMMYFUNCTION("GOOGLETRANSLATE(C110,""ja"",""vi"")"),"Đấu giá&gt; cổ, bộ sưu tập&gt; khoa học, thiên nhiên&gt; áp phích")</f>
        <v>Đấu giá&gt; cổ, bộ sưu tập&gt; khoa học, thiên nhiên&gt; áp phích</v>
      </c>
      <c r="G110" s="229" t="str">
        <f t="shared" ca="1" si="2"/>
        <v>"42528" : "poster",</v>
      </c>
      <c r="H110" s="229" t="str">
        <f t="shared" si="3"/>
        <v>&lt;li class="col-md-3"&gt;&lt;a class="text-cut" href="javascript:;"(click)="categoryEvent(42528)"&gt;{{"42528" | translate}}&lt;/a&gt;&lt;/li&gt;</v>
      </c>
    </row>
    <row r="111" spans="1:8" ht="14.25" customHeight="1">
      <c r="A111" s="89">
        <v>20772</v>
      </c>
      <c r="B111" s="2" t="s">
        <v>5746</v>
      </c>
      <c r="C111" s="2" t="s">
        <v>5747</v>
      </c>
      <c r="D111" s="2" t="s">
        <v>5749</v>
      </c>
      <c r="E111" s="3" t="str">
        <f ca="1">IFERROR(__xludf.DUMMYFUNCTION("GOOGLETRANSLATE(B111,""ja"",""vi"")"),"hóa thạch")</f>
        <v>hóa thạch</v>
      </c>
      <c r="F111" s="3" t="str">
        <f ca="1">IFERROR(__xludf.DUMMYFUNCTION("GOOGLETRANSLATE(C111,""ja"",""vi"")"),"Đấu giá&gt; đồ cổ, bộ sưu tập&gt; khoa học, thiên nhiên&gt; hóa thạch")</f>
        <v>Đấu giá&gt; đồ cổ, bộ sưu tập&gt; khoa học, thiên nhiên&gt; hóa thạch</v>
      </c>
      <c r="G111" s="229" t="str">
        <f t="shared" ca="1" si="2"/>
        <v>"20772" : "hóa thạch",</v>
      </c>
      <c r="H111" s="229" t="str">
        <f t="shared" si="3"/>
        <v>&lt;li class="col-md-3"&gt;&lt;a class="text-cut" href="javascript:;"(click)="categoryEvent(20772)"&gt;{{"20772" | translate}}&lt;/a&gt;&lt;/li&gt;</v>
      </c>
    </row>
    <row r="112" spans="1:8" ht="14.25" customHeight="1">
      <c r="A112" s="89">
        <v>20768</v>
      </c>
      <c r="B112" s="2" t="s">
        <v>5755</v>
      </c>
      <c r="C112" s="2" t="s">
        <v>5758</v>
      </c>
      <c r="D112" s="2" t="s">
        <v>5760</v>
      </c>
      <c r="E112" s="3" t="str">
        <f ca="1">IFERROR(__xludf.DUMMYFUNCTION("GOOGLETRANSLATE(B112,""ja"",""vi"")"),"Rocks, khoáng sản")</f>
        <v>Rocks, khoáng sản</v>
      </c>
      <c r="F112" s="3" t="str">
        <f ca="1">IFERROR(__xludf.DUMMYFUNCTION("GOOGLETRANSLATE(C112,""ja"",""vi"")"),"Đấu giá&gt; cổ, bộ sưu tập&gt; khoa học, thiên nhiên&gt; đá, khoáng sản")</f>
        <v>Đấu giá&gt; cổ, bộ sưu tập&gt; khoa học, thiên nhiên&gt; đá, khoáng sản</v>
      </c>
      <c r="G112" s="229" t="str">
        <f t="shared" ca="1" si="2"/>
        <v>"20768" : "Rocks, khoáng sản",</v>
      </c>
      <c r="H112" s="229" t="str">
        <f t="shared" si="3"/>
        <v>&lt;li class="col-md-3"&gt;&lt;a class="text-cut" href="javascript:;"(click)="categoryEvent(20768)"&gt;{{"20768" | translate}}&lt;/a&gt;&lt;/li&gt;</v>
      </c>
    </row>
    <row r="113" spans="1:8" ht="14.25" customHeight="1">
      <c r="A113" s="89">
        <v>21820</v>
      </c>
      <c r="B113" s="2" t="s">
        <v>162</v>
      </c>
      <c r="C113" s="2" t="s">
        <v>5767</v>
      </c>
      <c r="D113" s="2" t="s">
        <v>5768</v>
      </c>
      <c r="E113" s="3" t="str">
        <f ca="1">IFERROR(__xludf.DUMMYFUNCTION("GOOGLETRANSLATE(B113,""ja"",""vi"")"),"Sách, tạp chí")</f>
        <v>Sách, tạp chí</v>
      </c>
      <c r="F113" s="3" t="str">
        <f ca="1">IFERROR(__xludf.DUMMYFUNCTION("GOOGLETRANSLATE(C113,""ja"",""vi"")"),"Đấu giá&gt; cổ, bộ sưu tập&gt; khoa học, thiên nhiên&gt; sách, tạp chí")</f>
        <v>Đấu giá&gt; cổ, bộ sưu tập&gt; khoa học, thiên nhiên&gt; sách, tạp chí</v>
      </c>
      <c r="G113" s="229" t="str">
        <f t="shared" ca="1" si="2"/>
        <v>"21820" : "Sách, tạp chí",</v>
      </c>
      <c r="H113" s="229" t="str">
        <f t="shared" si="3"/>
        <v>&lt;li class="col-md-3"&gt;&lt;a class="text-cut" href="javascript:;"(click)="categoryEvent(21820)"&gt;{{"21820" | translate}}&lt;/a&gt;&lt;/li&gt;</v>
      </c>
    </row>
    <row r="114" spans="1:8" ht="14.25" customHeight="1">
      <c r="A114" s="89">
        <v>27826</v>
      </c>
      <c r="B114" s="2" t="s">
        <v>16</v>
      </c>
      <c r="C114" s="2" t="s">
        <v>5772</v>
      </c>
      <c r="D114" s="2" t="s">
        <v>5775</v>
      </c>
      <c r="E114" s="3" t="str">
        <f ca="1">IFERROR(__xludf.DUMMYFUNCTION("GOOGLETRANSLATE(B114,""ja"",""vi"")"),"nếu không thì")</f>
        <v>nếu không thì</v>
      </c>
      <c r="F114" s="3" t="str">
        <f ca="1">IFERROR(__xludf.DUMMYFUNCTION("GOOGLETRANSLATE(C114,""ja"",""vi"")"),"Đấu giá&gt; cổ, bộ sưu tập&gt; khoa học, thiên nhiên&gt; Khác")</f>
        <v>Đấu giá&gt; cổ, bộ sưu tập&gt; khoa học, thiên nhiên&gt; Khác</v>
      </c>
      <c r="G114" s="229" t="str">
        <f t="shared" ca="1" si="2"/>
        <v>"27826" : "nếu không thì",</v>
      </c>
      <c r="H114" s="229" t="str">
        <f t="shared" si="3"/>
        <v>&lt;li class="col-md-3"&gt;&lt;a class="text-cut" href="javascript:;"(click)="categoryEvent(27826)"&gt;{{"27826" | translate}}&lt;/a&gt;&lt;/li&gt;</v>
      </c>
    </row>
    <row r="115" spans="1:8" ht="14.25" customHeight="1">
      <c r="E115" s="3"/>
      <c r="F115" s="3"/>
      <c r="G115" s="229"/>
      <c r="H115" s="229"/>
    </row>
    <row r="116" spans="1:8" ht="14.25" customHeight="1">
      <c r="A116" s="264">
        <v>20004</v>
      </c>
      <c r="B116" s="232"/>
      <c r="C116" s="232"/>
      <c r="D116" s="233"/>
      <c r="E116" s="3"/>
      <c r="F116" s="3"/>
      <c r="G116" s="229"/>
      <c r="H116" s="229"/>
    </row>
    <row r="117" spans="1:8" ht="14.25" customHeight="1">
      <c r="A117" s="2">
        <v>40546</v>
      </c>
      <c r="B117" s="2" t="s">
        <v>3134</v>
      </c>
      <c r="C117" s="2" t="s">
        <v>5787</v>
      </c>
      <c r="D117" s="2" t="s">
        <v>5788</v>
      </c>
      <c r="E117" s="3" t="str">
        <f ca="1">IFERROR(__xludf.DUMMYFUNCTION("GOOGLETRANSLATE(B117,""ja"",""vi"")"),"ủi")</f>
        <v>ủi</v>
      </c>
      <c r="F117" s="3" t="str">
        <f ca="1">IFERROR(__xludf.DUMMYFUNCTION("GOOGLETRANSLATE(C117,""ja"",""vi"")"),"Đấu giá&gt; cổ, bộ sưu tập&gt; thiết bị điện&gt; Sắt")</f>
        <v>Đấu giá&gt; cổ, bộ sưu tập&gt; thiết bị điện&gt; Sắt</v>
      </c>
      <c r="G117" s="229" t="str">
        <f t="shared" ca="1" si="2"/>
        <v>"40546" : "ủi",</v>
      </c>
      <c r="H117" s="229" t="str">
        <f t="shared" si="3"/>
        <v>&lt;li class="col-md-3"&gt;&lt;a class="text-cut" href="javascript:;"(click)="categoryEvent(40546)"&gt;{{"40546" | translate}}&lt;/a&gt;&lt;/li&gt;</v>
      </c>
    </row>
    <row r="118" spans="1:8" ht="14.25" customHeight="1">
      <c r="A118" s="2">
        <v>20040</v>
      </c>
      <c r="B118" s="2" t="s">
        <v>5794</v>
      </c>
      <c r="C118" s="2" t="s">
        <v>5795</v>
      </c>
      <c r="D118" s="2" t="s">
        <v>5797</v>
      </c>
      <c r="E118" s="3" t="str">
        <f ca="1">IFERROR(__xludf.DUMMYFUNCTION("GOOGLETRANSLATE(B118,""ja"",""vi"")"),"máy đánh chữ")</f>
        <v>máy đánh chữ</v>
      </c>
      <c r="F118" s="3" t="str">
        <f ca="1">IFERROR(__xludf.DUMMYFUNCTION("GOOGLETRANSLATE(C118,""ja"",""vi"")"),"Đấu giá&gt; cổ, bộ sưu tập&gt; thiết bị điện&gt; máy đánh chữ")</f>
        <v>Đấu giá&gt; cổ, bộ sưu tập&gt; thiết bị điện&gt; máy đánh chữ</v>
      </c>
      <c r="G118" s="229" t="str">
        <f t="shared" ca="1" si="2"/>
        <v>"20040" : "máy đánh chữ",</v>
      </c>
      <c r="H118" s="229" t="str">
        <f t="shared" si="3"/>
        <v>&lt;li class="col-md-3"&gt;&lt;a class="text-cut" href="javascript:;"(click)="categoryEvent(20040)"&gt;{{"20040" | translate}}&lt;/a&gt;&lt;/li&gt;</v>
      </c>
    </row>
    <row r="119" spans="1:8" ht="14.25" customHeight="1">
      <c r="A119" s="2">
        <v>20036</v>
      </c>
      <c r="B119" s="2" t="s">
        <v>3151</v>
      </c>
      <c r="C119" s="2" t="s">
        <v>5801</v>
      </c>
      <c r="D119" s="2" t="s">
        <v>5802</v>
      </c>
      <c r="E119" s="3" t="str">
        <f ca="1">IFERROR(__xludf.DUMMYFUNCTION("GOOGLETRANSLATE(B119,""ja"",""vi"")"),"TV")</f>
        <v>TV</v>
      </c>
      <c r="F119" s="3" t="str">
        <f ca="1">IFERROR(__xludf.DUMMYFUNCTION("GOOGLETRANSLATE(C119,""ja"",""vi"")"),"Đấu giá&gt; cổ, bộ sưu tập&gt; thiết bị điện&gt; TV")</f>
        <v>Đấu giá&gt; cổ, bộ sưu tập&gt; thiết bị điện&gt; TV</v>
      </c>
      <c r="G119" s="229" t="str">
        <f t="shared" ca="1" si="2"/>
        <v>"20036" : "TV",</v>
      </c>
      <c r="H119" s="229" t="str">
        <f t="shared" si="3"/>
        <v>&lt;li class="col-md-3"&gt;&lt;a class="text-cut" href="javascript:;"(click)="categoryEvent(20036)"&gt;{{"20036" | translate}}&lt;/a&gt;&lt;/li&gt;</v>
      </c>
    </row>
    <row r="120" spans="1:8" ht="14.25" customHeight="1">
      <c r="A120" s="2">
        <v>20032</v>
      </c>
      <c r="B120" s="2" t="s">
        <v>5805</v>
      </c>
      <c r="C120" s="2" t="s">
        <v>5806</v>
      </c>
      <c r="D120" s="2" t="s">
        <v>5807</v>
      </c>
      <c r="E120" s="3" t="str">
        <f ca="1">IFERROR(__xludf.DUMMYFUNCTION("GOOGLETRANSLATE(B120,""ja"",""vi"")"),"Toaster")</f>
        <v>Toaster</v>
      </c>
      <c r="F120" s="3" t="str">
        <f ca="1">IFERROR(__xludf.DUMMYFUNCTION("GOOGLETRANSLATE(C120,""ja"",""vi"")"),"Đấu giá&gt; cổ, bộ sưu tập&gt; thiết bị điện&gt; Toaster")</f>
        <v>Đấu giá&gt; cổ, bộ sưu tập&gt; thiết bị điện&gt; Toaster</v>
      </c>
      <c r="G120" s="229" t="str">
        <f t="shared" ca="1" si="2"/>
        <v>"20032" : "Toaster",</v>
      </c>
      <c r="H120" s="229" t="str">
        <f t="shared" si="3"/>
        <v>&lt;li class="col-md-3"&gt;&lt;a class="text-cut" href="javascript:;"(click)="categoryEvent(20032)"&gt;{{"20032" | translate}}&lt;/a&gt;&lt;/li&gt;</v>
      </c>
    </row>
    <row r="121" spans="1:8" ht="14.25" customHeight="1">
      <c r="A121" s="2">
        <v>20016</v>
      </c>
      <c r="B121" s="2" t="s">
        <v>5811</v>
      </c>
      <c r="C121" s="2" t="s">
        <v>5813</v>
      </c>
      <c r="D121" s="2" t="s">
        <v>5816</v>
      </c>
      <c r="E121" s="3" t="str">
        <f ca="1">IFERROR(__xludf.DUMMYFUNCTION("GOOGLETRANSLATE(B121,""ja"",""vi"")"),"máy trộn")</f>
        <v>máy trộn</v>
      </c>
      <c r="F121" s="3" t="str">
        <f ca="1">IFERROR(__xludf.DUMMYFUNCTION("GOOGLETRANSLATE(C121,""ja"",""vi"")"),"Đấu giá&gt; cổ, bộ sưu tập&gt; thiết bị điện&gt; Máy trộn")</f>
        <v>Đấu giá&gt; cổ, bộ sưu tập&gt; thiết bị điện&gt; Máy trộn</v>
      </c>
      <c r="G121" s="229" t="str">
        <f t="shared" ca="1" si="2"/>
        <v>"20016" : "máy trộn",</v>
      </c>
      <c r="H121" s="229" t="str">
        <f t="shared" si="3"/>
        <v>&lt;li class="col-md-3"&gt;&lt;a class="text-cut" href="javascript:;"(click)="categoryEvent(20016)"&gt;{{"20016" | translate}}&lt;/a&gt;&lt;/li&gt;</v>
      </c>
    </row>
    <row r="122" spans="1:8" ht="14.25" customHeight="1">
      <c r="A122" s="2">
        <v>20024</v>
      </c>
      <c r="B122" s="2" t="s">
        <v>3166</v>
      </c>
      <c r="C122" s="2" t="s">
        <v>5820</v>
      </c>
      <c r="D122" s="2" t="s">
        <v>5821</v>
      </c>
      <c r="E122" s="3" t="str">
        <f ca="1">IFERROR(__xludf.DUMMYFUNCTION("GOOGLETRANSLATE(B122,""ja"",""vi"")"),"máy may")</f>
        <v>máy may</v>
      </c>
      <c r="F122" s="3" t="str">
        <f ca="1">IFERROR(__xludf.DUMMYFUNCTION("GOOGLETRANSLATE(C122,""ja"",""vi"")"),"Đấu giá&gt; cổ, bộ sưu tập&gt; thiết bị điện&gt; máy may")</f>
        <v>Đấu giá&gt; cổ, bộ sưu tập&gt; thiết bị điện&gt; máy may</v>
      </c>
      <c r="G122" s="229" t="str">
        <f t="shared" ca="1" si="2"/>
        <v>"20024" : "máy may",</v>
      </c>
      <c r="H122" s="229" t="str">
        <f t="shared" si="3"/>
        <v>&lt;li class="col-md-3"&gt;&lt;a class="text-cut" href="javascript:;"(click)="categoryEvent(20024)"&gt;{{"20024" | translate}}&lt;/a&gt;&lt;/li&gt;</v>
      </c>
    </row>
    <row r="123" spans="1:8" ht="14.25" customHeight="1">
      <c r="A123" s="2">
        <v>20020</v>
      </c>
      <c r="B123" s="2" t="s">
        <v>5823</v>
      </c>
      <c r="C123" s="2" t="s">
        <v>5825</v>
      </c>
      <c r="D123" s="2" t="s">
        <v>5827</v>
      </c>
      <c r="E123" s="3" t="str">
        <f ca="1">IFERROR(__xludf.DUMMYFUNCTION("GOOGLETRANSLATE(B123,""ja"",""vi"")"),"radio")</f>
        <v>radio</v>
      </c>
      <c r="F123" s="3" t="str">
        <f ca="1">IFERROR(__xludf.DUMMYFUNCTION("GOOGLETRANSLATE(C123,""ja"",""vi"")"),"Đấu giá&gt; cổ, bộ sưu tập&gt; thiết bị điện&gt; Radio")</f>
        <v>Đấu giá&gt; cổ, bộ sưu tập&gt; thiết bị điện&gt; Radio</v>
      </c>
      <c r="G123" s="229" t="str">
        <f t="shared" ca="1" si="2"/>
        <v>"20020" : "radio",</v>
      </c>
      <c r="H123" s="229" t="str">
        <f t="shared" si="3"/>
        <v>&lt;li class="col-md-3"&gt;&lt;a class="text-cut" href="javascript:;"(click)="categoryEvent(20020)"&gt;{{"20020" | translate}}&lt;/a&gt;&lt;/li&gt;</v>
      </c>
    </row>
    <row r="124" spans="1:8" ht="14.25" customHeight="1">
      <c r="A124" s="2">
        <v>20012</v>
      </c>
      <c r="B124" s="2" t="s">
        <v>2627</v>
      </c>
      <c r="C124" s="2" t="s">
        <v>5830</v>
      </c>
      <c r="D124" s="2" t="s">
        <v>5832</v>
      </c>
      <c r="E124" s="3" t="str">
        <f ca="1">IFERROR(__xludf.DUMMYFUNCTION("GOOGLETRANSLATE(B124,""ja"",""vi"")"),"chiếu sáng")</f>
        <v>chiếu sáng</v>
      </c>
      <c r="F124" s="3" t="str">
        <f ca="1">IFERROR(__xludf.DUMMYFUNCTION("GOOGLETRANSLATE(C124,""ja"",""vi"")"),"Đấu giá&gt; cổ, bộ sưu tập&gt; thiết bị điện&gt; ánh sáng")</f>
        <v>Đấu giá&gt; cổ, bộ sưu tập&gt; thiết bị điện&gt; ánh sáng</v>
      </c>
      <c r="G124" s="229" t="str">
        <f t="shared" ca="1" si="2"/>
        <v>"20012" : "chiếu sáng",</v>
      </c>
      <c r="H124" s="229" t="str">
        <f t="shared" si="3"/>
        <v>&lt;li class="col-md-3"&gt;&lt;a class="text-cut" href="javascript:;"(click)="categoryEvent(20012)"&gt;{{"20012" | translate}}&lt;/a&gt;&lt;/li&gt;</v>
      </c>
    </row>
    <row r="125" spans="1:8" ht="14.25" customHeight="1">
      <c r="A125" s="2">
        <v>20008</v>
      </c>
      <c r="B125" s="2" t="s">
        <v>5837</v>
      </c>
      <c r="C125" s="2" t="s">
        <v>5838</v>
      </c>
      <c r="D125" s="2" t="s">
        <v>5839</v>
      </c>
      <c r="E125" s="3" t="str">
        <f ca="1">IFERROR(__xludf.DUMMYFUNCTION("GOOGLETRANSLATE(B125,""ja"",""vi"")"),"quạt")</f>
        <v>quạt</v>
      </c>
      <c r="F125" s="3" t="str">
        <f ca="1">IFERROR(__xludf.DUMMYFUNCTION("GOOGLETRANSLATE(C125,""ja"",""vi"")"),"Đấu giá&gt; cổ, bộ sưu tập&gt; thiết bị điện&gt; Fan")</f>
        <v>Đấu giá&gt; cổ, bộ sưu tập&gt; thiết bị điện&gt; Fan</v>
      </c>
      <c r="G125" s="229" t="str">
        <f t="shared" ca="1" si="2"/>
        <v>"20008" : "quạt",</v>
      </c>
      <c r="H125" s="229" t="str">
        <f t="shared" si="3"/>
        <v>&lt;li class="col-md-3"&gt;&lt;a class="text-cut" href="javascript:;"(click)="categoryEvent(20008)"&gt;{{"20008" | translate}}&lt;/a&gt;&lt;/li&gt;</v>
      </c>
    </row>
    <row r="126" spans="1:8" ht="14.25" customHeight="1">
      <c r="A126" s="2">
        <v>20048</v>
      </c>
      <c r="B126" s="2" t="s">
        <v>3192</v>
      </c>
      <c r="C126" s="2" t="s">
        <v>5845</v>
      </c>
      <c r="D126" s="2" t="s">
        <v>5847</v>
      </c>
      <c r="E126" s="3" t="str">
        <f ca="1">IFERROR(__xludf.DUMMYFUNCTION("GOOGLETRANSLATE(B126,""ja"",""vi"")"),"máy giặt")</f>
        <v>máy giặt</v>
      </c>
      <c r="F126" s="3" t="str">
        <f ca="1">IFERROR(__xludf.DUMMYFUNCTION("GOOGLETRANSLATE(C126,""ja"",""vi"")"),"Đấu giá&gt; cổ, bộ sưu tập&gt; thiết bị điện&gt; máy giặt")</f>
        <v>Đấu giá&gt; cổ, bộ sưu tập&gt; thiết bị điện&gt; máy giặt</v>
      </c>
      <c r="G126" s="229" t="str">
        <f t="shared" ca="1" si="2"/>
        <v>"20048" : "máy giặt",</v>
      </c>
      <c r="H126" s="229" t="str">
        <f t="shared" si="3"/>
        <v>&lt;li class="col-md-3"&gt;&lt;a class="text-cut" href="javascript:;"(click)="categoryEvent(20048)"&gt;{{"20048" | translate}}&lt;/a&gt;&lt;/li&gt;</v>
      </c>
    </row>
    <row r="127" spans="1:8" ht="14.25" customHeight="1">
      <c r="A127" s="2">
        <v>20044</v>
      </c>
      <c r="B127" s="2" t="s">
        <v>3199</v>
      </c>
      <c r="C127" s="2" t="s">
        <v>5852</v>
      </c>
      <c r="D127" s="2" t="s">
        <v>5854</v>
      </c>
      <c r="E127" s="3" t="str">
        <f ca="1">IFERROR(__xludf.DUMMYFUNCTION("GOOGLETRANSLATE(B127,""ja"",""vi"")"),"máy hút bụi")</f>
        <v>máy hút bụi</v>
      </c>
      <c r="F127" s="3" t="str">
        <f ca="1">IFERROR(__xludf.DUMMYFUNCTION("GOOGLETRANSLATE(C127,""ja"",""vi"")"),"Đấu giá&gt; cổ, bộ sưu tập&gt; thiết bị điện&gt; máy hút bụi")</f>
        <v>Đấu giá&gt; cổ, bộ sưu tập&gt; thiết bị điện&gt; máy hút bụi</v>
      </c>
      <c r="G127" s="229" t="str">
        <f t="shared" ca="1" si="2"/>
        <v>"20044" : "máy hút bụi",</v>
      </c>
      <c r="H127" s="229" t="str">
        <f t="shared" si="3"/>
        <v>&lt;li class="col-md-3"&gt;&lt;a class="text-cut" href="javascript:;"(click)="categoryEvent(20044)"&gt;{{"20044" | translate}}&lt;/a&gt;&lt;/li&gt;</v>
      </c>
    </row>
    <row r="128" spans="1:8" ht="14.25" customHeight="1">
      <c r="A128" s="2">
        <v>20028</v>
      </c>
      <c r="B128" s="2" t="s">
        <v>5859</v>
      </c>
      <c r="C128" s="2" t="s">
        <v>5860</v>
      </c>
      <c r="D128" s="2" t="s">
        <v>5862</v>
      </c>
      <c r="E128" s="3" t="str">
        <f ca="1">IFERROR(__xludf.DUMMYFUNCTION("GOOGLETRANSLATE(B128,""ja"",""vi"")"),"bộ điện thoại")</f>
        <v>bộ điện thoại</v>
      </c>
      <c r="F128" s="3" t="str">
        <f ca="1">IFERROR(__xludf.DUMMYFUNCTION("GOOGLETRANSLATE(C128,""ja"",""vi"")"),"Đấu giá&gt; cổ, bộ sưu tập&gt; thiết bị điện&gt; điện thoại")</f>
        <v>Đấu giá&gt; cổ, bộ sưu tập&gt; thiết bị điện&gt; điện thoại</v>
      </c>
      <c r="G128" s="229" t="str">
        <f t="shared" ca="1" si="2"/>
        <v>"20028" : "bộ điện thoại",</v>
      </c>
      <c r="H128" s="229" t="str">
        <f t="shared" si="3"/>
        <v>&lt;li class="col-md-3"&gt;&lt;a class="text-cut" href="javascript:;"(click)="categoryEvent(20028)"&gt;{{"20028" | translate}}&lt;/a&gt;&lt;/li&gt;</v>
      </c>
    </row>
    <row r="129" spans="1:8" ht="14.25" customHeight="1">
      <c r="A129" s="2">
        <v>2084236050</v>
      </c>
      <c r="B129" s="2" t="s">
        <v>5867</v>
      </c>
      <c r="C129" s="2" t="s">
        <v>5868</v>
      </c>
      <c r="D129" s="2" t="s">
        <v>5869</v>
      </c>
      <c r="E129" s="3" t="str">
        <f ca="1">IFERROR(__xludf.DUMMYFUNCTION("GOOGLETRANSLATE(B129,""ja"",""vi"")"),"tủ lạnh")</f>
        <v>tủ lạnh</v>
      </c>
      <c r="F129" s="3" t="str">
        <f ca="1">IFERROR(__xludf.DUMMYFUNCTION("GOOGLETRANSLATE(C129,""ja"",""vi"")"),"Đấu giá&gt; cổ, bộ sưu tập&gt; thiết bị điện&gt; Tủ lạnh")</f>
        <v>Đấu giá&gt; cổ, bộ sưu tập&gt; thiết bị điện&gt; Tủ lạnh</v>
      </c>
      <c r="G129" s="229" t="str">
        <f t="shared" ca="1" si="2"/>
        <v>"2084236050" : "tủ lạnh",</v>
      </c>
      <c r="H129" s="229" t="str">
        <f t="shared" si="3"/>
        <v>&lt;li class="col-md-3"&gt;&lt;a class="text-cut" href="javascript:;"(click)="categoryEvent(2084236050)"&gt;{{"2084236050" | translate}}&lt;/a&gt;&lt;/li&gt;</v>
      </c>
    </row>
    <row r="130" spans="1:8" ht="14.25" customHeight="1">
      <c r="A130" s="2">
        <v>2084236033</v>
      </c>
      <c r="B130" s="2" t="s">
        <v>16</v>
      </c>
      <c r="C130" s="2" t="s">
        <v>5876</v>
      </c>
      <c r="D130" s="2" t="s">
        <v>5879</v>
      </c>
      <c r="E130" s="3" t="str">
        <f ca="1">IFERROR(__xludf.DUMMYFUNCTION("GOOGLETRANSLATE(B130,""ja"",""vi"")"),"nếu không thì")</f>
        <v>nếu không thì</v>
      </c>
      <c r="F130" s="3" t="str">
        <f ca="1">IFERROR(__xludf.DUMMYFUNCTION("GOOGLETRANSLATE(C130,""ja"",""vi"")"),"Đấu giá&gt; cổ, bộ sưu tập&gt; thiết bị điện&gt; Khác")</f>
        <v>Đấu giá&gt; cổ, bộ sưu tập&gt; thiết bị điện&gt; Khác</v>
      </c>
      <c r="G130" s="229" t="str">
        <f t="shared" ca="1" si="2"/>
        <v>"2084236033" : "nếu không thì",</v>
      </c>
      <c r="H130" s="229" t="str">
        <f t="shared" si="3"/>
        <v>&lt;li class="col-md-3"&gt;&lt;a class="text-cut" href="javascript:;"(click)="categoryEvent(2084236033)"&gt;{{"2084236033" | translate}}&lt;/a&gt;&lt;/li&gt;</v>
      </c>
    </row>
    <row r="131" spans="1:8" ht="14.25" customHeight="1">
      <c r="E131" s="3"/>
      <c r="F131" s="3"/>
      <c r="G131" s="229"/>
      <c r="H131" s="229"/>
    </row>
    <row r="132" spans="1:8" ht="14.25" customHeight="1">
      <c r="A132" s="254">
        <v>2084048439</v>
      </c>
      <c r="B132" s="232"/>
      <c r="C132" s="232"/>
      <c r="D132" s="233"/>
      <c r="E132" s="3"/>
      <c r="F132" s="3"/>
      <c r="G132" s="229"/>
      <c r="H132" s="229"/>
    </row>
    <row r="133" spans="1:8" ht="14.25" customHeight="1">
      <c r="A133" s="2">
        <v>2084224175</v>
      </c>
      <c r="B133" s="2" t="s">
        <v>5890</v>
      </c>
      <c r="C133" s="2" t="s">
        <v>5891</v>
      </c>
      <c r="D133" s="2" t="s">
        <v>5892</v>
      </c>
      <c r="E133" s="3" t="str">
        <f ca="1">IFERROR(__xludf.DUMMYFUNCTION("GOOGLETRANSLATE(B133,""ja"",""vi"")"),"Một cơ thể")</f>
        <v>Một cơ thể</v>
      </c>
      <c r="F133" s="3" t="str">
        <f ca="1">IFERROR(__xludf.DUMMYFUNCTION("GOOGLETRANSLATE(C133,""ja"",""vi"")"),"Đấu giá&gt; cổ, bộ sưu tập&gt; máy hát&gt; cơ thể")</f>
        <v>Đấu giá&gt; cổ, bộ sưu tập&gt; máy hát&gt; cơ thể</v>
      </c>
      <c r="G133" s="229" t="str">
        <f t="shared" ref="G133:G194" ca="1" si="4">CONCATENATE(CHAR(34)&amp;"",A133,""&amp;CHAR(34)," : ", CHAR(34)&amp;"",E133,""&amp;CHAR(34),",")</f>
        <v>"2084224175" : "Một cơ thể",</v>
      </c>
      <c r="H133" s="229" t="str">
        <f t="shared" ref="H133:H194" si="5">CONCATENATE("&lt;li class=",CHAR(34)&amp;"","col-md-3",""&amp;CHAR(34),"&gt;","&lt;a class=",CHAR(34)&amp;"","text-cut",""&amp;CHAR(34)," href=",CHAR(34)&amp;"","javascript:;",""&amp;CHAR(34), "(click)=",CHAR(34)&amp;"","categoryEvent(",A133,")",""&amp;CHAR(34),"&gt;{{",CHAR(34)&amp;"",A133,""&amp;CHAR(34)," | translate}}&lt;/a&gt;&lt;/li&gt;")</f>
        <v>&lt;li class="col-md-3"&gt;&lt;a class="text-cut" href="javascript:;"(click)="categoryEvent(2084224175)"&gt;{{"2084224175" | translate}}&lt;/a&gt;&lt;/li&gt;</v>
      </c>
    </row>
    <row r="134" spans="1:8" ht="14.25" customHeight="1">
      <c r="A134" s="2">
        <v>2084224176</v>
      </c>
      <c r="B134" s="2" t="s">
        <v>5895</v>
      </c>
      <c r="C134" s="2" t="s">
        <v>5896</v>
      </c>
      <c r="D134" s="2" t="s">
        <v>5897</v>
      </c>
      <c r="E134" s="3" t="str">
        <f ca="1">IFERROR(__xludf.DUMMYFUNCTION("GOOGLETRANSLATE(B134,""ja"",""vi"")"),"SP bảng")</f>
        <v>SP bảng</v>
      </c>
      <c r="F134" s="3" t="str">
        <f ca="1">IFERROR(__xludf.DUMMYFUNCTION("GOOGLETRANSLATE(C134,""ja"",""vi"")"),"Đấu giá&gt; cổ, bộ sưu tập&gt; máy hát&gt; SP bản")</f>
        <v>Đấu giá&gt; cổ, bộ sưu tập&gt; máy hát&gt; SP bản</v>
      </c>
      <c r="G134" s="229" t="str">
        <f t="shared" ca="1" si="4"/>
        <v>"2084224176" : "SP bảng",</v>
      </c>
      <c r="H134" s="229" t="str">
        <f t="shared" si="5"/>
        <v>&lt;li class="col-md-3"&gt;&lt;a class="text-cut" href="javascript:;"(click)="categoryEvent(2084224176)"&gt;{{"2084224176" | translate}}&lt;/a&gt;&lt;/li&gt;</v>
      </c>
    </row>
    <row r="135" spans="1:8" ht="14.25" customHeight="1">
      <c r="A135" s="2">
        <v>2084224177</v>
      </c>
      <c r="B135" s="2" t="s">
        <v>16</v>
      </c>
      <c r="C135" s="2" t="s">
        <v>5900</v>
      </c>
      <c r="D135" s="2" t="s">
        <v>5901</v>
      </c>
      <c r="E135" s="3" t="str">
        <f ca="1">IFERROR(__xludf.DUMMYFUNCTION("GOOGLETRANSLATE(B135,""ja"",""vi"")"),"nếu không thì")</f>
        <v>nếu không thì</v>
      </c>
      <c r="F135" s="3" t="str">
        <f ca="1">IFERROR(__xludf.DUMMYFUNCTION("GOOGLETRANSLATE(C135,""ja"",""vi"")"),"Đấu giá&gt; cổ, bộ sưu tập&gt; máy hát&gt; Khác")</f>
        <v>Đấu giá&gt; cổ, bộ sưu tập&gt; máy hát&gt; Khác</v>
      </c>
      <c r="G135" s="229" t="str">
        <f t="shared" ca="1" si="4"/>
        <v>"2084224177" : "nếu không thì",</v>
      </c>
      <c r="H135" s="229" t="str">
        <f t="shared" si="5"/>
        <v>&lt;li class="col-md-3"&gt;&lt;a class="text-cut" href="javascript:;"(click)="categoryEvent(2084224177)"&gt;{{"2084224177" | translate}}&lt;/a&gt;&lt;/li&gt;</v>
      </c>
    </row>
    <row r="136" spans="1:8" ht="14.25" customHeight="1">
      <c r="E136" s="3"/>
      <c r="F136" s="3"/>
      <c r="G136" s="229"/>
      <c r="H136" s="229"/>
    </row>
    <row r="137" spans="1:8" ht="14.25" customHeight="1">
      <c r="A137" s="249">
        <v>21060</v>
      </c>
      <c r="B137" s="232"/>
      <c r="C137" s="232"/>
      <c r="D137" s="233"/>
      <c r="E137" s="3"/>
      <c r="F137" s="3"/>
      <c r="G137" s="229"/>
      <c r="H137" s="229"/>
    </row>
    <row r="138" spans="1:8" ht="14.25" customHeight="1">
      <c r="A138" s="2">
        <v>26314</v>
      </c>
      <c r="B138" s="2" t="s">
        <v>3868</v>
      </c>
      <c r="C138" s="2" t="s">
        <v>5910</v>
      </c>
      <c r="D138" s="2" t="s">
        <v>5911</v>
      </c>
      <c r="E138" s="3" t="str">
        <f ca="1">IFERROR(__xludf.DUMMYFUNCTION("GOOGLETRANSLATE(B138,""ja"",""vi"")"),"xe mô tô")</f>
        <v>xe mô tô</v>
      </c>
      <c r="F138" s="3" t="str">
        <f ca="1">IFERROR(__xludf.DUMMYFUNCTION("GOOGLETRANSLATE(C138,""ja"",""vi"")"),"Đấu giá&gt; cổ, bộ sưu tập&gt; xe&gt; xe máy")</f>
        <v>Đấu giá&gt; cổ, bộ sưu tập&gt; xe&gt; xe máy</v>
      </c>
      <c r="G138" s="229" t="str">
        <f t="shared" ca="1" si="4"/>
        <v>"26314" : "xe mô tô",</v>
      </c>
      <c r="H138" s="229" t="str">
        <f t="shared" si="5"/>
        <v>&lt;li class="col-md-3"&gt;&lt;a class="text-cut" href="javascript:;"(click)="categoryEvent(26314)"&gt;{{"26314" | translate}}&lt;/a&gt;&lt;/li&gt;</v>
      </c>
    </row>
    <row r="139" spans="1:8" ht="14.25" customHeight="1">
      <c r="A139" s="2">
        <v>26306</v>
      </c>
      <c r="B139" s="2" t="s">
        <v>5917</v>
      </c>
      <c r="C139" s="2" t="s">
        <v>5918</v>
      </c>
      <c r="D139" s="2" t="s">
        <v>5919</v>
      </c>
      <c r="E139" s="3" t="str">
        <f ca="1">IFERROR(__xludf.DUMMYFUNCTION("GOOGLETRANSLATE(B139,""ja"",""vi"")"),"xe đạp")</f>
        <v>xe đạp</v>
      </c>
      <c r="F139" s="3" t="str">
        <f ca="1">IFERROR(__xludf.DUMMYFUNCTION("GOOGLETRANSLATE(C139,""ja"",""vi"")"),"Đấu giá&gt; cổ, bộ sưu tập&gt; Phương tiện đi lại&gt; Xe đạp")</f>
        <v>Đấu giá&gt; cổ, bộ sưu tập&gt; Phương tiện đi lại&gt; Xe đạp</v>
      </c>
      <c r="G139" s="229" t="str">
        <f t="shared" ca="1" si="4"/>
        <v>"26306" : "xe đạp",</v>
      </c>
      <c r="H139" s="229" t="str">
        <f t="shared" si="5"/>
        <v>&lt;li class="col-md-3"&gt;&lt;a class="text-cut" href="javascript:;"(click)="categoryEvent(26306)"&gt;{{"26306" | translate}}&lt;/a&gt;&lt;/li&gt;</v>
      </c>
    </row>
    <row r="140" spans="1:8" ht="14.25" customHeight="1">
      <c r="A140" s="2">
        <v>26324</v>
      </c>
      <c r="B140" s="2" t="s">
        <v>5924</v>
      </c>
      <c r="C140" s="2" t="s">
        <v>5926</v>
      </c>
      <c r="D140" s="2" t="s">
        <v>5927</v>
      </c>
      <c r="E140" s="3" t="str">
        <f ca="1">IFERROR(__xludf.DUMMYFUNCTION("GOOGLETRANSLATE(B140,""ja"",""vi"")"),"xe hơi")</f>
        <v>xe hơi</v>
      </c>
      <c r="F140" s="3" t="str">
        <f ca="1">IFERROR(__xludf.DUMMYFUNCTION("GOOGLETRANSLATE(C140,""ja"",""vi"")"),"Đấu giá&gt; cổ, bộ sưu tập&gt; xe&gt; ô tô")</f>
        <v>Đấu giá&gt; cổ, bộ sưu tập&gt; xe&gt; ô tô</v>
      </c>
      <c r="G140" s="229" t="str">
        <f t="shared" ca="1" si="4"/>
        <v>"26324" : "xe hơi",</v>
      </c>
      <c r="H140" s="229" t="str">
        <f t="shared" si="5"/>
        <v>&lt;li class="col-md-3"&gt;&lt;a class="text-cut" href="javascript:;"(click)="categoryEvent(26324)"&gt;{{"26324" | translate}}&lt;/a&gt;&lt;/li&gt;</v>
      </c>
    </row>
    <row r="141" spans="1:8" ht="14.25" customHeight="1">
      <c r="A141" s="2">
        <v>21104</v>
      </c>
      <c r="B141" s="2" t="s">
        <v>5931</v>
      </c>
      <c r="C141" s="2" t="s">
        <v>5933</v>
      </c>
      <c r="D141" s="2" t="s">
        <v>5934</v>
      </c>
      <c r="E141" s="3" t="str">
        <f ca="1">IFERROR(__xludf.DUMMYFUNCTION("GOOGLETRANSLATE(B141,""ja"",""vi"")"),"tàu")</f>
        <v>tàu</v>
      </c>
      <c r="F141" s="3" t="str">
        <f ca="1">IFERROR(__xludf.DUMMYFUNCTION("GOOGLETRANSLATE(C141,""ja"",""vi"")"),"Đấu giá&gt; cổ, bộ sưu tập&gt; xe&gt; tàu")</f>
        <v>Đấu giá&gt; cổ, bộ sưu tập&gt; xe&gt; tàu</v>
      </c>
      <c r="G141" s="229" t="str">
        <f t="shared" ca="1" si="4"/>
        <v>"21104" : "tàu",</v>
      </c>
      <c r="H141" s="229" t="str">
        <f t="shared" si="5"/>
        <v>&lt;li class="col-md-3"&gt;&lt;a class="text-cut" href="javascript:;"(click)="categoryEvent(21104)"&gt;{{"21104" | translate}}&lt;/a&gt;&lt;/li&gt;</v>
      </c>
    </row>
    <row r="142" spans="1:8" ht="14.25" customHeight="1">
      <c r="A142" s="2">
        <v>21112</v>
      </c>
      <c r="B142" s="2" t="s">
        <v>16</v>
      </c>
      <c r="C142" s="2" t="s">
        <v>5939</v>
      </c>
      <c r="D142" s="2" t="s">
        <v>5942</v>
      </c>
      <c r="E142" s="3" t="str">
        <f ca="1">IFERROR(__xludf.DUMMYFUNCTION("GOOGLETRANSLATE(B142,""ja"",""vi"")"),"nếu không thì")</f>
        <v>nếu không thì</v>
      </c>
      <c r="F142" s="3" t="str">
        <f ca="1">IFERROR(__xludf.DUMMYFUNCTION("GOOGLETRANSLATE(C142,""ja"",""vi"")"),"Đấu giá&gt; cổ, bộ sưu tập&gt; Phương tiện đi lại&gt; Khác")</f>
        <v>Đấu giá&gt; cổ, bộ sưu tập&gt; Phương tiện đi lại&gt; Khác</v>
      </c>
      <c r="G142" s="229" t="str">
        <f t="shared" ca="1" si="4"/>
        <v>"21112" : "nếu không thì",</v>
      </c>
      <c r="H142" s="229" t="str">
        <f t="shared" si="5"/>
        <v>&lt;li class="col-md-3"&gt;&lt;a class="text-cut" href="javascript:;"(click)="categoryEvent(21112)"&gt;{{"21112" | translate}}&lt;/a&gt;&lt;/li&gt;</v>
      </c>
    </row>
    <row r="143" spans="1:8" ht="14.25" customHeight="1">
      <c r="E143" s="3"/>
      <c r="F143" s="3"/>
      <c r="G143" s="229"/>
      <c r="H143" s="229"/>
    </row>
    <row r="144" spans="1:8" ht="14.25" customHeight="1">
      <c r="A144" s="250">
        <v>27858</v>
      </c>
      <c r="B144" s="232"/>
      <c r="C144" s="232"/>
      <c r="D144" s="233"/>
      <c r="E144" s="3"/>
      <c r="F144" s="3"/>
      <c r="G144" s="229"/>
      <c r="H144" s="229"/>
    </row>
    <row r="145" spans="1:8" ht="14.25" customHeight="1">
      <c r="A145" s="2">
        <v>2084020108</v>
      </c>
      <c r="B145" s="2" t="s">
        <v>5949</v>
      </c>
      <c r="C145" s="2" t="s">
        <v>5951</v>
      </c>
      <c r="D145" s="2" t="s">
        <v>5953</v>
      </c>
      <c r="E145" s="3" t="str">
        <f ca="1">IFERROR(__xludf.DUMMYFUNCTION("GOOGLETRANSLATE(B145,""ja"",""vi"")"),"Thú nhồi bông")</f>
        <v>Thú nhồi bông</v>
      </c>
      <c r="F145" s="3" t="str">
        <f ca="1">IFERROR(__xludf.DUMMYFUNCTION("GOOGLETRANSLATE(C145,""ja"",""vi"")"),"Đấu giá&gt; cổ, bộ sưu tập&gt; Disney&gt; nhồi")</f>
        <v>Đấu giá&gt; cổ, bộ sưu tập&gt; Disney&gt; nhồi</v>
      </c>
      <c r="G145" s="229" t="str">
        <f t="shared" ca="1" si="4"/>
        <v>"2084020108" : "Thú nhồi bông",</v>
      </c>
      <c r="H145" s="229" t="str">
        <f t="shared" si="5"/>
        <v>&lt;li class="col-md-3"&gt;&lt;a class="text-cut" href="javascript:;"(click)="categoryEvent(2084020108)"&gt;{{"2084020108" | translate}}&lt;/a&gt;&lt;/li&gt;</v>
      </c>
    </row>
    <row r="146" spans="1:8" ht="14.25" customHeight="1">
      <c r="A146" s="2">
        <v>27587</v>
      </c>
      <c r="B146" s="2" t="s">
        <v>847</v>
      </c>
      <c r="C146" s="2" t="s">
        <v>5955</v>
      </c>
      <c r="D146" s="2" t="s">
        <v>5958</v>
      </c>
      <c r="E146" s="3" t="str">
        <f ca="1">IFERROR(__xludf.DUMMYFUNCTION("GOOGLETRANSLATE(B146,""ja"",""vi"")"),"nhân vật búp bê")</f>
        <v>nhân vật búp bê</v>
      </c>
      <c r="F146" s="3" t="str">
        <f ca="1">IFERROR(__xludf.DUMMYFUNCTION("GOOGLETRANSLATE(C146,""ja"",""vi"")"),"Đấu giá&gt; cổ, bộ sưu tập&gt; Disney&gt; Character Doll")</f>
        <v>Đấu giá&gt; cổ, bộ sưu tập&gt; Disney&gt; Character Doll</v>
      </c>
      <c r="G146" s="229" t="str">
        <f t="shared" ca="1" si="4"/>
        <v>"27587" : "nhân vật búp bê",</v>
      </c>
      <c r="H146" s="229" t="str">
        <f t="shared" si="5"/>
        <v>&lt;li class="col-md-3"&gt;&lt;a class="text-cut" href="javascript:;"(click)="categoryEvent(27587)"&gt;{{"27587" | translate}}&lt;/a&gt;&lt;/li&gt;</v>
      </c>
    </row>
    <row r="147" spans="1:8" ht="14.25" customHeight="1">
      <c r="A147" s="2">
        <v>22094</v>
      </c>
      <c r="B147" s="2" t="s">
        <v>386</v>
      </c>
      <c r="C147" s="2" t="s">
        <v>5964</v>
      </c>
      <c r="D147" s="2" t="s">
        <v>5967</v>
      </c>
      <c r="E147" s="3" t="str">
        <f ca="1">IFERROR(__xludf.DUMMYFUNCTION("GOOGLETRANSLATE(B147,""ja"",""vi"")"),"video")</f>
        <v>video</v>
      </c>
      <c r="F147" s="3" t="str">
        <f ca="1">IFERROR(__xludf.DUMMYFUNCTION("GOOGLETRANSLATE(C147,""ja"",""vi"")"),"Đấu giá&gt; cổ, bộ sưu tập&gt; Disney&gt; Video")</f>
        <v>Đấu giá&gt; cổ, bộ sưu tập&gt; Disney&gt; Video</v>
      </c>
      <c r="G147" s="229" t="str">
        <f t="shared" ca="1" si="4"/>
        <v>"22094" : "video",</v>
      </c>
      <c r="H147" s="229" t="str">
        <f t="shared" si="5"/>
        <v>&lt;li class="col-md-3"&gt;&lt;a class="text-cut" href="javascript:;"(click)="categoryEvent(22094)"&gt;{{"22094" | translate}}&lt;/a&gt;&lt;/li&gt;</v>
      </c>
    </row>
    <row r="148" spans="1:8" ht="14.25" customHeight="1">
      <c r="A148" s="2">
        <v>44364</v>
      </c>
      <c r="B148" s="2" t="s">
        <v>5968</v>
      </c>
      <c r="C148" s="2" t="s">
        <v>5970</v>
      </c>
      <c r="D148" s="2" t="s">
        <v>5973</v>
      </c>
      <c r="E148" s="3" t="str">
        <f ca="1">IFERROR(__xludf.DUMMYFUNCTION("GOOGLETRANSLATE(B148,""ja"",""vi"")"),"pin Badge")</f>
        <v>pin Badge</v>
      </c>
      <c r="F148" s="3" t="str">
        <f ca="1">IFERROR(__xludf.DUMMYFUNCTION("GOOGLETRANSLATE(C148,""ja"",""vi"")"),"Đấu giá&gt; cổ, bộ sưu tập&gt; Disney&gt; pin huy hiệu")</f>
        <v>Đấu giá&gt; cổ, bộ sưu tập&gt; Disney&gt; pin huy hiệu</v>
      </c>
      <c r="G148" s="229" t="str">
        <f t="shared" ca="1" si="4"/>
        <v>"44364" : "pin Badge",</v>
      </c>
      <c r="H148" s="229" t="str">
        <f t="shared" si="5"/>
        <v>&lt;li class="col-md-3"&gt;&lt;a class="text-cut" href="javascript:;"(click)="categoryEvent(44364)"&gt;{{"44364" | translate}}&lt;/a&gt;&lt;/li&gt;</v>
      </c>
    </row>
    <row r="149" spans="1:8" ht="14.25" customHeight="1">
      <c r="A149" s="2">
        <v>2084005550</v>
      </c>
      <c r="B149" s="2" t="s">
        <v>5975</v>
      </c>
      <c r="C149" s="2" t="s">
        <v>5976</v>
      </c>
      <c r="D149" s="2" t="s">
        <v>5978</v>
      </c>
      <c r="E149" s="3" t="str">
        <f ca="1">IFERROR(__xludf.DUMMYFUNCTION("GOOGLETRANSLATE(B149,""ja"",""vi"")"),"Thức ăn nhanh Toy")</f>
        <v>Thức ăn nhanh Toy</v>
      </c>
      <c r="F149" s="3" t="str">
        <f ca="1">IFERROR(__xludf.DUMMYFUNCTION("GOOGLETRANSLATE(C149,""ja"",""vi"")"),"Đấu giá&gt; cổ, bộ sưu tập&gt; Disney&gt; Thức ăn nhanh Đồ chơi")</f>
        <v>Đấu giá&gt; cổ, bộ sưu tập&gt; Disney&gt; Thức ăn nhanh Đồ chơi</v>
      </c>
      <c r="G149" s="229" t="str">
        <f t="shared" ca="1" si="4"/>
        <v>"2084005550" : "Thức ăn nhanh Toy",</v>
      </c>
      <c r="H149" s="229" t="str">
        <f t="shared" si="5"/>
        <v>&lt;li class="col-md-3"&gt;&lt;a class="text-cut" href="javascript:;"(click)="categoryEvent(2084005550)"&gt;{{"2084005550" | translate}}&lt;/a&gt;&lt;/li&gt;</v>
      </c>
    </row>
    <row r="150" spans="1:8" ht="14.25" customHeight="1">
      <c r="A150" s="2">
        <v>27862</v>
      </c>
      <c r="B150" s="2" t="s">
        <v>16</v>
      </c>
      <c r="C150" s="2" t="s">
        <v>5982</v>
      </c>
      <c r="D150" s="2" t="s">
        <v>5984</v>
      </c>
      <c r="E150" s="3" t="str">
        <f ca="1">IFERROR(__xludf.DUMMYFUNCTION("GOOGLETRANSLATE(B150,""ja"",""vi"")"),"nếu không thì")</f>
        <v>nếu không thì</v>
      </c>
      <c r="F150" s="3" t="str">
        <f ca="1">IFERROR(__xludf.DUMMYFUNCTION("GOOGLETRANSLATE(C150,""ja"",""vi"")"),"Đấu giá&gt; cổ, bộ sưu tập&gt; Disney&gt; Khác")</f>
        <v>Đấu giá&gt; cổ, bộ sưu tập&gt; Disney&gt; Khác</v>
      </c>
      <c r="G150" s="229" t="str">
        <f t="shared" ca="1" si="4"/>
        <v>"27862" : "nếu không thì",</v>
      </c>
      <c r="H150" s="229" t="str">
        <f t="shared" si="5"/>
        <v>&lt;li class="col-md-3"&gt;&lt;a class="text-cut" href="javascript:;"(click)="categoryEvent(27862)"&gt;{{"27862" | translate}}&lt;/a&gt;&lt;/li&gt;</v>
      </c>
    </row>
    <row r="151" spans="1:8" ht="14.25" customHeight="1">
      <c r="E151" s="3"/>
      <c r="F151" s="3"/>
      <c r="G151" s="229"/>
      <c r="H151" s="229"/>
    </row>
    <row r="152" spans="1:8" ht="14.25" customHeight="1">
      <c r="A152" s="251">
        <v>42223</v>
      </c>
      <c r="B152" s="232"/>
      <c r="C152" s="232"/>
      <c r="D152" s="233"/>
      <c r="E152" s="3"/>
      <c r="F152" s="3"/>
      <c r="G152" s="229"/>
      <c r="H152" s="229"/>
    </row>
    <row r="153" spans="1:8" ht="14.25" customHeight="1">
      <c r="A153" s="2">
        <v>26044</v>
      </c>
      <c r="B153" s="2" t="s">
        <v>5994</v>
      </c>
      <c r="C153" s="2" t="s">
        <v>5995</v>
      </c>
      <c r="D153" s="2" t="s">
        <v>5996</v>
      </c>
      <c r="E153" s="3" t="str">
        <f ca="1">IFERROR(__xludf.DUMMYFUNCTION("GOOGLETRANSLATE(B153,""ja"",""vi"")"),"X- tập tin")</f>
        <v>X- tập tin</v>
      </c>
      <c r="F153" s="3" t="str">
        <f ca="1">IFERROR(__xludf.DUMMYFUNCTION("GOOGLETRANSLATE(C153,""ja"",""vi"")"),"Đấu giá&gt; cổ, bộ sưu tập&gt; SF&gt; tập tin X-")</f>
        <v>Đấu giá&gt; cổ, bộ sưu tập&gt; SF&gt; tập tin X-</v>
      </c>
      <c r="G153" s="229" t="str">
        <f t="shared" ca="1" si="4"/>
        <v>"26044" : "X- tập tin",</v>
      </c>
      <c r="H153" s="229" t="str">
        <f t="shared" si="5"/>
        <v>&lt;li class="col-md-3"&gt;&lt;a class="text-cut" href="javascript:;"(click)="categoryEvent(26044)"&gt;{{"26044" | translate}}&lt;/a&gt;&lt;/li&gt;</v>
      </c>
    </row>
    <row r="154" spans="1:8" ht="14.25" customHeight="1">
      <c r="A154" s="2">
        <v>42224</v>
      </c>
      <c r="B154" s="2" t="s">
        <v>938</v>
      </c>
      <c r="C154" s="2" t="s">
        <v>6001</v>
      </c>
      <c r="D154" s="2" t="s">
        <v>6004</v>
      </c>
      <c r="E154" s="3" t="str">
        <f ca="1">IFERROR(__xludf.DUMMYFUNCTION("GOOGLETRANSLATE(B154,""ja"",""vi"")"),"star Wars")</f>
        <v>star Wars</v>
      </c>
      <c r="F154" s="3" t="str">
        <f ca="1">IFERROR(__xludf.DUMMYFUNCTION("GOOGLETRANSLATE(C154,""ja"",""vi"")"),"Đấu giá&gt; cổ, bộ sưu tập&gt; SF&gt; Star Wars")</f>
        <v>Đấu giá&gt; cổ, bộ sưu tập&gt; SF&gt; Star Wars</v>
      </c>
      <c r="G154" s="229" t="str">
        <f t="shared" ca="1" si="4"/>
        <v>"42224" : "star Wars",</v>
      </c>
      <c r="H154" s="229" t="str">
        <f t="shared" si="5"/>
        <v>&lt;li class="col-md-3"&gt;&lt;a class="text-cut" href="javascript:;"(click)="categoryEvent(42224)"&gt;{{"42224" | translate}}&lt;/a&gt;&lt;/li&gt;</v>
      </c>
    </row>
    <row r="155" spans="1:8" ht="14.25" customHeight="1">
      <c r="A155" s="2">
        <v>42225</v>
      </c>
      <c r="B155" s="2" t="s">
        <v>944</v>
      </c>
      <c r="C155" s="2" t="s">
        <v>6009</v>
      </c>
      <c r="D155" s="2" t="s">
        <v>6011</v>
      </c>
      <c r="E155" s="3" t="str">
        <f ca="1">IFERROR(__xludf.DUMMYFUNCTION("GOOGLETRANSLATE(B155,""ja"",""vi"")"),"star trek")</f>
        <v>star trek</v>
      </c>
      <c r="F155" s="3" t="str">
        <f ca="1">IFERROR(__xludf.DUMMYFUNCTION("GOOGLETRANSLATE(C155,""ja"",""vi"")"),"Đấu giá&gt; cổ, bộ sưu tập&gt; SF&gt; Star Trek")</f>
        <v>Đấu giá&gt; cổ, bộ sưu tập&gt; SF&gt; Star Trek</v>
      </c>
      <c r="G155" s="229" t="str">
        <f t="shared" ca="1" si="4"/>
        <v>"42225" : "star trek",</v>
      </c>
      <c r="H155" s="229" t="str">
        <f t="shared" si="5"/>
        <v>&lt;li class="col-md-3"&gt;&lt;a class="text-cut" href="javascript:;"(click)="categoryEvent(42225)"&gt;{{"42225" | translate}}&lt;/a&gt;&lt;/li&gt;</v>
      </c>
    </row>
    <row r="156" spans="1:8" ht="14.25" customHeight="1">
      <c r="A156" s="2">
        <v>2084023799</v>
      </c>
      <c r="B156" s="2" t="s">
        <v>357</v>
      </c>
      <c r="C156" s="2" t="s">
        <v>6017</v>
      </c>
      <c r="D156" s="2" t="s">
        <v>6018</v>
      </c>
      <c r="E156" s="3" t="str">
        <f ca="1">IFERROR(__xludf.DUMMYFUNCTION("GOOGLETRANSLATE(B156,""ja"",""vi"")"),"nhân vật")</f>
        <v>nhân vật</v>
      </c>
      <c r="F156" s="3" t="str">
        <f ca="1">IFERROR(__xludf.DUMMYFUNCTION("GOOGLETRANSLATE(C156,""ja"",""vi"")"),"Đấu giá&gt; cổ, bộ sưu tập&gt; SF&gt; Hình")</f>
        <v>Đấu giá&gt; cổ, bộ sưu tập&gt; SF&gt; Hình</v>
      </c>
      <c r="G156" s="229" t="str">
        <f t="shared" ca="1" si="4"/>
        <v>"2084023799" : "nhân vật",</v>
      </c>
      <c r="H156" s="229" t="str">
        <f t="shared" si="5"/>
        <v>&lt;li class="col-md-3"&gt;&lt;a class="text-cut" href="javascript:;"(click)="categoryEvent(2084023799)"&gt;{{"2084023799" | translate}}&lt;/a&gt;&lt;/li&gt;</v>
      </c>
    </row>
    <row r="157" spans="1:8" ht="14.25" customHeight="1">
      <c r="A157" s="2">
        <v>26038</v>
      </c>
      <c r="B157" s="2" t="s">
        <v>465</v>
      </c>
      <c r="C157" s="2" t="s">
        <v>6021</v>
      </c>
      <c r="D157" s="2" t="s">
        <v>6022</v>
      </c>
      <c r="E157" s="3" t="str">
        <f ca="1">IFERROR(__xludf.DUMMYFUNCTION("GOOGLETRANSLATE(B157,""ja"",""vi"")"),"Một món đồ chơi")</f>
        <v>Một món đồ chơi</v>
      </c>
      <c r="F157" s="3" t="str">
        <f ca="1">IFERROR(__xludf.DUMMYFUNCTION("GOOGLETRANSLATE(C157,""ja"",""vi"")"),"Đấu giá&gt; cổ, bộ sưu tập&gt; SF&gt; Toy")</f>
        <v>Đấu giá&gt; cổ, bộ sưu tập&gt; SF&gt; Toy</v>
      </c>
      <c r="G157" s="229" t="str">
        <f t="shared" ca="1" si="4"/>
        <v>"26038" : "Một món đồ chơi",</v>
      </c>
      <c r="H157" s="229" t="str">
        <f t="shared" si="5"/>
        <v>&lt;li class="col-md-3"&gt;&lt;a class="text-cut" href="javascript:;"(click)="categoryEvent(26038)"&gt;{{"26038" | translate}}&lt;/a&gt;&lt;/li&gt;</v>
      </c>
    </row>
    <row r="158" spans="1:8" ht="14.25" customHeight="1">
      <c r="A158" s="2">
        <v>42229</v>
      </c>
      <c r="B158" s="2" t="s">
        <v>16</v>
      </c>
      <c r="C158" s="2" t="s">
        <v>6027</v>
      </c>
      <c r="D158" s="2" t="s">
        <v>6028</v>
      </c>
      <c r="E158" s="3" t="str">
        <f ca="1">IFERROR(__xludf.DUMMYFUNCTION("GOOGLETRANSLATE(B158,""ja"",""vi"")"),"nếu không thì")</f>
        <v>nếu không thì</v>
      </c>
      <c r="F158" s="3" t="str">
        <f ca="1">IFERROR(__xludf.DUMMYFUNCTION("GOOGLETRANSLATE(C158,""ja"",""vi"")"),"Đấu giá&gt; cổ, bộ sưu tập&gt; SF&gt; Khác")</f>
        <v>Đấu giá&gt; cổ, bộ sưu tập&gt; SF&gt; Khác</v>
      </c>
      <c r="G158" s="229" t="str">
        <f t="shared" ca="1" si="4"/>
        <v>"42229" : "nếu không thì",</v>
      </c>
      <c r="H158" s="229" t="str">
        <f t="shared" si="5"/>
        <v>&lt;li class="col-md-3"&gt;&lt;a class="text-cut" href="javascript:;"(click)="categoryEvent(42229)"&gt;{{"42229" | translate}}&lt;/a&gt;&lt;/li&gt;</v>
      </c>
    </row>
    <row r="159" spans="1:8" ht="14.25" customHeight="1">
      <c r="E159" s="3"/>
      <c r="F159" s="3"/>
      <c r="G159" s="229"/>
      <c r="H159" s="229"/>
    </row>
    <row r="160" spans="1:8" ht="14.25" customHeight="1">
      <c r="A160" s="255">
        <v>2084045612</v>
      </c>
      <c r="B160" s="232"/>
      <c r="C160" s="232"/>
      <c r="D160" s="233"/>
      <c r="E160" s="3"/>
      <c r="F160" s="3"/>
      <c r="G160" s="229"/>
      <c r="H160" s="229"/>
    </row>
    <row r="161" spans="1:8" ht="14.25" customHeight="1">
      <c r="A161" s="2">
        <v>2084055388</v>
      </c>
      <c r="B161" s="2" t="s">
        <v>5610</v>
      </c>
      <c r="C161" s="2" t="s">
        <v>6036</v>
      </c>
      <c r="D161" s="2" t="s">
        <v>6037</v>
      </c>
      <c r="E161" s="3" t="str">
        <f ca="1">IFERROR(__xludf.DUMMYFUNCTION("GOOGLETRANSLATE(B161,""ja"",""vi"")"),"Truyện tranh, hoạt hình")</f>
        <v>Truyện tranh, hoạt hình</v>
      </c>
      <c r="F161" s="3" t="str">
        <f ca="1">IFERROR(__xludf.DUMMYFUNCTION("GOOGLETRANSLATE(C161,""ja"",""vi"")"),"Đấu giá&gt; cổ, bộ sưu tập&gt; nắp chai&gt; truyện tranh, hoạt hình")</f>
        <v>Đấu giá&gt; cổ, bộ sưu tập&gt; nắp chai&gt; truyện tranh, hoạt hình</v>
      </c>
      <c r="G161" s="229" t="str">
        <f t="shared" ca="1" si="4"/>
        <v>"2084055388" : "Truyện tranh, hoạt hình",</v>
      </c>
      <c r="H161" s="229" t="str">
        <f t="shared" si="5"/>
        <v>&lt;li class="col-md-3"&gt;&lt;a class="text-cut" href="javascript:;"(click)="categoryEvent(2084055388)"&gt;{{"2084055388" | translate}}&lt;/a&gt;&lt;/li&gt;</v>
      </c>
    </row>
    <row r="162" spans="1:8" ht="14.25" customHeight="1">
      <c r="A162" s="2">
        <v>2084055387</v>
      </c>
      <c r="B162" s="2" t="s">
        <v>783</v>
      </c>
      <c r="C162" s="2" t="s">
        <v>6042</v>
      </c>
      <c r="D162" s="2" t="s">
        <v>6043</v>
      </c>
      <c r="E162" s="3" t="str">
        <f ca="1">IFERROR(__xludf.DUMMYFUNCTION("GOOGLETRANSLATE(B162,""ja"",""vi"")"),"nhân vật game")</f>
        <v>nhân vật game</v>
      </c>
      <c r="F162" s="3" t="str">
        <f ca="1">IFERROR(__xludf.DUMMYFUNCTION("GOOGLETRANSLATE(C162,""ja"",""vi"")"),"Đấu giá&gt; cổ, bộ sưu tập&gt; nắp chai&gt; nhân vật game")</f>
        <v>Đấu giá&gt; cổ, bộ sưu tập&gt; nắp chai&gt; nhân vật game</v>
      </c>
      <c r="G162" s="229" t="str">
        <f t="shared" ca="1" si="4"/>
        <v>"2084055387" : "nhân vật game",</v>
      </c>
      <c r="H162" s="229" t="str">
        <f t="shared" si="5"/>
        <v>&lt;li class="col-md-3"&gt;&lt;a class="text-cut" href="javascript:;"(click)="categoryEvent(2084055387)"&gt;{{"2084055387" | translate}}&lt;/a&gt;&lt;/li&gt;</v>
      </c>
    </row>
    <row r="163" spans="1:8" ht="14.25" customHeight="1">
      <c r="A163" s="2">
        <v>2084055386</v>
      </c>
      <c r="B163" s="2" t="s">
        <v>837</v>
      </c>
      <c r="C163" s="2" t="s">
        <v>6046</v>
      </c>
      <c r="D163" s="2" t="s">
        <v>6049</v>
      </c>
      <c r="E163" s="3" t="str">
        <f ca="1">IFERROR(__xludf.DUMMYFUNCTION("GOOGLETRANSLATE(B163,""ja"",""vi"")"),"phim")</f>
        <v>phim</v>
      </c>
      <c r="F163" s="3" t="str">
        <f ca="1">IFERROR(__xludf.DUMMYFUNCTION("GOOGLETRANSLATE(C163,""ja"",""vi"")"),"Đấu giá&gt; cổ, bộ sưu tập&gt; nắp chai&gt; Phim")</f>
        <v>Đấu giá&gt; cổ, bộ sưu tập&gt; nắp chai&gt; Phim</v>
      </c>
      <c r="G163" s="229" t="str">
        <f t="shared" ca="1" si="4"/>
        <v>"2084055386" : "phim",</v>
      </c>
      <c r="H163" s="229" t="str">
        <f t="shared" si="5"/>
        <v>&lt;li class="col-md-3"&gt;&lt;a class="text-cut" href="javascript:;"(click)="categoryEvent(2084055386)"&gt;{{"2084055386" | translate}}&lt;/a&gt;&lt;/li&gt;</v>
      </c>
    </row>
    <row r="164" spans="1:8" ht="14.25" customHeight="1">
      <c r="A164" s="2">
        <v>2084055390</v>
      </c>
      <c r="B164" s="2" t="s">
        <v>6052</v>
      </c>
      <c r="C164" s="2" t="s">
        <v>6053</v>
      </c>
      <c r="D164" s="2" t="s">
        <v>6054</v>
      </c>
      <c r="E164" s="3" t="str">
        <f ca="1">IFERROR(__xludf.DUMMYFUNCTION("GOOGLETRANSLATE(B164,""ja"",""vi"")"),"anh hùng live-action, hiệu ứng đặc biệt")</f>
        <v>anh hùng live-action, hiệu ứng đặc biệt</v>
      </c>
      <c r="F164" s="3" t="str">
        <f ca="1">IFERROR(__xludf.DUMMYFUNCTION("GOOGLETRANSLATE(C164,""ja"",""vi"")"),"Đấu giá&gt; cổ, bộ sưu tập&gt; nắp chai&gt; anh hùng live-action, hiệu ứng đặc biệt")</f>
        <v>Đấu giá&gt; cổ, bộ sưu tập&gt; nắp chai&gt; anh hùng live-action, hiệu ứng đặc biệt</v>
      </c>
      <c r="G164" s="229" t="str">
        <f t="shared" ca="1" si="4"/>
        <v>"2084055390" : "anh hùng live-action, hiệu ứng đặc biệt",</v>
      </c>
      <c r="H164" s="229" t="str">
        <f t="shared" si="5"/>
        <v>&lt;li class="col-md-3"&gt;&lt;a class="text-cut" href="javascript:;"(click)="categoryEvent(2084055390)"&gt;{{"2084055390" | translate}}&lt;/a&gt;&lt;/li&gt;</v>
      </c>
    </row>
    <row r="165" spans="1:8" ht="14.25" customHeight="1">
      <c r="A165" s="2">
        <v>2084055389</v>
      </c>
      <c r="B165" s="2" t="s">
        <v>262</v>
      </c>
      <c r="C165" s="2" t="s">
        <v>6057</v>
      </c>
      <c r="D165" s="2" t="s">
        <v>6058</v>
      </c>
      <c r="E165" s="3" t="str">
        <f ca="1">IFERROR(__xludf.DUMMYFUNCTION("GOOGLETRANSLATE(B165,""ja"",""vi"")"),"thể thao")</f>
        <v>thể thao</v>
      </c>
      <c r="F165" s="3" t="str">
        <f ca="1">IFERROR(__xludf.DUMMYFUNCTION("GOOGLETRANSLATE(C165,""ja"",""vi"")"),"Đấu giá&gt; cổ, bộ sưu tập&gt; nắp chai&gt; Thể Thao")</f>
        <v>Đấu giá&gt; cổ, bộ sưu tập&gt; nắp chai&gt; Thể Thao</v>
      </c>
      <c r="G165" s="229" t="str">
        <f t="shared" ca="1" si="4"/>
        <v>"2084055389" : "thể thao",</v>
      </c>
      <c r="H165" s="229" t="str">
        <f t="shared" si="5"/>
        <v>&lt;li class="col-md-3"&gt;&lt;a class="text-cut" href="javascript:;"(click)="categoryEvent(2084055389)"&gt;{{"2084055389" | translate}}&lt;/a&gt;&lt;/li&gt;</v>
      </c>
    </row>
    <row r="166" spans="1:8" ht="14.25" customHeight="1">
      <c r="A166" s="2">
        <v>2084055392</v>
      </c>
      <c r="B166" s="2" t="s">
        <v>6061</v>
      </c>
      <c r="C166" s="2" t="s">
        <v>6062</v>
      </c>
      <c r="D166" s="2" t="s">
        <v>6063</v>
      </c>
      <c r="E166" s="3" t="str">
        <f ca="1">IFERROR(__xludf.DUMMYFUNCTION("GOOGLETRANSLATE(B166,""ja"",""vi"")"),"sinh vật")</f>
        <v>sinh vật</v>
      </c>
      <c r="F166" s="3" t="str">
        <f ca="1">IFERROR(__xludf.DUMMYFUNCTION("GOOGLETRANSLATE(C166,""ja"",""vi"")"),"Đấu giá&gt; cổ, bộ sưu tập&gt; nắp chai&gt; vật")</f>
        <v>Đấu giá&gt; cổ, bộ sưu tập&gt; nắp chai&gt; vật</v>
      </c>
      <c r="G166" s="229" t="str">
        <f t="shared" ca="1" si="4"/>
        <v>"2084055392" : "sinh vật",</v>
      </c>
      <c r="H166" s="229" t="str">
        <f t="shared" si="5"/>
        <v>&lt;li class="col-md-3"&gt;&lt;a class="text-cut" href="javascript:;"(click)="categoryEvent(2084055392)"&gt;{{"2084055392" | translate}}&lt;/a&gt;&lt;/li&gt;</v>
      </c>
    </row>
    <row r="167" spans="1:8" ht="14.25" customHeight="1">
      <c r="A167" s="2">
        <v>2084055391</v>
      </c>
      <c r="B167" s="2" t="s">
        <v>5688</v>
      </c>
      <c r="C167" s="2" t="s">
        <v>6067</v>
      </c>
      <c r="D167" s="2" t="s">
        <v>6068</v>
      </c>
      <c r="E167" s="3" t="str">
        <f ca="1">IFERROR(__xludf.DUMMYFUNCTION("GOOGLETRANSLATE(B167,""ja"",""vi"")"),"nhân vật")</f>
        <v>nhân vật</v>
      </c>
      <c r="F167" s="3" t="str">
        <f ca="1">IFERROR(__xludf.DUMMYFUNCTION("GOOGLETRANSLATE(C167,""ja"",""vi"")"),"Đấu giá&gt; cổ, bộ sưu tập&gt; nắp chai&gt; Character")</f>
        <v>Đấu giá&gt; cổ, bộ sưu tập&gt; nắp chai&gt; Character</v>
      </c>
      <c r="G167" s="229" t="str">
        <f t="shared" ca="1" si="4"/>
        <v>"2084055391" : "nhân vật",</v>
      </c>
      <c r="H167" s="229" t="str">
        <f t="shared" si="5"/>
        <v>&lt;li class="col-md-3"&gt;&lt;a class="text-cut" href="javascript:;"(click)="categoryEvent(2084055391)"&gt;{{"2084055391" | translate}}&lt;/a&gt;&lt;/li&gt;</v>
      </c>
    </row>
    <row r="168" spans="1:8" ht="14.25" customHeight="1">
      <c r="A168" s="2">
        <v>2084055393</v>
      </c>
      <c r="B168" s="2" t="s">
        <v>16</v>
      </c>
      <c r="C168" s="2" t="s">
        <v>6071</v>
      </c>
      <c r="D168" s="2" t="s">
        <v>6074</v>
      </c>
      <c r="E168" s="3" t="str">
        <f ca="1">IFERROR(__xludf.DUMMYFUNCTION("GOOGLETRANSLATE(B168,""ja"",""vi"")"),"nếu không thì")</f>
        <v>nếu không thì</v>
      </c>
      <c r="F168" s="3" t="str">
        <f ca="1">IFERROR(__xludf.DUMMYFUNCTION("GOOGLETRANSLATE(C168,""ja"",""vi"")"),"Đấu giá&gt; cổ, bộ sưu tập&gt; nắp chai&gt; Khác")</f>
        <v>Đấu giá&gt; cổ, bộ sưu tập&gt; nắp chai&gt; Khác</v>
      </c>
      <c r="G168" s="229" t="str">
        <f t="shared" ca="1" si="4"/>
        <v>"2084055393" : "nếu không thì",</v>
      </c>
      <c r="H168" s="229" t="str">
        <f t="shared" si="5"/>
        <v>&lt;li class="col-md-3"&gt;&lt;a class="text-cut" href="javascript:;"(click)="categoryEvent(2084055393)"&gt;{{"2084055393" | translate}}&lt;/a&gt;&lt;/li&gt;</v>
      </c>
    </row>
    <row r="169" spans="1:8" ht="14.25" customHeight="1">
      <c r="A169" s="116"/>
      <c r="B169" s="116"/>
      <c r="C169" s="116"/>
      <c r="D169" s="116"/>
      <c r="E169" s="3"/>
      <c r="F169" s="3"/>
      <c r="G169" s="229"/>
      <c r="H169" s="229"/>
    </row>
    <row r="170" spans="1:8" ht="14.25" customHeight="1">
      <c r="E170" s="3"/>
      <c r="F170" s="3"/>
      <c r="G170" s="229"/>
      <c r="H170" s="229"/>
    </row>
    <row r="171" spans="1:8" ht="14.25" customHeight="1">
      <c r="A171" s="272">
        <v>27856</v>
      </c>
      <c r="B171" s="232"/>
      <c r="C171" s="232"/>
      <c r="D171" s="233"/>
      <c r="E171" s="3"/>
      <c r="F171" s="3"/>
      <c r="G171" s="229"/>
      <c r="H171" s="229"/>
    </row>
    <row r="172" spans="1:8" ht="14.25" customHeight="1">
      <c r="A172" s="2">
        <v>2084050909</v>
      </c>
      <c r="B172" s="2" t="s">
        <v>770</v>
      </c>
      <c r="C172" s="2" t="s">
        <v>6090</v>
      </c>
      <c r="D172" s="2" t="s">
        <v>6092</v>
      </c>
      <c r="E172" s="3" t="str">
        <f ca="1">IFERROR(__xludf.DUMMYFUNCTION("GOOGLETRANSLATE(B172,""ja"",""vi"")"),"Truyện tranh, hoạt hình")</f>
        <v>Truyện tranh, hoạt hình</v>
      </c>
      <c r="F172" s="3" t="str">
        <f ca="1">IFERROR(__xludf.DUMMYFUNCTION("GOOGLETRANSLATE(C172,""ja"",""vi"")"),"Đấu giá&gt; cổ, bộ sưu tập dấu&gt;&gt; truyện tranh, hoạt hình")</f>
        <v>Đấu giá&gt; cổ, bộ sưu tập dấu&gt;&gt; truyện tranh, hoạt hình</v>
      </c>
      <c r="G172" s="229" t="str">
        <f t="shared" ca="1" si="4"/>
        <v>"2084050909" : "Truyện tranh, hoạt hình",</v>
      </c>
      <c r="H172" s="229" t="str">
        <f t="shared" si="5"/>
        <v>&lt;li class="col-md-3"&gt;&lt;a class="text-cut" href="javascript:;"(click)="categoryEvent(2084050909)"&gt;{{"2084050909" | translate}}&lt;/a&gt;&lt;/li&gt;</v>
      </c>
    </row>
    <row r="173" spans="1:8" ht="14.25" customHeight="1">
      <c r="A173" s="2">
        <v>25412</v>
      </c>
      <c r="B173" s="2" t="s">
        <v>6095</v>
      </c>
      <c r="C173" s="2" t="s">
        <v>6096</v>
      </c>
      <c r="D173" s="2" t="s">
        <v>6098</v>
      </c>
      <c r="E173" s="3" t="str">
        <f ca="1">IFERROR(__xludf.DUMMYFUNCTION("GOOGLETRANSLATE(B173,""ja"",""vi"")"),"bóng đá")</f>
        <v>bóng đá</v>
      </c>
      <c r="F173" s="3" t="str">
        <f ca="1">IFERROR(__xludf.DUMMYFUNCTION("GOOGLETRANSLATE(C173,""ja"",""vi"")"),"Đấu giá&gt; cổ, bộ sưu tập dấu&gt;&gt; Bóng đá")</f>
        <v>Đấu giá&gt; cổ, bộ sưu tập dấu&gt;&gt; Bóng đá</v>
      </c>
      <c r="G173" s="229" t="str">
        <f t="shared" ca="1" si="4"/>
        <v>"25412" : "bóng đá",</v>
      </c>
      <c r="H173" s="229" t="str">
        <f t="shared" si="5"/>
        <v>&lt;li class="col-md-3"&gt;&lt;a class="text-cut" href="javascript:;"(click)="categoryEvent(25412)"&gt;{{"25412" | translate}}&lt;/a&gt;&lt;/li&gt;</v>
      </c>
    </row>
    <row r="174" spans="1:8" ht="14.25" customHeight="1">
      <c r="A174" s="2">
        <v>25384</v>
      </c>
      <c r="B174" s="2" t="s">
        <v>6100</v>
      </c>
      <c r="C174" s="2" t="s">
        <v>6101</v>
      </c>
      <c r="D174" s="2" t="s">
        <v>6102</v>
      </c>
      <c r="E174" s="3" t="str">
        <f ca="1">IFERROR(__xludf.DUMMYFUNCTION("GOOGLETRANSLATE(B174,""ja"",""vi"")"),"Bóng rổ")</f>
        <v>Bóng rổ</v>
      </c>
      <c r="F174" s="3" t="str">
        <f ca="1">IFERROR(__xludf.DUMMYFUNCTION("GOOGLETRANSLATE(C174,""ja"",""vi"")"),"Đấu giá&gt; cổ, bộ sưu tập dấu&gt;&gt; Bóng rổ")</f>
        <v>Đấu giá&gt; cổ, bộ sưu tập dấu&gt;&gt; Bóng rổ</v>
      </c>
      <c r="G174" s="229" t="str">
        <f t="shared" ca="1" si="4"/>
        <v>"25384" : "Bóng rổ",</v>
      </c>
      <c r="H174" s="229" t="str">
        <f t="shared" si="5"/>
        <v>&lt;li class="col-md-3"&gt;&lt;a class="text-cut" href="javascript:;"(click)="categoryEvent(25384)"&gt;{{"25384" | translate}}&lt;/a&gt;&lt;/li&gt;</v>
      </c>
    </row>
    <row r="175" spans="1:8" ht="14.25" customHeight="1">
      <c r="A175" s="2">
        <v>2084005082</v>
      </c>
      <c r="B175" s="2" t="s">
        <v>13</v>
      </c>
      <c r="C175" s="2" t="s">
        <v>6105</v>
      </c>
      <c r="D175" s="2" t="s">
        <v>6107</v>
      </c>
      <c r="E175" s="3" t="str">
        <f ca="1">IFERROR(__xludf.DUMMYFUNCTION("GOOGLETRANSLATE(B175,""ja"",""vi"")"),"nhạc sĩ")</f>
        <v>nhạc sĩ</v>
      </c>
      <c r="F175" s="3" t="str">
        <f ca="1">IFERROR(__xludf.DUMMYFUNCTION("GOOGLETRANSLATE(C175,""ja"",""vi"")"),"Đấu giá&gt; cổ, bộ sưu tập dấu&gt;&gt; nhạc sĩ")</f>
        <v>Đấu giá&gt; cổ, bộ sưu tập dấu&gt;&gt; nhạc sĩ</v>
      </c>
      <c r="G175" s="229" t="str">
        <f t="shared" ca="1" si="4"/>
        <v>"2084005082" : "nhạc sĩ",</v>
      </c>
      <c r="H175" s="229" t="str">
        <f t="shared" si="5"/>
        <v>&lt;li class="col-md-3"&gt;&lt;a class="text-cut" href="javascript:;"(click)="categoryEvent(2084005082)"&gt;{{"2084005082" | translate}}&lt;/a&gt;&lt;/li&gt;</v>
      </c>
    </row>
    <row r="176" spans="1:8" ht="14.25" customHeight="1">
      <c r="A176" s="2">
        <v>22128</v>
      </c>
      <c r="B176" s="2" t="s">
        <v>837</v>
      </c>
      <c r="C176" s="2" t="s">
        <v>6111</v>
      </c>
      <c r="D176" s="2" t="s">
        <v>6113</v>
      </c>
      <c r="E176" s="3" t="str">
        <f ca="1">IFERROR(__xludf.DUMMYFUNCTION("GOOGLETRANSLATE(B176,""ja"",""vi"")"),"phim")</f>
        <v>phim</v>
      </c>
      <c r="F176" s="3" t="str">
        <f ca="1">IFERROR(__xludf.DUMMYFUNCTION("GOOGLETRANSLATE(C176,""ja"",""vi"")"),"Đấu giá&gt; cổ, bộ sưu tập dấu&gt;&gt; Phim")</f>
        <v>Đấu giá&gt; cổ, bộ sưu tập dấu&gt;&gt; Phim</v>
      </c>
      <c r="G176" s="229" t="str">
        <f t="shared" ca="1" si="4"/>
        <v>"22128" : "phim",</v>
      </c>
      <c r="H176" s="229" t="str">
        <f t="shared" si="5"/>
        <v>&lt;li class="col-md-3"&gt;&lt;a class="text-cut" href="javascript:;"(click)="categoryEvent(22128)"&gt;{{"22128" | translate}}&lt;/a&gt;&lt;/li&gt;</v>
      </c>
    </row>
    <row r="177" spans="1:8" ht="14.25" customHeight="1">
      <c r="A177" s="2">
        <v>2084046289</v>
      </c>
      <c r="B177" s="2" t="s">
        <v>6117</v>
      </c>
      <c r="C177" s="2" t="s">
        <v>6118</v>
      </c>
      <c r="D177" s="2" t="s">
        <v>6119</v>
      </c>
      <c r="E177" s="3" t="str">
        <f ca="1">IFERROR(__xludf.DUMMYFUNCTION("GOOGLETRANSLATE(B177,""ja"",""vi"")"),"Võ thuật, Wrestling")</f>
        <v>Võ thuật, Wrestling</v>
      </c>
      <c r="F177" s="3" t="str">
        <f ca="1">IFERROR(__xludf.DUMMYFUNCTION("GOOGLETRANSLATE(C177,""ja"",""vi"")"),"Đấu giá&gt; cổ, bộ sưu tập dấu&gt;&gt; Võ thuật, Vật")</f>
        <v>Đấu giá&gt; cổ, bộ sưu tập dấu&gt;&gt; Võ thuật, Vật</v>
      </c>
      <c r="G177" s="229" t="str">
        <f t="shared" ca="1" si="4"/>
        <v>"2084046289" : "Võ thuật, Wrestling",</v>
      </c>
      <c r="H177" s="229" t="str">
        <f t="shared" si="5"/>
        <v>&lt;li class="col-md-3"&gt;&lt;a class="text-cut" href="javascript:;"(click)="categoryEvent(2084046289)"&gt;{{"2084046289" | translate}}&lt;/a&gt;&lt;/li&gt;</v>
      </c>
    </row>
    <row r="178" spans="1:8" ht="14.25" customHeight="1">
      <c r="A178" s="2">
        <v>2084047075</v>
      </c>
      <c r="B178" s="2" t="s">
        <v>819</v>
      </c>
      <c r="C178" s="2" t="s">
        <v>6122</v>
      </c>
      <c r="D178" s="2" t="s">
        <v>6124</v>
      </c>
      <c r="E178" s="3" t="str">
        <f ca="1">IFERROR(__xludf.DUMMYFUNCTION("GOOGLETRANSLATE(B178,""ja"",""vi"")"),"Giải trí, tài năng")</f>
        <v>Giải trí, tài năng</v>
      </c>
      <c r="F178" s="3" t="str">
        <f ca="1">IFERROR(__xludf.DUMMYFUNCTION("GOOGLETRANSLATE(C178,""ja"",""vi"")"),"Đấu giá&gt; cổ, bộ sưu tập dấu&gt;&gt; giải trí, tài năng")</f>
        <v>Đấu giá&gt; cổ, bộ sưu tập dấu&gt;&gt; giải trí, tài năng</v>
      </c>
      <c r="G178" s="229" t="str">
        <f t="shared" ca="1" si="4"/>
        <v>"2084047075" : "Giải trí, tài năng",</v>
      </c>
      <c r="H178" s="229" t="str">
        <f t="shared" si="5"/>
        <v>&lt;li class="col-md-3"&gt;&lt;a class="text-cut" href="javascript:;"(click)="categoryEvent(2084047075)"&gt;{{"2084047075" | translate}}&lt;/a&gt;&lt;/li&gt;</v>
      </c>
    </row>
    <row r="179" spans="1:8" ht="14.25" customHeight="1">
      <c r="A179" s="2">
        <v>25376</v>
      </c>
      <c r="B179" s="2" t="s">
        <v>6129</v>
      </c>
      <c r="C179" s="2" t="s">
        <v>6132</v>
      </c>
      <c r="D179" s="2" t="s">
        <v>6135</v>
      </c>
      <c r="E179" s="3" t="str">
        <f ca="1">IFERROR(__xludf.DUMMYFUNCTION("GOOGLETRANSLATE(B179,""ja"",""vi"")"),"Bóng chày")</f>
        <v>Bóng chày</v>
      </c>
      <c r="F179" s="3" t="str">
        <f ca="1">IFERROR(__xludf.DUMMYFUNCTION("GOOGLETRANSLATE(C179,""ja"",""vi"")"),"Đấu giá&gt; cổ, bộ sưu tập dấu&gt;&gt; bóng chày")</f>
        <v>Đấu giá&gt; cổ, bộ sưu tập dấu&gt;&gt; bóng chày</v>
      </c>
      <c r="G179" s="229" t="str">
        <f t="shared" ca="1" si="4"/>
        <v>"25376" : "Bóng chày",</v>
      </c>
      <c r="H179" s="229" t="str">
        <f t="shared" si="5"/>
        <v>&lt;li class="col-md-3"&gt;&lt;a class="text-cut" href="javascript:;"(click)="categoryEvent(25376)"&gt;{{"25376" | translate}}&lt;/a&gt;&lt;/li&gt;</v>
      </c>
    </row>
    <row r="180" spans="1:8" ht="14.25" customHeight="1">
      <c r="A180" s="2">
        <v>2084005084</v>
      </c>
      <c r="B180" s="2" t="s">
        <v>16</v>
      </c>
      <c r="C180" s="2" t="s">
        <v>6140</v>
      </c>
      <c r="D180" s="2" t="s">
        <v>6141</v>
      </c>
      <c r="E180" s="3" t="str">
        <f ca="1">IFERROR(__xludf.DUMMYFUNCTION("GOOGLETRANSLATE(B180,""ja"",""vi"")"),"nếu không thì")</f>
        <v>nếu không thì</v>
      </c>
      <c r="F180" s="3" t="str">
        <f ca="1">IFERROR(__xludf.DUMMYFUNCTION("GOOGLETRANSLATE(C180,""ja"",""vi"")"),"Đấu giá&gt; cổ, bộ sưu tập dấu&gt;&gt; Khác")</f>
        <v>Đấu giá&gt; cổ, bộ sưu tập dấu&gt;&gt; Khác</v>
      </c>
      <c r="G180" s="229" t="str">
        <f t="shared" ca="1" si="4"/>
        <v>"2084005084" : "nếu không thì",</v>
      </c>
      <c r="H180" s="229" t="str">
        <f t="shared" si="5"/>
        <v>&lt;li class="col-md-3"&gt;&lt;a class="text-cut" href="javascript:;"(click)="categoryEvent(2084005084)"&gt;{{"2084005084" | translate}}&lt;/a&gt;&lt;/li&gt;</v>
      </c>
    </row>
    <row r="181" spans="1:8" ht="14.25" customHeight="1">
      <c r="E181" s="3"/>
      <c r="F181" s="3"/>
      <c r="G181" s="229"/>
      <c r="H181" s="229"/>
    </row>
    <row r="182" spans="1:8" ht="14.25" customHeight="1">
      <c r="A182" s="244">
        <v>21152</v>
      </c>
      <c r="B182" s="232"/>
      <c r="C182" s="232"/>
      <c r="D182" s="233"/>
      <c r="E182" s="3"/>
      <c r="F182" s="3"/>
      <c r="G182" s="229"/>
      <c r="H182" s="229"/>
    </row>
    <row r="183" spans="1:8" ht="14.25" customHeight="1">
      <c r="A183" s="2">
        <v>25972</v>
      </c>
      <c r="B183" s="2" t="s">
        <v>6145</v>
      </c>
      <c r="C183" s="2" t="s">
        <v>6148</v>
      </c>
      <c r="D183" s="2" t="s">
        <v>6149</v>
      </c>
      <c r="E183" s="3" t="str">
        <f ca="1">IFERROR(__xludf.DUMMYFUNCTION("GOOGLETRANSLATE(B183,""ja"",""vi"")"),"Pez")</f>
        <v>Pez</v>
      </c>
      <c r="F183" s="3" t="str">
        <f ca="1">IFERROR(__xludf.DUMMYFUNCTION("GOOGLETRANSLATE(C183,""ja"",""vi"")"),"Đấu giá&gt; cổ, bộ sưu tập&gt; hàng linh tinh&gt; Pez")</f>
        <v>Đấu giá&gt; cổ, bộ sưu tập&gt; hàng linh tinh&gt; Pez</v>
      </c>
      <c r="G183" s="229" t="str">
        <f t="shared" ca="1" si="4"/>
        <v>"25972" : "Pez",</v>
      </c>
      <c r="H183" s="229" t="str">
        <f t="shared" si="5"/>
        <v>&lt;li class="col-md-3"&gt;&lt;a class="text-cut" href="javascript:;"(click)="categoryEvent(25972)"&gt;{{"25972" | translate}}&lt;/a&gt;&lt;/li&gt;</v>
      </c>
    </row>
    <row r="184" spans="1:8" ht="14.25" customHeight="1">
      <c r="A184" s="2">
        <v>2084047372</v>
      </c>
      <c r="B184" s="2" t="s">
        <v>6150</v>
      </c>
      <c r="C184" s="2" t="s">
        <v>6151</v>
      </c>
      <c r="D184" s="2" t="s">
        <v>6152</v>
      </c>
      <c r="E184" s="3" t="str">
        <f ca="1">IFERROR(__xludf.DUMMYFUNCTION("GOOGLETRANSLATE(B184,""ja"",""vi"")"),"music Box")</f>
        <v>music Box</v>
      </c>
      <c r="F184" s="3" t="str">
        <f ca="1">IFERROR(__xludf.DUMMYFUNCTION("GOOGLETRANSLATE(C184,""ja"",""vi"")"),"Đấu giá&gt; cổ, bộ sưu tập&gt; hàng linh tinh&gt; Music Box")</f>
        <v>Đấu giá&gt; cổ, bộ sưu tập&gt; hàng linh tinh&gt; Music Box</v>
      </c>
      <c r="G184" s="229" t="str">
        <f t="shared" ca="1" si="4"/>
        <v>"2084047372" : "music Box",</v>
      </c>
      <c r="H184" s="229" t="str">
        <f t="shared" si="5"/>
        <v>&lt;li class="col-md-3"&gt;&lt;a class="text-cut" href="javascript:;"(click)="categoryEvent(2084047372)"&gt;{{"2084047372" | translate}}&lt;/a&gt;&lt;/li&gt;</v>
      </c>
    </row>
    <row r="185" spans="1:8" ht="14.25" customHeight="1">
      <c r="A185" s="2">
        <v>40427</v>
      </c>
      <c r="B185" s="2" t="s">
        <v>306</v>
      </c>
      <c r="C185" s="2" t="s">
        <v>6156</v>
      </c>
      <c r="D185" s="2" t="s">
        <v>6158</v>
      </c>
      <c r="E185" s="3" t="str">
        <f ca="1">IFERROR(__xludf.DUMMYFUNCTION("GOOGLETRANSLATE(B185,""ja"",""vi"")"),"key Chains")</f>
        <v>key Chains</v>
      </c>
      <c r="F185" s="3" t="str">
        <f ca="1">IFERROR(__xludf.DUMMYFUNCTION("GOOGLETRANSLATE(C185,""ja"",""vi"")"),"Đấu giá&gt; cổ, bộ sưu tập&gt; hàng linh tinh&gt; móc chìa khóa")</f>
        <v>Đấu giá&gt; cổ, bộ sưu tập&gt; hàng linh tinh&gt; móc chìa khóa</v>
      </c>
      <c r="G185" s="229" t="str">
        <f t="shared" ca="1" si="4"/>
        <v>"40427" : "key Chains",</v>
      </c>
      <c r="H185" s="229" t="str">
        <f t="shared" si="5"/>
        <v>&lt;li class="col-md-3"&gt;&lt;a class="text-cut" href="javascript:;"(click)="categoryEvent(40427)"&gt;{{"40427" | translate}}&lt;/a&gt;&lt;/li&gt;</v>
      </c>
    </row>
    <row r="186" spans="1:8" ht="14.25" customHeight="1">
      <c r="A186" s="2">
        <v>26066</v>
      </c>
      <c r="B186" s="2" t="s">
        <v>329</v>
      </c>
      <c r="C186" s="2" t="s">
        <v>6161</v>
      </c>
      <c r="D186" s="2" t="s">
        <v>6162</v>
      </c>
      <c r="E186" s="3" t="str">
        <f ca="1">IFERROR(__xludf.DUMMYFUNCTION("GOOGLETRANSLATE(B186,""ja"",""vi"")"),"keo")</f>
        <v>keo</v>
      </c>
      <c r="F186" s="3" t="str">
        <f ca="1">IFERROR(__xludf.DUMMYFUNCTION("GOOGLETRANSLATE(C186,""ja"",""vi"")"),"Đấu giá&gt; cổ, bộ sưu tập&gt; hàng linh tinh&gt; sticker")</f>
        <v>Đấu giá&gt; cổ, bộ sưu tập&gt; hàng linh tinh&gt; sticker</v>
      </c>
      <c r="G186" s="229" t="str">
        <f t="shared" ca="1" si="4"/>
        <v>"26066" : "keo",</v>
      </c>
      <c r="H186" s="229" t="str">
        <f t="shared" si="5"/>
        <v>&lt;li class="col-md-3"&gt;&lt;a class="text-cut" href="javascript:;"(click)="categoryEvent(26066)"&gt;{{"26066" | translate}}&lt;/a&gt;&lt;/li&gt;</v>
      </c>
    </row>
    <row r="187" spans="1:8" ht="14.25" customHeight="1">
      <c r="A187" s="2">
        <v>26048</v>
      </c>
      <c r="B187" s="2" t="s">
        <v>6165</v>
      </c>
      <c r="C187" s="2" t="s">
        <v>6166</v>
      </c>
      <c r="D187" s="2" t="s">
        <v>6167</v>
      </c>
      <c r="E187" s="3" t="str">
        <f ca="1">IFERROR(__xludf.DUMMYFUNCTION("GOOGLETRANSLATE(B187,""ja"",""vi"")"),"tuyết Globe")</f>
        <v>tuyết Globe</v>
      </c>
      <c r="F187" s="3" t="str">
        <f ca="1">IFERROR(__xludf.DUMMYFUNCTION("GOOGLETRANSLATE(C187,""ja"",""vi"")"),"Đấu giá&gt; cổ, bộ sưu tập&gt; hàng linh tinh&gt; tuyết mái vòm")</f>
        <v>Đấu giá&gt; cổ, bộ sưu tập&gt; hàng linh tinh&gt; tuyết mái vòm</v>
      </c>
      <c r="G187" s="229" t="str">
        <f t="shared" ca="1" si="4"/>
        <v>"26048" : "tuyết Globe",</v>
      </c>
      <c r="H187" s="229" t="str">
        <f t="shared" si="5"/>
        <v>&lt;li class="col-md-3"&gt;&lt;a class="text-cut" href="javascript:;"(click)="categoryEvent(26048)"&gt;{{"26048" | translate}}&lt;/a&gt;&lt;/li&gt;</v>
      </c>
    </row>
    <row r="188" spans="1:8" ht="14.25" customHeight="1">
      <c r="A188" s="2">
        <v>23968</v>
      </c>
      <c r="B188" s="2" t="s">
        <v>389</v>
      </c>
      <c r="C188" s="2" t="s">
        <v>6168</v>
      </c>
      <c r="D188" s="2" t="s">
        <v>6169</v>
      </c>
      <c r="E188" s="3" t="str">
        <f ca="1">IFERROR(__xludf.DUMMYFUNCTION("GOOGLETRANSLATE(B188,""ja"",""vi"")"),"thẻ điện thoại")</f>
        <v>thẻ điện thoại</v>
      </c>
      <c r="F188" s="3" t="str">
        <f ca="1">IFERROR(__xludf.DUMMYFUNCTION("GOOGLETRANSLATE(C188,""ja"",""vi"")"),"Đấu giá&gt; cổ, bộ sưu tập&gt; hàng linh tinh&gt; Thẻ điện thoại")</f>
        <v>Đấu giá&gt; cổ, bộ sưu tập&gt; hàng linh tinh&gt; Thẻ điện thoại</v>
      </c>
      <c r="G188" s="229" t="str">
        <f t="shared" ca="1" si="4"/>
        <v>"23968" : "thẻ điện thoại",</v>
      </c>
      <c r="H188" s="229" t="str">
        <f t="shared" si="5"/>
        <v>&lt;li class="col-md-3"&gt;&lt;a class="text-cut" href="javascript:;"(click)="categoryEvent(23968)"&gt;{{"23968" | translate}}&lt;/a&gt;&lt;/li&gt;</v>
      </c>
    </row>
    <row r="189" spans="1:8" ht="14.25" customHeight="1">
      <c r="A189" s="2">
        <v>2084058450</v>
      </c>
      <c r="B189" s="2" t="s">
        <v>6170</v>
      </c>
      <c r="C189" s="2" t="s">
        <v>6171</v>
      </c>
      <c r="D189" s="2" t="s">
        <v>6173</v>
      </c>
      <c r="E189" s="3" t="str">
        <f ca="1">IFERROR(__xludf.DUMMYFUNCTION("GOOGLETRANSLATE(B189,""ja"",""vi"")"),"Pyrex")</f>
        <v>Pyrex</v>
      </c>
      <c r="F189" s="3" t="str">
        <f ca="1">IFERROR(__xludf.DUMMYFUNCTION("GOOGLETRANSLATE(C189,""ja"",""vi"")"),"Đấu giá&gt; cổ, bộ sưu tập&gt; hàng linh tinh&gt; Pyrex")</f>
        <v>Đấu giá&gt; cổ, bộ sưu tập&gt; hàng linh tinh&gt; Pyrex</v>
      </c>
      <c r="G189" s="229" t="str">
        <f t="shared" ca="1" si="4"/>
        <v>"2084058450" : "Pyrex",</v>
      </c>
      <c r="H189" s="229" t="str">
        <f t="shared" si="5"/>
        <v>&lt;li class="col-md-3"&gt;&lt;a class="text-cut" href="javascript:;"(click)="categoryEvent(2084058450)"&gt;{{"2084058450" | translate}}&lt;/a&gt;&lt;/li&gt;</v>
      </c>
    </row>
    <row r="190" spans="1:8" ht="14.25" customHeight="1">
      <c r="A190" s="2">
        <v>2084312400</v>
      </c>
      <c r="B190" s="2" t="s">
        <v>5968</v>
      </c>
      <c r="C190" s="2" t="s">
        <v>6177</v>
      </c>
      <c r="D190" s="2" t="s">
        <v>6178</v>
      </c>
      <c r="E190" s="3" t="str">
        <f ca="1">IFERROR(__xludf.DUMMYFUNCTION("GOOGLETRANSLATE(B190,""ja"",""vi"")"),"pin Badge")</f>
        <v>pin Badge</v>
      </c>
      <c r="F190" s="3" t="str">
        <f ca="1">IFERROR(__xludf.DUMMYFUNCTION("GOOGLETRANSLATE(C190,""ja"",""vi"")"),"Đấu giá&gt; cổ, bộ sưu tập&gt; hàng linh tinh&gt; Pin Badge")</f>
        <v>Đấu giá&gt; cổ, bộ sưu tập&gt; hàng linh tinh&gt; Pin Badge</v>
      </c>
      <c r="G190" s="229" t="str">
        <f t="shared" ca="1" si="4"/>
        <v>"2084312400" : "pin Badge",</v>
      </c>
      <c r="H190" s="229" t="str">
        <f t="shared" si="5"/>
        <v>&lt;li class="col-md-3"&gt;&lt;a class="text-cut" href="javascript:;"(click)="categoryEvent(2084312400)"&gt;{{"2084312400" | translate}}&lt;/a&gt;&lt;/li&gt;</v>
      </c>
    </row>
    <row r="191" spans="1:8" ht="14.25" customHeight="1">
      <c r="A191" s="2">
        <v>2084058449</v>
      </c>
      <c r="B191" s="2" t="s">
        <v>6180</v>
      </c>
      <c r="C191" s="2" t="s">
        <v>6181</v>
      </c>
      <c r="D191" s="2" t="s">
        <v>6183</v>
      </c>
      <c r="E191" s="3" t="str">
        <f ca="1">IFERROR(__xludf.DUMMYFUNCTION("GOOGLETRANSLATE(B191,""ja"",""vi"")"),"lửa")</f>
        <v>lửa</v>
      </c>
      <c r="F191" s="3" t="str">
        <f ca="1">IFERROR(__xludf.DUMMYFUNCTION("GOOGLETRANSLATE(C191,""ja"",""vi"")"),"Đấu giá&gt; cổ, bộ sưu tập&gt; hàng linh tinh&gt; cháy Vua")</f>
        <v>Đấu giá&gt; cổ, bộ sưu tập&gt; hàng linh tinh&gt; cháy Vua</v>
      </c>
      <c r="G191" s="229" t="str">
        <f t="shared" ca="1" si="4"/>
        <v>"2084058449" : "lửa",</v>
      </c>
      <c r="H191" s="229" t="str">
        <f t="shared" si="5"/>
        <v>&lt;li class="col-md-3"&gt;&lt;a class="text-cut" href="javascript:;"(click)="categoryEvent(2084058449)"&gt;{{"2084058449" | translate}}&lt;/a&gt;&lt;/li&gt;</v>
      </c>
    </row>
    <row r="192" spans="1:8" ht="14.25" customHeight="1">
      <c r="A192" s="2">
        <v>20392</v>
      </c>
      <c r="B192" s="2" t="s">
        <v>6186</v>
      </c>
      <c r="C192" s="2" t="s">
        <v>6188</v>
      </c>
      <c r="D192" s="2" t="s">
        <v>6189</v>
      </c>
      <c r="E192" s="3" t="str">
        <f ca="1">IFERROR(__xludf.DUMMYFUNCTION("GOOGLETRANSLATE(B192,""ja"",""vi"")"),"Matchbox")</f>
        <v>Matchbox</v>
      </c>
      <c r="F192" s="3" t="str">
        <f ca="1">IFERROR(__xludf.DUMMYFUNCTION("GOOGLETRANSLATE(C192,""ja"",""vi"")"),"Đấu giá&gt; cổ, bộ sưu tập&gt; hàng linh tinh&gt; bao diêm")</f>
        <v>Đấu giá&gt; cổ, bộ sưu tập&gt; hàng linh tinh&gt; bao diêm</v>
      </c>
      <c r="G192" s="229" t="str">
        <f t="shared" ca="1" si="4"/>
        <v>"20392" : "Matchbox",</v>
      </c>
      <c r="H192" s="229" t="str">
        <f t="shared" si="5"/>
        <v>&lt;li class="col-md-3"&gt;&lt;a class="text-cut" href="javascript:;"(click)="categoryEvent(20392)"&gt;{{"20392" | translate}}&lt;/a&gt;&lt;/li&gt;</v>
      </c>
    </row>
    <row r="193" spans="1:8" ht="14.25" customHeight="1">
      <c r="A193" s="2">
        <v>2084236067</v>
      </c>
      <c r="B193" s="2" t="s">
        <v>5018</v>
      </c>
      <c r="C193" s="2" t="s">
        <v>6194</v>
      </c>
      <c r="D193" s="2" t="s">
        <v>6196</v>
      </c>
      <c r="E193" s="3" t="str">
        <f ca="1">IFERROR(__xludf.DUMMYFUNCTION("GOOGLETRANSLATE(B193,""ja"",""vi"")"),"bàn ghế")</f>
        <v>bàn ghế</v>
      </c>
      <c r="F193" s="3" t="str">
        <f ca="1">IFERROR(__xludf.DUMMYFUNCTION("GOOGLETRANSLATE(C193,""ja"",""vi"")"),"Đấu giá&gt; cổ, bộ sưu tập&gt; hàng linh tinh&gt; Nội thất")</f>
        <v>Đấu giá&gt; cổ, bộ sưu tập&gt; hàng linh tinh&gt; Nội thất</v>
      </c>
      <c r="G193" s="229" t="str">
        <f t="shared" ca="1" si="4"/>
        <v>"2084236067" : "bàn ghế",</v>
      </c>
      <c r="H193" s="229" t="str">
        <f t="shared" si="5"/>
        <v>&lt;li class="col-md-3"&gt;&lt;a class="text-cut" href="javascript:;"(click)="categoryEvent(2084236067)"&gt;{{"2084236067" | translate}}&lt;/a&gt;&lt;/li&gt;</v>
      </c>
    </row>
    <row r="194" spans="1:8" ht="14.25" customHeight="1">
      <c r="A194" s="2">
        <v>20988</v>
      </c>
      <c r="B194" s="2" t="s">
        <v>6199</v>
      </c>
      <c r="C194" s="2" t="s">
        <v>6200</v>
      </c>
      <c r="D194" s="2" t="s">
        <v>6202</v>
      </c>
      <c r="E194" s="3" t="str">
        <f ca="1">IFERROR(__xludf.DUMMYFUNCTION("GOOGLETRANSLATE(B194,""ja"",""vi"")"),"ảnh bưu thiếp")</f>
        <v>ảnh bưu thiếp</v>
      </c>
      <c r="F194" s="3" t="str">
        <f ca="1">IFERROR(__xludf.DUMMYFUNCTION("GOOGLETRANSLATE(C194,""ja"",""vi"")"),"Đấu giá&gt; cổ, bộ sưu tập&gt; hàng linh tinh&gt; bưu thiếp")</f>
        <v>Đấu giá&gt; cổ, bộ sưu tập&gt; hàng linh tinh&gt; bưu thiếp</v>
      </c>
      <c r="G194" s="229" t="str">
        <f t="shared" ca="1" si="4"/>
        <v>"20988" : "ảnh bưu thiếp",</v>
      </c>
      <c r="H194" s="229" t="str">
        <f t="shared" si="5"/>
        <v>&lt;li class="col-md-3"&gt;&lt;a class="text-cut" href="javascript:;"(click)="categoryEvent(20988)"&gt;{{"20988" | translate}}&lt;/a&gt;&lt;/li&gt;</v>
      </c>
    </row>
    <row r="195" spans="1:8" ht="14.25" customHeight="1">
      <c r="A195" s="2">
        <v>26126</v>
      </c>
      <c r="B195" s="2" t="s">
        <v>6204</v>
      </c>
      <c r="C195" s="2" t="s">
        <v>6205</v>
      </c>
      <c r="D195" s="2" t="s">
        <v>6206</v>
      </c>
      <c r="E195" s="3" t="str">
        <f ca="1">IFERROR(__xludf.DUMMYFUNCTION("GOOGLETRANSLATE(B195,""ja"",""vi"")"),"Hàng hóa hút thuốc")</f>
        <v>Hàng hóa hút thuốc</v>
      </c>
      <c r="F195" s="3" t="str">
        <f ca="1">IFERROR(__xludf.DUMMYFUNCTION("GOOGLETRANSLATE(C195,""ja"",""vi"")"),"Đấu giá&gt; cổ, bộ sưu tập&gt; hàng linh tinh&gt; hàng hút thuốc")</f>
        <v>Đấu giá&gt; cổ, bộ sưu tập&gt; hàng linh tinh&gt; hàng hút thuốc</v>
      </c>
      <c r="G195" s="229" t="str">
        <f t="shared" ref="G195:G258" ca="1" si="6">CONCATENATE(CHAR(34)&amp;"",A195,""&amp;CHAR(34)," : ", CHAR(34)&amp;"",E195,""&amp;CHAR(34),",")</f>
        <v>"26126" : "Hàng hóa hút thuốc",</v>
      </c>
      <c r="H195" s="229" t="str">
        <f t="shared" ref="H195:H258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href="javascript:;"(click)="categoryEvent(26126)"&gt;{{"26126" | translate}}&lt;/a&gt;&lt;/li&gt;</v>
      </c>
    </row>
    <row r="196" spans="1:8" ht="14.25" customHeight="1">
      <c r="A196" s="2">
        <v>40565</v>
      </c>
      <c r="B196" s="2" t="s">
        <v>6209</v>
      </c>
      <c r="C196" s="2" t="s">
        <v>6211</v>
      </c>
      <c r="D196" s="2" t="s">
        <v>6212</v>
      </c>
      <c r="E196" s="3" t="str">
        <f ca="1">IFERROR(__xludf.DUMMYFUNCTION("GOOGLETRANSLATE(B196,""ja"",""vi"")"),"Cảnh sát Hàng")</f>
        <v>Cảnh sát Hàng</v>
      </c>
      <c r="F196" s="3" t="str">
        <f ca="1">IFERROR(__xludf.DUMMYFUNCTION("GOOGLETRANSLATE(C196,""ja"",""vi"")"),"Đấu giá&gt; cổ, bộ sưu tập&gt; hàng linh tinh&gt; hàng cảnh sát")</f>
        <v>Đấu giá&gt; cổ, bộ sưu tập&gt; hàng linh tinh&gt; hàng cảnh sát</v>
      </c>
      <c r="G196" s="229" t="str">
        <f t="shared" ca="1" si="6"/>
        <v>"40565" : "Cảnh sát Hàng",</v>
      </c>
      <c r="H196" s="229" t="str">
        <f t="shared" si="7"/>
        <v>&lt;li class="col-md-3"&gt;&lt;a class="text-cut" href="javascript:;"(click)="categoryEvent(40565)"&gt;{{"40565" | translate}}&lt;/a&gt;&lt;/li&gt;</v>
      </c>
    </row>
    <row r="197" spans="1:8" ht="14.25" customHeight="1">
      <c r="A197" s="2">
        <v>2084261100</v>
      </c>
      <c r="B197" s="2" t="s">
        <v>5033</v>
      </c>
      <c r="C197" s="2" t="s">
        <v>6213</v>
      </c>
      <c r="D197" s="2" t="s">
        <v>6214</v>
      </c>
      <c r="E197" s="3" t="str">
        <f ca="1">IFERROR(__xludf.DUMMYFUNCTION("GOOGLETRANSLATE(B197,""ja"",""vi"")"),"bàn ghế")</f>
        <v>bàn ghế</v>
      </c>
      <c r="F197" s="3" t="str">
        <f ca="1">IFERROR(__xludf.DUMMYFUNCTION("GOOGLETRANSLATE(C197,""ja"",""vi"")"),"Đấu giá&gt; cổ, bộ sưu tập&gt; hàng linh tinh&gt; mộc")</f>
        <v>Đấu giá&gt; cổ, bộ sưu tập&gt; hàng linh tinh&gt; mộc</v>
      </c>
      <c r="G197" s="229" t="str">
        <f t="shared" ca="1" si="6"/>
        <v>"2084261100" : "bàn ghế",</v>
      </c>
      <c r="H197" s="229" t="str">
        <f t="shared" si="7"/>
        <v>&lt;li class="col-md-3"&gt;&lt;a class="text-cut" href="javascript:;"(click)="categoryEvent(2084261100)"&gt;{{"2084261100" | translate}}&lt;/a&gt;&lt;/li&gt;</v>
      </c>
    </row>
    <row r="198" spans="1:8" ht="14.25" customHeight="1">
      <c r="A198" s="2">
        <v>20356</v>
      </c>
      <c r="B198" s="2" t="s">
        <v>6217</v>
      </c>
      <c r="C198" s="2" t="s">
        <v>6218</v>
      </c>
      <c r="D198" s="2" t="s">
        <v>6219</v>
      </c>
      <c r="E198" s="3" t="str">
        <f ca="1">IFERROR(__xludf.DUMMYFUNCTION("GOOGLETRANSLATE(B198,""ja"",""vi"")"),"nam châm")</f>
        <v>nam châm</v>
      </c>
      <c r="F198" s="3" t="str">
        <f ca="1">IFERROR(__xludf.DUMMYFUNCTION("GOOGLETRANSLATE(C198,""ja"",""vi"")"),"Đấu giá&gt; cổ, bộ sưu tập&gt; hàng linh tinh&gt; nam châm")</f>
        <v>Đấu giá&gt; cổ, bộ sưu tập&gt; hàng linh tinh&gt; nam châm</v>
      </c>
      <c r="G198" s="229" t="str">
        <f t="shared" ca="1" si="6"/>
        <v>"20356" : "nam châm",</v>
      </c>
      <c r="H198" s="229" t="str">
        <f t="shared" si="7"/>
        <v>&lt;li class="col-md-3"&gt;&lt;a class="text-cut" href="javascript:;"(click)="categoryEvent(20356)"&gt;{{"20356" | translate}}&lt;/a&gt;&lt;/li&gt;</v>
      </c>
    </row>
    <row r="199" spans="1:8" ht="14.25" customHeight="1">
      <c r="A199" s="2">
        <v>26014</v>
      </c>
      <c r="B199" s="2" t="s">
        <v>6221</v>
      </c>
      <c r="C199" s="2" t="s">
        <v>6222</v>
      </c>
      <c r="D199" s="2" t="s">
        <v>6224</v>
      </c>
      <c r="E199" s="3" t="str">
        <f ca="1">IFERROR(__xludf.DUMMYFUNCTION("GOOGLETRANSLATE(B199,""ja"",""vi"")"),"hộp tiết kiệm")</f>
        <v>hộp tiết kiệm</v>
      </c>
      <c r="F199" s="3" t="str">
        <f ca="1">IFERROR(__xludf.DUMMYFUNCTION("GOOGLETRANSLATE(C199,""ja"",""vi"")"),"Đấu giá&gt; cổ, bộ sưu tập&gt; hàng linh tinh&gt; con heo đất")</f>
        <v>Đấu giá&gt; cổ, bộ sưu tập&gt; hàng linh tinh&gt; con heo đất</v>
      </c>
      <c r="G199" s="229" t="str">
        <f t="shared" ca="1" si="6"/>
        <v>"26014" : "hộp tiết kiệm",</v>
      </c>
      <c r="H199" s="229" t="str">
        <f t="shared" si="7"/>
        <v>&lt;li class="col-md-3"&gt;&lt;a class="text-cut" href="javascript:;"(click)="categoryEvent(26014)"&gt;{{"26014" | translate}}&lt;/a&gt;&lt;/li&gt;</v>
      </c>
    </row>
    <row r="200" spans="1:8" ht="14.25" customHeight="1">
      <c r="A200" s="2">
        <v>2084263156</v>
      </c>
      <c r="B200" s="2" t="s">
        <v>5345</v>
      </c>
      <c r="C200" s="2" t="s">
        <v>6225</v>
      </c>
      <c r="D200" s="2" t="s">
        <v>6226</v>
      </c>
      <c r="E200" s="3" t="str">
        <f ca="1">IFERROR(__xludf.DUMMYFUNCTION("GOOGLETRANSLATE(B200,""ja"",""vi"")"),"đồ đạc cửa hàng")</f>
        <v>đồ đạc cửa hàng</v>
      </c>
      <c r="F200" s="3" t="str">
        <f ca="1">IFERROR(__xludf.DUMMYFUNCTION("GOOGLETRANSLATE(C200,""ja"",""vi"")"),"Đấu giá&gt; cổ, bộ sưu tập&gt; hàng linh tinh&gt; đạc cửa hàng")</f>
        <v>Đấu giá&gt; cổ, bộ sưu tập&gt; hàng linh tinh&gt; đạc cửa hàng</v>
      </c>
      <c r="G200" s="229" t="str">
        <f t="shared" ca="1" si="6"/>
        <v>"2084263156" : "đồ đạc cửa hàng",</v>
      </c>
      <c r="H200" s="229" t="str">
        <f t="shared" si="7"/>
        <v>&lt;li class="col-md-3"&gt;&lt;a class="text-cut" href="javascript:;"(click)="categoryEvent(2084263156)"&gt;{{"2084263156" | translate}}&lt;/a&gt;&lt;/li&gt;</v>
      </c>
    </row>
    <row r="201" spans="1:8" ht="14.25" customHeight="1">
      <c r="A201" s="2">
        <v>21116</v>
      </c>
      <c r="B201" s="2" t="s">
        <v>2133</v>
      </c>
      <c r="C201" s="2" t="s">
        <v>6230</v>
      </c>
      <c r="D201" s="2" t="s">
        <v>6231</v>
      </c>
      <c r="E201" s="3" t="str">
        <f ca="1">IFERROR(__xludf.DUMMYFUNCTION("GOOGLETRANSLATE(B201,""ja"",""vi"")"),"cụ viết")</f>
        <v>cụ viết</v>
      </c>
      <c r="F201" s="3" t="str">
        <f ca="1">IFERROR(__xludf.DUMMYFUNCTION("GOOGLETRANSLATE(C201,""ja"",""vi"")"),"Đấu giá&gt; cổ, bộ sưu tập&gt; hàng linh tinh&gt; bằng văn bản cụ")</f>
        <v>Đấu giá&gt; cổ, bộ sưu tập&gt; hàng linh tinh&gt; bằng văn bản cụ</v>
      </c>
      <c r="G201" s="229" t="str">
        <f t="shared" ca="1" si="6"/>
        <v>"21116" : "cụ viết",</v>
      </c>
      <c r="H201" s="229" t="str">
        <f t="shared" si="7"/>
        <v>&lt;li class="col-md-3"&gt;&lt;a class="text-cut" href="javascript:;"(click)="categoryEvent(21116)"&gt;{{"21116" | translate}}&lt;/a&gt;&lt;/li&gt;</v>
      </c>
    </row>
    <row r="202" spans="1:8" ht="14.25" customHeight="1">
      <c r="A202" s="2">
        <v>25906</v>
      </c>
      <c r="B202" s="2" t="s">
        <v>6233</v>
      </c>
      <c r="C202" s="2" t="s">
        <v>6235</v>
      </c>
      <c r="D202" s="2" t="s">
        <v>6237</v>
      </c>
      <c r="E202" s="3" t="str">
        <f ca="1">IFERROR(__xludf.DUMMYFUNCTION("GOOGLETRANSLATE(B202,""ja"",""vi"")"),"hộp ăn trưa")</f>
        <v>hộp ăn trưa</v>
      </c>
      <c r="F202" s="3" t="str">
        <f ca="1">IFERROR(__xludf.DUMMYFUNCTION("GOOGLETRANSLATE(C202,""ja"",""vi"")"),"Đấu giá&gt; cổ, bộ sưu tập&gt; hàng linh tinh&gt; hộp ăn trưa")</f>
        <v>Đấu giá&gt; cổ, bộ sưu tập&gt; hàng linh tinh&gt; hộp ăn trưa</v>
      </c>
      <c r="G202" s="229" t="str">
        <f t="shared" ca="1" si="6"/>
        <v>"25906" : "hộp ăn trưa",</v>
      </c>
      <c r="H202" s="229" t="str">
        <f t="shared" si="7"/>
        <v>&lt;li class="col-md-3"&gt;&lt;a class="text-cut" href="javascript:;"(click)="categoryEvent(25906)"&gt;{{"25906" | translate}}&lt;/a&gt;&lt;/li&gt;</v>
      </c>
    </row>
    <row r="203" spans="1:8" ht="14.25" customHeight="1">
      <c r="A203" s="2">
        <v>27673</v>
      </c>
      <c r="B203" s="2" t="s">
        <v>465</v>
      </c>
      <c r="C203" s="2" t="s">
        <v>6238</v>
      </c>
      <c r="D203" s="2" t="s">
        <v>6239</v>
      </c>
      <c r="E203" s="3" t="str">
        <f ca="1">IFERROR(__xludf.DUMMYFUNCTION("GOOGLETRANSLATE(B203,""ja"",""vi"")"),"Một món đồ chơi")</f>
        <v>Một món đồ chơi</v>
      </c>
      <c r="F203" s="3" t="str">
        <f ca="1">IFERROR(__xludf.DUMMYFUNCTION("GOOGLETRANSLATE(C203,""ja"",""vi"")"),"Đấu giá&gt; cổ, bộ sưu tập&gt; hàng linh tinh&gt; Đồ chơi")</f>
        <v>Đấu giá&gt; cổ, bộ sưu tập&gt; hàng linh tinh&gt; Đồ chơi</v>
      </c>
      <c r="G203" s="229" t="str">
        <f t="shared" ca="1" si="6"/>
        <v>"27673" : "Một món đồ chơi",</v>
      </c>
      <c r="H203" s="229" t="str">
        <f t="shared" si="7"/>
        <v>&lt;li class="col-md-3"&gt;&lt;a class="text-cut" href="javascript:;"(click)="categoryEvent(27673)"&gt;{{"27673" | translate}}&lt;/a&gt;&lt;/li&gt;</v>
      </c>
    </row>
    <row r="204" spans="1:8" ht="14.25" customHeight="1">
      <c r="A204" s="2">
        <v>21595</v>
      </c>
      <c r="B204" s="2" t="s">
        <v>16</v>
      </c>
      <c r="C204" s="2" t="s">
        <v>6240</v>
      </c>
      <c r="D204" s="2" t="s">
        <v>6241</v>
      </c>
      <c r="E204" s="3" t="str">
        <f ca="1">IFERROR(__xludf.DUMMYFUNCTION("GOOGLETRANSLATE(B204,""ja"",""vi"")"),"nếu không thì")</f>
        <v>nếu không thì</v>
      </c>
      <c r="F204" s="3" t="str">
        <f ca="1">IFERROR(__xludf.DUMMYFUNCTION("GOOGLETRANSLATE(C204,""ja"",""vi"")"),"Đấu giá&gt; cổ, bộ sưu tập&gt; hàng linh tinh&gt; Khác")</f>
        <v>Đấu giá&gt; cổ, bộ sưu tập&gt; hàng linh tinh&gt; Khác</v>
      </c>
      <c r="G204" s="229" t="str">
        <f t="shared" ca="1" si="6"/>
        <v>"21595" : "nếu không thì",</v>
      </c>
      <c r="H204" s="229" t="str">
        <f t="shared" si="7"/>
        <v>&lt;li class="col-md-3"&gt;&lt;a class="text-cut" href="javascript:;"(click)="categoryEvent(21595)"&gt;{{"21595" | translate}}&lt;/a&gt;&lt;/li&gt;</v>
      </c>
    </row>
    <row r="205" spans="1:8" ht="14.25" customHeight="1">
      <c r="E205" s="3"/>
      <c r="F205" s="3"/>
      <c r="G205" s="229"/>
      <c r="H205" s="229"/>
    </row>
    <row r="206" spans="1:8" ht="14.25" customHeight="1">
      <c r="A206" s="245">
        <v>27673</v>
      </c>
      <c r="B206" s="232"/>
      <c r="C206" s="232"/>
      <c r="D206" s="233"/>
      <c r="E206" s="3"/>
      <c r="F206" s="3"/>
      <c r="G206" s="229"/>
      <c r="H206" s="229"/>
    </row>
    <row r="207" spans="1:8" ht="14.25" customHeight="1">
      <c r="A207" s="2">
        <v>27675</v>
      </c>
      <c r="B207" s="2" t="s">
        <v>6242</v>
      </c>
      <c r="C207" s="2" t="s">
        <v>6243</v>
      </c>
      <c r="D207" s="2" t="s">
        <v>6244</v>
      </c>
      <c r="E207" s="3" t="str">
        <f ca="1">IFERROR(__xludf.DUMMYFUNCTION("GOOGLETRANSLATE(B207,""ja"",""vi"")"),"tinplate")</f>
        <v>tinplate</v>
      </c>
      <c r="F207" s="3" t="str">
        <f ca="1">IFERROR(__xludf.DUMMYFUNCTION("GOOGLETRANSLATE(C207,""ja"",""vi"")"),"Đấu giá&gt; đồ chơi, trò chơi&gt; Vintage&gt; thiếc")</f>
        <v>Đấu giá&gt; đồ chơi, trò chơi&gt; Vintage&gt; thiếc</v>
      </c>
      <c r="G207" s="229" t="str">
        <f t="shared" ca="1" si="6"/>
        <v>"27675" : "tinplate",</v>
      </c>
      <c r="H207" s="229" t="str">
        <f t="shared" si="7"/>
        <v>&lt;li class="col-md-3"&gt;&lt;a class="text-cut" href="javascript:;"(click)="categoryEvent(27675)"&gt;{{"27675" | translate}}&lt;/a&gt;&lt;/li&gt;</v>
      </c>
    </row>
    <row r="208" spans="1:8" ht="14.25" customHeight="1">
      <c r="A208" s="2">
        <v>2084310547</v>
      </c>
      <c r="B208" s="2" t="s">
        <v>6247</v>
      </c>
      <c r="C208" s="2" t="s">
        <v>6248</v>
      </c>
      <c r="D208" s="2" t="s">
        <v>6249</v>
      </c>
      <c r="E208" s="3" t="str">
        <f ca="1">IFERROR(__xludf.DUMMYFUNCTION("GOOGLETRANSLATE(B208,""ja"",""vi"")"),"mềm Vinyl")</f>
        <v>mềm Vinyl</v>
      </c>
      <c r="F208" s="3" t="str">
        <f ca="1">IFERROR(__xludf.DUMMYFUNCTION("GOOGLETRANSLATE(C208,""ja"",""vi"")"),"Đấu giá&gt; đồ chơi, trò chơi&gt; Vintage&gt; mềm Vinyl")</f>
        <v>Đấu giá&gt; đồ chơi, trò chơi&gt; Vintage&gt; mềm Vinyl</v>
      </c>
      <c r="G208" s="229" t="str">
        <f t="shared" ca="1" si="6"/>
        <v>"2084310547" : "mềm Vinyl",</v>
      </c>
      <c r="H208" s="229" t="str">
        <f t="shared" si="7"/>
        <v>&lt;li class="col-md-3"&gt;&lt;a class="text-cut" href="javascript:;"(click)="categoryEvent(2084310547)"&gt;{{"2084310547" | translate}}&lt;/a&gt;&lt;/li&gt;</v>
      </c>
    </row>
    <row r="209" spans="1:8" ht="14.25" customHeight="1">
      <c r="A209" s="2">
        <v>2084310548</v>
      </c>
      <c r="B209" s="2" t="s">
        <v>6250</v>
      </c>
      <c r="C209" s="2" t="s">
        <v>6252</v>
      </c>
      <c r="D209" s="2" t="s">
        <v>6255</v>
      </c>
      <c r="E209" s="3" t="str">
        <f ca="1">IFERROR(__xludf.DUMMYFUNCTION("GOOGLETRANSLATE(B209,""ja"",""vi"")"),"Superalloy")</f>
        <v>Superalloy</v>
      </c>
      <c r="F209" s="3" t="str">
        <f ca="1">IFERROR(__xludf.DUMMYFUNCTION("GOOGLETRANSLATE(C209,""ja"",""vi"")"),"Đấu giá&gt; đồ chơi, trò chơi&gt; Vintage&gt; siêu hợp kim")</f>
        <v>Đấu giá&gt; đồ chơi, trò chơi&gt; Vintage&gt; siêu hợp kim</v>
      </c>
      <c r="G209" s="229" t="str">
        <f t="shared" ca="1" si="6"/>
        <v>"2084310548" : "Superalloy",</v>
      </c>
      <c r="H209" s="229" t="str">
        <f t="shared" si="7"/>
        <v>&lt;li class="col-md-3"&gt;&lt;a class="text-cut" href="javascript:;"(click)="categoryEvent(2084310548)"&gt;{{"2084310548" | translate}}&lt;/a&gt;&lt;/li&gt;</v>
      </c>
    </row>
    <row r="210" spans="1:8" ht="14.25" customHeight="1">
      <c r="A210" s="2">
        <v>27683</v>
      </c>
      <c r="B210" s="2" t="s">
        <v>5126</v>
      </c>
      <c r="C210" s="2" t="s">
        <v>6259</v>
      </c>
      <c r="D210" s="2" t="s">
        <v>6260</v>
      </c>
      <c r="E210" s="3" t="str">
        <f ca="1">IFERROR(__xludf.DUMMYFUNCTION("GOOGLETRANSLATE(B210,""ja"",""vi"")"),"xe cộ")</f>
        <v>xe cộ</v>
      </c>
      <c r="F210" s="3" t="str">
        <f ca="1">IFERROR(__xludf.DUMMYFUNCTION("GOOGLETRANSLATE(C210,""ja"",""vi"")"),"Đấu giá&gt; đồ chơi, trò chơi&gt; Vintage&gt; Phương tiện đi lại")</f>
        <v>Đấu giá&gt; đồ chơi, trò chơi&gt; Vintage&gt; Phương tiện đi lại</v>
      </c>
      <c r="G210" s="229" t="str">
        <f t="shared" ca="1" si="6"/>
        <v>"27683" : "xe cộ",</v>
      </c>
      <c r="H210" s="229" t="str">
        <f t="shared" si="7"/>
        <v>&lt;li class="col-md-3"&gt;&lt;a class="text-cut" href="javascript:;"(click)="categoryEvent(27683)"&gt;{{"27683" | translate}}&lt;/a&gt;&lt;/li&gt;</v>
      </c>
    </row>
    <row r="211" spans="1:8" ht="14.25" customHeight="1">
      <c r="A211" s="2">
        <v>27695</v>
      </c>
      <c r="B211" s="2" t="s">
        <v>6263</v>
      </c>
      <c r="C211" s="2" t="s">
        <v>6265</v>
      </c>
      <c r="D211" s="2" t="s">
        <v>6266</v>
      </c>
      <c r="E211" s="3" t="str">
        <f ca="1">IFERROR(__xludf.DUMMYFUNCTION("GOOGLETRANSLATE(B211,""ja"",""vi"")"),"mánh lới quảng cáo điện")</f>
        <v>mánh lới quảng cáo điện</v>
      </c>
      <c r="F211" s="3" t="str">
        <f ca="1">IFERROR(__xludf.DUMMYFUNCTION("GOOGLETRANSLATE(C211,""ja"",""vi"")"),"Đấu giá&gt; đồ chơi, trò chơi&gt; Vintage&gt; mánh lới quảng cáo điện")</f>
        <v>Đấu giá&gt; đồ chơi, trò chơi&gt; Vintage&gt; mánh lới quảng cáo điện</v>
      </c>
      <c r="G211" s="229" t="str">
        <f t="shared" ca="1" si="6"/>
        <v>"27695" : "mánh lới quảng cáo điện",</v>
      </c>
      <c r="H211" s="229" t="str">
        <f t="shared" si="7"/>
        <v>&lt;li class="col-md-3"&gt;&lt;a class="text-cut" href="javascript:;"(click)="categoryEvent(27695)"&gt;{{"27695" | translate}}&lt;/a&gt;&lt;/li&gt;</v>
      </c>
    </row>
    <row r="212" spans="1:8" ht="14.25" customHeight="1">
      <c r="A212" s="2">
        <v>27717</v>
      </c>
      <c r="B212" s="2" t="s">
        <v>16</v>
      </c>
      <c r="C212" s="2" t="s">
        <v>6269</v>
      </c>
      <c r="D212" s="2" t="s">
        <v>6270</v>
      </c>
      <c r="E212" s="3" t="str">
        <f ca="1">IFERROR(__xludf.DUMMYFUNCTION("GOOGLETRANSLATE(B212,""ja"",""vi"")"),"nếu không thì")</f>
        <v>nếu không thì</v>
      </c>
      <c r="F212" s="3" t="str">
        <f ca="1">IFERROR(__xludf.DUMMYFUNCTION("GOOGLETRANSLATE(C212,""ja"",""vi"")"),"Đấu giá&gt; đồ chơi, trò chơi&gt; Vintage&gt; Khác")</f>
        <v>Đấu giá&gt; đồ chơi, trò chơi&gt; Vintage&gt; Khác</v>
      </c>
      <c r="G212" s="229" t="str">
        <f t="shared" ca="1" si="6"/>
        <v>"27717" : "nếu không thì",</v>
      </c>
      <c r="H212" s="229" t="str">
        <f t="shared" si="7"/>
        <v>&lt;li class="col-md-3"&gt;&lt;a class="text-cut" href="javascript:;"(click)="categoryEvent(27717)"&gt;{{"27717" | translate}}&lt;/a&gt;&lt;/li&gt;</v>
      </c>
    </row>
    <row r="213" spans="1:8" ht="14.25" customHeight="1">
      <c r="E213" s="3"/>
      <c r="F213" s="3"/>
      <c r="G213" s="229"/>
      <c r="H213" s="229"/>
    </row>
    <row r="214" spans="1:8" ht="14.25" customHeight="1">
      <c r="A214" s="263">
        <v>23968</v>
      </c>
      <c r="B214" s="232"/>
      <c r="C214" s="232"/>
      <c r="D214" s="233"/>
      <c r="E214" s="3"/>
      <c r="F214" s="3"/>
      <c r="G214" s="229"/>
      <c r="H214" s="229"/>
    </row>
    <row r="215" spans="1:8" ht="14.25" customHeight="1">
      <c r="A215" s="2">
        <v>2084005121</v>
      </c>
      <c r="B215" s="2" t="s">
        <v>5688</v>
      </c>
      <c r="C215" s="2" t="s">
        <v>6276</v>
      </c>
      <c r="D215" s="2" t="s">
        <v>6278</v>
      </c>
      <c r="E215" s="3" t="str">
        <f ca="1">IFERROR(__xludf.DUMMYFUNCTION("GOOGLETRANSLATE(B215,""ja"",""vi"")"),"nhân vật")</f>
        <v>nhân vật</v>
      </c>
      <c r="F215" s="3" t="str">
        <f ca="1">IFERROR(__xludf.DUMMYFUNCTION("GOOGLETRANSLATE(C215,""ja"",""vi"")"),"Đấu giá&gt; vé, chứng từ, đặt phòng khách sạn&gt; Thẻ trả trước&gt; Thẻ điện thoại&gt; Nhân vật")</f>
        <v>Đấu giá&gt; vé, chứng từ, đặt phòng khách sạn&gt; Thẻ trả trước&gt; Thẻ điện thoại&gt; Nhân vật</v>
      </c>
      <c r="G215" s="229" t="str">
        <f t="shared" ca="1" si="6"/>
        <v>"2084005121" : "nhân vật",</v>
      </c>
      <c r="H215" s="229" t="str">
        <f t="shared" si="7"/>
        <v>&lt;li class="col-md-3"&gt;&lt;a class="text-cut" href="javascript:;"(click)="categoryEvent(2084005121)"&gt;{{"2084005121" | translate}}&lt;/a&gt;&lt;/li&gt;</v>
      </c>
    </row>
    <row r="216" spans="1:8" ht="14.25" customHeight="1">
      <c r="A216" s="2">
        <v>2084005120</v>
      </c>
      <c r="B216" s="2" t="s">
        <v>5610</v>
      </c>
      <c r="C216" s="2" t="s">
        <v>6284</v>
      </c>
      <c r="D216" s="2" t="s">
        <v>6285</v>
      </c>
      <c r="E216" s="3" t="str">
        <f ca="1">IFERROR(__xludf.DUMMYFUNCTION("GOOGLETRANSLATE(B216,""ja"",""vi"")"),"Truyện tranh, hoạt hình")</f>
        <v>Truyện tranh, hoạt hình</v>
      </c>
      <c r="F216" s="3" t="str">
        <f ca="1">IFERROR(__xludf.DUMMYFUNCTION("GOOGLETRANSLATE(C216,""ja"",""vi"")"),"Đấu giá&gt; vé, chứng từ, đặt phòng khách sạn&gt; Thẻ trả trước&gt; Thẻ điện thoại&gt; truyện tranh, hoạt hình")</f>
        <v>Đấu giá&gt; vé, chứng từ, đặt phòng khách sạn&gt; Thẻ trả trước&gt; Thẻ điện thoại&gt; truyện tranh, hoạt hình</v>
      </c>
      <c r="G216" s="229" t="str">
        <f t="shared" ca="1" si="6"/>
        <v>"2084005120" : "Truyện tranh, hoạt hình",</v>
      </c>
      <c r="H216" s="229" t="str">
        <f t="shared" si="7"/>
        <v>&lt;li class="col-md-3"&gt;&lt;a class="text-cut" href="javascript:;"(click)="categoryEvent(2084005120)"&gt;{{"2084005120" | translate}}&lt;/a&gt;&lt;/li&gt;</v>
      </c>
    </row>
    <row r="217" spans="1:8" ht="14.25" customHeight="1">
      <c r="A217" s="2">
        <v>2084005113</v>
      </c>
      <c r="B217" s="2" t="s">
        <v>262</v>
      </c>
      <c r="C217" s="2" t="s">
        <v>6290</v>
      </c>
      <c r="D217" s="2" t="s">
        <v>6292</v>
      </c>
      <c r="E217" s="3" t="str">
        <f ca="1">IFERROR(__xludf.DUMMYFUNCTION("GOOGLETRANSLATE(B217,""ja"",""vi"")"),"thể thao")</f>
        <v>thể thao</v>
      </c>
      <c r="F217" s="3" t="str">
        <f ca="1">IFERROR(__xludf.DUMMYFUNCTION("GOOGLETRANSLATE(C217,""ja"",""vi"")"),"Đấu giá&gt; vé, chứng từ, đặt phòng khách sạn&gt; Thẻ trả trước&gt; Thẻ điện thoại&gt; Thể Thao")</f>
        <v>Đấu giá&gt; vé, chứng từ, đặt phòng khách sạn&gt; Thẻ trả trước&gt; Thẻ điện thoại&gt; Thể Thao</v>
      </c>
      <c r="G217" s="229" t="str">
        <f t="shared" ca="1" si="6"/>
        <v>"2084005113" : "thể thao",</v>
      </c>
      <c r="H217" s="229" t="str">
        <f t="shared" si="7"/>
        <v>&lt;li class="col-md-3"&gt;&lt;a class="text-cut" href="javascript:;"(click)="categoryEvent(2084005113)"&gt;{{"2084005113" | translate}}&lt;/a&gt;&lt;/li&gt;</v>
      </c>
    </row>
    <row r="218" spans="1:8" ht="14.25" customHeight="1">
      <c r="A218" s="2">
        <v>2084005119</v>
      </c>
      <c r="B218" s="2" t="s">
        <v>5628</v>
      </c>
      <c r="C218" s="2" t="s">
        <v>6298</v>
      </c>
      <c r="D218" s="2" t="s">
        <v>6299</v>
      </c>
      <c r="E218" s="3" t="str">
        <f ca="1">IFERROR(__xludf.DUMMYFUNCTION("GOOGLETRANSLATE(B218,""ja"",""vi"")"),"Mã số trò chơi")</f>
        <v>Mã số trò chơi</v>
      </c>
      <c r="F218" s="3" t="str">
        <f ca="1">IFERROR(__xludf.DUMMYFUNCTION("GOOGLETRANSLATE(C218,""ja"",""vi"")"),"Đấu giá&gt; vé, chứng từ, đặt phòng khách sạn&gt; Thẻ trả trước&gt; Thẻ điện thoại&gt; video game")</f>
        <v>Đấu giá&gt; vé, chứng từ, đặt phòng khách sạn&gt; Thẻ trả trước&gt; Thẻ điện thoại&gt; video game</v>
      </c>
      <c r="G218" s="229" t="str">
        <f t="shared" ca="1" si="6"/>
        <v>"2084005119" : "Mã số trò chơi",</v>
      </c>
      <c r="H218" s="229" t="str">
        <f t="shared" si="7"/>
        <v>&lt;li class="col-md-3"&gt;&lt;a class="text-cut" href="javascript:;"(click)="categoryEvent(2084005119)"&gt;{{"2084005119" | translate}}&lt;/a&gt;&lt;/li&gt;</v>
      </c>
    </row>
    <row r="219" spans="1:8" ht="14.25" customHeight="1">
      <c r="A219" s="2">
        <v>2084005123</v>
      </c>
      <c r="B219" s="2" t="s">
        <v>6303</v>
      </c>
      <c r="C219" s="2" t="s">
        <v>6304</v>
      </c>
      <c r="D219" s="2" t="s">
        <v>6305</v>
      </c>
      <c r="E219" s="3" t="str">
        <f ca="1">IFERROR(__xludf.DUMMYFUNCTION("GOOGLETRANSLATE(B219,""ja"",""vi"")"),"chương trình truyền hình")</f>
        <v>chương trình truyền hình</v>
      </c>
      <c r="F219" s="3" t="str">
        <f ca="1">IFERROR(__xludf.DUMMYFUNCTION("GOOGLETRANSLATE(C219,""ja"",""vi"")"),"Đấu giá&gt; vé, chứng từ, đặt phòng khách sạn&gt; Thẻ trả trước&gt; Thẻ điện thoại&gt; chương trình truyền hình")</f>
        <v>Đấu giá&gt; vé, chứng từ, đặt phòng khách sạn&gt; Thẻ trả trước&gt; Thẻ điện thoại&gt; chương trình truyền hình</v>
      </c>
      <c r="G219" s="229" t="str">
        <f t="shared" ca="1" si="6"/>
        <v>"2084005123" : "chương trình truyền hình",</v>
      </c>
      <c r="H219" s="229" t="str">
        <f t="shared" si="7"/>
        <v>&lt;li class="col-md-3"&gt;&lt;a class="text-cut" href="javascript:;"(click)="categoryEvent(2084005123)"&gt;{{"2084005123" | translate}}&lt;/a&gt;&lt;/li&gt;</v>
      </c>
    </row>
    <row r="220" spans="1:8" ht="14.25" customHeight="1">
      <c r="A220" s="2">
        <v>2084005105</v>
      </c>
      <c r="B220" s="2" t="s">
        <v>13</v>
      </c>
      <c r="C220" s="2" t="s">
        <v>6309</v>
      </c>
      <c r="D220" s="2" t="s">
        <v>6310</v>
      </c>
      <c r="E220" s="3" t="str">
        <f ca="1">IFERROR(__xludf.DUMMYFUNCTION("GOOGLETRANSLATE(B220,""ja"",""vi"")"),"nhạc sĩ")</f>
        <v>nhạc sĩ</v>
      </c>
      <c r="F220" s="3" t="str">
        <f ca="1">IFERROR(__xludf.DUMMYFUNCTION("GOOGLETRANSLATE(C220,""ja"",""vi"")"),"Đấu giá&gt; vé, chứng từ, đặt phòng khách sạn&gt; Thẻ trả trước&gt; Thẻ điện thoại&gt; nhạc sĩ")</f>
        <v>Đấu giá&gt; vé, chứng từ, đặt phòng khách sạn&gt; Thẻ trả trước&gt; Thẻ điện thoại&gt; nhạc sĩ</v>
      </c>
      <c r="G220" s="229" t="str">
        <f t="shared" ca="1" si="6"/>
        <v>"2084005105" : "nhạc sĩ",</v>
      </c>
      <c r="H220" s="229" t="str">
        <f t="shared" si="7"/>
        <v>&lt;li class="col-md-3"&gt;&lt;a class="text-cut" href="javascript:;"(click)="categoryEvent(2084005105)"&gt;{{"2084005105" | translate}}&lt;/a&gt;&lt;/li&gt;</v>
      </c>
    </row>
    <row r="221" spans="1:8" ht="14.25" customHeight="1">
      <c r="A221" s="2">
        <v>2084005124</v>
      </c>
      <c r="B221" s="2" t="s">
        <v>6313</v>
      </c>
      <c r="C221" s="2" t="s">
        <v>6315</v>
      </c>
      <c r="D221" s="2" t="s">
        <v>6316</v>
      </c>
      <c r="E221" s="3" t="str">
        <f ca="1">IFERROR(__xludf.DUMMYFUNCTION("GOOGLETRANSLATE(B221,""ja"",""vi"")"),"chương trình phát thanh")</f>
        <v>chương trình phát thanh</v>
      </c>
      <c r="F221" s="3" t="str">
        <f ca="1">IFERROR(__xludf.DUMMYFUNCTION("GOOGLETRANSLATE(C221,""ja"",""vi"")"),"Đấu giá&gt; vé, chứng từ, đặt phòng khách sạn&gt; Thẻ trả trước&gt; Thẻ điện thoại&gt; chương trình phát thanh")</f>
        <v>Đấu giá&gt; vé, chứng từ, đặt phòng khách sạn&gt; Thẻ trả trước&gt; Thẻ điện thoại&gt; chương trình phát thanh</v>
      </c>
      <c r="G221" s="229" t="str">
        <f t="shared" ca="1" si="6"/>
        <v>"2084005124" : "chương trình phát thanh",</v>
      </c>
      <c r="H221" s="229" t="str">
        <f t="shared" si="7"/>
        <v>&lt;li class="col-md-3"&gt;&lt;a class="text-cut" href="javascript:;"(click)="categoryEvent(2084005124)"&gt;{{"2084005124" | translate}}&lt;/a&gt;&lt;/li&gt;</v>
      </c>
    </row>
    <row r="222" spans="1:8" ht="14.25" customHeight="1">
      <c r="A222" s="2">
        <v>2084005122</v>
      </c>
      <c r="B222" s="2" t="s">
        <v>837</v>
      </c>
      <c r="C222" s="2" t="s">
        <v>6318</v>
      </c>
      <c r="D222" s="2" t="s">
        <v>6319</v>
      </c>
      <c r="E222" s="3" t="str">
        <f ca="1">IFERROR(__xludf.DUMMYFUNCTION("GOOGLETRANSLATE(B222,""ja"",""vi"")"),"phim")</f>
        <v>phim</v>
      </c>
      <c r="F222" s="3" t="str">
        <f ca="1">IFERROR(__xludf.DUMMYFUNCTION("GOOGLETRANSLATE(C222,""ja"",""vi"")"),"Đấu giá&gt; vé, chứng từ, đặt phòng khách sạn&gt; Thẻ trả trước&gt; Thẻ điện thoại&gt; Phim")</f>
        <v>Đấu giá&gt; vé, chứng từ, đặt phòng khách sạn&gt; Thẻ trả trước&gt; Thẻ điện thoại&gt; Phim</v>
      </c>
      <c r="G222" s="229" t="str">
        <f t="shared" ca="1" si="6"/>
        <v>"2084005122" : "phim",</v>
      </c>
      <c r="H222" s="229" t="str">
        <f t="shared" si="7"/>
        <v>&lt;li class="col-md-3"&gt;&lt;a class="text-cut" href="javascript:;"(click)="categoryEvent(2084005122)"&gt;{{"2084005122" | translate}}&lt;/a&gt;&lt;/li&gt;</v>
      </c>
    </row>
    <row r="223" spans="1:8" ht="14.25" customHeight="1">
      <c r="A223" s="2">
        <v>2084048484</v>
      </c>
      <c r="B223" s="2" t="s">
        <v>6322</v>
      </c>
      <c r="C223" s="2" t="s">
        <v>6323</v>
      </c>
      <c r="D223" s="2" t="s">
        <v>6325</v>
      </c>
      <c r="E223" s="3" t="str">
        <f ca="1">IFERROR(__xludf.DUMMYFUNCTION("GOOGLETRANSLATE(B223,""ja"",""vi"")"),"Nghệ thuật, Nghệ thuật")</f>
        <v>Nghệ thuật, Nghệ thuật</v>
      </c>
      <c r="F223" s="3" t="str">
        <f ca="1">IFERROR(__xludf.DUMMYFUNCTION("GOOGLETRANSLATE(C223,""ja"",""vi"")"),"Đấu giá&gt; vé, chứng từ, đặt phòng khách sạn&gt; Thẻ trả trước&gt; Thẻ điện thoại&gt; Nghệ thuật, Nghệ thuật")</f>
        <v>Đấu giá&gt; vé, chứng từ, đặt phòng khách sạn&gt; Thẻ trả trước&gt; Thẻ điện thoại&gt; Nghệ thuật, Nghệ thuật</v>
      </c>
      <c r="G223" s="229" t="str">
        <f t="shared" ca="1" si="6"/>
        <v>"2084048484" : "Nghệ thuật, Nghệ thuật",</v>
      </c>
      <c r="H223" s="229" t="str">
        <f t="shared" si="7"/>
        <v>&lt;li class="col-md-3"&gt;&lt;a class="text-cut" href="javascript:;"(click)="categoryEvent(2084048484)"&gt;{{"2084048484" | translate}}&lt;/a&gt;&lt;/li&gt;</v>
      </c>
    </row>
    <row r="224" spans="1:8" ht="14.25" customHeight="1">
      <c r="A224" s="2">
        <v>2084005109</v>
      </c>
      <c r="B224" s="2" t="s">
        <v>819</v>
      </c>
      <c r="C224" s="2" t="s">
        <v>6330</v>
      </c>
      <c r="D224" s="2" t="s">
        <v>6332</v>
      </c>
      <c r="E224" s="3" t="str">
        <f ca="1">IFERROR(__xludf.DUMMYFUNCTION("GOOGLETRANSLATE(B224,""ja"",""vi"")"),"Giải trí, tài năng")</f>
        <v>Giải trí, tài năng</v>
      </c>
      <c r="F224" s="3" t="str">
        <f ca="1">IFERROR(__xludf.DUMMYFUNCTION("GOOGLETRANSLATE(C224,""ja"",""vi"")"),"Đấu giá&gt; vé, chứng từ, đặt phòng khách sạn&gt; Thẻ trả trước&gt; Thẻ điện thoại&gt; giải trí, tài năng")</f>
        <v>Đấu giá&gt; vé, chứng từ, đặt phòng khách sạn&gt; Thẻ trả trước&gt; Thẻ điện thoại&gt; giải trí, tài năng</v>
      </c>
      <c r="G224" s="229" t="str">
        <f t="shared" ca="1" si="6"/>
        <v>"2084005109" : "Giải trí, tài năng",</v>
      </c>
      <c r="H224" s="229" t="str">
        <f t="shared" si="7"/>
        <v>&lt;li class="col-md-3"&gt;&lt;a class="text-cut" href="javascript:;"(click)="categoryEvent(2084005109)"&gt;{{"2084005109" | translate}}&lt;/a&gt;&lt;/li&gt;</v>
      </c>
    </row>
    <row r="225" spans="1:8" ht="14.25" customHeight="1">
      <c r="A225" s="2">
        <v>2084007949</v>
      </c>
      <c r="B225" s="2" t="s">
        <v>6333</v>
      </c>
      <c r="C225" s="2" t="s">
        <v>6335</v>
      </c>
      <c r="D225" s="2" t="s">
        <v>6337</v>
      </c>
      <c r="E225" s="3" t="str">
        <f ca="1">IFERROR(__xludf.DUMMYFUNCTION("GOOGLETRANSLATE(B225,""ja"",""vi"")"),"phi cơ")</f>
        <v>phi cơ</v>
      </c>
      <c r="F225" s="3" t="str">
        <f ca="1">IFERROR(__xludf.DUMMYFUNCTION("GOOGLETRANSLATE(C225,""ja"",""vi"")"),"Đấu giá&gt; vé, chứng từ, đặt phòng khách sạn&gt; Thẻ trả trước&gt; Thẻ điện thoại&gt; máy bay")</f>
        <v>Đấu giá&gt; vé, chứng từ, đặt phòng khách sạn&gt; Thẻ trả trước&gt; Thẻ điện thoại&gt; máy bay</v>
      </c>
      <c r="G225" s="229" t="str">
        <f t="shared" ca="1" si="6"/>
        <v>"2084007949" : "phi cơ",</v>
      </c>
      <c r="H225" s="229" t="str">
        <f t="shared" si="7"/>
        <v>&lt;li class="col-md-3"&gt;&lt;a class="text-cut" href="javascript:;"(click)="categoryEvent(2084007949)"&gt;{{"2084007949" | translate}}&lt;/a&gt;&lt;/li&gt;</v>
      </c>
    </row>
    <row r="226" spans="1:8" ht="14.25" customHeight="1">
      <c r="A226" s="2">
        <v>2084007950</v>
      </c>
      <c r="B226" s="2" t="s">
        <v>5924</v>
      </c>
      <c r="C226" s="2" t="s">
        <v>6340</v>
      </c>
      <c r="D226" s="2" t="s">
        <v>6342</v>
      </c>
      <c r="E226" s="3" t="str">
        <f ca="1">IFERROR(__xludf.DUMMYFUNCTION("GOOGLETRANSLATE(B226,""ja"",""vi"")"),"xe hơi")</f>
        <v>xe hơi</v>
      </c>
      <c r="F226" s="3" t="str">
        <f ca="1">IFERROR(__xludf.DUMMYFUNCTION("GOOGLETRANSLATE(C226,""ja"",""vi"")"),"Đấu giá&gt; vé, chứng từ, đặt phòng khách sạn&gt; Thẻ trả trước&gt; Thẻ điện thoại&gt; Ô tô")</f>
        <v>Đấu giá&gt; vé, chứng từ, đặt phòng khách sạn&gt; Thẻ trả trước&gt; Thẻ điện thoại&gt; Ô tô</v>
      </c>
      <c r="G226" s="229" t="str">
        <f t="shared" ca="1" si="6"/>
        <v>"2084007950" : "xe hơi",</v>
      </c>
      <c r="H226" s="229" t="str">
        <f t="shared" si="7"/>
        <v>&lt;li class="col-md-3"&gt;&lt;a class="text-cut" href="javascript:;"(click)="categoryEvent(2084007950)"&gt;{{"2084007950" | translate}}&lt;/a&gt;&lt;/li&gt;</v>
      </c>
    </row>
    <row r="227" spans="1:8" ht="14.25" customHeight="1">
      <c r="A227" s="2">
        <v>2084048482</v>
      </c>
      <c r="B227" s="2" t="s">
        <v>6343</v>
      </c>
      <c r="C227" s="2" t="s">
        <v>6344</v>
      </c>
      <c r="D227" s="2" t="s">
        <v>6345</v>
      </c>
      <c r="E227" s="3" t="str">
        <f ca="1">IFERROR(__xludf.DUMMYFUNCTION("GOOGLETRANSLATE(B227,""ja"",""vi"")"),"cây")</f>
        <v>cây</v>
      </c>
      <c r="F227" s="3" t="str">
        <f ca="1">IFERROR(__xludf.DUMMYFUNCTION("GOOGLETRANSLATE(C227,""ja"",""vi"")"),"Đấu giá&gt; vé, chứng từ, đặt phòng khách sạn&gt; Thẻ trả trước&gt; Thẻ điện thoại&gt; nhà máy")</f>
        <v>Đấu giá&gt; vé, chứng từ, đặt phòng khách sạn&gt; Thẻ trả trước&gt; Thẻ điện thoại&gt; nhà máy</v>
      </c>
      <c r="G227" s="229" t="str">
        <f t="shared" ca="1" si="6"/>
        <v>"2084048482" : "cây",</v>
      </c>
      <c r="H227" s="229" t="str">
        <f t="shared" si="7"/>
        <v>&lt;li class="col-md-3"&gt;&lt;a class="text-cut" href="javascript:;"(click)="categoryEvent(2084048482)"&gt;{{"2084048482" | translate}}&lt;/a&gt;&lt;/li&gt;</v>
      </c>
    </row>
    <row r="228" spans="1:8" ht="14.25" customHeight="1">
      <c r="A228" s="2">
        <v>2084005104</v>
      </c>
      <c r="B228" s="2" t="s">
        <v>1242</v>
      </c>
      <c r="C228" s="2" t="s">
        <v>6348</v>
      </c>
      <c r="D228" s="2" t="s">
        <v>6349</v>
      </c>
      <c r="E228" s="3" t="str">
        <f ca="1">IFERROR(__xludf.DUMMYFUNCTION("GOOGLETRANSLATE(B228,""ja"",""vi"")"),"diễn viên Đài phát thanh")</f>
        <v>diễn viên Đài phát thanh</v>
      </c>
      <c r="F228" s="3" t="str">
        <f ca="1">IFERROR(__xludf.DUMMYFUNCTION("GOOGLETRANSLATE(C228,""ja"",""vi"")"),"Đấu giá&gt; vé, chứng từ, đặt phòng khách sạn&gt; Thẻ trả trước&gt; Thẻ điện thoại&gt; Diễn viên lồng tiếng")</f>
        <v>Đấu giá&gt; vé, chứng từ, đặt phòng khách sạn&gt; Thẻ trả trước&gt; Thẻ điện thoại&gt; Diễn viên lồng tiếng</v>
      </c>
      <c r="G228" s="229" t="str">
        <f t="shared" ca="1" si="6"/>
        <v>"2084005104" : "diễn viên Đài phát thanh",</v>
      </c>
      <c r="H228" s="229" t="str">
        <f t="shared" si="7"/>
        <v>&lt;li class="col-md-3"&gt;&lt;a class="text-cut" href="javascript:;"(click)="categoryEvent(2084005104)"&gt;{{"2084005104" | translate}}&lt;/a&gt;&lt;/li&gt;</v>
      </c>
    </row>
    <row r="229" spans="1:8" ht="14.25" customHeight="1">
      <c r="A229" s="2">
        <v>2084007801</v>
      </c>
      <c r="B229" s="2" t="s">
        <v>1546</v>
      </c>
      <c r="C229" s="2" t="s">
        <v>6352</v>
      </c>
      <c r="D229" s="2" t="s">
        <v>6354</v>
      </c>
      <c r="E229" s="3" t="str">
        <f ca="1">IFERROR(__xludf.DUMMYFUNCTION("GOOGLETRANSLATE(B229,""ja"",""vi"")"),"đường sắt")</f>
        <v>đường sắt</v>
      </c>
      <c r="F229" s="3" t="str">
        <f ca="1">IFERROR(__xludf.DUMMYFUNCTION("GOOGLETRANSLATE(C229,""ja"",""vi"")"),"Đấu giá&gt; vé, chứng từ, đặt phòng khách sạn&gt; Thẻ trả trước&gt; Thẻ điện thoại&gt; đường sắt")</f>
        <v>Đấu giá&gt; vé, chứng từ, đặt phòng khách sạn&gt; Thẻ trả trước&gt; Thẻ điện thoại&gt; đường sắt</v>
      </c>
      <c r="G229" s="229" t="str">
        <f t="shared" ca="1" si="6"/>
        <v>"2084007801" : "đường sắt",</v>
      </c>
      <c r="H229" s="229" t="str">
        <f t="shared" si="7"/>
        <v>&lt;li class="col-md-3"&gt;&lt;a class="text-cut" href="javascript:;"(click)="categoryEvent(2084007801)"&gt;{{"2084007801" | translate}}&lt;/a&gt;&lt;/li&gt;</v>
      </c>
    </row>
    <row r="230" spans="1:8" ht="14.25" customHeight="1">
      <c r="A230" s="2">
        <v>2084048481</v>
      </c>
      <c r="B230" s="2" t="s">
        <v>6357</v>
      </c>
      <c r="C230" s="2" t="s">
        <v>6358</v>
      </c>
      <c r="D230" s="2" t="s">
        <v>6360</v>
      </c>
      <c r="E230" s="3" t="str">
        <f ca="1">IFERROR(__xludf.DUMMYFUNCTION("GOOGLETRANSLATE(B230,""ja"",""vi"")"),"động vật")</f>
        <v>động vật</v>
      </c>
      <c r="F230" s="3" t="str">
        <f ca="1">IFERROR(__xludf.DUMMYFUNCTION("GOOGLETRANSLATE(C230,""ja"",""vi"")"),"Đấu giá&gt; vé, chứng từ, đặt phòng khách sạn&gt; Thẻ trả trước&gt; Thẻ điện thoại&gt; động vật")</f>
        <v>Đấu giá&gt; vé, chứng từ, đặt phòng khách sạn&gt; Thẻ trả trước&gt; Thẻ điện thoại&gt; động vật</v>
      </c>
      <c r="G230" s="229" t="str">
        <f t="shared" ca="1" si="6"/>
        <v>"2084048481" : "động vật",</v>
      </c>
      <c r="H230" s="229" t="str">
        <f t="shared" si="7"/>
        <v>&lt;li class="col-md-3"&gt;&lt;a class="text-cut" href="javascript:;"(click)="categoryEvent(2084048481)"&gt;{{"2084048481" | translate}}&lt;/a&gt;&lt;/li&gt;</v>
      </c>
    </row>
    <row r="231" spans="1:8" ht="14.25" customHeight="1">
      <c r="A231" s="2">
        <v>2084048483</v>
      </c>
      <c r="B231" s="2" t="s">
        <v>6363</v>
      </c>
      <c r="C231" s="2" t="s">
        <v>6364</v>
      </c>
      <c r="D231" s="2" t="s">
        <v>6365</v>
      </c>
      <c r="E231" s="3" t="str">
        <f ca="1">IFERROR(__xludf.DUMMYFUNCTION("GOOGLETRANSLATE(B231,""ja"",""vi"")"),"phong cảnh")</f>
        <v>phong cảnh</v>
      </c>
      <c r="F231" s="3" t="str">
        <f ca="1">IFERROR(__xludf.DUMMYFUNCTION("GOOGLETRANSLATE(C231,""ja"",""vi"")"),"Đấu giá&gt; vé, chứng từ, đặt phòng khách sạn&gt; Thẻ trả trước&gt; Thẻ điện thoại&gt; phong cảnh")</f>
        <v>Đấu giá&gt; vé, chứng từ, đặt phòng khách sạn&gt; Thẻ trả trước&gt; Thẻ điện thoại&gt; phong cảnh</v>
      </c>
      <c r="G231" s="229" t="str">
        <f t="shared" ca="1" si="6"/>
        <v>"2084048483" : "phong cảnh",</v>
      </c>
      <c r="H231" s="229" t="str">
        <f t="shared" si="7"/>
        <v>&lt;li class="col-md-3"&gt;&lt;a class="text-cut" href="javascript:;"(click)="categoryEvent(2084048483)"&gt;{{"2084048483" | translate}}&lt;/a&gt;&lt;/li&gt;</v>
      </c>
    </row>
    <row r="232" spans="1:8" ht="14.25" customHeight="1">
      <c r="A232" s="2">
        <v>2084005125</v>
      </c>
      <c r="B232" s="2" t="s">
        <v>16</v>
      </c>
      <c r="C232" s="2" t="s">
        <v>6368</v>
      </c>
      <c r="D232" s="2" t="s">
        <v>6369</v>
      </c>
      <c r="E232" s="3" t="str">
        <f ca="1">IFERROR(__xludf.DUMMYFUNCTION("GOOGLETRANSLATE(B232,""ja"",""vi"")"),"nếu không thì")</f>
        <v>nếu không thì</v>
      </c>
      <c r="F232" s="3" t="str">
        <f ca="1">IFERROR(__xludf.DUMMYFUNCTION("GOOGLETRANSLATE(C232,""ja"",""vi"")"),"Đấu giá&gt; vé, chứng từ, đặt phòng khách sạn&gt; Thẻ trả trước&gt; Thẻ điện thoại&gt; Khác")</f>
        <v>Đấu giá&gt; vé, chứng từ, đặt phòng khách sạn&gt; Thẻ trả trước&gt; Thẻ điện thoại&gt; Khác</v>
      </c>
      <c r="G232" s="229" t="str">
        <f t="shared" ca="1" si="6"/>
        <v>"2084005125" : "nếu không thì",</v>
      </c>
      <c r="H232" s="229" t="str">
        <f t="shared" si="7"/>
        <v>&lt;li class="col-md-3"&gt;&lt;a class="text-cut" href="javascript:;"(click)="categoryEvent(2084005125)"&gt;{{"2084005125" | translate}}&lt;/a&gt;&lt;/li&gt;</v>
      </c>
    </row>
    <row r="233" spans="1:8" ht="14.25" customHeight="1">
      <c r="E233" s="3"/>
      <c r="F233" s="3"/>
      <c r="G233" s="229"/>
      <c r="H233" s="229"/>
    </row>
    <row r="234" spans="1:8" ht="14.25" customHeight="1">
      <c r="A234" s="243">
        <v>25888</v>
      </c>
      <c r="B234" s="232"/>
      <c r="C234" s="232"/>
      <c r="D234" s="233"/>
      <c r="E234" s="3"/>
      <c r="F234" s="3"/>
      <c r="G234" s="229"/>
      <c r="H234" s="229"/>
    </row>
    <row r="235" spans="1:8" ht="14.25" customHeight="1">
      <c r="A235" s="2">
        <v>2084023782</v>
      </c>
      <c r="B235" s="2" t="s">
        <v>770</v>
      </c>
      <c r="C235" s="2" t="s">
        <v>772</v>
      </c>
      <c r="D235" s="2" t="s">
        <v>773</v>
      </c>
      <c r="E235" s="3" t="str">
        <f ca="1">IFERROR(__xludf.DUMMYFUNCTION("GOOGLETRANSLATE(B235,""ja"",""vi"")"),"Truyện tranh, hoạt hình")</f>
        <v>Truyện tranh, hoạt hình</v>
      </c>
      <c r="F235" s="3" t="str">
        <f ca="1">IFERROR(__xludf.DUMMYFUNCTION("GOOGLETRANSLATE(C235,""ja"",""vi"")"),"Đấu giá&gt; đồ chơi, trò chơi&gt; hình&gt; truyện tranh, phim hoạt hình")</f>
        <v>Đấu giá&gt; đồ chơi, trò chơi&gt; hình&gt; truyện tranh, phim hoạt hình</v>
      </c>
      <c r="G235" s="229" t="str">
        <f t="shared" ca="1" si="6"/>
        <v>"2084023782" : "Truyện tranh, hoạt hình",</v>
      </c>
      <c r="H235" s="229" t="str">
        <f t="shared" si="7"/>
        <v>&lt;li class="col-md-3"&gt;&lt;a class="text-cut" href="javascript:;"(click)="categoryEvent(2084023782)"&gt;{{"2084023782" | translate}}&lt;/a&gt;&lt;/li&gt;</v>
      </c>
    </row>
    <row r="236" spans="1:8" ht="14.25" customHeight="1">
      <c r="A236" s="2">
        <v>2084023622</v>
      </c>
      <c r="B236" s="2" t="s">
        <v>776</v>
      </c>
      <c r="C236" s="2" t="s">
        <v>778</v>
      </c>
      <c r="D236" s="2" t="s">
        <v>779</v>
      </c>
      <c r="E236" s="3" t="str">
        <f ca="1">IFERROR(__xludf.DUMMYFUNCTION("GOOGLETRANSLATE(B236,""ja"",""vi"")"),"hiệu ứng đặc biệt")</f>
        <v>hiệu ứng đặc biệt</v>
      </c>
      <c r="F236" s="3" t="str">
        <f ca="1">IFERROR(__xludf.DUMMYFUNCTION("GOOGLETRANSLATE(C236,""ja"",""vi"")"),"Đấu giá&gt; đồ chơi, trò chơi&gt; hình&gt; hiệu ứng đặc biệt")</f>
        <v>Đấu giá&gt; đồ chơi, trò chơi&gt; hình&gt; hiệu ứng đặc biệt</v>
      </c>
      <c r="G236" s="229" t="str">
        <f t="shared" ca="1" si="6"/>
        <v>"2084023622" : "hiệu ứng đặc biệt",</v>
      </c>
      <c r="H236" s="229" t="str">
        <f t="shared" si="7"/>
        <v>&lt;li class="col-md-3"&gt;&lt;a class="text-cut" href="javascript:;"(click)="categoryEvent(2084023622)"&gt;{{"2084023622" | translate}}&lt;/a&gt;&lt;/li&gt;</v>
      </c>
    </row>
    <row r="237" spans="1:8" ht="14.25" customHeight="1">
      <c r="A237" s="2">
        <v>2084040564</v>
      </c>
      <c r="B237" s="2" t="s">
        <v>783</v>
      </c>
      <c r="C237" s="2" t="s">
        <v>784</v>
      </c>
      <c r="D237" s="2" t="s">
        <v>785</v>
      </c>
      <c r="E237" s="3" t="str">
        <f ca="1">IFERROR(__xludf.DUMMYFUNCTION("GOOGLETRANSLATE(B237,""ja"",""vi"")"),"nhân vật game")</f>
        <v>nhân vật game</v>
      </c>
      <c r="F237" s="3" t="str">
        <f ca="1">IFERROR(__xludf.DUMMYFUNCTION("GOOGLETRANSLATE(C237,""ja"",""vi"")"),"Đấu giá&gt; đồ chơi, trò chơi&gt; hình&gt; nhân vật game")</f>
        <v>Đấu giá&gt; đồ chơi, trò chơi&gt; hình&gt; nhân vật game</v>
      </c>
      <c r="G237" s="229" t="str">
        <f t="shared" ca="1" si="6"/>
        <v>"2084040564" : "nhân vật game",</v>
      </c>
      <c r="H237" s="229" t="str">
        <f t="shared" si="7"/>
        <v>&lt;li class="col-md-3"&gt;&lt;a class="text-cut" href="javascript:;"(click)="categoryEvent(2084040564)"&gt;{{"2084040564" | translate}}&lt;/a&gt;&lt;/li&gt;</v>
      </c>
    </row>
    <row r="238" spans="1:8" ht="14.25" customHeight="1">
      <c r="A238" s="2">
        <v>2084023799</v>
      </c>
      <c r="B238" s="2" t="s">
        <v>788</v>
      </c>
      <c r="C238" s="2" t="s">
        <v>790</v>
      </c>
      <c r="D238" s="2" t="s">
        <v>792</v>
      </c>
      <c r="E238" s="3" t="str">
        <f ca="1">IFERROR(__xludf.DUMMYFUNCTION("GOOGLETRANSLATE(B238,""ja"",""vi"")"),"SF, Fantasy, Horror")</f>
        <v>SF, Fantasy, Horror</v>
      </c>
      <c r="F238" s="3" t="str">
        <f ca="1">IFERROR(__xludf.DUMMYFUNCTION("GOOGLETRANSLATE(C238,""ja"",""vi"")"),"Đấu giá&gt; đồ chơi, trò chơi&gt; hình&gt; SF, Fantasy, Horror")</f>
        <v>Đấu giá&gt; đồ chơi, trò chơi&gt; hình&gt; SF, Fantasy, Horror</v>
      </c>
      <c r="G238" s="229" t="str">
        <f t="shared" ca="1" si="6"/>
        <v>"2084023799" : "SF, Fantasy, Horror",</v>
      </c>
      <c r="H238" s="229" t="str">
        <f t="shared" si="7"/>
        <v>&lt;li class="col-md-3"&gt;&lt;a class="text-cut" href="javascript:;"(click)="categoryEvent(2084023799)"&gt;{{"2084023799" | translate}}&lt;/a&gt;&lt;/li&gt;</v>
      </c>
    </row>
    <row r="239" spans="1:8" ht="14.25" customHeight="1">
      <c r="A239" s="2">
        <v>21688</v>
      </c>
      <c r="B239" s="2" t="s">
        <v>796</v>
      </c>
      <c r="C239" s="2" t="s">
        <v>797</v>
      </c>
      <c r="D239" s="2" t="s">
        <v>798</v>
      </c>
      <c r="E239" s="3" t="str">
        <f ca="1">IFERROR(__xludf.DUMMYFUNCTION("GOOGLETRANSLATE(B239,""ja"",""vi"")"),"truyện tranh Mỹ")</f>
        <v>truyện tranh Mỹ</v>
      </c>
      <c r="F239" s="3" t="str">
        <f ca="1">IFERROR(__xludf.DUMMYFUNCTION("GOOGLETRANSLATE(C239,""ja"",""vi"")"),"Đấu giá&gt; Đồ chơi, trò chơi&gt; Hình&gt; truyện tranh Mỹ")</f>
        <v>Đấu giá&gt; Đồ chơi, trò chơi&gt; Hình&gt; truyện tranh Mỹ</v>
      </c>
      <c r="G239" s="229" t="str">
        <f t="shared" ca="1" si="6"/>
        <v>"21688" : "truyện tranh Mỹ",</v>
      </c>
      <c r="H239" s="229" t="str">
        <f t="shared" si="7"/>
        <v>&lt;li class="col-md-3"&gt;&lt;a class="text-cut" href="javascript:;"(click)="categoryEvent(21688)"&gt;{{"21688" | translate}}&lt;/a&gt;&lt;/li&gt;</v>
      </c>
    </row>
    <row r="240" spans="1:8" ht="14.25" customHeight="1">
      <c r="A240" s="2">
        <v>25892</v>
      </c>
      <c r="B240" s="2" t="s">
        <v>262</v>
      </c>
      <c r="C240" s="2" t="s">
        <v>801</v>
      </c>
      <c r="D240" s="2" t="s">
        <v>802</v>
      </c>
      <c r="E240" s="3" t="str">
        <f ca="1">IFERROR(__xludf.DUMMYFUNCTION("GOOGLETRANSLATE(B240,""ja"",""vi"")"),"thể thao")</f>
        <v>thể thao</v>
      </c>
      <c r="F240" s="3" t="str">
        <f ca="1">IFERROR(__xludf.DUMMYFUNCTION("GOOGLETRANSLATE(C240,""ja"",""vi"")"),"Đấu giá&gt; Đồ chơi, trò chơi&gt; Hình&gt; Thể Thao")</f>
        <v>Đấu giá&gt; Đồ chơi, trò chơi&gt; Hình&gt; Thể Thao</v>
      </c>
      <c r="G240" s="229" t="str">
        <f t="shared" ca="1" si="6"/>
        <v>"25892" : "thể thao",</v>
      </c>
      <c r="H240" s="229" t="str">
        <f t="shared" si="7"/>
        <v>&lt;li class="col-md-3"&gt;&lt;a class="text-cut" href="javascript:;"(click)="categoryEvent(25892)"&gt;{{"25892" | translate}}&lt;/a&gt;&lt;/li&gt;</v>
      </c>
    </row>
    <row r="241" spans="1:8" ht="14.25" customHeight="1">
      <c r="A241" s="2">
        <v>25890</v>
      </c>
      <c r="B241" s="2" t="s">
        <v>805</v>
      </c>
      <c r="C241" s="2" t="s">
        <v>806</v>
      </c>
      <c r="D241" s="2" t="s">
        <v>807</v>
      </c>
      <c r="E241" s="3" t="str">
        <f ca="1">IFERROR(__xludf.DUMMYFUNCTION("GOOGLETRANSLATE(B241,""ja"",""vi"")"),"quân đội")</f>
        <v>quân đội</v>
      </c>
      <c r="F241" s="3" t="str">
        <f ca="1">IFERROR(__xludf.DUMMYFUNCTION("GOOGLETRANSLATE(C241,""ja"",""vi"")"),"Đấu giá&gt; Đồ chơi, trò chơi&gt; Hình&gt; Quân sự")</f>
        <v>Đấu giá&gt; Đồ chơi, trò chơi&gt; Hình&gt; Quân sự</v>
      </c>
      <c r="G241" s="229" t="str">
        <f t="shared" ca="1" si="6"/>
        <v>"25890" : "quân đội",</v>
      </c>
      <c r="H241" s="229" t="str">
        <f t="shared" si="7"/>
        <v>&lt;li class="col-md-3"&gt;&lt;a class="text-cut" href="javascript:;"(click)="categoryEvent(25890)"&gt;{{"25890" | translate}}&lt;/a&gt;&lt;/li&gt;</v>
      </c>
    </row>
    <row r="242" spans="1:8" ht="14.25" customHeight="1">
      <c r="A242" s="2">
        <v>2084063729</v>
      </c>
      <c r="B242" s="2" t="s">
        <v>812</v>
      </c>
      <c r="C242" s="2" t="s">
        <v>814</v>
      </c>
      <c r="D242" s="2" t="s">
        <v>816</v>
      </c>
      <c r="E242" s="3" t="str">
        <f ca="1">IFERROR(__xludf.DUMMYFUNCTION("GOOGLETRANSLATE(B242,""ja"",""vi"")"),"vật sống")</f>
        <v>vật sống</v>
      </c>
      <c r="F242" s="3" t="str">
        <f ca="1">IFERROR(__xludf.DUMMYFUNCTION("GOOGLETRANSLATE(C242,""ja"",""vi"")"),"Đấu giá&gt; Đồ chơi, trò chơi&gt; Hình&gt; sinh vật")</f>
        <v>Đấu giá&gt; Đồ chơi, trò chơi&gt; Hình&gt; sinh vật</v>
      </c>
      <c r="G242" s="229" t="str">
        <f t="shared" ca="1" si="6"/>
        <v>"2084063729" : "vật sống",</v>
      </c>
      <c r="H242" s="229" t="str">
        <f t="shared" si="7"/>
        <v>&lt;li class="col-md-3"&gt;&lt;a class="text-cut" href="javascript:;"(click)="categoryEvent(2084063729)"&gt;{{"2084063729" | translate}}&lt;/a&gt;&lt;/li&gt;</v>
      </c>
    </row>
    <row r="243" spans="1:8" ht="14.25" customHeight="1">
      <c r="A243" s="2">
        <v>2084023795</v>
      </c>
      <c r="B243" s="2" t="s">
        <v>819</v>
      </c>
      <c r="C243" s="2" t="s">
        <v>820</v>
      </c>
      <c r="D243" s="2" t="s">
        <v>822</v>
      </c>
      <c r="E243" s="3" t="str">
        <f ca="1">IFERROR(__xludf.DUMMYFUNCTION("GOOGLETRANSLATE(B243,""ja"",""vi"")"),"Giải trí, tài năng")</f>
        <v>Giải trí, tài năng</v>
      </c>
      <c r="F243" s="3" t="str">
        <f ca="1">IFERROR(__xludf.DUMMYFUNCTION("GOOGLETRANSLATE(C243,""ja"",""vi"")"),"Đấu giá&gt; Đồ chơi, trò chơi&gt; Hình&gt; giải trí, tài năng")</f>
        <v>Đấu giá&gt; Đồ chơi, trò chơi&gt; Hình&gt; giải trí, tài năng</v>
      </c>
      <c r="G243" s="229" t="str">
        <f t="shared" ca="1" si="6"/>
        <v>"2084023795" : "Giải trí, tài năng",</v>
      </c>
      <c r="H243" s="229" t="str">
        <f t="shared" si="7"/>
        <v>&lt;li class="col-md-3"&gt;&lt;a class="text-cut" href="javascript:;"(click)="categoryEvent(2084023795)"&gt;{{"2084023795" | translate}}&lt;/a&gt;&lt;/li&gt;</v>
      </c>
    </row>
    <row r="244" spans="1:8" ht="14.25" customHeight="1">
      <c r="A244" s="2">
        <v>2084042426</v>
      </c>
      <c r="B244" s="2" t="s">
        <v>827</v>
      </c>
      <c r="C244" s="2" t="s">
        <v>828</v>
      </c>
      <c r="D244" s="2" t="s">
        <v>830</v>
      </c>
      <c r="E244" s="3" t="str">
        <f ca="1">IFERROR(__xludf.DUMMYFUNCTION("GOOGLETRANSLATE(B244,""ja"",""vi"")"),"chơi lịch sử")</f>
        <v>chơi lịch sử</v>
      </c>
      <c r="F244" s="3" t="str">
        <f ca="1">IFERROR(__xludf.DUMMYFUNCTION("GOOGLETRANSLATE(C244,""ja"",""vi"")"),"Đấu giá&gt; Đồ chơi, trò chơi&gt; Hình&gt; phim kỷ nguyên")</f>
        <v>Đấu giá&gt; Đồ chơi, trò chơi&gt; Hình&gt; phim kỷ nguyên</v>
      </c>
      <c r="G244" s="229" t="str">
        <f t="shared" ca="1" si="6"/>
        <v>"2084042426" : "chơi lịch sử",</v>
      </c>
      <c r="H244" s="229" t="str">
        <f t="shared" si="7"/>
        <v>&lt;li class="col-md-3"&gt;&lt;a class="text-cut" href="javascript:;"(click)="categoryEvent(2084042426)"&gt;{{"2084042426" | translate}}&lt;/a&gt;&lt;/li&gt;</v>
      </c>
    </row>
    <row r="245" spans="1:8" ht="14.25" customHeight="1">
      <c r="A245" s="2">
        <v>2084023831</v>
      </c>
      <c r="B245" s="2" t="s">
        <v>836</v>
      </c>
      <c r="C245" s="2" t="s">
        <v>838</v>
      </c>
      <c r="D245" s="2" t="s">
        <v>841</v>
      </c>
      <c r="E245" s="3" t="str">
        <f ca="1">IFERROR(__xludf.DUMMYFUNCTION("GOOGLETRANSLATE(B245,""ja"",""vi"")"),"Sáng tạo, gốc")</f>
        <v>Sáng tạo, gốc</v>
      </c>
      <c r="F245" s="3" t="str">
        <f ca="1">IFERROR(__xludf.DUMMYFUNCTION("GOOGLETRANSLATE(C245,""ja"",""vi"")"),"Đấu giá&gt; Đồ chơi, trò chơi&gt; Hình&gt; sáng tạo, ban đầu")</f>
        <v>Đấu giá&gt; Đồ chơi, trò chơi&gt; Hình&gt; sáng tạo, ban đầu</v>
      </c>
      <c r="G245" s="229" t="str">
        <f t="shared" ca="1" si="6"/>
        <v>"2084023831" : "Sáng tạo, gốc",</v>
      </c>
      <c r="H245" s="229" t="str">
        <f t="shared" si="7"/>
        <v>&lt;li class="col-md-3"&gt;&lt;a class="text-cut" href="javascript:;"(click)="categoryEvent(2084023831)"&gt;{{"2084023831" | translate}}&lt;/a&gt;&lt;/li&gt;</v>
      </c>
    </row>
    <row r="246" spans="1:8" ht="14.25" customHeight="1">
      <c r="A246" s="2">
        <v>25870</v>
      </c>
      <c r="B246" s="2" t="s">
        <v>847</v>
      </c>
      <c r="C246" s="2" t="s">
        <v>850</v>
      </c>
      <c r="D246" s="2" t="s">
        <v>851</v>
      </c>
      <c r="E246" s="3" t="str">
        <f ca="1">IFERROR(__xludf.DUMMYFUNCTION("GOOGLETRANSLATE(B246,""ja"",""vi"")"),"nhân vật búp bê")</f>
        <v>nhân vật búp bê</v>
      </c>
      <c r="F246" s="3" t="str">
        <f ca="1">IFERROR(__xludf.DUMMYFUNCTION("GOOGLETRANSLATE(C246,""ja"",""vi"")"),"Đấu giá&gt; Đồ chơi, trò chơi&gt; Hình&gt; Character Doll")</f>
        <v>Đấu giá&gt; Đồ chơi, trò chơi&gt; Hình&gt; Character Doll</v>
      </c>
      <c r="G246" s="229" t="str">
        <f t="shared" ca="1" si="6"/>
        <v>"25870" : "nhân vật búp bê",</v>
      </c>
      <c r="H246" s="229" t="str">
        <f t="shared" si="7"/>
        <v>&lt;li class="col-md-3"&gt;&lt;a class="text-cut" href="javascript:;"(click)="categoryEvent(25870)"&gt;{{"25870" | translate}}&lt;/a&gt;&lt;/li&gt;</v>
      </c>
    </row>
    <row r="247" spans="1:8" ht="14.25" customHeight="1">
      <c r="A247" s="2">
        <v>2084309436</v>
      </c>
      <c r="B247" s="2" t="s">
        <v>16</v>
      </c>
      <c r="C247" s="2" t="s">
        <v>856</v>
      </c>
      <c r="D247" s="2" t="s">
        <v>857</v>
      </c>
      <c r="E247" s="3" t="str">
        <f ca="1">IFERROR(__xludf.DUMMYFUNCTION("GOOGLETRANSLATE(B247,""ja"",""vi"")"),"nếu không thì")</f>
        <v>nếu không thì</v>
      </c>
      <c r="F247" s="3" t="str">
        <f ca="1">IFERROR(__xludf.DUMMYFUNCTION("GOOGLETRANSLATE(C247,""ja"",""vi"")"),"Đấu giá&gt; đồ chơi, trò chơi&gt; con số&gt; Khác")</f>
        <v>Đấu giá&gt; đồ chơi, trò chơi&gt; con số&gt; Khác</v>
      </c>
      <c r="G247" s="229" t="str">
        <f t="shared" ca="1" si="6"/>
        <v>"2084309436" : "nếu không thì",</v>
      </c>
      <c r="H247" s="229" t="str">
        <f t="shared" si="7"/>
        <v>&lt;li class="col-md-3"&gt;&lt;a class="text-cut" href="javascript:;"(click)="categoryEvent(2084309436)"&gt;{{"2084309436" | translate}}&lt;/a&gt;&lt;/li&gt;</v>
      </c>
    </row>
    <row r="248" spans="1:8" ht="14.25" customHeight="1">
      <c r="E248" s="3"/>
      <c r="F248" s="3"/>
      <c r="G248" s="229"/>
      <c r="H248" s="229"/>
    </row>
    <row r="249" spans="1:8" ht="14.25" customHeight="1">
      <c r="E249" s="3"/>
      <c r="F249" s="3"/>
      <c r="G249" s="229"/>
      <c r="H249" s="229"/>
    </row>
    <row r="250" spans="1:8" ht="14.25" customHeight="1">
      <c r="A250" s="271">
        <v>20428</v>
      </c>
      <c r="B250" s="232"/>
      <c r="C250" s="232"/>
      <c r="D250" s="233"/>
      <c r="E250" s="3"/>
      <c r="F250" s="3"/>
      <c r="G250" s="229"/>
      <c r="H250" s="229"/>
    </row>
    <row r="251" spans="1:8" ht="14.25" customHeight="1">
      <c r="A251" s="2">
        <v>2084005573</v>
      </c>
      <c r="B251" s="2" t="s">
        <v>6432</v>
      </c>
      <c r="C251" s="2" t="s">
        <v>6433</v>
      </c>
      <c r="D251" s="2" t="s">
        <v>6434</v>
      </c>
      <c r="E251" s="3" t="str">
        <f ca="1">IFERROR(__xludf.DUMMYFUNCTION("GOOGLETRANSLATE(B251,""ja"",""vi"")"),"súng đồ chơi")</f>
        <v>súng đồ chơi</v>
      </c>
      <c r="F251" s="3" t="str">
        <f ca="1">IFERROR(__xludf.DUMMYFUNCTION("GOOGLETRANSLATE(C251,""ja"",""vi"")"),"Đấu giá&gt; Sở thích, văn hóa&gt; quân sự&gt; súng đồ chơi")</f>
        <v>Đấu giá&gt; Sở thích, văn hóa&gt; quân sự&gt; súng đồ chơi</v>
      </c>
      <c r="G251" s="229" t="str">
        <f t="shared" ca="1" si="6"/>
        <v>"2084005573" : "súng đồ chơi",</v>
      </c>
      <c r="H251" s="229" t="str">
        <f t="shared" si="7"/>
        <v>&lt;li class="col-md-3"&gt;&lt;a class="text-cut" href="javascript:;"(click)="categoryEvent(2084005573)"&gt;{{"2084005573" | translate}}&lt;/a&gt;&lt;/li&gt;</v>
      </c>
    </row>
    <row r="252" spans="1:8" ht="14.25" customHeight="1">
      <c r="A252" s="2">
        <v>2084005555</v>
      </c>
      <c r="B252" s="2" t="s">
        <v>6437</v>
      </c>
      <c r="C252" s="2" t="s">
        <v>6439</v>
      </c>
      <c r="D252" s="2" t="s">
        <v>6440</v>
      </c>
      <c r="E252" s="3" t="str">
        <f ca="1">IFERROR(__xludf.DUMMYFUNCTION("GOOGLETRANSLATE(B252,""ja"",""vi"")"),"thiết bị cá nhân")</f>
        <v>thiết bị cá nhân</v>
      </c>
      <c r="F252" s="3" t="str">
        <f ca="1">IFERROR(__xludf.DUMMYFUNCTION("GOOGLETRANSLATE(C252,""ja"",""vi"")"),"Đấu giá&gt; Sở thích, văn hóa&gt; quân sự&gt; thiết bị cá nhân")</f>
        <v>Đấu giá&gt; Sở thích, văn hóa&gt; quân sự&gt; thiết bị cá nhân</v>
      </c>
      <c r="G252" s="229" t="str">
        <f t="shared" ca="1" si="6"/>
        <v>"2084005555" : "thiết bị cá nhân",</v>
      </c>
      <c r="H252" s="229" t="str">
        <f t="shared" si="7"/>
        <v>&lt;li class="col-md-3"&gt;&lt;a class="text-cut" href="javascript:;"(click)="categoryEvent(2084005555)"&gt;{{"2084005555" | translate}}&lt;/a&gt;&lt;/li&gt;</v>
      </c>
    </row>
    <row r="253" spans="1:8" ht="14.25" customHeight="1">
      <c r="A253" s="2">
        <v>2084005564</v>
      </c>
      <c r="B253" s="2" t="s">
        <v>6442</v>
      </c>
      <c r="C253" s="2" t="s">
        <v>6444</v>
      </c>
      <c r="D253" s="2" t="s">
        <v>6446</v>
      </c>
      <c r="E253" s="3" t="str">
        <f ca="1">IFERROR(__xludf.DUMMYFUNCTION("GOOGLETRANSLATE(B253,""ja"",""vi"")"),"Phụ kiện, phụ kiện")</f>
        <v>Phụ kiện, phụ kiện</v>
      </c>
      <c r="F253" s="3" t="str">
        <f ca="1">IFERROR(__xludf.DUMMYFUNCTION("GOOGLETRANSLATE(C253,""ja"",""vi"")"),"Đấu giá&gt; Sở thích, văn hóa&gt; Quân sự&gt; phụ kiện, phụ kiện")</f>
        <v>Đấu giá&gt; Sở thích, văn hóa&gt; Quân sự&gt; phụ kiện, phụ kiện</v>
      </c>
      <c r="G253" s="229" t="str">
        <f t="shared" ca="1" si="6"/>
        <v>"2084005564" : "Phụ kiện, phụ kiện",</v>
      </c>
      <c r="H253" s="229" t="str">
        <f t="shared" si="7"/>
        <v>&lt;li class="col-md-3"&gt;&lt;a class="text-cut" href="javascript:;"(click)="categoryEvent(2084005564)"&gt;{{"2084005564" | translate}}&lt;/a&gt;&lt;/li&gt;</v>
      </c>
    </row>
    <row r="254" spans="1:8" ht="14.25" customHeight="1">
      <c r="A254" s="2">
        <v>25890</v>
      </c>
      <c r="B254" s="2" t="s">
        <v>357</v>
      </c>
      <c r="C254" s="2" t="s">
        <v>6449</v>
      </c>
      <c r="D254" s="2" t="s">
        <v>6451</v>
      </c>
      <c r="E254" s="3" t="str">
        <f ca="1">IFERROR(__xludf.DUMMYFUNCTION("GOOGLETRANSLATE(B254,""ja"",""vi"")"),"nhân vật")</f>
        <v>nhân vật</v>
      </c>
      <c r="F254" s="3" t="str">
        <f ca="1">IFERROR(__xludf.DUMMYFUNCTION("GOOGLETRANSLATE(C254,""ja"",""vi"")"),"Đấu giá&gt; Sở thích, văn hóa&gt; Quân sự&gt; Hình")</f>
        <v>Đấu giá&gt; Sở thích, văn hóa&gt; Quân sự&gt; Hình</v>
      </c>
      <c r="G254" s="229" t="str">
        <f t="shared" ca="1" si="6"/>
        <v>"25890" : "nhân vật",</v>
      </c>
      <c r="H254" s="229" t="str">
        <f t="shared" si="7"/>
        <v>&lt;li class="col-md-3"&gt;&lt;a class="text-cut" href="javascript:;"(click)="categoryEvent(25890)"&gt;{{"25890" | translate}}&lt;/a&gt;&lt;/li&gt;</v>
      </c>
    </row>
    <row r="255" spans="1:8" ht="14.25" customHeight="1">
      <c r="A255" s="2">
        <v>2084047143</v>
      </c>
      <c r="B255" s="2" t="s">
        <v>380</v>
      </c>
      <c r="C255" s="2" t="s">
        <v>6455</v>
      </c>
      <c r="D255" s="2" t="s">
        <v>6456</v>
      </c>
      <c r="E255" s="3" t="str">
        <f ca="1">IFERROR(__xludf.DUMMYFUNCTION("GOOGLETRANSLATE(B255,""ja"",""vi"")"),"DVD")</f>
        <v>DVD</v>
      </c>
      <c r="F255" s="3" t="str">
        <f ca="1">IFERROR(__xludf.DUMMYFUNCTION("GOOGLETRANSLATE(C255,""ja"",""vi"")"),"Đấu giá&gt; Sở thích, văn hóa&gt; Quân sự&gt; DVD")</f>
        <v>Đấu giá&gt; Sở thích, văn hóa&gt; Quân sự&gt; DVD</v>
      </c>
      <c r="G255" s="229" t="str">
        <f t="shared" ca="1" si="6"/>
        <v>"2084047143" : "DVD",</v>
      </c>
      <c r="H255" s="229" t="str">
        <f t="shared" si="7"/>
        <v>&lt;li class="col-md-3"&gt;&lt;a class="text-cut" href="javascript:;"(click)="categoryEvent(2084047143)"&gt;{{"2084047143" | translate}}&lt;/a&gt;&lt;/li&gt;</v>
      </c>
    </row>
    <row r="256" spans="1:8" ht="14.25" customHeight="1">
      <c r="A256" s="2">
        <v>2084047018</v>
      </c>
      <c r="B256" s="2" t="s">
        <v>386</v>
      </c>
      <c r="C256" s="2" t="s">
        <v>6460</v>
      </c>
      <c r="D256" s="2" t="s">
        <v>6461</v>
      </c>
      <c r="E256" s="3" t="str">
        <f ca="1">IFERROR(__xludf.DUMMYFUNCTION("GOOGLETRANSLATE(B256,""ja"",""vi"")"),"video")</f>
        <v>video</v>
      </c>
      <c r="F256" s="3" t="str">
        <f ca="1">IFERROR(__xludf.DUMMYFUNCTION("GOOGLETRANSLATE(C256,""ja"",""vi"")"),"Đấu giá&gt; Sở thích, văn hóa&gt; Quân sự&gt; Video")</f>
        <v>Đấu giá&gt; Sở thích, văn hóa&gt; Quân sự&gt; Video</v>
      </c>
      <c r="G256" s="229" t="str">
        <f t="shared" ca="1" si="6"/>
        <v>"2084047018" : "video",</v>
      </c>
      <c r="H256" s="229" t="str">
        <f t="shared" si="7"/>
        <v>&lt;li class="col-md-3"&gt;&lt;a class="text-cut" href="javascript:;"(click)="categoryEvent(2084047018)"&gt;{{"2084047018" | translate}}&lt;/a&gt;&lt;/li&gt;</v>
      </c>
    </row>
    <row r="257" spans="1:8" ht="14.25" customHeight="1">
      <c r="A257" s="2">
        <v>2084057815</v>
      </c>
      <c r="B257" s="2" t="s">
        <v>6464</v>
      </c>
      <c r="C257" s="2" t="s">
        <v>6466</v>
      </c>
      <c r="D257" s="2" t="s">
        <v>6467</v>
      </c>
      <c r="E257" s="3" t="str">
        <f ca="1">IFERROR(__xludf.DUMMYFUNCTION("GOOGLETRANSLATE(B257,""ja"",""vi"")"),"vành nón")</f>
        <v>vành nón</v>
      </c>
      <c r="F257" s="3" t="str">
        <f ca="1">IFERROR(__xludf.DUMMYFUNCTION("GOOGLETRANSLATE(C257,""ja"",""vi"")"),"Đấu giá&gt; Sở thích, văn hóa&gt; Quân sự&gt; vành")</f>
        <v>Đấu giá&gt; Sở thích, văn hóa&gt; Quân sự&gt; vành</v>
      </c>
      <c r="G257" s="229" t="str">
        <f t="shared" ca="1" si="6"/>
        <v>"2084057815" : "vành nón",</v>
      </c>
      <c r="H257" s="229" t="str">
        <f t="shared" si="7"/>
        <v>&lt;li class="col-md-3"&gt;&lt;a class="text-cut" href="javascript:;"(click)="categoryEvent(2084057815)"&gt;{{"2084057815" | translate}}&lt;/a&gt;&lt;/li&gt;</v>
      </c>
    </row>
    <row r="258" spans="1:8" ht="14.25" customHeight="1">
      <c r="A258" s="2">
        <v>20448</v>
      </c>
      <c r="B258" s="2" t="s">
        <v>16</v>
      </c>
      <c r="C258" s="2" t="s">
        <v>6473</v>
      </c>
      <c r="D258" s="2" t="s">
        <v>6475</v>
      </c>
      <c r="E258" s="3" t="str">
        <f ca="1">IFERROR(__xludf.DUMMYFUNCTION("GOOGLETRANSLATE(B258,""ja"",""vi"")"),"nếu không thì")</f>
        <v>nếu không thì</v>
      </c>
      <c r="F258" s="3" t="str">
        <f ca="1">IFERROR(__xludf.DUMMYFUNCTION("GOOGLETRANSLATE(C258,""ja"",""vi"")"),"Đấu giá&gt; Sở thích, văn hóa&gt; Military&gt; Khác")</f>
        <v>Đấu giá&gt; Sở thích, văn hóa&gt; Military&gt; Khác</v>
      </c>
      <c r="G258" s="229" t="str">
        <f t="shared" ca="1" si="6"/>
        <v>"20448" : "nếu không thì",</v>
      </c>
      <c r="H258" s="229" t="str">
        <f t="shared" si="7"/>
        <v>&lt;li class="col-md-3"&gt;&lt;a class="text-cut" href="javascript:;"(click)="categoryEvent(20448)"&gt;{{"20448" | translate}}&lt;/a&gt;&lt;/li&gt;</v>
      </c>
    </row>
    <row r="259" spans="1:8" ht="14.25" customHeight="1"/>
    <row r="260" spans="1:8" ht="14.25" customHeight="1"/>
    <row r="261" spans="1:8" ht="14.25" customHeight="1"/>
    <row r="262" spans="1:8" ht="14.25" customHeight="1"/>
    <row r="263" spans="1:8" ht="14.25" customHeight="1"/>
    <row r="264" spans="1:8" ht="14.25" customHeight="1"/>
    <row r="265" spans="1:8" ht="14.25" customHeight="1"/>
    <row r="266" spans="1:8" ht="14.25" customHeight="1"/>
    <row r="267" spans="1:8" ht="14.25" customHeight="1"/>
    <row r="268" spans="1:8" ht="14.25" customHeight="1"/>
    <row r="269" spans="1:8" ht="14.25" customHeight="1"/>
    <row r="270" spans="1:8" ht="14.25" customHeight="1"/>
    <row r="271" spans="1:8" ht="14.25" customHeight="1"/>
    <row r="272" spans="1:8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27:D27"/>
    <mergeCell ref="A40:D40"/>
    <mergeCell ref="A46:D46"/>
    <mergeCell ref="A75:D75"/>
    <mergeCell ref="A137:D137"/>
    <mergeCell ref="A132:D132"/>
    <mergeCell ref="A55:D55"/>
    <mergeCell ref="A68:D68"/>
    <mergeCell ref="A87:D87"/>
    <mergeCell ref="A99:D99"/>
    <mergeCell ref="A109:D109"/>
    <mergeCell ref="A116:D116"/>
    <mergeCell ref="A214:D214"/>
    <mergeCell ref="A206:D206"/>
    <mergeCell ref="A234:D234"/>
    <mergeCell ref="A250:D250"/>
    <mergeCell ref="A144:D144"/>
    <mergeCell ref="A152:D152"/>
    <mergeCell ref="A160:D160"/>
    <mergeCell ref="A171:D171"/>
    <mergeCell ref="A182:D18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C1" workbookViewId="0">
      <selection activeCell="G2" sqref="G2"/>
    </sheetView>
  </sheetViews>
  <sheetFormatPr defaultColWidth="12.59765625" defaultRowHeight="15" customHeight="1"/>
  <cols>
    <col min="1" max="1" width="16.3984375" customWidth="1"/>
    <col min="2" max="2" width="20.8984375" customWidth="1"/>
    <col min="3" max="3" width="22.09765625" customWidth="1"/>
    <col min="4" max="4" width="36.59765625" customWidth="1"/>
    <col min="5" max="5" width="14.59765625" customWidth="1"/>
    <col min="6" max="6" width="18.796875" customWidth="1"/>
    <col min="7" max="7" width="32.796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2084307720</v>
      </c>
      <c r="B2" s="2" t="s">
        <v>34</v>
      </c>
      <c r="C2" s="2" t="s">
        <v>117</v>
      </c>
      <c r="D2" s="2" t="s">
        <v>118</v>
      </c>
      <c r="E2" s="11" t="str">
        <f ca="1">IFERROR(__xludf.DUMMYFUNCTION("GOOGLETRANSLATE(B2,""ja"",""vi"")"),"tiền thuê")</f>
        <v>tiền thuê</v>
      </c>
      <c r="F2" s="3" t="str">
        <f ca="1">IFERROR(__xludf.DUMMYFUNCTION("GOOGLETRANSLATE(C2,""ja"",""vi"")"),"Đấu giá&gt; Khác&gt; Cho thuê")</f>
        <v>Đấu giá&gt; Khác&gt; Cho thuê</v>
      </c>
      <c r="G2" s="227" t="str">
        <f ca="1">CONCATENATE(CHAR(34)&amp;"",A2,""&amp;CHAR(34)," : ", CHAR(34)&amp;"",E2,""&amp;CHAR(34),",")</f>
        <v>"2084307720" : "tiền thuê",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href="javascript:;"(click)="categoryEvent(2084307720)"&gt;{{"2084307720" | translate}}&lt;/a&gt;&lt;/li&gt;</v>
      </c>
    </row>
    <row r="3" spans="1:8" ht="14.25" customHeight="1">
      <c r="A3" s="4">
        <v>2084307721</v>
      </c>
      <c r="B3" s="4" t="s">
        <v>128</v>
      </c>
      <c r="C3" s="4" t="s">
        <v>129</v>
      </c>
      <c r="D3" s="4" t="s">
        <v>130</v>
      </c>
      <c r="E3" s="11" t="str">
        <f ca="1">IFERROR(__xludf.DUMMYFUNCTION("GOOGLETRANSLATE(B3,""ja"",""vi"")"),"Kỹ năng, kiến ​​thức")</f>
        <v>Kỹ năng, kiến ​​thức</v>
      </c>
      <c r="F3" s="3" t="str">
        <f ca="1">IFERROR(__xludf.DUMMYFUNCTION("GOOGLETRANSLATE(C3,""ja"",""vi"")"),"Đấu giá&gt; Khác&gt; kỹ năng, kiến ​​thức")</f>
        <v>Đấu giá&gt; Khác&gt; kỹ năng, kiến ​​thức</v>
      </c>
      <c r="G3" s="227" t="str">
        <f t="shared" ref="G3:G7" ca="1" si="0">CONCATENATE(CHAR(34)&amp;"",A3,""&amp;CHAR(34)," : ", CHAR(34)&amp;"",E3,""&amp;CHAR(34),",")</f>
        <v>"2084307721" : "Kỹ năng, kiến ​​thức",</v>
      </c>
      <c r="H3" s="229" t="str">
        <f t="shared" ref="H3:H33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href="javascript:;"(click)="categoryEvent(2084307721)"&gt;{{"2084307721" | translate}}&lt;/a&gt;&lt;/li&gt;</v>
      </c>
    </row>
    <row r="4" spans="1:8" ht="14.25" customHeight="1">
      <c r="A4" s="8">
        <v>2084214140</v>
      </c>
      <c r="B4" s="8" t="s">
        <v>133</v>
      </c>
      <c r="C4" s="8" t="s">
        <v>134</v>
      </c>
      <c r="D4" s="8" t="s">
        <v>135</v>
      </c>
      <c r="E4" s="11" t="str">
        <f ca="1">IFERROR(__xludf.DUMMYFUNCTION("GOOGLETRANSLATE(B4,""ja"",""vi"")"),"Sửa chữa, lắp đặt")</f>
        <v>Sửa chữa, lắp đặt</v>
      </c>
      <c r="F4" s="3" t="str">
        <f ca="1">IFERROR(__xludf.DUMMYFUNCTION("GOOGLETRANSLATE(C4,""ja"",""vi"")"),"Đấu giá&gt; Khác&gt; sửa chữa, lắp đặt")</f>
        <v>Đấu giá&gt; Khác&gt; sửa chữa, lắp đặt</v>
      </c>
      <c r="G4" s="227" t="str">
        <f t="shared" ca="1" si="0"/>
        <v>"2084214140" : "Sửa chữa, lắp đặt",</v>
      </c>
      <c r="H4" s="229" t="str">
        <f t="shared" si="1"/>
        <v>&lt;li class="col-md-3"&gt;&lt;a class="text-cut" href="javascript:;"(click)="categoryEvent(2084214140)"&gt;{{"2084214140" | translate}}&lt;/a&gt;&lt;/li&gt;</v>
      </c>
    </row>
    <row r="5" spans="1:8" ht="14.25" customHeight="1">
      <c r="A5" s="6">
        <v>2084241301</v>
      </c>
      <c r="B5" s="6" t="s">
        <v>139</v>
      </c>
      <c r="C5" s="6" t="s">
        <v>143</v>
      </c>
      <c r="D5" s="6" t="s">
        <v>144</v>
      </c>
      <c r="E5" s="11" t="str">
        <f ca="1">IFERROR(__xludf.DUMMYFUNCTION("GOOGLETRANSLATE(B5,""ja"",""vi"")"),"Neta")</f>
        <v>Neta</v>
      </c>
      <c r="F5" s="3" t="str">
        <f ca="1">IFERROR(__xludf.DUMMYFUNCTION("GOOGLETRANSLATE(C5,""ja"",""vi"")"),"Đấu giá&gt; Khác&gt; Neta")</f>
        <v>Đấu giá&gt; Khác&gt; Neta</v>
      </c>
      <c r="G5" s="227" t="str">
        <f t="shared" ca="1" si="0"/>
        <v>"2084241301" : "Neta",</v>
      </c>
      <c r="H5" s="229" t="str">
        <f t="shared" si="1"/>
        <v>&lt;li class="col-md-3"&gt;&lt;a class="text-cut" href="javascript:;"(click)="categoryEvent(2084241301)"&gt;{{"2084241301" | translate}}&lt;/a&gt;&lt;/li&gt;</v>
      </c>
    </row>
    <row r="6" spans="1:8" ht="14.25" customHeight="1">
      <c r="A6" s="7">
        <v>2084053052</v>
      </c>
      <c r="B6" s="7" t="s">
        <v>147</v>
      </c>
      <c r="C6" s="7" t="s">
        <v>149</v>
      </c>
      <c r="D6" s="7" t="s">
        <v>151</v>
      </c>
      <c r="E6" s="11" t="str">
        <f ca="1">IFERROR(__xludf.DUMMYFUNCTION("GOOGLETRANSLATE(B6,""ja"",""vi"")"),"Thông tin")</f>
        <v>Thông tin</v>
      </c>
      <c r="F6" s="3" t="str">
        <f ca="1">IFERROR(__xludf.DUMMYFUNCTION("GOOGLETRANSLATE(C6,""ja"",""vi"")"),"Đấu giá&gt; Khác&gt; Thông tin")</f>
        <v>Đấu giá&gt; Khác&gt; Thông tin</v>
      </c>
      <c r="G6" s="227" t="str">
        <f t="shared" ca="1" si="0"/>
        <v>"2084053052" : "Thông tin",</v>
      </c>
      <c r="H6" s="229" t="str">
        <f t="shared" si="1"/>
        <v>&lt;li class="col-md-3"&gt;&lt;a class="text-cut" href="javascript:;"(click)="categoryEvent(2084053052)"&gt;{{"2084053052" | translate}}&lt;/a&gt;&lt;/li&gt;</v>
      </c>
    </row>
    <row r="7" spans="1:8" ht="14.25" customHeight="1">
      <c r="A7" s="16">
        <v>26395</v>
      </c>
      <c r="B7" s="16" t="s">
        <v>16</v>
      </c>
      <c r="C7" s="16" t="s">
        <v>160</v>
      </c>
      <c r="D7" s="16" t="s">
        <v>161</v>
      </c>
      <c r="E7" s="11" t="str">
        <f ca="1">IFERROR(__xludf.DUMMYFUNCTION("GOOGLETRANSLATE(B7,""ja"",""vi"")"),"nếu không thì")</f>
        <v>nếu không thì</v>
      </c>
      <c r="F7" s="3" t="str">
        <f ca="1">IFERROR(__xludf.DUMMYFUNCTION("GOOGLETRANSLATE(C7,""ja"",""vi"")"),"Đấu giá&gt; Khác&gt; Khác")</f>
        <v>Đấu giá&gt; Khác&gt; Khác</v>
      </c>
      <c r="G7" s="227" t="str">
        <f t="shared" ca="1" si="0"/>
        <v>"26395" : "nếu không thì",</v>
      </c>
      <c r="H7" s="229" t="str">
        <f t="shared" si="1"/>
        <v>&lt;li class="col-md-3"&gt;&lt;a class="text-cut" href="javascript:;"(click)="categoryEvent(26395)"&gt;{{"26395" | translate}}&lt;/a&gt;&lt;/li&gt;</v>
      </c>
    </row>
    <row r="8" spans="1:8" ht="14.25" customHeight="1">
      <c r="E8" s="11"/>
      <c r="F8" s="3"/>
      <c r="H8" s="229"/>
    </row>
    <row r="9" spans="1:8" ht="25.5" customHeight="1">
      <c r="A9" s="231">
        <v>2084307720</v>
      </c>
      <c r="B9" s="232"/>
      <c r="C9" s="232"/>
      <c r="D9" s="233"/>
      <c r="E9" s="11"/>
      <c r="F9" s="3"/>
      <c r="H9" s="229"/>
    </row>
    <row r="10" spans="1:8" ht="14.25" customHeight="1">
      <c r="A10" s="2">
        <v>2084307762</v>
      </c>
      <c r="B10" s="2" t="s">
        <v>165</v>
      </c>
      <c r="C10" s="2" t="s">
        <v>166</v>
      </c>
      <c r="D10" s="2" t="s">
        <v>169</v>
      </c>
      <c r="E10" s="11" t="str">
        <f ca="1">IFERROR(__xludf.DUMMYFUNCTION("GOOGLETRANSLATE(B10,""ja"",""vi"")"),"Thể thao, giải trí")</f>
        <v>Thể thao, giải trí</v>
      </c>
      <c r="F10" s="3" t="str">
        <f ca="1">IFERROR(__xludf.DUMMYFUNCTION("GOOGLETRANSLATE(C10,""ja"",""vi"")"),"Đấu giá&gt; Khác&gt; Cho thuê&gt; thể thao, giải trí")</f>
        <v>Đấu giá&gt; Khác&gt; Cho thuê&gt; thể thao, giải trí</v>
      </c>
      <c r="G10" s="227" t="str">
        <f ca="1">CONCATENATE(CHAR(34)&amp;"",A10,""&amp;CHAR(34)," : ", CHAR(34)&amp;"",E10,""&amp;CHAR(34),",")</f>
        <v>"2084307762" : "Thể thao, giải trí",</v>
      </c>
      <c r="H10" s="229" t="str">
        <f t="shared" si="1"/>
        <v>&lt;li class="col-md-3"&gt;&lt;a class="text-cut" href="javascript:;"(click)="categoryEvent(2084307762)"&gt;{{"2084307762" | translate}}&lt;/a&gt;&lt;/li&gt;</v>
      </c>
    </row>
    <row r="11" spans="1:8" ht="14.25" customHeight="1">
      <c r="A11" s="2">
        <v>2084307769</v>
      </c>
      <c r="B11" s="2" t="s">
        <v>174</v>
      </c>
      <c r="C11" s="2" t="s">
        <v>175</v>
      </c>
      <c r="D11" s="2" t="s">
        <v>176</v>
      </c>
      <c r="E11" s="11" t="str">
        <f ca="1">IFERROR(__xludf.DUMMYFUNCTION("GOOGLETRANSLATE(B11,""ja"",""vi"")"),"kiểu")</f>
        <v>kiểu</v>
      </c>
      <c r="F11" s="3" t="str">
        <f ca="1">IFERROR(__xludf.DUMMYFUNCTION("GOOGLETRANSLATE(C11,""ja"",""vi"")"),"Đấu giá&gt; Khác&gt; Cho thuê&gt; Thời trang")</f>
        <v>Đấu giá&gt; Khác&gt; Cho thuê&gt; Thời trang</v>
      </c>
      <c r="G11" s="227" t="str">
        <f t="shared" ref="G11:G19" ca="1" si="2">CONCATENATE(CHAR(34)&amp;"",A11,""&amp;CHAR(34)," : ", CHAR(34)&amp;"",E11,""&amp;CHAR(34),",")</f>
        <v>"2084307769" : "kiểu",</v>
      </c>
      <c r="H11" s="229" t="str">
        <f t="shared" si="1"/>
        <v>&lt;li class="col-md-3"&gt;&lt;a class="text-cut" href="javascript:;"(click)="categoryEvent(2084307769)"&gt;{{"2084307769" | translate}}&lt;/a&gt;&lt;/li&gt;</v>
      </c>
    </row>
    <row r="12" spans="1:8" ht="14.25" customHeight="1">
      <c r="A12" s="2">
        <v>2084307775</v>
      </c>
      <c r="B12" s="2" t="s">
        <v>179</v>
      </c>
      <c r="C12" s="2" t="s">
        <v>181</v>
      </c>
      <c r="D12" s="2" t="s">
        <v>182</v>
      </c>
      <c r="E12" s="11" t="str">
        <f ca="1">IFERROR(__xludf.DUMMYFUNCTION("GOOGLETRANSLATE(B12,""ja"",""vi"")"),"không gian")</f>
        <v>không gian</v>
      </c>
      <c r="F12" s="3" t="str">
        <f ca="1">IFERROR(__xludf.DUMMYFUNCTION("GOOGLETRANSLATE(C12,""ja"",""vi"")"),"Đấu giá&gt; Khác&gt; Cho thuê&gt; không gian")</f>
        <v>Đấu giá&gt; Khác&gt; Cho thuê&gt; không gian</v>
      </c>
      <c r="G12" s="227" t="str">
        <f t="shared" ca="1" si="2"/>
        <v>"2084307775" : "không gian",</v>
      </c>
      <c r="H12" s="229" t="str">
        <f t="shared" si="1"/>
        <v>&lt;li class="col-md-3"&gt;&lt;a class="text-cut" href="javascript:;"(click)="categoryEvent(2084307775)"&gt;{{"2084307775" | translate}}&lt;/a&gt;&lt;/li&gt;</v>
      </c>
    </row>
    <row r="13" spans="1:8" ht="14.25" customHeight="1">
      <c r="A13" s="2">
        <v>2084307780</v>
      </c>
      <c r="B13" s="2" t="s">
        <v>183</v>
      </c>
      <c r="C13" s="2" t="s">
        <v>185</v>
      </c>
      <c r="D13" s="2" t="s">
        <v>187</v>
      </c>
      <c r="E13" s="11" t="str">
        <f ca="1">IFERROR(__xludf.DUMMYFUNCTION("GOOGLETRANSLATE(B13,""ja"",""vi"")"),"Bất động sản")</f>
        <v>Bất động sản</v>
      </c>
      <c r="F13" s="3" t="str">
        <f ca="1">IFERROR(__xludf.DUMMYFUNCTION("GOOGLETRANSLATE(C13,""ja"",""vi"")"),"Đấu giá&gt; Khác&gt; Cho thuê&gt; Bất động sản")</f>
        <v>Đấu giá&gt; Khác&gt; Cho thuê&gt; Bất động sản</v>
      </c>
      <c r="G13" s="227" t="str">
        <f t="shared" ca="1" si="2"/>
        <v>"2084307780" : "Bất động sản",</v>
      </c>
      <c r="H13" s="229" t="str">
        <f t="shared" si="1"/>
        <v>&lt;li class="col-md-3"&gt;&lt;a class="text-cut" href="javascript:;"(click)="categoryEvent(2084307780)"&gt;{{"2084307780" | translate}}&lt;/a&gt;&lt;/li&gt;</v>
      </c>
    </row>
    <row r="14" spans="1:8" ht="14.25" customHeight="1">
      <c r="A14" s="2">
        <v>2084307785</v>
      </c>
      <c r="B14" s="2" t="s">
        <v>189</v>
      </c>
      <c r="C14" s="2" t="s">
        <v>190</v>
      </c>
      <c r="D14" s="2" t="s">
        <v>191</v>
      </c>
      <c r="E14" s="11" t="str">
        <f ca="1">IFERROR(__xludf.DUMMYFUNCTION("GOOGLETRANSLATE(B14,""ja"",""vi"")"),"máy chụp ảnh")</f>
        <v>máy chụp ảnh</v>
      </c>
      <c r="F14" s="3" t="str">
        <f ca="1">IFERROR(__xludf.DUMMYFUNCTION("GOOGLETRANSLATE(C14,""ja"",""vi"")"),"Đấu giá&gt; Khác&gt; Cho thuê&gt; camera")</f>
        <v>Đấu giá&gt; Khác&gt; Cho thuê&gt; camera</v>
      </c>
      <c r="G14" s="227" t="str">
        <f t="shared" ca="1" si="2"/>
        <v>"2084307785" : "máy chụp ảnh",</v>
      </c>
      <c r="H14" s="229" t="str">
        <f t="shared" si="1"/>
        <v>&lt;li class="col-md-3"&gt;&lt;a class="text-cut" href="javascript:;"(click)="categoryEvent(2084307785)"&gt;{{"2084307785" | translate}}&lt;/a&gt;&lt;/li&gt;</v>
      </c>
    </row>
    <row r="15" spans="1:8" ht="14.25" customHeight="1">
      <c r="A15" s="2">
        <v>2084310199</v>
      </c>
      <c r="B15" s="2" t="s">
        <v>192</v>
      </c>
      <c r="C15" s="2" t="s">
        <v>193</v>
      </c>
      <c r="D15" s="2" t="s">
        <v>194</v>
      </c>
      <c r="E15" s="11" t="str">
        <f ca="1">IFERROR(__xludf.DUMMYFUNCTION("GOOGLETRANSLATE(B15,""ja"",""vi"")"),"Đồ chơi, trò chơi, cosplay")</f>
        <v>Đồ chơi, trò chơi, cosplay</v>
      </c>
      <c r="F15" s="3" t="str">
        <f ca="1">IFERROR(__xludf.DUMMYFUNCTION("GOOGLETRANSLATE(C15,""ja"",""vi"")"),"Đấu giá&gt; Khác&gt; Cho thuê&gt; đồ chơi, trò chơi, cosplay")</f>
        <v>Đấu giá&gt; Khác&gt; Cho thuê&gt; đồ chơi, trò chơi, cosplay</v>
      </c>
      <c r="G15" s="227" t="str">
        <f t="shared" ca="1" si="2"/>
        <v>"2084310199" : "Đồ chơi, trò chơi, cosplay",</v>
      </c>
      <c r="H15" s="229" t="str">
        <f t="shared" si="1"/>
        <v>&lt;li class="col-md-3"&gt;&lt;a class="text-cut" href="javascript:;"(click)="categoryEvent(2084310199)"&gt;{{"2084310199" | translate}}&lt;/a&gt;&lt;/li&gt;</v>
      </c>
    </row>
    <row r="16" spans="1:8" ht="14.25" customHeight="1">
      <c r="A16" s="2">
        <v>2084307788</v>
      </c>
      <c r="B16" s="2" t="s">
        <v>198</v>
      </c>
      <c r="C16" s="2" t="s">
        <v>201</v>
      </c>
      <c r="D16" s="2" t="s">
        <v>202</v>
      </c>
      <c r="E16" s="11" t="str">
        <f ca="1">IFERROR(__xludf.DUMMYFUNCTION("GOOGLETRANSLATE(B16,""ja"",""vi"")"),"Tranh vẽ trên vải, hàng thủ công")</f>
        <v>Tranh vẽ trên vải, hàng thủ công</v>
      </c>
      <c r="F16" s="3" t="str">
        <f ca="1">IFERROR(__xludf.DUMMYFUNCTION("GOOGLETRANSLATE(C16,""ja"",""vi"")"),"Đấu giá&gt; Khác&gt; Cho thuê&gt; bức tranh, đồ thủ công")</f>
        <v>Đấu giá&gt; Khác&gt; Cho thuê&gt; bức tranh, đồ thủ công</v>
      </c>
      <c r="G16" s="227" t="str">
        <f t="shared" ca="1" si="2"/>
        <v>"2084307788" : "Tranh vẽ trên vải, hàng thủ công",</v>
      </c>
      <c r="H16" s="229" t="str">
        <f t="shared" si="1"/>
        <v>&lt;li class="col-md-3"&gt;&lt;a class="text-cut" href="javascript:;"(click)="categoryEvent(2084307788)"&gt;{{"2084307788" | translate}}&lt;/a&gt;&lt;/li&gt;</v>
      </c>
    </row>
    <row r="17" spans="1:8" ht="14.25" customHeight="1">
      <c r="A17" s="2">
        <v>2084307790</v>
      </c>
      <c r="B17" s="2" t="s">
        <v>209</v>
      </c>
      <c r="C17" s="2" t="s">
        <v>211</v>
      </c>
      <c r="D17" s="2" t="s">
        <v>212</v>
      </c>
      <c r="E17" s="11" t="str">
        <f ca="1">IFERROR(__xludf.DUMMYFUNCTION("GOOGLETRANSLATE(B17,""ja"",""vi"")"),"nhạc cụ")</f>
        <v>nhạc cụ</v>
      </c>
      <c r="F17" s="3" t="str">
        <f ca="1">IFERROR(__xludf.DUMMYFUNCTION("GOOGLETRANSLATE(C17,""ja"",""vi"")"),"Đấu giá&gt; Khác&gt; Cho thuê&gt; Nhạc cụ")</f>
        <v>Đấu giá&gt; Khác&gt; Cho thuê&gt; Nhạc cụ</v>
      </c>
      <c r="G17" s="227" t="str">
        <f t="shared" ca="1" si="2"/>
        <v>"2084307790" : "nhạc cụ",</v>
      </c>
      <c r="H17" s="229" t="str">
        <f t="shared" si="1"/>
        <v>&lt;li class="col-md-3"&gt;&lt;a class="text-cut" href="javascript:;"(click)="categoryEvent(2084307790)"&gt;{{"2084307790" | translate}}&lt;/a&gt;&lt;/li&gt;</v>
      </c>
    </row>
    <row r="18" spans="1:8" ht="14.25" customHeight="1">
      <c r="A18" s="2">
        <v>2084307793</v>
      </c>
      <c r="B18" s="2" t="s">
        <v>213</v>
      </c>
      <c r="C18" s="2" t="s">
        <v>214</v>
      </c>
      <c r="D18" s="2" t="s">
        <v>216</v>
      </c>
      <c r="E18" s="11" t="str">
        <f ca="1">IFERROR(__xludf.DUMMYFUNCTION("GOOGLETRANSLATE(B18,""ja"",""vi"")"),"Văn phòng, vật tư cửa hàng")</f>
        <v>Văn phòng, vật tư cửa hàng</v>
      </c>
      <c r="F18" s="3" t="str">
        <f ca="1">IFERROR(__xludf.DUMMYFUNCTION("GOOGLETRANSLATE(C18,""ja"",""vi"")"),"Đấu giá&gt; Khác&gt; Cho thuê&gt; Văn phòng, vật tư cửa hàng")</f>
        <v>Đấu giá&gt; Khác&gt; Cho thuê&gt; Văn phòng, vật tư cửa hàng</v>
      </c>
      <c r="G18" s="227" t="str">
        <f t="shared" ca="1" si="2"/>
        <v>"2084307793" : "Văn phòng, vật tư cửa hàng",</v>
      </c>
      <c r="H18" s="229" t="str">
        <f t="shared" si="1"/>
        <v>&lt;li class="col-md-3"&gt;&lt;a class="text-cut" href="javascript:;"(click)="categoryEvent(2084307793)"&gt;{{"2084307793" | translate}}&lt;/a&gt;&lt;/li&gt;</v>
      </c>
    </row>
    <row r="19" spans="1:8" ht="14.25" customHeight="1">
      <c r="A19" s="2">
        <v>2084307797</v>
      </c>
      <c r="B19" s="2" t="s">
        <v>220</v>
      </c>
      <c r="C19" s="2" t="s">
        <v>223</v>
      </c>
      <c r="D19" s="2" t="s">
        <v>224</v>
      </c>
      <c r="E19" s="11" t="str">
        <f ca="1">IFERROR(__xludf.DUMMYFUNCTION("GOOGLETRANSLATE(B19,""ja"",""vi"")"),"Nhà, nội thất")</f>
        <v>Nhà, nội thất</v>
      </c>
      <c r="F19" s="3" t="str">
        <f ca="1">IFERROR(__xludf.DUMMYFUNCTION("GOOGLETRANSLATE(C19,""ja"",""vi"")"),"Đấu giá&gt; Khác&gt; Thuê&gt; nhà, nội thất")</f>
        <v>Đấu giá&gt; Khác&gt; Thuê&gt; nhà, nội thất</v>
      </c>
      <c r="G19" s="227" t="str">
        <f t="shared" ca="1" si="2"/>
        <v>"2084307797" : "Nhà, nội thất",</v>
      </c>
      <c r="H19" s="229" t="str">
        <f t="shared" si="1"/>
        <v>&lt;li class="col-md-3"&gt;&lt;a class="text-cut" href="javascript:;"(click)="categoryEvent(2084307797)"&gt;{{"2084307797" | translate}}&lt;/a&gt;&lt;/li&gt;</v>
      </c>
    </row>
    <row r="20" spans="1:8" ht="14.25" customHeight="1">
      <c r="E20" s="11"/>
      <c r="F20" s="3"/>
      <c r="H20" s="229"/>
    </row>
    <row r="21" spans="1:8" ht="14.25" customHeight="1">
      <c r="A21" s="234">
        <v>2084307721</v>
      </c>
      <c r="B21" s="235"/>
      <c r="C21" s="235"/>
      <c r="D21" s="236"/>
      <c r="E21" s="11"/>
      <c r="F21" s="3"/>
      <c r="H21" s="229"/>
    </row>
    <row r="22" spans="1:8" ht="14.25" customHeight="1">
      <c r="A22" s="2">
        <v>2084307729</v>
      </c>
      <c r="B22" s="2" t="s">
        <v>229</v>
      </c>
      <c r="C22" s="2" t="s">
        <v>230</v>
      </c>
      <c r="D22" s="2" t="s">
        <v>231</v>
      </c>
      <c r="E22" s="11" t="str">
        <f ca="1">IFERROR(__xludf.DUMMYFUNCTION("GOOGLETRANSLATE(B22,""ja"",""vi"")"),"Xây dựng nội dung")</f>
        <v>Xây dựng nội dung</v>
      </c>
      <c r="F22" s="3" t="str">
        <f ca="1">IFERROR(__xludf.DUMMYFUNCTION("GOOGLETRANSLATE(C22,""ja"",""vi"")"),"Đấu giá&gt; Khác&gt; kỹ năng, kiến ​​thức&gt; tạo nội dung")</f>
        <v>Đấu giá&gt; Khác&gt; kỹ năng, kiến ​​thức&gt; tạo nội dung</v>
      </c>
      <c r="G22" s="227" t="str">
        <f ca="1">CONCATENATE(CHAR(34)&amp;"",A22,""&amp;CHAR(34)," : ", CHAR(34)&amp;"",E22,""&amp;CHAR(34),",")</f>
        <v>"2084307729" : "Xây dựng nội dung",</v>
      </c>
      <c r="H22" s="229" t="str">
        <f t="shared" si="1"/>
        <v>&lt;li class="col-md-3"&gt;&lt;a class="text-cut" href="javascript:;"(click)="categoryEvent(2084307729)"&gt;{{"2084307729" | translate}}&lt;/a&gt;&lt;/li&gt;</v>
      </c>
    </row>
    <row r="23" spans="1:8" ht="14.25" customHeight="1">
      <c r="A23" s="2">
        <v>2084307740</v>
      </c>
      <c r="B23" s="2" t="s">
        <v>234</v>
      </c>
      <c r="C23" s="2" t="s">
        <v>235</v>
      </c>
      <c r="D23" s="2" t="s">
        <v>236</v>
      </c>
      <c r="E23" s="11" t="str">
        <f ca="1">IFERROR(__xludf.DUMMYFUNCTION("GOOGLETRANSLATE(B23,""ja"",""vi"")"),"Học tập, bài học")</f>
        <v>Học tập, bài học</v>
      </c>
      <c r="F23" s="3" t="str">
        <f ca="1">IFERROR(__xludf.DUMMYFUNCTION("GOOGLETRANSLATE(C23,""ja"",""vi"")"),"Đấu giá&gt; Khác&gt; kỹ năng, kiến ​​thức&gt; học tập, bài học")</f>
        <v>Đấu giá&gt; Khác&gt; kỹ năng, kiến ​​thức&gt; học tập, bài học</v>
      </c>
      <c r="G23" s="227" t="str">
        <f t="shared" ref="G23:G26" ca="1" si="3">CONCATENATE(CHAR(34)&amp;"",A23,""&amp;CHAR(34)," : ", CHAR(34)&amp;"",E23,""&amp;CHAR(34),",")</f>
        <v>"2084307740" : "Học tập, bài học",</v>
      </c>
      <c r="H23" s="229" t="str">
        <f t="shared" si="1"/>
        <v>&lt;li class="col-md-3"&gt;&lt;a class="text-cut" href="javascript:;"(click)="categoryEvent(2084307740)"&gt;{{"2084307740" | translate}}&lt;/a&gt;&lt;/li&gt;</v>
      </c>
    </row>
    <row r="24" spans="1:8" ht="14.25" customHeight="1">
      <c r="A24" s="2">
        <v>2084307746</v>
      </c>
      <c r="B24" s="2" t="s">
        <v>239</v>
      </c>
      <c r="C24" s="2" t="s">
        <v>240</v>
      </c>
      <c r="D24" s="2" t="s">
        <v>241</v>
      </c>
      <c r="E24" s="11" t="str">
        <f ca="1">IFERROR(__xludf.DUMMYFUNCTION("GOOGLETRANSLATE(B24,""ja"",""vi"")"),"giải trí")</f>
        <v>giải trí</v>
      </c>
      <c r="F24" s="3" t="str">
        <f ca="1">IFERROR(__xludf.DUMMYFUNCTION("GOOGLETRANSLATE(C24,""ja"",""vi"")"),"Đấu giá&gt; Khác&gt; kỹ năng, kiến ​​thức&gt; Entertainment")</f>
        <v>Đấu giá&gt; Khác&gt; kỹ năng, kiến ​​thức&gt; Entertainment</v>
      </c>
      <c r="G24" s="227" t="str">
        <f t="shared" ca="1" si="3"/>
        <v>"2084307746" : "giải trí",</v>
      </c>
      <c r="H24" s="229" t="str">
        <f t="shared" si="1"/>
        <v>&lt;li class="col-md-3"&gt;&lt;a class="text-cut" href="javascript:;"(click)="categoryEvent(2084307746)"&gt;{{"2084307746" | translate}}&lt;/a&gt;&lt;/li&gt;</v>
      </c>
    </row>
    <row r="25" spans="1:8" ht="14.25" customHeight="1">
      <c r="A25" s="2">
        <v>2084307757</v>
      </c>
      <c r="B25" s="2" t="s">
        <v>243</v>
      </c>
      <c r="C25" s="2" t="s">
        <v>245</v>
      </c>
      <c r="D25" s="2" t="s">
        <v>246</v>
      </c>
      <c r="E25" s="11" t="str">
        <f ca="1">IFERROR(__xludf.DUMMYFUNCTION("GOOGLETRANSLATE(B25,""ja"",""vi"")"),"Hành động")</f>
        <v>Hành động</v>
      </c>
      <c r="F25" s="3" t="str">
        <f ca="1">IFERROR(__xludf.DUMMYFUNCTION("GOOGLETRANSLATE(C25,""ja"",""vi"")"),"Đấu giá&gt; Khác&gt; kỹ năng, kiến ​​thức&gt; đại lý")</f>
        <v>Đấu giá&gt; Khác&gt; kỹ năng, kiến ​​thức&gt; đại lý</v>
      </c>
      <c r="G25" s="227" t="str">
        <f t="shared" ca="1" si="3"/>
        <v>"2084307757" : "Hành động",</v>
      </c>
      <c r="H25" s="229" t="str">
        <f t="shared" si="1"/>
        <v>&lt;li class="col-md-3"&gt;&lt;a class="text-cut" href="javascript:;"(click)="categoryEvent(2084307757)"&gt;{{"2084307757" | translate}}&lt;/a&gt;&lt;/li&gt;</v>
      </c>
    </row>
    <row r="26" spans="1:8" ht="14.25" customHeight="1">
      <c r="A26" s="2">
        <v>2084310205</v>
      </c>
      <c r="B26" s="2" t="s">
        <v>247</v>
      </c>
      <c r="C26" s="2" t="s">
        <v>248</v>
      </c>
      <c r="D26" s="2" t="s">
        <v>249</v>
      </c>
      <c r="E26" s="11" t="str">
        <f ca="1">IFERROR(__xludf.DUMMYFUNCTION("GOOGLETRANSLATE(B26,""ja"",""vi"")"),"Tư vấn")</f>
        <v>Tư vấn</v>
      </c>
      <c r="F26" s="3" t="str">
        <f ca="1">IFERROR(__xludf.DUMMYFUNCTION("GOOGLETRANSLATE(C26,""ja"",""vi"")"),"Đấu giá&gt; Khác&gt; kỹ năng, kiến ​​thức&gt; Tư vấn")</f>
        <v>Đấu giá&gt; Khác&gt; kỹ năng, kiến ​​thức&gt; Tư vấn</v>
      </c>
      <c r="G26" s="227" t="str">
        <f t="shared" ca="1" si="3"/>
        <v>"2084310205" : "Tư vấn",</v>
      </c>
      <c r="H26" s="229" t="str">
        <f t="shared" si="1"/>
        <v>&lt;li class="col-md-3"&gt;&lt;a class="text-cut" href="javascript:;"(click)="categoryEvent(2084310205)"&gt;{{"2084310205" | translate}}&lt;/a&gt;&lt;/li&gt;</v>
      </c>
    </row>
    <row r="27" spans="1:8" ht="14.25" customHeight="1">
      <c r="E27" s="11"/>
      <c r="F27" s="3"/>
      <c r="H27" s="229"/>
    </row>
    <row r="28" spans="1:8" ht="25.5" customHeight="1">
      <c r="A28" s="237">
        <v>2084214140</v>
      </c>
      <c r="B28" s="232"/>
      <c r="C28" s="232"/>
      <c r="D28" s="233"/>
      <c r="E28" s="11"/>
      <c r="F28" s="3"/>
      <c r="H28" s="229"/>
    </row>
    <row r="29" spans="1:8" ht="14.25" customHeight="1">
      <c r="A29" s="2">
        <v>2084214141</v>
      </c>
      <c r="B29" s="2" t="s">
        <v>225</v>
      </c>
      <c r="C29" s="2" t="s">
        <v>257</v>
      </c>
      <c r="D29" s="2" t="s">
        <v>258</v>
      </c>
      <c r="E29" s="11" t="str">
        <f ca="1">IFERROR(__xludf.DUMMYFUNCTION("GOOGLETRANSLATE(B29,""ja"",""vi"")"),"Ô tô, xe máy")</f>
        <v>Ô tô, xe máy</v>
      </c>
      <c r="F29" s="3" t="str">
        <f ca="1">IFERROR(__xludf.DUMMYFUNCTION("GOOGLETRANSLATE(C29,""ja"",""vi"")"),"Đấu giá&gt; Khác&gt; sửa chữa, lắp đặt&gt; ô tô, xe máy")</f>
        <v>Đấu giá&gt; Khác&gt; sửa chữa, lắp đặt&gt; ô tô, xe máy</v>
      </c>
      <c r="G29" s="227" t="str">
        <f ca="1">CONCATENATE(CHAR(34)&amp;"",A29,""&amp;CHAR(34)," : ", CHAR(34)&amp;"",E29,""&amp;CHAR(34),",")</f>
        <v>"2084214141" : "Ô tô, xe máy",</v>
      </c>
      <c r="H29" s="229" t="str">
        <f t="shared" si="1"/>
        <v>&lt;li class="col-md-3"&gt;&lt;a class="text-cut" href="javascript:;"(click)="categoryEvent(2084214141)"&gt;{{"2084214141" | translate}}&lt;/a&gt;&lt;/li&gt;</v>
      </c>
    </row>
    <row r="30" spans="1:8" ht="14.25" customHeight="1">
      <c r="A30" s="2">
        <v>2084310213</v>
      </c>
      <c r="B30" s="2" t="s">
        <v>259</v>
      </c>
      <c r="C30" s="2" t="s">
        <v>260</v>
      </c>
      <c r="D30" s="2" t="s">
        <v>261</v>
      </c>
      <c r="E30" s="11" t="str">
        <f ca="1">IFERROR(__xludf.DUMMYFUNCTION("GOOGLETRANSLATE(B30,""ja"",""vi"")"),"Thời trang, đồng hồ")</f>
        <v>Thời trang, đồng hồ</v>
      </c>
      <c r="F30" s="3" t="str">
        <f ca="1">IFERROR(__xludf.DUMMYFUNCTION("GOOGLETRANSLATE(C30,""ja"",""vi"")"),"Đấu giá&gt; Khác&gt; sửa chữa, lắp đặt&gt; Thời trang, đồng hồ")</f>
        <v>Đấu giá&gt; Khác&gt; sửa chữa, lắp đặt&gt; Thời trang, đồng hồ</v>
      </c>
      <c r="G30" s="227" t="str">
        <f t="shared" ref="G30:G33" ca="1" si="4">CONCATENATE(CHAR(34)&amp;"",A30,""&amp;CHAR(34)," : ", CHAR(34)&amp;"",E30,""&amp;CHAR(34),",")</f>
        <v>"2084310213" : "Thời trang, đồng hồ",</v>
      </c>
      <c r="H30" s="229" t="str">
        <f t="shared" si="1"/>
        <v>&lt;li class="col-md-3"&gt;&lt;a class="text-cut" href="javascript:;"(click)="categoryEvent(2084310213)"&gt;{{"2084310213" | translate}}&lt;/a&gt;&lt;/li&gt;</v>
      </c>
    </row>
    <row r="31" spans="1:8" ht="14.25" customHeight="1">
      <c r="A31" s="2">
        <v>2084307813</v>
      </c>
      <c r="B31" s="2" t="s">
        <v>262</v>
      </c>
      <c r="C31" s="2" t="s">
        <v>263</v>
      </c>
      <c r="D31" s="2" t="s">
        <v>265</v>
      </c>
      <c r="E31" s="11" t="str">
        <f ca="1">IFERROR(__xludf.DUMMYFUNCTION("GOOGLETRANSLATE(B31,""ja"",""vi"")"),"thể thao")</f>
        <v>thể thao</v>
      </c>
      <c r="F31" s="3" t="str">
        <f ca="1">IFERROR(__xludf.DUMMYFUNCTION("GOOGLETRANSLATE(C31,""ja"",""vi"")"),"Đấu giá&gt; Khác&gt; sửa chữa, lắp đặt&gt; Thể Thao")</f>
        <v>Đấu giá&gt; Khác&gt; sửa chữa, lắp đặt&gt; Thể Thao</v>
      </c>
      <c r="G31" s="227" t="str">
        <f t="shared" ca="1" si="4"/>
        <v>"2084307813" : "thể thao",</v>
      </c>
      <c r="H31" s="229" t="str">
        <f t="shared" si="1"/>
        <v>&lt;li class="col-md-3"&gt;&lt;a class="text-cut" href="javascript:;"(click)="categoryEvent(2084307813)"&gt;{{"2084307813" | translate}}&lt;/a&gt;&lt;/li&gt;</v>
      </c>
    </row>
    <row r="32" spans="1:8" ht="14.25" customHeight="1">
      <c r="A32" s="2">
        <v>2084307822</v>
      </c>
      <c r="B32" s="2" t="s">
        <v>267</v>
      </c>
      <c r="C32" s="2" t="s">
        <v>268</v>
      </c>
      <c r="D32" s="2" t="s">
        <v>269</v>
      </c>
      <c r="E32" s="11" t="str">
        <f ca="1">IFERROR(__xludf.DUMMYFUNCTION("GOOGLETRANSLATE(B32,""ja"",""vi"")"),"sửa chữa nhạc cụ, tu sửa")</f>
        <v>sửa chữa nhạc cụ, tu sửa</v>
      </c>
      <c r="F32" s="3" t="str">
        <f ca="1">IFERROR(__xludf.DUMMYFUNCTION("GOOGLETRANSLATE(C32,""ja"",""vi"")"),"Đấu giá&gt; Khác&gt; sửa chữa, lắp đặt&gt; âm nhạc sửa chữa thiết bị, tu sửa")</f>
        <v>Đấu giá&gt; Khác&gt; sửa chữa, lắp đặt&gt; âm nhạc sửa chữa thiết bị, tu sửa</v>
      </c>
      <c r="G32" s="227" t="str">
        <f t="shared" ca="1" si="4"/>
        <v>"2084307822" : "sửa chữa nhạc cụ, tu sửa",</v>
      </c>
      <c r="H32" s="229" t="str">
        <f t="shared" si="1"/>
        <v>&lt;li class="col-md-3"&gt;&lt;a class="text-cut" href="javascript:;"(click)="categoryEvent(2084307822)"&gt;{{"2084307822" | translate}}&lt;/a&gt;&lt;/li&gt;</v>
      </c>
    </row>
    <row r="33" spans="1:8" ht="14.25" customHeight="1">
      <c r="A33" s="2">
        <v>2084310214</v>
      </c>
      <c r="B33" s="2" t="s">
        <v>184</v>
      </c>
      <c r="C33" s="2" t="s">
        <v>270</v>
      </c>
      <c r="D33" s="2" t="s">
        <v>271</v>
      </c>
      <c r="E33" s="11" t="str">
        <f ca="1">IFERROR(__xludf.DUMMYFUNCTION("GOOGLETRANSLATE(B33,""ja"",""vi"")"),"Đồ chơi, trò chơi")</f>
        <v>Đồ chơi, trò chơi</v>
      </c>
      <c r="F33" s="3" t="str">
        <f ca="1">IFERROR(__xludf.DUMMYFUNCTION("GOOGLETRANSLATE(C33,""ja"",""vi"")"),"Đấu giá&gt; Khác&gt; sửa chữa, lắp đặt&gt; đồ chơi, trò chơi")</f>
        <v>Đấu giá&gt; Khác&gt; sửa chữa, lắp đặt&gt; đồ chơi, trò chơi</v>
      </c>
      <c r="G33" s="227" t="str">
        <f t="shared" ca="1" si="4"/>
        <v>"2084310214" : "Đồ chơi, trò chơi",</v>
      </c>
      <c r="H33" s="229" t="str">
        <f t="shared" si="1"/>
        <v>&lt;li class="col-md-3"&gt;&lt;a class="text-cut" href="javascript:;"(click)="categoryEvent(2084310214)"&gt;{{"2084310214" | translate}}&lt;/a&gt;&lt;/li&gt;</v>
      </c>
    </row>
    <row r="34" spans="1:8" ht="14.25" customHeight="1"/>
    <row r="35" spans="1:8" ht="21.6" customHeight="1"/>
    <row r="36" spans="1:8" ht="14.25" customHeight="1"/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9:D9"/>
    <mergeCell ref="A21:D21"/>
    <mergeCell ref="A28:D28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C1" workbookViewId="0">
      <selection activeCell="G2" sqref="G2"/>
    </sheetView>
  </sheetViews>
  <sheetFormatPr defaultColWidth="12.59765625" defaultRowHeight="15" customHeight="1"/>
  <cols>
    <col min="1" max="1" width="16" customWidth="1"/>
    <col min="2" max="2" width="20.09765625" customWidth="1"/>
    <col min="3" max="3" width="46.59765625" customWidth="1"/>
    <col min="4" max="4" width="31" customWidth="1"/>
    <col min="5" max="5" width="7.59765625" customWidth="1"/>
    <col min="6" max="6" width="25.5" customWidth="1"/>
    <col min="7" max="7" width="22.796875" customWidth="1"/>
    <col min="8" max="8" width="19.59765625" customWidth="1"/>
    <col min="9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25152</v>
      </c>
      <c r="B2" s="2" t="s">
        <v>6207</v>
      </c>
      <c r="C2" s="2" t="s">
        <v>6245</v>
      </c>
      <c r="D2" s="2" t="s">
        <v>6246</v>
      </c>
      <c r="E2" s="3" t="str">
        <f ca="1">IFERROR(__xludf.DUMMYFUNCTION("GOOGLETRANSLATE(B2,""ja"",""vi"")"),"bằng cách thể thao")</f>
        <v>bằng cách thể thao</v>
      </c>
      <c r="F2" s="3" t="str">
        <f ca="1">IFERROR(__xludf.DUMMYFUNCTION("GOOGLETRANSLATE(C2,""ja"",""vi"")"),"Đấu giá&gt; thể thao, giải trí&gt; Bằng Sport")</f>
        <v>Đấu giá&gt; thể thao, giải trí&gt; Bằng Sport</v>
      </c>
      <c r="G2" s="229" t="str">
        <f ca="1">CONCATENATE(CHAR(34)&amp;"",A2,""&amp;CHAR(34)," : ", CHAR(34)&amp;"",E2,""&amp;CHAR(34),",")</f>
        <v>"25152" : "bằng cách thể thao",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href="javascript:;"(click)="categoryEvent(25152)"&gt;{{"25152" | translate}}&lt;/a&gt;&lt;/li&gt;</v>
      </c>
    </row>
    <row r="3" spans="1:8" ht="14.25" customHeight="1">
      <c r="A3" s="4">
        <v>24702</v>
      </c>
      <c r="B3" s="4" t="s">
        <v>6251</v>
      </c>
      <c r="C3" s="4" t="s">
        <v>6253</v>
      </c>
      <c r="D3" s="4" t="s">
        <v>6254</v>
      </c>
      <c r="E3" s="3" t="str">
        <f ca="1">IFERROR(__xludf.DUMMYFUNCTION("GOOGLETRANSLATE(B3,""ja"",""vi"")"),"Cắm trại, thiết bị ngoài trời")</f>
        <v>Cắm trại, thiết bị ngoài trời</v>
      </c>
      <c r="F3" s="3" t="str">
        <f ca="1">IFERROR(__xludf.DUMMYFUNCTION("GOOGLETRANSLATE(C3,""ja"",""vi"")"),"Đấu giá&gt; thể thao, giải trí&gt; trại, hàng ngoài trời")</f>
        <v>Đấu giá&gt; thể thao, giải trí&gt; trại, hàng ngoài trời</v>
      </c>
      <c r="G3" s="229" t="str">
        <f t="shared" ref="G3:G66" ca="1" si="0">CONCATENATE(CHAR(34)&amp;"",A3,""&amp;CHAR(34)," : ", CHAR(34)&amp;"",E3,""&amp;CHAR(34),",")</f>
        <v>"24702" : "Cắm trại, thiết bị ngoài trời",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href="javascript:;"(click)="categoryEvent(24702)"&gt;{{"24702" | translate}}&lt;/a&gt;&lt;/li&gt;</v>
      </c>
    </row>
    <row r="4" spans="1:8" ht="14.25" customHeight="1">
      <c r="A4" s="5">
        <v>26222</v>
      </c>
      <c r="B4" s="5" t="s">
        <v>6256</v>
      </c>
      <c r="C4" s="5" t="s">
        <v>6257</v>
      </c>
      <c r="D4" s="5" t="s">
        <v>6258</v>
      </c>
      <c r="E4" s="3" t="str">
        <f ca="1">IFERROR(__xludf.DUMMYFUNCTION("GOOGLETRANSLATE(B4,""ja"",""vi"")"),"Xe đạp, xe đạp")</f>
        <v>Xe đạp, xe đạp</v>
      </c>
      <c r="F4" s="3" t="str">
        <f ca="1">IFERROR(__xludf.DUMMYFUNCTION("GOOGLETRANSLATE(C4,""ja"",""vi"")"),"Đấu giá&gt; thể thao, giải trí&gt; xe đạp, xe đạp")</f>
        <v>Đấu giá&gt; thể thao, giải trí&gt; xe đạp, xe đạp</v>
      </c>
      <c r="G4" s="229" t="str">
        <f t="shared" ca="1" si="0"/>
        <v>"26222" : "Xe đạp, xe đạp",</v>
      </c>
      <c r="H4" s="229" t="str">
        <f t="shared" si="1"/>
        <v>&lt;li class="col-md-3"&gt;&lt;a class="text-cut" href="javascript:;"(click)="categoryEvent(26222)"&gt;{{"26222" | translate}}&lt;/a&gt;&lt;/li&gt;</v>
      </c>
    </row>
    <row r="5" spans="1:8" ht="14.25" customHeight="1">
      <c r="A5" s="8">
        <v>25180</v>
      </c>
      <c r="B5" s="8" t="s">
        <v>6261</v>
      </c>
      <c r="C5" s="8" t="s">
        <v>6262</v>
      </c>
      <c r="D5" s="8" t="s">
        <v>6264</v>
      </c>
      <c r="E5" s="3" t="str">
        <f ca="1">IFERROR(__xludf.DUMMYFUNCTION("GOOGLETRANSLATE(B5,""ja"",""vi"")"),"câu cá")</f>
        <v>câu cá</v>
      </c>
      <c r="F5" s="3" t="str">
        <f ca="1">IFERROR(__xludf.DUMMYFUNCTION("GOOGLETRANSLATE(C5,""ja"",""vi"")"),"Đấu giá&gt; thể thao, giải trí&gt; câu cá")</f>
        <v>Đấu giá&gt; thể thao, giải trí&gt; câu cá</v>
      </c>
      <c r="G5" s="229" t="str">
        <f t="shared" ca="1" si="0"/>
        <v>"25180" : "câu cá",</v>
      </c>
      <c r="H5" s="229" t="str">
        <f t="shared" si="1"/>
        <v>&lt;li class="col-md-3"&gt;&lt;a class="text-cut" href="javascript:;"(click)="categoryEvent(25180)"&gt;{{"25180" | translate}}&lt;/a&gt;&lt;/li&gt;</v>
      </c>
    </row>
    <row r="6" spans="1:8" ht="14.25" customHeight="1">
      <c r="A6" s="6">
        <v>23008</v>
      </c>
      <c r="B6" s="6" t="s">
        <v>3999</v>
      </c>
      <c r="C6" s="6" t="s">
        <v>6267</v>
      </c>
      <c r="D6" s="6" t="s">
        <v>6268</v>
      </c>
      <c r="E6" s="3" t="str">
        <f ca="1">IFERROR(__xludf.DUMMYFUNCTION("GOOGLETRANSLATE(B6,""ja"",""vi"")"),"đồ thể thao")</f>
        <v>đồ thể thao</v>
      </c>
      <c r="F6" s="3" t="str">
        <f ca="1">IFERROR(__xludf.DUMMYFUNCTION("GOOGLETRANSLATE(C6,""ja"",""vi"")"),"Đấu giá&gt; thể thao, giải trí&gt; đồ thể thao")</f>
        <v>Đấu giá&gt; thể thao, giải trí&gt; đồ thể thao</v>
      </c>
      <c r="G6" s="229" t="str">
        <f t="shared" ca="1" si="0"/>
        <v>"23008" : "đồ thể thao",</v>
      </c>
      <c r="H6" s="229" t="str">
        <f t="shared" si="1"/>
        <v>&lt;li class="col-md-3"&gt;&lt;a class="text-cut" href="javascript:;"(click)="categoryEvent(23008)"&gt;{{"23008" | translate}}&lt;/a&gt;&lt;/li&gt;</v>
      </c>
    </row>
    <row r="7" spans="1:8" ht="14.25" customHeight="1">
      <c r="A7" s="9">
        <v>24802</v>
      </c>
      <c r="B7" s="9" t="s">
        <v>3988</v>
      </c>
      <c r="C7" s="9" t="s">
        <v>6271</v>
      </c>
      <c r="D7" s="9" t="s">
        <v>6272</v>
      </c>
      <c r="E7" s="3" t="str">
        <f ca="1">IFERROR(__xludf.DUMMYFUNCTION("GOOGLETRANSLATE(B7,""ja"",""vi"")"),"Mang ngoài trời")</f>
        <v>Mang ngoài trời</v>
      </c>
      <c r="F7" s="3" t="str">
        <f ca="1">IFERROR(__xludf.DUMMYFUNCTION("GOOGLETRANSLATE(C7,""ja"",""vi"")"),"Đấu giá&gt; thể thao, giải trí&gt; mặc ngoài trời")</f>
        <v>Đấu giá&gt; thể thao, giải trí&gt; mặc ngoài trời</v>
      </c>
      <c r="G7" s="229" t="str">
        <f t="shared" ca="1" si="0"/>
        <v>"24802" : "Mang ngoài trời",</v>
      </c>
      <c r="H7" s="229" t="str">
        <f t="shared" si="1"/>
        <v>&lt;li class="col-md-3"&gt;&lt;a class="text-cut" href="javascript:;"(click)="categoryEvent(24802)"&gt;{{"24802" | translate}}&lt;/a&gt;&lt;/li&gt;</v>
      </c>
    </row>
    <row r="8" spans="1:8" ht="14.25" customHeight="1">
      <c r="A8" s="7">
        <v>26214</v>
      </c>
      <c r="B8" s="7" t="s">
        <v>6273</v>
      </c>
      <c r="C8" s="7" t="s">
        <v>6274</v>
      </c>
      <c r="D8" s="7" t="s">
        <v>6275</v>
      </c>
      <c r="E8" s="3" t="str">
        <f ca="1">IFERROR(__xludf.DUMMYFUNCTION("GOOGLETRANSLATE(B8,""ja"",""vi"")"),"Tàu, thuyền")</f>
        <v>Tàu, thuyền</v>
      </c>
      <c r="F8" s="3" t="str">
        <f ca="1">IFERROR(__xludf.DUMMYFUNCTION("GOOGLETRANSLATE(C8,""ja"",""vi"")"),"Đấu giá&gt; thể thao, giải trí&gt; thuyền, thuyền")</f>
        <v>Đấu giá&gt; thể thao, giải trí&gt; thuyền, thuyền</v>
      </c>
      <c r="G8" s="229" t="str">
        <f t="shared" ca="1" si="0"/>
        <v>"26214" : "Tàu, thuyền",</v>
      </c>
      <c r="H8" s="229" t="str">
        <f t="shared" si="1"/>
        <v>&lt;li class="col-md-3"&gt;&lt;a class="text-cut" href="javascript:;"(click)="categoryEvent(26214)"&gt;{{"26214" | translate}}&lt;/a&gt;&lt;/li&gt;</v>
      </c>
    </row>
    <row r="9" spans="1:8" ht="14.25" customHeight="1">
      <c r="A9" s="41">
        <v>2084263701</v>
      </c>
      <c r="B9" s="41" t="s">
        <v>6277</v>
      </c>
      <c r="C9" s="41" t="s">
        <v>6279</v>
      </c>
      <c r="D9" s="41" t="s">
        <v>6280</v>
      </c>
      <c r="E9" s="3" t="str">
        <f ca="1">IFERROR(__xludf.DUMMYFUNCTION("GOOGLETRANSLATE(B9,""ja"",""vi"")"),"theo dõi nhịp tim thể thao")</f>
        <v>theo dõi nhịp tim thể thao</v>
      </c>
      <c r="F9" s="3" t="str">
        <f ca="1">IFERROR(__xludf.DUMMYFUNCTION("GOOGLETRANSLATE(C9,""ja"",""vi"")"),"Đấu giá&gt; thể thao, giải trí&gt; Thể thao màn hình nhịp tim")</f>
        <v>Đấu giá&gt; thể thao, giải trí&gt; Thể thao màn hình nhịp tim</v>
      </c>
      <c r="G9" s="229" t="str">
        <f t="shared" ca="1" si="0"/>
        <v>"2084263701" : "theo dõi nhịp tim thể thao",</v>
      </c>
      <c r="H9" s="229" t="str">
        <f t="shared" si="1"/>
        <v>&lt;li class="col-md-3"&gt;&lt;a class="text-cut" href="javascript:;"(click)="categoryEvent(2084263701)"&gt;{{"2084263701" | translate}}&lt;/a&gt;&lt;/li&gt;</v>
      </c>
    </row>
    <row r="10" spans="1:8" ht="14.25" customHeight="1">
      <c r="A10" s="16">
        <v>2084214045</v>
      </c>
      <c r="B10" s="16" t="s">
        <v>6130</v>
      </c>
      <c r="C10" s="16" t="s">
        <v>6286</v>
      </c>
      <c r="D10" s="16" t="s">
        <v>6287</v>
      </c>
      <c r="E10" s="3" t="str">
        <f ca="1">IFERROR(__xludf.DUMMYFUNCTION("GOOGLETRANSLATE(B10,""ja"",""vi"")"),"kính mát thể thao")</f>
        <v>kính mát thể thao</v>
      </c>
      <c r="F10" s="3" t="str">
        <f ca="1">IFERROR(__xludf.DUMMYFUNCTION("GOOGLETRANSLATE(C10,""ja"",""vi"")"),"Đấu giá&gt; thể thao, giải trí&gt; kính mát thể thao")</f>
        <v>Đấu giá&gt; thể thao, giải trí&gt; kính mát thể thao</v>
      </c>
      <c r="G10" s="229" t="str">
        <f t="shared" ca="1" si="0"/>
        <v>"2084214045" : "kính mát thể thao",</v>
      </c>
      <c r="H10" s="229" t="str">
        <f t="shared" si="1"/>
        <v>&lt;li class="col-md-3"&gt;&lt;a class="text-cut" href="javascript:;"(click)="categoryEvent(2084214045)"&gt;{{"2084214045" | translate}}&lt;/a&gt;&lt;/li&gt;</v>
      </c>
    </row>
    <row r="11" spans="1:8" ht="14.25" customHeight="1">
      <c r="A11" s="43">
        <v>2084042420</v>
      </c>
      <c r="B11" s="43" t="s">
        <v>6291</v>
      </c>
      <c r="C11" s="43" t="s">
        <v>6293</v>
      </c>
      <c r="D11" s="43" t="s">
        <v>6294</v>
      </c>
      <c r="E11" s="3" t="str">
        <f ca="1">IFERROR(__xludf.DUMMYFUNCTION("GOOGLETRANSLATE(B11,""ja"",""vi"")"),"Chơi trong nước")</f>
        <v>Chơi trong nước</v>
      </c>
      <c r="F11" s="3" t="str">
        <f ca="1">IFERROR(__xludf.DUMMYFUNCTION("GOOGLETRANSLATE(C11,""ja"",""vi"")"),"Đấu giá&gt; thể thao, giải trí&gt; chơi trong nước")</f>
        <v>Đấu giá&gt; thể thao, giải trí&gt; chơi trong nước</v>
      </c>
      <c r="G11" s="229" t="str">
        <f t="shared" ca="1" si="0"/>
        <v>"2084042420" : "Chơi trong nước",</v>
      </c>
      <c r="H11" s="229" t="str">
        <f t="shared" si="1"/>
        <v>&lt;li class="col-md-3"&gt;&lt;a class="text-cut" href="javascript:;"(click)="categoryEvent(2084042420)"&gt;{{"2084042420" | translate}}&lt;/a&gt;&lt;/li&gt;</v>
      </c>
    </row>
    <row r="12" spans="1:8" ht="14.25" customHeight="1">
      <c r="A12" s="45">
        <v>2084062737</v>
      </c>
      <c r="B12" s="45" t="s">
        <v>6300</v>
      </c>
      <c r="C12" s="45" t="s">
        <v>6301</v>
      </c>
      <c r="D12" s="45" t="s">
        <v>6302</v>
      </c>
      <c r="E12" s="3" t="str">
        <f ca="1">IFERROR(__xludf.DUMMYFUNCTION("GOOGLETRANSLATE(B12,""ja"",""vi"")"),"phần bổ sung")</f>
        <v>phần bổ sung</v>
      </c>
      <c r="F12" s="3" t="str">
        <f ca="1">IFERROR(__xludf.DUMMYFUNCTION("GOOGLETRANSLATE(C12,""ja"",""vi"")"),"Đấu giá&gt; thể thao, giải trí&gt; bổ sung")</f>
        <v>Đấu giá&gt; thể thao, giải trí&gt; bổ sung</v>
      </c>
      <c r="G12" s="229" t="str">
        <f t="shared" ca="1" si="0"/>
        <v>"2084062737" : "phần bổ sung",</v>
      </c>
      <c r="H12" s="229" t="str">
        <f t="shared" si="1"/>
        <v>&lt;li class="col-md-3"&gt;&lt;a class="text-cut" href="javascript:;"(click)="categoryEvent(2084062737)"&gt;{{"2084062737" | translate}}&lt;/a&gt;&lt;/li&gt;</v>
      </c>
    </row>
    <row r="13" spans="1:8" ht="14.25" customHeight="1">
      <c r="A13" s="48">
        <v>2084042464</v>
      </c>
      <c r="B13" s="48" t="s">
        <v>6306</v>
      </c>
      <c r="C13" s="48" t="s">
        <v>6307</v>
      </c>
      <c r="D13" s="48" t="s">
        <v>6308</v>
      </c>
      <c r="E13" s="3" t="str">
        <f ca="1">IFERROR(__xludf.DUMMYFUNCTION("GOOGLETRANSLATE(B13,""ja"",""vi"")"),"đi du lịch")</f>
        <v>đi du lịch</v>
      </c>
      <c r="F13" s="3" t="str">
        <f ca="1">IFERROR(__xludf.DUMMYFUNCTION("GOOGLETRANSLATE(C13,""ja"",""vi"")"),"Đấu giá&gt; thể thao, giải trí&gt; Du lịch")</f>
        <v>Đấu giá&gt; thể thao, giải trí&gt; Du lịch</v>
      </c>
      <c r="G13" s="229" t="str">
        <f t="shared" ca="1" si="0"/>
        <v>"2084042464" : "đi du lịch",</v>
      </c>
      <c r="H13" s="229" t="str">
        <f t="shared" si="1"/>
        <v>&lt;li class="col-md-3"&gt;&lt;a class="text-cut" href="javascript:;"(click)="categoryEvent(2084042464)"&gt;{{"2084042464" | translate}}&lt;/a&gt;&lt;/li&gt;</v>
      </c>
    </row>
    <row r="14" spans="1:8" ht="14.25" customHeight="1">
      <c r="A14" s="50">
        <v>25430</v>
      </c>
      <c r="B14" s="50" t="s">
        <v>6311</v>
      </c>
      <c r="C14" s="50" t="s">
        <v>6312</v>
      </c>
      <c r="D14" s="50" t="s">
        <v>6314</v>
      </c>
      <c r="E14" s="3" t="str">
        <f ca="1">IFERROR(__xludf.DUMMYFUNCTION("GOOGLETRANSLATE(B14,""ja"",""vi"")"),"Vé thể thao")</f>
        <v>Vé thể thao</v>
      </c>
      <c r="F14" s="3" t="str">
        <f ca="1">IFERROR(__xludf.DUMMYFUNCTION("GOOGLETRANSLATE(C14,""ja"",""vi"")"),"Đấu giá&gt; thể thao, giải trí&gt; Vé thể thao")</f>
        <v>Đấu giá&gt; thể thao, giải trí&gt; Vé thể thao</v>
      </c>
      <c r="G14" s="229" t="str">
        <f t="shared" ca="1" si="0"/>
        <v>"25430" : "Vé thể thao",</v>
      </c>
      <c r="H14" s="229" t="str">
        <f t="shared" si="1"/>
        <v>&lt;li class="col-md-3"&gt;&lt;a class="text-cut" href="javascript:;"(click)="categoryEvent(25430)"&gt;{{"25430" | translate}}&lt;/a&gt;&lt;/li&gt;</v>
      </c>
    </row>
    <row r="15" spans="1:8" ht="14.25" customHeight="1">
      <c r="A15" s="53">
        <v>2084044344</v>
      </c>
      <c r="B15" s="53" t="s">
        <v>6317</v>
      </c>
      <c r="C15" s="53" t="s">
        <v>6320</v>
      </c>
      <c r="D15" s="53" t="s">
        <v>6321</v>
      </c>
      <c r="E15" s="3" t="str">
        <f ca="1">IFERROR(__xludf.DUMMYFUNCTION("GOOGLETRANSLATE(B15,""ja"",""vi"")"),"vé giải trí")</f>
        <v>vé giải trí</v>
      </c>
      <c r="F15" s="3" t="str">
        <f ca="1">IFERROR(__xludf.DUMMYFUNCTION("GOOGLETRANSLATE(C15,""ja"",""vi"")"),"Đấu giá&gt; thể thao, giải trí&gt; Giải trí vé")</f>
        <v>Đấu giá&gt; thể thao, giải trí&gt; Giải trí vé</v>
      </c>
      <c r="G15" s="229" t="str">
        <f t="shared" ca="1" si="0"/>
        <v>"2084044344" : "vé giải trí",</v>
      </c>
      <c r="H15" s="229" t="str">
        <f t="shared" si="1"/>
        <v>&lt;li class="col-md-3"&gt;&lt;a class="text-cut" href="javascript:;"(click)="categoryEvent(2084044344)"&gt;{{"2084044344" | translate}}&lt;/a&gt;&lt;/li&gt;</v>
      </c>
    </row>
    <row r="16" spans="1:8" ht="14.25" customHeight="1">
      <c r="A16" s="56">
        <v>2084046936</v>
      </c>
      <c r="B16" s="56" t="s">
        <v>6324</v>
      </c>
      <c r="C16" s="56" t="s">
        <v>6326</v>
      </c>
      <c r="D16" s="56" t="s">
        <v>6327</v>
      </c>
      <c r="E16" s="3" t="str">
        <f ca="1">IFERROR(__xludf.DUMMYFUNCTION("GOOGLETRANSLATE(B16,""ja"",""vi"")"),"Pachinko, pachislot")</f>
        <v>Pachinko, pachislot</v>
      </c>
      <c r="F16" s="3" t="str">
        <f ca="1">IFERROR(__xludf.DUMMYFUNCTION("GOOGLETRANSLATE(C16,""ja"",""vi"")"),"Đấu giá&gt; thể thao, giải trí&gt; pachinko, pachislot")</f>
        <v>Đấu giá&gt; thể thao, giải trí&gt; pachinko, pachislot</v>
      </c>
      <c r="G16" s="229" t="str">
        <f t="shared" ca="1" si="0"/>
        <v>"2084046936" : "Pachinko, pachislot",</v>
      </c>
      <c r="H16" s="229" t="str">
        <f t="shared" si="1"/>
        <v>&lt;li class="col-md-3"&gt;&lt;a class="text-cut" href="javascript:;"(click)="categoryEvent(2084046936)"&gt;{{"2084046936" | translate}}&lt;/a&gt;&lt;/li&gt;</v>
      </c>
    </row>
    <row r="17" spans="1:8" ht="14.25" customHeight="1">
      <c r="A17" s="59">
        <v>2084048240</v>
      </c>
      <c r="B17" s="59" t="s">
        <v>6328</v>
      </c>
      <c r="C17" s="59" t="s">
        <v>6329</v>
      </c>
      <c r="D17" s="59" t="s">
        <v>6331</v>
      </c>
      <c r="E17" s="3" t="str">
        <f ca="1">IFERROR(__xludf.DUMMYFUNCTION("GOOGLETRANSLATE(B17,""ja"",""vi"")"),"xuồng máy")</f>
        <v>xuồng máy</v>
      </c>
      <c r="F17" s="3" t="str">
        <f ca="1">IFERROR(__xludf.DUMMYFUNCTION("GOOGLETRANSLATE(C17,""ja"",""vi"")"),"Đấu giá&gt; thể thao, giải trí&gt; đua thuyền")</f>
        <v>Đấu giá&gt; thể thao, giải trí&gt; đua thuyền</v>
      </c>
      <c r="G17" s="229" t="str">
        <f t="shared" ca="1" si="0"/>
        <v>"2084048240" : "xuồng máy",</v>
      </c>
      <c r="H17" s="229" t="str">
        <f t="shared" si="1"/>
        <v>&lt;li class="col-md-3"&gt;&lt;a class="text-cut" href="javascript:;"(click)="categoryEvent(2084048240)"&gt;{{"2084048240" | translate}}&lt;/a&gt;&lt;/li&gt;</v>
      </c>
    </row>
    <row r="18" spans="1:8" ht="14.25" customHeight="1">
      <c r="A18" s="63">
        <v>25407</v>
      </c>
      <c r="B18" s="63" t="s">
        <v>5640</v>
      </c>
      <c r="C18" s="63" t="s">
        <v>6334</v>
      </c>
      <c r="D18" s="63" t="s">
        <v>6336</v>
      </c>
      <c r="E18" s="3" t="str">
        <f ca="1">IFERROR(__xludf.DUMMYFUNCTION("GOOGLETRANSLATE(B18,""ja"",""vi"")"),"horseracing")</f>
        <v>horseracing</v>
      </c>
      <c r="F18" s="3" t="str">
        <f ca="1">IFERROR(__xludf.DUMMYFUNCTION("GOOGLETRANSLATE(C18,""ja"",""vi"")"),"Đấu giá&gt; thể thao, giải trí&gt; Đua ngựa")</f>
        <v>Đấu giá&gt; thể thao, giải trí&gt; Đua ngựa</v>
      </c>
      <c r="G18" s="229" t="str">
        <f t="shared" ca="1" si="0"/>
        <v>"25407" : "horseracing",</v>
      </c>
      <c r="H18" s="229" t="str">
        <f t="shared" si="1"/>
        <v>&lt;li class="col-md-3"&gt;&lt;a class="text-cut" href="javascript:;"(click)="categoryEvent(25407)"&gt;{{"25407" | translate}}&lt;/a&gt;&lt;/li&gt;</v>
      </c>
    </row>
    <row r="19" spans="1:8" ht="14.25" customHeight="1">
      <c r="A19" s="68">
        <v>2084048304</v>
      </c>
      <c r="B19" s="68" t="s">
        <v>6338</v>
      </c>
      <c r="C19" s="68" t="s">
        <v>6339</v>
      </c>
      <c r="D19" s="68" t="s">
        <v>6341</v>
      </c>
      <c r="E19" s="3" t="str">
        <f ca="1">IFERROR(__xludf.DUMMYFUNCTION("GOOGLETRANSLATE(B19,""ja"",""vi"")"),"cuộc đua xe đạp")</f>
        <v>cuộc đua xe đạp</v>
      </c>
      <c r="F19" s="3" t="str">
        <f ca="1">IFERROR(__xludf.DUMMYFUNCTION("GOOGLETRANSLATE(C19,""ja"",""vi"")"),"Đấu giá&gt; thể thao, giải trí&gt; cuộc đua xe đạp")</f>
        <v>Đấu giá&gt; thể thao, giải trí&gt; cuộc đua xe đạp</v>
      </c>
      <c r="G19" s="229" t="str">
        <f t="shared" ca="1" si="0"/>
        <v>"2084048304" : "cuộc đua xe đạp",</v>
      </c>
      <c r="H19" s="229" t="str">
        <f t="shared" si="1"/>
        <v>&lt;li class="col-md-3"&gt;&lt;a class="text-cut" href="javascript:;"(click)="categoryEvent(2084048304)"&gt;{{"2084048304" | translate}}&lt;/a&gt;&lt;/li&gt;</v>
      </c>
    </row>
    <row r="20" spans="1:8" ht="14.25" customHeight="1">
      <c r="A20" s="65">
        <v>24534</v>
      </c>
      <c r="B20" s="65" t="s">
        <v>1780</v>
      </c>
      <c r="C20" s="65" t="s">
        <v>6346</v>
      </c>
      <c r="D20" s="65" t="s">
        <v>6347</v>
      </c>
      <c r="E20" s="3" t="str">
        <f ca="1">IFERROR(__xludf.DUMMYFUNCTION("GOOGLETRANSLATE(B20,""ja"",""vi"")"),"Vật tư thú cưng")</f>
        <v>Vật tư thú cưng</v>
      </c>
      <c r="F20" s="3" t="str">
        <f ca="1">IFERROR(__xludf.DUMMYFUNCTION("GOOGLETRANSLATE(C20,""ja"",""vi"")"),"Đấu giá&gt; thể thao, giải trí&gt; Đồ Pet")</f>
        <v>Đấu giá&gt; thể thao, giải trí&gt; Đồ Pet</v>
      </c>
      <c r="G20" s="229" t="str">
        <f t="shared" ca="1" si="0"/>
        <v>"24534" : "Vật tư thú cưng",</v>
      </c>
      <c r="H20" s="229" t="str">
        <f t="shared" si="1"/>
        <v>&lt;li class="col-md-3"&gt;&lt;a class="text-cut" href="javascript:;"(click)="categoryEvent(24534)"&gt;{{"24534" | translate}}&lt;/a&gt;&lt;/li&gt;</v>
      </c>
    </row>
    <row r="21" spans="1:8" ht="14.25" customHeight="1">
      <c r="A21" s="77">
        <v>26086</v>
      </c>
      <c r="B21" s="77" t="s">
        <v>318</v>
      </c>
      <c r="C21" s="77" t="s">
        <v>6350</v>
      </c>
      <c r="D21" s="77" t="s">
        <v>6351</v>
      </c>
      <c r="E21" s="3" t="str">
        <f ca="1">IFERROR(__xludf.DUMMYFUNCTION("GOOGLETRANSLATE(B21,""ja"",""vi"")"),"Hoa, làm vườn")</f>
        <v>Hoa, làm vườn</v>
      </c>
      <c r="F21" s="3" t="str">
        <f ca="1">IFERROR(__xludf.DUMMYFUNCTION("GOOGLETRANSLATE(C21,""ja"",""vi"")"),"Đấu giá&gt; thể thao, giải trí&gt; hoa, làm vườn")</f>
        <v>Đấu giá&gt; thể thao, giải trí&gt; hoa, làm vườn</v>
      </c>
      <c r="G21" s="229" t="str">
        <f t="shared" ca="1" si="0"/>
        <v>"26086" : "Hoa, làm vườn",</v>
      </c>
      <c r="H21" s="229" t="str">
        <f t="shared" si="1"/>
        <v>&lt;li class="col-md-3"&gt;&lt;a class="text-cut" href="javascript:;"(click)="categoryEvent(26086)"&gt;{{"26086" | translate}}&lt;/a&gt;&lt;/li&gt;</v>
      </c>
    </row>
    <row r="22" spans="1:8" ht="14.25" customHeight="1">
      <c r="A22" s="78">
        <v>2084307745</v>
      </c>
      <c r="B22" s="78" t="s">
        <v>6353</v>
      </c>
      <c r="C22" s="78" t="s">
        <v>6355</v>
      </c>
      <c r="D22" s="78" t="s">
        <v>6356</v>
      </c>
      <c r="E22" s="3" t="str">
        <f ca="1">IFERROR(__xludf.DUMMYFUNCTION("GOOGLETRANSLATE(B22,""ja"",""vi"")"),"bài học thể thao")</f>
        <v>bài học thể thao</v>
      </c>
      <c r="F22" s="3" t="str">
        <f ca="1">IFERROR(__xludf.DUMMYFUNCTION("GOOGLETRANSLATE(C22,""ja"",""vi"")"),"Đấu giá&gt; thể thao, giải trí&gt; bài học thể thao")</f>
        <v>Đấu giá&gt; thể thao, giải trí&gt; bài học thể thao</v>
      </c>
      <c r="G22" s="229" t="str">
        <f t="shared" ca="1" si="0"/>
        <v>"2084307745" : "bài học thể thao",</v>
      </c>
      <c r="H22" s="229" t="str">
        <f t="shared" si="1"/>
        <v>&lt;li class="col-md-3"&gt;&lt;a class="text-cut" href="javascript:;"(click)="categoryEvent(2084307745)"&gt;{{"2084307745" | translate}}&lt;/a&gt;&lt;/li&gt;</v>
      </c>
    </row>
    <row r="23" spans="1:8" ht="14.25" customHeight="1">
      <c r="A23" s="79">
        <v>2084307762</v>
      </c>
      <c r="B23" s="79" t="s">
        <v>6359</v>
      </c>
      <c r="C23" s="79" t="s">
        <v>6361</v>
      </c>
      <c r="D23" s="79" t="s">
        <v>6362</v>
      </c>
      <c r="E23" s="3" t="str">
        <f ca="1">IFERROR(__xludf.DUMMYFUNCTION("GOOGLETRANSLATE(B23,""ja"",""vi"")"),"cho thuê dụng cụ thể thao")</f>
        <v>cho thuê dụng cụ thể thao</v>
      </c>
      <c r="F23" s="3" t="str">
        <f ca="1">IFERROR(__xludf.DUMMYFUNCTION("GOOGLETRANSLATE(C23,""ja"",""vi"")"),"Đấu giá&gt; thể thao, giải trí&gt; thuê thiết bị thể thao")</f>
        <v>Đấu giá&gt; thể thao, giải trí&gt; thuê thiết bị thể thao</v>
      </c>
      <c r="G23" s="229" t="str">
        <f t="shared" ca="1" si="0"/>
        <v>"2084307762" : "cho thuê dụng cụ thể thao",</v>
      </c>
      <c r="H23" s="229" t="str">
        <f t="shared" si="1"/>
        <v>&lt;li class="col-md-3"&gt;&lt;a class="text-cut" href="javascript:;"(click)="categoryEvent(2084307762)"&gt;{{"2084307762" | translate}}&lt;/a&gt;&lt;/li&gt;</v>
      </c>
    </row>
    <row r="24" spans="1:8" ht="14.25" customHeight="1">
      <c r="A24" s="72">
        <v>2084036434</v>
      </c>
      <c r="B24" s="72" t="s">
        <v>16</v>
      </c>
      <c r="C24" s="72" t="s">
        <v>6366</v>
      </c>
      <c r="D24" s="72" t="s">
        <v>6367</v>
      </c>
      <c r="E24" s="3" t="str">
        <f ca="1">IFERROR(__xludf.DUMMYFUNCTION("GOOGLETRANSLATE(B24,""ja"",""vi"")"),"nếu không thì")</f>
        <v>nếu không thì</v>
      </c>
      <c r="F24" s="3" t="str">
        <f ca="1">IFERROR(__xludf.DUMMYFUNCTION("GOOGLETRANSLATE(C24,""ja"",""vi"")"),"Đấu giá&gt; thể thao, giải trí&gt; Khác")</f>
        <v>Đấu giá&gt; thể thao, giải trí&gt; Khác</v>
      </c>
      <c r="G24" s="229" t="str">
        <f t="shared" ca="1" si="0"/>
        <v>"2084036434" : "nếu không thì",</v>
      </c>
      <c r="H24" s="229" t="str">
        <f t="shared" si="1"/>
        <v>&lt;li class="col-md-3"&gt;&lt;a class="text-cut" href="javascript:;"(click)="categoryEvent(2084036434)"&gt;{{"2084036434" | translate}}&lt;/a&gt;&lt;/li&gt;</v>
      </c>
    </row>
    <row r="25" spans="1:8" ht="14.25" customHeight="1">
      <c r="E25" s="3"/>
      <c r="F25" s="3"/>
      <c r="G25" s="229"/>
      <c r="H25" s="229"/>
    </row>
    <row r="26" spans="1:8" ht="24" customHeight="1">
      <c r="A26" s="231">
        <v>25152</v>
      </c>
      <c r="B26" s="232"/>
      <c r="C26" s="232"/>
      <c r="D26" s="233"/>
      <c r="E26" s="3"/>
      <c r="F26" s="3"/>
      <c r="G26" s="229"/>
      <c r="H26" s="229"/>
    </row>
    <row r="27" spans="1:8" ht="14.25" customHeight="1">
      <c r="A27" s="2">
        <v>25224</v>
      </c>
      <c r="B27" s="2" t="s">
        <v>6370</v>
      </c>
      <c r="C27" s="2" t="s">
        <v>6371</v>
      </c>
      <c r="D27" s="2" t="s">
        <v>6372</v>
      </c>
      <c r="E27" s="3" t="str">
        <f ca="1">IFERROR(__xludf.DUMMYFUNCTION("GOOGLETRANSLATE(B27,""ja"",""vi"")"),"cung tên")</f>
        <v>cung tên</v>
      </c>
      <c r="F27" s="3" t="str">
        <f ca="1">IFERROR(__xludf.DUMMYFUNCTION("GOOGLETRANSLATE(C27,""ja"",""vi"")"),"Đấu giá&gt; thể thao, giải trí&gt; Bằng Sport&gt; Bắn cung")</f>
        <v>Đấu giá&gt; thể thao, giải trí&gt; Bằng Sport&gt; Bắn cung</v>
      </c>
      <c r="G27" s="229" t="str">
        <f t="shared" ca="1" si="0"/>
        <v>"25224" : "cung tên",</v>
      </c>
      <c r="H27" s="229" t="str">
        <f t="shared" si="1"/>
        <v>&lt;li class="col-md-3"&gt;&lt;a class="text-cut" href="javascript:;"(click)="categoryEvent(25224)"&gt;{{"25224" | translate}}&lt;/a&gt;&lt;/li&gt;</v>
      </c>
    </row>
    <row r="28" spans="1:8" ht="14.25" customHeight="1">
      <c r="A28" s="2">
        <v>25232</v>
      </c>
      <c r="B28" s="2" t="s">
        <v>6373</v>
      </c>
      <c r="C28" s="2" t="s">
        <v>6374</v>
      </c>
      <c r="D28" s="2" t="s">
        <v>6375</v>
      </c>
      <c r="E28" s="3" t="str">
        <f ca="1">IFERROR(__xludf.DUMMYFUNCTION("GOOGLETRANSLATE(B28,""ja"",""vi"")"),"trượt băng")</f>
        <v>trượt băng</v>
      </c>
      <c r="F28" s="3" t="str">
        <f ca="1">IFERROR(__xludf.DUMMYFUNCTION("GOOGLETRANSLATE(C28,""ja"",""vi"")"),"Đấu giá&gt; thể thao, giải trí&gt; Bằng Sport&gt; Trượt băng")</f>
        <v>Đấu giá&gt; thể thao, giải trí&gt; Bằng Sport&gt; Trượt băng</v>
      </c>
      <c r="G28" s="229" t="str">
        <f t="shared" ca="1" si="0"/>
        <v>"25232" : "trượt băng",</v>
      </c>
      <c r="H28" s="229" t="str">
        <f t="shared" si="1"/>
        <v>&lt;li class="col-md-3"&gt;&lt;a class="text-cut" href="javascript:;"(click)="categoryEvent(25232)"&gt;{{"25232" | translate}}&lt;/a&gt;&lt;/li&gt;</v>
      </c>
    </row>
    <row r="29" spans="1:8" ht="14.25" customHeight="1">
      <c r="A29" s="2">
        <v>25350</v>
      </c>
      <c r="B29" s="2" t="s">
        <v>6376</v>
      </c>
      <c r="C29" s="2" t="s">
        <v>6377</v>
      </c>
      <c r="D29" s="2" t="s">
        <v>6378</v>
      </c>
      <c r="E29" s="3" t="str">
        <f ca="1">IFERROR(__xludf.DUMMYFUNCTION("GOOGLETRANSLATE(B29,""ja"",""vi"")"),"Hockey")</f>
        <v>Hockey</v>
      </c>
      <c r="F29" s="3" t="str">
        <f ca="1">IFERROR(__xludf.DUMMYFUNCTION("GOOGLETRANSLATE(C29,""ja"",""vi"")"),"Đấu giá&gt; thể thao, giải trí&gt; Bằng Sport&gt; Ice Hockey")</f>
        <v>Đấu giá&gt; thể thao, giải trí&gt; Bằng Sport&gt; Ice Hockey</v>
      </c>
      <c r="G29" s="229" t="str">
        <f t="shared" ca="1" si="0"/>
        <v>"25350" : "Hockey",</v>
      </c>
      <c r="H29" s="229" t="str">
        <f t="shared" si="1"/>
        <v>&lt;li class="col-md-3"&gt;&lt;a class="text-cut" href="javascript:;"(click)="categoryEvent(25350)"&gt;{{"25350" | translate}}&lt;/a&gt;&lt;/li&gt;</v>
      </c>
    </row>
    <row r="30" spans="1:8" ht="14.25" customHeight="1">
      <c r="A30" s="2">
        <v>25346</v>
      </c>
      <c r="B30" s="2" t="s">
        <v>6379</v>
      </c>
      <c r="C30" s="2" t="s">
        <v>6380</v>
      </c>
      <c r="D30" s="2" t="s">
        <v>6381</v>
      </c>
      <c r="E30" s="3" t="str">
        <f ca="1">IFERROR(__xludf.DUMMYFUNCTION("GOOGLETRANSLATE(B30,""ja"",""vi"")"),"bóng đá Mỹ")</f>
        <v>bóng đá Mỹ</v>
      </c>
      <c r="F30" s="3" t="str">
        <f ca="1">IFERROR(__xludf.DUMMYFUNCTION("GOOGLETRANSLATE(C30,""ja"",""vi"")"),"Đấu giá&gt; thể thao, giải trí&gt; Bằng Sport&gt; bóng đá Mỹ")</f>
        <v>Đấu giá&gt; thể thao, giải trí&gt; Bằng Sport&gt; bóng đá Mỹ</v>
      </c>
      <c r="G30" s="229" t="str">
        <f t="shared" ca="1" si="0"/>
        <v>"25346" : "bóng đá Mỹ",</v>
      </c>
      <c r="H30" s="229" t="str">
        <f t="shared" si="1"/>
        <v>&lt;li class="col-md-3"&gt;&lt;a class="text-cut" href="javascript:;"(click)="categoryEvent(25346)"&gt;{{"25346" | translate}}&lt;/a&gt;&lt;/li&gt;</v>
      </c>
    </row>
    <row r="31" spans="1:8" ht="14.25" customHeight="1">
      <c r="A31" s="2">
        <v>25282</v>
      </c>
      <c r="B31" s="2" t="s">
        <v>6382</v>
      </c>
      <c r="C31" s="2" t="s">
        <v>6383</v>
      </c>
      <c r="D31" s="2" t="s">
        <v>6384</v>
      </c>
      <c r="E31" s="3" t="str">
        <f ca="1">IFERROR(__xludf.DUMMYFUNCTION("GOOGLETRANSLATE(B31,""ja"",""vi"")"),"trượt patanh")</f>
        <v>trượt patanh</v>
      </c>
      <c r="F31" s="3" t="str">
        <f ca="1">IFERROR(__xludf.DUMMYFUNCTION("GOOGLETRANSLATE(C31,""ja"",""vi"")"),"Đấu giá&gt; thể thao, giải trí&gt; Bằng Sport&gt; trượt inline")</f>
        <v>Đấu giá&gt; thể thao, giải trí&gt; Bằng Sport&gt; trượt inline</v>
      </c>
      <c r="G31" s="229" t="str">
        <f t="shared" ca="1" si="0"/>
        <v>"25282" : "trượt patanh",</v>
      </c>
      <c r="H31" s="229" t="str">
        <f t="shared" si="1"/>
        <v>&lt;li class="col-md-3"&gt;&lt;a class="text-cut" href="javascript:;"(click)="categoryEvent(25282)"&gt;{{"25282" | translate}}&lt;/a&gt;&lt;/li&gt;</v>
      </c>
    </row>
    <row r="32" spans="1:8" ht="14.25" customHeight="1">
      <c r="A32" s="2">
        <v>25248</v>
      </c>
      <c r="B32" s="2" t="s">
        <v>6385</v>
      </c>
      <c r="C32" s="2" t="s">
        <v>6386</v>
      </c>
      <c r="D32" s="2" t="s">
        <v>6387</v>
      </c>
      <c r="E32" s="3" t="str">
        <f ca="1">IFERROR(__xludf.DUMMYFUNCTION("GOOGLETRANSLATE(B32,""ja"",""vi"")"),"Lướt ván buồm")</f>
        <v>Lướt ván buồm</v>
      </c>
      <c r="F32" s="3" t="str">
        <f ca="1">IFERROR(__xludf.DUMMYFUNCTION("GOOGLETRANSLATE(C32,""ja"",""vi"")"),"Đấu giá&gt; thể thao, giải trí&gt; Bằng Sport&gt; lướt ván")</f>
        <v>Đấu giá&gt; thể thao, giải trí&gt; Bằng Sport&gt; lướt ván</v>
      </c>
      <c r="G32" s="229" t="str">
        <f t="shared" ca="1" si="0"/>
        <v>"25248" : "Lướt ván buồm",</v>
      </c>
      <c r="H32" s="229" t="str">
        <f t="shared" si="1"/>
        <v>&lt;li class="col-md-3"&gt;&lt;a class="text-cut" href="javascript:;"(click)="categoryEvent(25248)"&gt;{{"25248" | translate}}&lt;/a&gt;&lt;/li&gt;</v>
      </c>
    </row>
    <row r="33" spans="1:8" ht="14.25" customHeight="1">
      <c r="A33" s="2">
        <v>25244</v>
      </c>
      <c r="B33" s="2" t="s">
        <v>6388</v>
      </c>
      <c r="C33" s="2" t="s">
        <v>6389</v>
      </c>
      <c r="D33" s="2" t="s">
        <v>6390</v>
      </c>
      <c r="E33" s="3" t="str">
        <f ca="1">IFERROR(__xludf.DUMMYFUNCTION("GOOGLETRANSLATE(B33,""ja"",""vi"")"),"wakeboarding")</f>
        <v>wakeboarding</v>
      </c>
      <c r="F33" s="3" t="str">
        <f ca="1">IFERROR(__xludf.DUMMYFUNCTION("GOOGLETRANSLATE(C33,""ja"",""vi"")"),"Đấu giá&gt; thể thao, giải trí&gt; Bằng Sport&gt; wakeboard")</f>
        <v>Đấu giá&gt; thể thao, giải trí&gt; Bằng Sport&gt; wakeboard</v>
      </c>
      <c r="G33" s="229" t="str">
        <f t="shared" ca="1" si="0"/>
        <v>"25244" : "wakeboarding",</v>
      </c>
      <c r="H33" s="229" t="str">
        <f t="shared" si="1"/>
        <v>&lt;li class="col-md-3"&gt;&lt;a class="text-cut" href="javascript:;"(click)="categoryEvent(25244)"&gt;{{"25244" | translate}}&lt;/a&gt;&lt;/li&gt;</v>
      </c>
    </row>
    <row r="34" spans="1:8" ht="14.25" customHeight="1">
      <c r="A34" s="2">
        <v>2084196837</v>
      </c>
      <c r="B34" s="2" t="s">
        <v>6391</v>
      </c>
      <c r="C34" s="2" t="s">
        <v>6392</v>
      </c>
      <c r="D34" s="2" t="s">
        <v>6393</v>
      </c>
      <c r="E34" s="3" t="str">
        <f ca="1">IFERROR(__xludf.DUMMYFUNCTION("GOOGLETRANSLATE(B34,""ja"",""vi"")"),"đi bộ")</f>
        <v>đi bộ</v>
      </c>
      <c r="F34" s="3" t="str">
        <f ca="1">IFERROR(__xludf.DUMMYFUNCTION("GOOGLETRANSLATE(C34,""ja"",""vi"")"),"Đấu giá&gt; thể thao, giải trí&gt; Bằng Sport&gt; Đi bộ")</f>
        <v>Đấu giá&gt; thể thao, giải trí&gt; Bằng Sport&gt; Đi bộ</v>
      </c>
      <c r="G34" s="229" t="str">
        <f t="shared" ca="1" si="0"/>
        <v>"2084196837" : "đi bộ",</v>
      </c>
      <c r="H34" s="229" t="str">
        <f t="shared" si="1"/>
        <v>&lt;li class="col-md-3"&gt;&lt;a class="text-cut" href="javascript:;"(click)="categoryEvent(2084196837)"&gt;{{"2084196837" | translate}}&lt;/a&gt;&lt;/li&gt;</v>
      </c>
    </row>
    <row r="35" spans="1:8" ht="14.25" customHeight="1">
      <c r="A35" s="2">
        <v>25154</v>
      </c>
      <c r="B35" s="2" t="s">
        <v>3316</v>
      </c>
      <c r="C35" s="2" t="s">
        <v>6394</v>
      </c>
      <c r="D35" s="2" t="s">
        <v>6395</v>
      </c>
      <c r="E35" s="3" t="str">
        <f ca="1">IFERROR(__xludf.DUMMYFUNCTION("GOOGLETRANSLATE(B35,""ja"",""vi"")"),"tập thể dục Thiết bị")</f>
        <v>tập thể dục Thiết bị</v>
      </c>
      <c r="F35" s="3" t="str">
        <f ca="1">IFERROR(__xludf.DUMMYFUNCTION("GOOGLETRANSLATE(C35,""ja"",""vi"")"),"Đấu giá&gt; thể thao, giải trí&gt; thể thao khác&gt; nguồn cung cấp tập thể dục")</f>
        <v>Đấu giá&gt; thể thao, giải trí&gt; thể thao khác&gt; nguồn cung cấp tập thể dục</v>
      </c>
      <c r="G35" s="229" t="str">
        <f t="shared" ca="1" si="0"/>
        <v>"25154" : "tập thể dục Thiết bị",</v>
      </c>
      <c r="H35" s="229" t="str">
        <f t="shared" si="1"/>
        <v>&lt;li class="col-md-3"&gt;&lt;a class="text-cut" href="javascript:;"(click)="categoryEvent(25154)"&gt;{{"25154" | translate}}&lt;/a&gt;&lt;/li&gt;</v>
      </c>
    </row>
    <row r="36" spans="1:8" ht="14.25" customHeight="1">
      <c r="A36" s="2">
        <v>2084047456</v>
      </c>
      <c r="B36" s="2" t="s">
        <v>6396</v>
      </c>
      <c r="C36" s="2" t="s">
        <v>6397</v>
      </c>
      <c r="D36" s="2" t="s">
        <v>6398</v>
      </c>
      <c r="E36" s="3" t="str">
        <f ca="1">IFERROR(__xludf.DUMMYFUNCTION("GOOGLETRANSLATE(B36,""ja"",""vi"")"),"đua xe")</f>
        <v>đua xe</v>
      </c>
      <c r="F36" s="3" t="str">
        <f ca="1">IFERROR(__xludf.DUMMYFUNCTION("GOOGLETRANSLATE(C36,""ja"",""vi"")"),"Đấu giá&gt; thể thao, giải trí&gt; thể thao khác&gt; xe đua")</f>
        <v>Đấu giá&gt; thể thao, giải trí&gt; thể thao khác&gt; xe đua</v>
      </c>
      <c r="G36" s="229" t="str">
        <f t="shared" ca="1" si="0"/>
        <v>"2084047456" : "đua xe",</v>
      </c>
      <c r="H36" s="229" t="str">
        <f t="shared" si="1"/>
        <v>&lt;li class="col-md-3"&gt;&lt;a class="text-cut" href="javascript:;"(click)="categoryEvent(2084047456)"&gt;{{"2084047456" | translate}}&lt;/a&gt;&lt;/li&gt;</v>
      </c>
    </row>
    <row r="37" spans="1:8" ht="14.25" customHeight="1">
      <c r="A37" s="2">
        <v>25042</v>
      </c>
      <c r="B37" s="2" t="s">
        <v>6399</v>
      </c>
      <c r="C37" s="2" t="s">
        <v>6400</v>
      </c>
      <c r="D37" s="2" t="s">
        <v>6401</v>
      </c>
      <c r="E37" s="3" t="str">
        <f ca="1">IFERROR(__xludf.DUMMYFUNCTION("GOOGLETRANSLATE(B37,""ja"",""vi"")"),"golf")</f>
        <v>golf</v>
      </c>
      <c r="F37" s="3" t="str">
        <f ca="1">IFERROR(__xludf.DUMMYFUNCTION("GOOGLETRANSLATE(C37,""ja"",""vi"")"),"Đấu giá&gt; thể thao, giải trí&gt; Bằng cách thể thao&gt; Golf")</f>
        <v>Đấu giá&gt; thể thao, giải trí&gt; Bằng cách thể thao&gt; Golf</v>
      </c>
      <c r="G37" s="229" t="str">
        <f t="shared" ca="1" si="0"/>
        <v>"25042" : "golf",</v>
      </c>
      <c r="H37" s="229" t="str">
        <f t="shared" si="1"/>
        <v>&lt;li class="col-md-3"&gt;&lt;a class="text-cut" href="javascript:;"(click)="categoryEvent(25042)"&gt;{{"25042" | translate}}&lt;/a&gt;&lt;/li&gt;</v>
      </c>
    </row>
    <row r="38" spans="1:8" ht="14.25" customHeight="1">
      <c r="A38" s="2">
        <v>2084032407</v>
      </c>
      <c r="B38" s="2" t="s">
        <v>6117</v>
      </c>
      <c r="C38" s="2" t="s">
        <v>6405</v>
      </c>
      <c r="D38" s="2" t="s">
        <v>6406</v>
      </c>
      <c r="E38" s="3" t="str">
        <f ca="1">IFERROR(__xludf.DUMMYFUNCTION("GOOGLETRANSLATE(B38,""ja"",""vi"")"),"Võ thuật, Wrestling")</f>
        <v>Võ thuật, Wrestling</v>
      </c>
      <c r="F38" s="3" t="str">
        <f ca="1">IFERROR(__xludf.DUMMYFUNCTION("GOOGLETRANSLATE(C38,""ja"",""vi"")"),"Đấu giá&gt; thể thao, giải trí&gt; Bằng cách thể thao&gt; Võ thuật, Wrestling")</f>
        <v>Đấu giá&gt; thể thao, giải trí&gt; Bằng cách thể thao&gt; Võ thuật, Wrestling</v>
      </c>
      <c r="G38" s="229" t="str">
        <f t="shared" ca="1" si="0"/>
        <v>"2084032407" : "Võ thuật, Wrestling",</v>
      </c>
      <c r="H38" s="229" t="str">
        <f t="shared" si="1"/>
        <v>&lt;li class="col-md-3"&gt;&lt;a class="text-cut" href="javascript:;"(click)="categoryEvent(2084032407)"&gt;{{"2084032407" | translate}}&lt;/a&gt;&lt;/li&gt;</v>
      </c>
    </row>
    <row r="39" spans="1:8" ht="14.25" customHeight="1">
      <c r="A39" s="2">
        <v>2084228304</v>
      </c>
      <c r="B39" s="2" t="s">
        <v>6409</v>
      </c>
      <c r="C39" s="2" t="s">
        <v>6410</v>
      </c>
      <c r="D39" s="2" t="s">
        <v>6411</v>
      </c>
      <c r="E39" s="3" t="str">
        <f ca="1">IFERROR(__xludf.DUMMYFUNCTION("GOOGLETRANSLATE(B39,""ja"",""vi"")"),"bắn cung Nhật Bản")</f>
        <v>bắn cung Nhật Bản</v>
      </c>
      <c r="F39" s="3" t="str">
        <f ca="1">IFERROR(__xludf.DUMMYFUNCTION("GOOGLETRANSLATE(C39,""ja"",""vi"")"),"Đấu giá&gt; thể thao, giải trí&gt; Bằng Sport&gt; Bắn cung")</f>
        <v>Đấu giá&gt; thể thao, giải trí&gt; Bằng Sport&gt; Bắn cung</v>
      </c>
      <c r="G39" s="229" t="str">
        <f t="shared" ca="1" si="0"/>
        <v>"2084228304" : "bắn cung Nhật Bản",</v>
      </c>
      <c r="H39" s="229" t="str">
        <f t="shared" si="1"/>
        <v>&lt;li class="col-md-3"&gt;&lt;a class="text-cut" href="javascript:;"(click)="categoryEvent(2084228304)"&gt;{{"2084228304" | translate}}&lt;/a&gt;&lt;/li&gt;</v>
      </c>
    </row>
    <row r="40" spans="1:8" ht="14.25" customHeight="1">
      <c r="A40" s="2">
        <v>2084258252</v>
      </c>
      <c r="B40" s="2" t="s">
        <v>6413</v>
      </c>
      <c r="C40" s="2" t="s">
        <v>6415</v>
      </c>
      <c r="D40" s="2" t="s">
        <v>6417</v>
      </c>
      <c r="E40" s="3" t="str">
        <f ca="1">IFERROR(__xludf.DUMMYFUNCTION("GOOGLETRANSLATE(B40,""ja"",""vi"")"),"Karate")</f>
        <v>Karate</v>
      </c>
      <c r="F40" s="3" t="str">
        <f ca="1">IFERROR(__xludf.DUMMYFUNCTION("GOOGLETRANSLATE(C40,""ja"",""vi"")"),"Đấu giá&gt; thể thao, giải trí&gt; Bằng Sport&gt; karate")</f>
        <v>Đấu giá&gt; thể thao, giải trí&gt; Bằng Sport&gt; karate</v>
      </c>
      <c r="G40" s="229" t="str">
        <f t="shared" ca="1" si="0"/>
        <v>"2084258252" : "Karate",</v>
      </c>
      <c r="H40" s="229" t="str">
        <f t="shared" si="1"/>
        <v>&lt;li class="col-md-3"&gt;&lt;a class="text-cut" href="javascript:;"(click)="categoryEvent(2084258252)"&gt;{{"2084258252" | translate}}&lt;/a&gt;&lt;/li&gt;</v>
      </c>
    </row>
    <row r="41" spans="1:8" ht="14.25" customHeight="1">
      <c r="A41" s="2">
        <v>2084005345</v>
      </c>
      <c r="B41" s="2" t="s">
        <v>6419</v>
      </c>
      <c r="C41" s="2" t="s">
        <v>6421</v>
      </c>
      <c r="D41" s="2" t="s">
        <v>6422</v>
      </c>
      <c r="E41" s="3" t="str">
        <f ca="1">IFERROR(__xludf.DUMMYFUNCTION("GOOGLETRANSLATE(B41,""ja"",""vi"")"),"Kendo")</f>
        <v>Kendo</v>
      </c>
      <c r="F41" s="3" t="str">
        <f ca="1">IFERROR(__xludf.DUMMYFUNCTION("GOOGLETRANSLATE(C41,""ja"",""vi"")"),"Đấu giá&gt; thể thao, giải trí&gt; Bằng Sport&gt; Kendo")</f>
        <v>Đấu giá&gt; thể thao, giải trí&gt; Bằng Sport&gt; Kendo</v>
      </c>
      <c r="G41" s="229" t="str">
        <f t="shared" ca="1" si="0"/>
        <v>"2084005345" : "Kendo",</v>
      </c>
      <c r="H41" s="229" t="str">
        <f t="shared" si="1"/>
        <v>&lt;li class="col-md-3"&gt;&lt;a class="text-cut" href="javascript:;"(click)="categoryEvent(2084005345)"&gt;{{"2084005345" | translate}}&lt;/a&gt;&lt;/li&gt;</v>
      </c>
    </row>
    <row r="42" spans="1:8" ht="14.25" customHeight="1">
      <c r="A42" s="2">
        <v>25242</v>
      </c>
      <c r="B42" s="2" t="s">
        <v>6424</v>
      </c>
      <c r="C42" s="2" t="s">
        <v>6425</v>
      </c>
      <c r="D42" s="2" t="s">
        <v>6426</v>
      </c>
      <c r="E42" s="3" t="str">
        <f ca="1">IFERROR(__xludf.DUMMYFUNCTION("GOOGLETRANSLATE(B42,""ja"",""vi"")"),"lướt sóng")</f>
        <v>lướt sóng</v>
      </c>
      <c r="F42" s="3" t="str">
        <f ca="1">IFERROR(__xludf.DUMMYFUNCTION("GOOGLETRANSLATE(C42,""ja"",""vi"")"),"Đấu giá&gt; thể thao, giải trí&gt; thể thao khác&gt; lướt")</f>
        <v>Đấu giá&gt; thể thao, giải trí&gt; thể thao khác&gt; lướt</v>
      </c>
      <c r="G42" s="229" t="str">
        <f t="shared" ca="1" si="0"/>
        <v>"25242" : "lướt sóng",</v>
      </c>
      <c r="H42" s="229" t="str">
        <f t="shared" si="1"/>
        <v>&lt;li class="col-md-3"&gt;&lt;a class="text-cut" href="javascript:;"(click)="categoryEvent(25242)"&gt;{{"25242" | translate}}&lt;/a&gt;&lt;/li&gt;</v>
      </c>
    </row>
    <row r="43" spans="1:8" ht="14.25" customHeight="1">
      <c r="A43" s="2">
        <v>25344</v>
      </c>
      <c r="B43" s="2" t="s">
        <v>6095</v>
      </c>
      <c r="C43" s="2" t="s">
        <v>6427</v>
      </c>
      <c r="D43" s="2" t="s">
        <v>6428</v>
      </c>
      <c r="E43" s="3" t="str">
        <f ca="1">IFERROR(__xludf.DUMMYFUNCTION("GOOGLETRANSLATE(B43,""ja"",""vi"")"),"bóng đá")</f>
        <v>bóng đá</v>
      </c>
      <c r="F43" s="3" t="str">
        <f ca="1">IFERROR(__xludf.DUMMYFUNCTION("GOOGLETRANSLATE(C43,""ja"",""vi"")"),"Đấu giá&gt; thể thao, giải trí&gt; Bằng cách thể thao&gt; Bóng đá")</f>
        <v>Đấu giá&gt; thể thao, giải trí&gt; Bằng cách thể thao&gt; Bóng đá</v>
      </c>
      <c r="G43" s="229" t="str">
        <f t="shared" ca="1" si="0"/>
        <v>"25344" : "bóng đá",</v>
      </c>
      <c r="H43" s="229" t="str">
        <f t="shared" si="1"/>
        <v>&lt;li class="col-md-3"&gt;&lt;a class="text-cut" href="javascript:;"(click)="categoryEvent(25344)"&gt;{{"25344" | translate}}&lt;/a&gt;&lt;/li&gt;</v>
      </c>
    </row>
    <row r="44" spans="1:8" ht="14.25" customHeight="1">
      <c r="A44" s="2">
        <v>2084048552</v>
      </c>
      <c r="B44" s="2" t="s">
        <v>6429</v>
      </c>
      <c r="C44" s="2" t="s">
        <v>6430</v>
      </c>
      <c r="D44" s="2" t="s">
        <v>6431</v>
      </c>
      <c r="E44" s="3" t="str">
        <f ca="1">IFERROR(__xludf.DUMMYFUNCTION("GOOGLETRANSLATE(B44,""ja"",""vi"")"),"Sky Sports")</f>
        <v>Sky Sports</v>
      </c>
      <c r="F44" s="3" t="str">
        <f ca="1">IFERROR(__xludf.DUMMYFUNCTION("GOOGLETRANSLATE(C44,""ja"",""vi"")"),"Đấu giá&gt; thể thao, giải trí&gt; Bằng Sport&gt; Sky Sports")</f>
        <v>Đấu giá&gt; thể thao, giải trí&gt; Bằng Sport&gt; Sky Sports</v>
      </c>
      <c r="G44" s="229" t="str">
        <f t="shared" ca="1" si="0"/>
        <v>"2084048552" : "Sky Sports",</v>
      </c>
      <c r="H44" s="229" t="str">
        <f t="shared" si="1"/>
        <v>&lt;li class="col-md-3"&gt;&lt;a class="text-cut" href="javascript:;"(click)="categoryEvent(2084048552)"&gt;{{"2084048552" | translate}}&lt;/a&gt;&lt;/li&gt;</v>
      </c>
    </row>
    <row r="45" spans="1:8" ht="14.25" customHeight="1">
      <c r="A45" s="2">
        <v>2084032405</v>
      </c>
      <c r="B45" s="2" t="s">
        <v>6435</v>
      </c>
      <c r="C45" s="2" t="s">
        <v>6436</v>
      </c>
      <c r="D45" s="2" t="s">
        <v>6438</v>
      </c>
      <c r="E45" s="3" t="str">
        <f ca="1">IFERROR(__xludf.DUMMYFUNCTION("GOOGLETRANSLATE(B45,""ja"",""vi"")"),"bí đao")</f>
        <v>bí đao</v>
      </c>
      <c r="F45" s="3" t="str">
        <f ca="1">IFERROR(__xludf.DUMMYFUNCTION("GOOGLETRANSLATE(C45,""ja"",""vi"")"),"Đấu giá&gt; thể thao, giải trí&gt; Bằng Sport&gt; Squash")</f>
        <v>Đấu giá&gt; thể thao, giải trí&gt; Bằng Sport&gt; Squash</v>
      </c>
      <c r="G45" s="229" t="str">
        <f t="shared" ca="1" si="0"/>
        <v>"2084032405" : "bí đao",</v>
      </c>
      <c r="H45" s="229" t="str">
        <f t="shared" si="1"/>
        <v>&lt;li class="col-md-3"&gt;&lt;a class="text-cut" href="javascript:;"(click)="categoryEvent(2084032405)"&gt;{{"2084032405" | translate}}&lt;/a&gt;&lt;/li&gt;</v>
      </c>
    </row>
    <row r="46" spans="1:8" ht="14.25" customHeight="1">
      <c r="A46" s="2">
        <v>25102</v>
      </c>
      <c r="B46" s="2" t="s">
        <v>6441</v>
      </c>
      <c r="C46" s="2" t="s">
        <v>6443</v>
      </c>
      <c r="D46" s="2" t="s">
        <v>6445</v>
      </c>
      <c r="E46" s="3" t="str">
        <f ca="1">IFERROR(__xludf.DUMMYFUNCTION("GOOGLETRANSLATE(B46,""ja"",""vi"")"),"trượt tuyết")</f>
        <v>trượt tuyết</v>
      </c>
      <c r="F46" s="3" t="str">
        <f ca="1">IFERROR(__xludf.DUMMYFUNCTION("GOOGLETRANSLATE(C46,""ja"",""vi"")"),"Đấu giá&gt; thể thao, giải trí&gt; Bằng Sport&gt; trượt tuyết")</f>
        <v>Đấu giá&gt; thể thao, giải trí&gt; Bằng Sport&gt; trượt tuyết</v>
      </c>
      <c r="G46" s="229" t="str">
        <f t="shared" ca="1" si="0"/>
        <v>"25102" : "trượt tuyết",</v>
      </c>
      <c r="H46" s="229" t="str">
        <f t="shared" si="1"/>
        <v>&lt;li class="col-md-3"&gt;&lt;a class="text-cut" href="javascript:;"(click)="categoryEvent(25102)"&gt;{{"25102" | translate}}&lt;/a&gt;&lt;/li&gt;</v>
      </c>
    </row>
    <row r="47" spans="1:8" ht="14.25" customHeight="1">
      <c r="A47" s="2">
        <v>25294</v>
      </c>
      <c r="B47" s="2" t="s">
        <v>6447</v>
      </c>
      <c r="C47" s="2" t="s">
        <v>6448</v>
      </c>
      <c r="D47" s="2" t="s">
        <v>6450</v>
      </c>
      <c r="E47" s="3" t="str">
        <f ca="1">IFERROR(__xludf.DUMMYFUNCTION("GOOGLETRANSLATE(B47,""ja"",""vi"")"),"lặn bằng bình khí")</f>
        <v>lặn bằng bình khí</v>
      </c>
      <c r="F47" s="3" t="str">
        <f ca="1">IFERROR(__xludf.DUMMYFUNCTION("GOOGLETRANSLATE(C47,""ja"",""vi"")"),"Đấu giá&gt; thể thao, giải trí&gt; thể thao khác&gt; lặn biển")</f>
        <v>Đấu giá&gt; thể thao, giải trí&gt; thể thao khác&gt; lặn biển</v>
      </c>
      <c r="G47" s="229" t="str">
        <f t="shared" ca="1" si="0"/>
        <v>"25294" : "lặn bằng bình khí",</v>
      </c>
      <c r="H47" s="229" t="str">
        <f t="shared" si="1"/>
        <v>&lt;li class="col-md-3"&gt;&lt;a class="text-cut" href="javascript:;"(click)="categoryEvent(25294)"&gt;{{"25294" | translate}}&lt;/a&gt;&lt;/li&gt;</v>
      </c>
    </row>
    <row r="48" spans="1:8" ht="14.25" customHeight="1">
      <c r="A48" s="2">
        <v>25318</v>
      </c>
      <c r="B48" s="2" t="s">
        <v>6452</v>
      </c>
      <c r="C48" s="2" t="s">
        <v>6453</v>
      </c>
      <c r="D48" s="2" t="s">
        <v>6454</v>
      </c>
      <c r="E48" s="3" t="str">
        <f ca="1">IFERROR(__xludf.DUMMYFUNCTION("GOOGLETRANSLATE(B48,""ja"",""vi"")"),"skateboard")</f>
        <v>skateboard</v>
      </c>
      <c r="F48" s="3" t="str">
        <f ca="1">IFERROR(__xludf.DUMMYFUNCTION("GOOGLETRANSLATE(C48,""ja"",""vi"")"),"Đấu giá&gt; thể thao, giải trí&gt; Bằng Sport&gt; skateboard")</f>
        <v>Đấu giá&gt; thể thao, giải trí&gt; Bằng Sport&gt; skateboard</v>
      </c>
      <c r="G48" s="229" t="str">
        <f t="shared" ca="1" si="0"/>
        <v>"25318" : "skateboard",</v>
      </c>
      <c r="H48" s="229" t="str">
        <f t="shared" si="1"/>
        <v>&lt;li class="col-md-3"&gt;&lt;a class="text-cut" href="javascript:;"(click)="categoryEvent(25318)"&gt;{{"25318" | translate}}&lt;/a&gt;&lt;/li&gt;</v>
      </c>
    </row>
    <row r="49" spans="1:8" ht="14.25" customHeight="1">
      <c r="A49" s="2">
        <v>25118</v>
      </c>
      <c r="B49" s="2" t="s">
        <v>6457</v>
      </c>
      <c r="C49" s="2" t="s">
        <v>6458</v>
      </c>
      <c r="D49" s="2" t="s">
        <v>6459</v>
      </c>
      <c r="E49" s="3" t="str">
        <f ca="1">IFERROR(__xludf.DUMMYFUNCTION("GOOGLETRANSLATE(B49,""ja"",""vi"")"),"trượt ván trên tuyết")</f>
        <v>trượt ván trên tuyết</v>
      </c>
      <c r="F49" s="3" t="str">
        <f ca="1">IFERROR(__xludf.DUMMYFUNCTION("GOOGLETRANSLATE(C49,""ja"",""vi"")"),"Đấu giá&gt; thể thao, giải trí&gt; Bằng Sport&gt; Snowboard")</f>
        <v>Đấu giá&gt; thể thao, giải trí&gt; Bằng Sport&gt; Snowboard</v>
      </c>
      <c r="G49" s="229" t="str">
        <f t="shared" ca="1" si="0"/>
        <v>"25118" : "trượt ván trên tuyết",</v>
      </c>
      <c r="H49" s="229" t="str">
        <f t="shared" si="1"/>
        <v>&lt;li class="col-md-3"&gt;&lt;a class="text-cut" href="javascript:;"(click)="categoryEvent(25118)"&gt;{{"25118" | translate}}&lt;/a&gt;&lt;/li&gt;</v>
      </c>
    </row>
    <row r="50" spans="1:8" ht="14.25" customHeight="1">
      <c r="A50" s="2">
        <v>25238</v>
      </c>
      <c r="B50" s="2" t="s">
        <v>6462</v>
      </c>
      <c r="C50" s="2" t="s">
        <v>6463</v>
      </c>
      <c r="D50" s="2" t="s">
        <v>6465</v>
      </c>
      <c r="E50" s="3" t="str">
        <f ca="1">IFERROR(__xludf.DUMMYFUNCTION("GOOGLETRANSLATE(B50,""ja"",""vi"")"),"tuyết di động")</f>
        <v>tuyết di động</v>
      </c>
      <c r="F50" s="3" t="str">
        <f ca="1">IFERROR(__xludf.DUMMYFUNCTION("GOOGLETRANSLATE(C50,""ja"",""vi"")"),"Đấu giá&gt; thể thao, giải trí&gt; Bằng Sport&gt; Xe chạy trên tuyết")</f>
        <v>Đấu giá&gt; thể thao, giải trí&gt; Bằng Sport&gt; Xe chạy trên tuyết</v>
      </c>
      <c r="G50" s="229" t="str">
        <f t="shared" ca="1" si="0"/>
        <v>"25238" : "tuyết di động",</v>
      </c>
      <c r="H50" s="229" t="str">
        <f t="shared" si="1"/>
        <v>&lt;li class="col-md-3"&gt;&lt;a class="text-cut" href="javascript:;"(click)="categoryEvent(25238)"&gt;{{"25238" | translate}}&lt;/a&gt;&lt;/li&gt;</v>
      </c>
    </row>
    <row r="51" spans="1:8" ht="14.25" customHeight="1">
      <c r="A51" s="2">
        <v>25352</v>
      </c>
      <c r="B51" s="2" t="s">
        <v>6468</v>
      </c>
      <c r="C51" s="2" t="s">
        <v>6469</v>
      </c>
      <c r="D51" s="2" t="s">
        <v>6470</v>
      </c>
      <c r="E51" s="3" t="str">
        <f ca="1">IFERROR(__xludf.DUMMYFUNCTION("GOOGLETRANSLATE(B51,""ja"",""vi"")"),"softball")</f>
        <v>softball</v>
      </c>
      <c r="F51" s="3" t="str">
        <f ca="1">IFERROR(__xludf.DUMMYFUNCTION("GOOGLETRANSLATE(C51,""ja"",""vi"")"),"Đấu giá&gt; thể thao, giải trí&gt; Bằng Sport&gt; Softball")</f>
        <v>Đấu giá&gt; thể thao, giải trí&gt; Bằng Sport&gt; Softball</v>
      </c>
      <c r="G51" s="229" t="str">
        <f t="shared" ca="1" si="0"/>
        <v>"25352" : "softball",</v>
      </c>
      <c r="H51" s="229" t="str">
        <f t="shared" si="1"/>
        <v>&lt;li class="col-md-3"&gt;&lt;a class="text-cut" href="javascript:;"(click)="categoryEvent(25352)"&gt;{{"25352" | translate}}&lt;/a&gt;&lt;/li&gt;</v>
      </c>
    </row>
    <row r="52" spans="1:8" ht="14.25" customHeight="1">
      <c r="A52" s="2">
        <v>26222</v>
      </c>
      <c r="B52" s="2" t="s">
        <v>6256</v>
      </c>
      <c r="C52" s="2" t="s">
        <v>6476</v>
      </c>
      <c r="D52" s="2" t="s">
        <v>6477</v>
      </c>
      <c r="E52" s="3" t="str">
        <f ca="1">IFERROR(__xludf.DUMMYFUNCTION("GOOGLETRANSLATE(B52,""ja"",""vi"")"),"Xe đạp, xe đạp")</f>
        <v>Xe đạp, xe đạp</v>
      </c>
      <c r="F52" s="3" t="str">
        <f ca="1">IFERROR(__xludf.DUMMYFUNCTION("GOOGLETRANSLATE(C52,""ja"",""vi"")"),"Đấu giá&gt; thể thao, giải trí&gt; Bằng Sport&gt; xe đạp, xe đạp")</f>
        <v>Đấu giá&gt; thể thao, giải trí&gt; Bằng Sport&gt; xe đạp, xe đạp</v>
      </c>
      <c r="G52" s="229" t="str">
        <f t="shared" ca="1" si="0"/>
        <v>"26222" : "Xe đạp, xe đạp",</v>
      </c>
      <c r="H52" s="229" t="str">
        <f t="shared" si="1"/>
        <v>&lt;li class="col-md-3"&gt;&lt;a class="text-cut" href="javascript:;"(click)="categoryEvent(26222)"&gt;{{"26222" | translate}}&lt;/a&gt;&lt;/li&gt;</v>
      </c>
    </row>
    <row r="53" spans="1:8" ht="14.25" customHeight="1">
      <c r="A53" s="2">
        <v>2084005448</v>
      </c>
      <c r="B53" s="2" t="s">
        <v>6478</v>
      </c>
      <c r="C53" s="2" t="s">
        <v>6479</v>
      </c>
      <c r="D53" s="2" t="s">
        <v>6481</v>
      </c>
      <c r="E53" s="3" t="str">
        <f ca="1">IFERROR(__xludf.DUMMYFUNCTION("GOOGLETRANSLATE(B53,""ja"",""vi"")"),"võ juđô")</f>
        <v>võ juđô</v>
      </c>
      <c r="F53" s="3" t="str">
        <f ca="1">IFERROR(__xludf.DUMMYFUNCTION("GOOGLETRANSLATE(C53,""ja"",""vi"")"),"Đấu giá&gt; thể thao, giải trí&gt; Bằng Sport&gt; Judo")</f>
        <v>Đấu giá&gt; thể thao, giải trí&gt; Bằng Sport&gt; Judo</v>
      </c>
      <c r="G53" s="229" t="str">
        <f t="shared" ca="1" si="0"/>
        <v>"2084005448" : "võ juđô",</v>
      </c>
      <c r="H53" s="229" t="str">
        <f t="shared" si="1"/>
        <v>&lt;li class="col-md-3"&gt;&lt;a class="text-cut" href="javascript:;"(click)="categoryEvent(2084005448)"&gt;{{"2084005448" | translate}}&lt;/a&gt;&lt;/li&gt;</v>
      </c>
    </row>
    <row r="54" spans="1:8" ht="14.25" customHeight="1">
      <c r="A54" s="2">
        <v>2084047835</v>
      </c>
      <c r="B54" s="2" t="s">
        <v>6483</v>
      </c>
      <c r="C54" s="2" t="s">
        <v>6484</v>
      </c>
      <c r="D54" s="2" t="s">
        <v>6485</v>
      </c>
      <c r="E54" s="3" t="str">
        <f ca="1">IFERROR(__xludf.DUMMYFUNCTION("GOOGLETRANSLATE(B54,""ja"",""vi"")"),"Thể thao cho người khuyết tật")</f>
        <v>Thể thao cho người khuyết tật</v>
      </c>
      <c r="F54" s="3" t="str">
        <f ca="1">IFERROR(__xludf.DUMMYFUNCTION("GOOGLETRANSLATE(C54,""ja"",""vi"")"),"Đấu giá&gt; thể thao, giải trí&gt; Bằng cách thể thao&gt; Thể thao cho người khuyết tật")</f>
        <v>Đấu giá&gt; thể thao, giải trí&gt; Bằng cách thể thao&gt; Thể thao cho người khuyết tật</v>
      </c>
      <c r="G54" s="229" t="str">
        <f t="shared" ca="1" si="0"/>
        <v>"2084047835" : "Thể thao cho người khuyết tật",</v>
      </c>
      <c r="H54" s="229" t="str">
        <f t="shared" si="1"/>
        <v>&lt;li class="col-md-3"&gt;&lt;a class="text-cut" href="javascript:;"(click)="categoryEvent(2084047835)"&gt;{{"2084047835" | translate}}&lt;/a&gt;&lt;/li&gt;</v>
      </c>
    </row>
    <row r="55" spans="1:8" ht="14.25" customHeight="1">
      <c r="A55" s="2">
        <v>25230</v>
      </c>
      <c r="B55" s="2" t="s">
        <v>6486</v>
      </c>
      <c r="C55" s="2" t="s">
        <v>6487</v>
      </c>
      <c r="D55" s="2" t="s">
        <v>6488</v>
      </c>
      <c r="E55" s="3" t="str">
        <f ca="1">IFERROR(__xludf.DUMMYFUNCTION("GOOGLETRANSLATE(B55,""ja"",""vi"")"),"Cưỡi ngựa, cưỡi ngựa")</f>
        <v>Cưỡi ngựa, cưỡi ngựa</v>
      </c>
      <c r="F55" s="3" t="str">
        <f ca="1">IFERROR(__xludf.DUMMYFUNCTION("GOOGLETRANSLATE(C55,""ja"",""vi"")"),"Đấu giá&gt; thể thao, giải trí&gt; Bằng Sport&gt; cưỡi ngựa, cưỡi ngựa")</f>
        <v>Đấu giá&gt; thể thao, giải trí&gt; Bằng Sport&gt; cưỡi ngựa, cưỡi ngựa</v>
      </c>
      <c r="G55" s="229" t="str">
        <f t="shared" ca="1" si="0"/>
        <v>"25230" : "Cưỡi ngựa, cưỡi ngựa",</v>
      </c>
      <c r="H55" s="229" t="str">
        <f t="shared" si="1"/>
        <v>&lt;li class="col-md-3"&gt;&lt;a class="text-cut" href="javascript:;"(click)="categoryEvent(25230)"&gt;{{"25230" | translate}}&lt;/a&gt;&lt;/li&gt;</v>
      </c>
    </row>
    <row r="56" spans="1:8" ht="14.25" customHeight="1">
      <c r="A56" s="2">
        <v>2084259893</v>
      </c>
      <c r="B56" s="2" t="s">
        <v>6491</v>
      </c>
      <c r="C56" s="2" t="s">
        <v>6492</v>
      </c>
      <c r="D56" s="2" t="s">
        <v>6493</v>
      </c>
      <c r="E56" s="3" t="str">
        <f ca="1">IFERROR(__xludf.DUMMYFUNCTION("GOOGLETRANSLATE(B56,""ja"",""vi"")"),"Thể dục nhịp điệu")</f>
        <v>Thể dục nhịp điệu</v>
      </c>
      <c r="F56" s="3" t="str">
        <f ca="1">IFERROR(__xludf.DUMMYFUNCTION("GOOGLETRANSLATE(C56,""ja"",""vi"")"),"Đấu giá&gt; thể thao, giải trí&gt; Bằng cách thể thao&gt; Thể dục nhịp điệu")</f>
        <v>Đấu giá&gt; thể thao, giải trí&gt; Bằng cách thể thao&gt; Thể dục nhịp điệu</v>
      </c>
      <c r="G56" s="229" t="str">
        <f t="shared" ca="1" si="0"/>
        <v>"2084259893" : "Thể dục nhịp điệu",</v>
      </c>
      <c r="H56" s="229" t="str">
        <f t="shared" si="1"/>
        <v>&lt;li class="col-md-3"&gt;&lt;a class="text-cut" href="javascript:;"(click)="categoryEvent(2084259893)"&gt;{{"2084259893" | translate}}&lt;/a&gt;&lt;/li&gt;</v>
      </c>
    </row>
    <row r="57" spans="1:8" ht="14.25" customHeight="1">
      <c r="A57" s="2">
        <v>2084051833</v>
      </c>
      <c r="B57" s="2" t="s">
        <v>6496</v>
      </c>
      <c r="C57" s="2" t="s">
        <v>6497</v>
      </c>
      <c r="D57" s="2" t="s">
        <v>6498</v>
      </c>
      <c r="E57" s="3" t="str">
        <f ca="1">IFERROR(__xludf.DUMMYFUNCTION("GOOGLETRANSLATE(B57,""ja"",""vi"")"),"Bể")</f>
        <v>Bể</v>
      </c>
      <c r="F57" s="3" t="str">
        <f ca="1">IFERROR(__xludf.DUMMYFUNCTION("GOOGLETRANSLATE(C57,""ja"",""vi"")"),"Đấu giá&gt; thể thao, giải trí&gt; Bằng cách thể thao&gt; Bơi")</f>
        <v>Đấu giá&gt; thể thao, giải trí&gt; Bằng cách thể thao&gt; Bơi</v>
      </c>
      <c r="G57" s="229" t="str">
        <f t="shared" ca="1" si="0"/>
        <v>"2084051833" : "Bể",</v>
      </c>
      <c r="H57" s="229" t="str">
        <f t="shared" si="1"/>
        <v>&lt;li class="col-md-3"&gt;&lt;a class="text-cut" href="javascript:;"(click)="categoryEvent(2084051833)"&gt;{{"2084051833" | translate}}&lt;/a&gt;&lt;/li&gt;</v>
      </c>
    </row>
    <row r="58" spans="1:8" ht="14.25" customHeight="1">
      <c r="A58" s="2">
        <v>25246</v>
      </c>
      <c r="B58" s="2" t="s">
        <v>6500</v>
      </c>
      <c r="C58" s="2" t="s">
        <v>6502</v>
      </c>
      <c r="D58" s="2" t="s">
        <v>6503</v>
      </c>
      <c r="E58" s="3" t="str">
        <f ca="1">IFERROR(__xludf.DUMMYFUNCTION("GOOGLETRANSLATE(B58,""ja"",""vi"")"),"trượt nước")</f>
        <v>trượt nước</v>
      </c>
      <c r="F58" s="3" t="str">
        <f ca="1">IFERROR(__xludf.DUMMYFUNCTION("GOOGLETRANSLATE(C58,""ja"",""vi"")"),"Đấu giá&gt; thể thao, giải trí&gt; Bằng Sport&gt; Trượt nước")</f>
        <v>Đấu giá&gt; thể thao, giải trí&gt; Bằng Sport&gt; Trượt nước</v>
      </c>
      <c r="G58" s="229" t="str">
        <f t="shared" ca="1" si="0"/>
        <v>"25246" : "trượt nước",</v>
      </c>
      <c r="H58" s="229" t="str">
        <f t="shared" si="1"/>
        <v>&lt;li class="col-md-3"&gt;&lt;a class="text-cut" href="javascript:;"(click)="categoryEvent(25246)"&gt;{{"25246" | translate}}&lt;/a&gt;&lt;/li&gt;</v>
      </c>
    </row>
    <row r="59" spans="1:8" ht="14.25" customHeight="1">
      <c r="A59" s="2">
        <v>2084231476</v>
      </c>
      <c r="B59" s="2" t="s">
        <v>6504</v>
      </c>
      <c r="C59" s="2" t="s">
        <v>6505</v>
      </c>
      <c r="D59" s="2" t="s">
        <v>6508</v>
      </c>
      <c r="E59" s="3" t="str">
        <f ca="1">IFERROR(__xludf.DUMMYFUNCTION("GOOGLETRANSLATE(B59,""ja"",""vi"")"),"Sumo đấu vật")</f>
        <v>Sumo đấu vật</v>
      </c>
      <c r="F59" s="3" t="str">
        <f ca="1">IFERROR(__xludf.DUMMYFUNCTION("GOOGLETRANSLATE(C59,""ja"",""vi"")"),"Đấu giá&gt; thể thao, giải trí&gt; Bằng Sport&gt; Sumo")</f>
        <v>Đấu giá&gt; thể thao, giải trí&gt; Bằng Sport&gt; Sumo</v>
      </c>
      <c r="G59" s="229" t="str">
        <f t="shared" ca="1" si="0"/>
        <v>"2084231476" : "Sumo đấu vật",</v>
      </c>
      <c r="H59" s="229" t="str">
        <f t="shared" si="1"/>
        <v>&lt;li class="col-md-3"&gt;&lt;a class="text-cut" href="javascript:;"(click)="categoryEvent(2084231476)"&gt;{{"2084231476" | translate}}&lt;/a&gt;&lt;/li&gt;</v>
      </c>
    </row>
    <row r="60" spans="1:8" ht="14.25" customHeight="1">
      <c r="A60" s="2">
        <v>25856</v>
      </c>
      <c r="B60" s="2" t="s">
        <v>6509</v>
      </c>
      <c r="C60" s="2" t="s">
        <v>6510</v>
      </c>
      <c r="D60" s="2" t="s">
        <v>6512</v>
      </c>
      <c r="E60" s="3" t="str">
        <f ca="1">IFERROR(__xludf.DUMMYFUNCTION("GOOGLETRANSLATE(B60,""ja"",""vi"")"),"phi tiêu")</f>
        <v>phi tiêu</v>
      </c>
      <c r="F60" s="3" t="str">
        <f ca="1">IFERROR(__xludf.DUMMYFUNCTION("GOOGLETRANSLATE(C60,""ja"",""vi"")"),"Đấu giá&gt; thể thao, giải trí&gt; Bằng Sport&gt; Darts")</f>
        <v>Đấu giá&gt; thể thao, giải trí&gt; Bằng Sport&gt; Darts</v>
      </c>
      <c r="G60" s="229" t="str">
        <f t="shared" ca="1" si="0"/>
        <v>"25856" : "phi tiêu",</v>
      </c>
      <c r="H60" s="229" t="str">
        <f t="shared" si="1"/>
        <v>&lt;li class="col-md-3"&gt;&lt;a class="text-cut" href="javascript:;"(click)="categoryEvent(25856)"&gt;{{"25856" | translate}}&lt;/a&gt;&lt;/li&gt;</v>
      </c>
    </row>
    <row r="61" spans="1:8" ht="14.25" customHeight="1">
      <c r="A61" s="2">
        <v>2084047566</v>
      </c>
      <c r="B61" s="2" t="s">
        <v>6515</v>
      </c>
      <c r="C61" s="2" t="s">
        <v>6516</v>
      </c>
      <c r="D61" s="2" t="s">
        <v>6517</v>
      </c>
      <c r="E61" s="3" t="str">
        <f ca="1">IFERROR(__xludf.DUMMYFUNCTION("GOOGLETRANSLATE(B61,""ja"",""vi"")"),"Khiêu vũ, múa ba lê")</f>
        <v>Khiêu vũ, múa ba lê</v>
      </c>
      <c r="F61" s="3" t="str">
        <f ca="1">IFERROR(__xludf.DUMMYFUNCTION("GOOGLETRANSLATE(C61,""ja"",""vi"")"),"Đấu giá&gt; thể thao, giải trí&gt; thể thao khác&gt; Khiêu vũ, múa ba lê")</f>
        <v>Đấu giá&gt; thể thao, giải trí&gt; thể thao khác&gt; Khiêu vũ, múa ba lê</v>
      </c>
      <c r="G61" s="229" t="str">
        <f t="shared" ca="1" si="0"/>
        <v>"2084047566" : "Khiêu vũ, múa ba lê",</v>
      </c>
      <c r="H61" s="229" t="str">
        <f t="shared" si="1"/>
        <v>&lt;li class="col-md-3"&gt;&lt;a class="text-cut" href="javascript:;"(click)="categoryEvent(2084047566)"&gt;{{"2084047566" | translate}}&lt;/a&gt;&lt;/li&gt;</v>
      </c>
    </row>
    <row r="62" spans="1:8" ht="14.25" customHeight="1">
      <c r="A62" s="2">
        <v>2084032399</v>
      </c>
      <c r="B62" s="2" t="s">
        <v>6518</v>
      </c>
      <c r="C62" s="2" t="s">
        <v>6519</v>
      </c>
      <c r="D62" s="2" t="s">
        <v>6521</v>
      </c>
      <c r="E62" s="3" t="str">
        <f ca="1">IFERROR(__xludf.DUMMYFUNCTION("GOOGLETRANSLATE(B62,""ja"",""vi"")"),"quần vợt")</f>
        <v>quần vợt</v>
      </c>
      <c r="F62" s="3" t="str">
        <f ca="1">IFERROR(__xludf.DUMMYFUNCTION("GOOGLETRANSLATE(C62,""ja"",""vi"")"),"Đấu giá&gt; thể thao, giải trí&gt; Bằng cách thể thao&gt; Tennis")</f>
        <v>Đấu giá&gt; thể thao, giải trí&gt; Bằng cách thể thao&gt; Tennis</v>
      </c>
      <c r="G62" s="229" t="str">
        <f t="shared" ca="1" si="0"/>
        <v>"2084032399" : "quần vợt",</v>
      </c>
      <c r="H62" s="229" t="str">
        <f t="shared" si="1"/>
        <v>&lt;li class="col-md-3"&gt;&lt;a class="text-cut" href="javascript:;"(click)="categoryEvent(2084032399)"&gt;{{"2084032399" | translate}}&lt;/a&gt;&lt;/li&gt;</v>
      </c>
    </row>
    <row r="63" spans="1:8" ht="14.25" customHeight="1">
      <c r="A63" s="2">
        <v>2084299350</v>
      </c>
      <c r="B63" s="2" t="s">
        <v>6523</v>
      </c>
      <c r="C63" s="2" t="s">
        <v>6524</v>
      </c>
      <c r="D63" s="2" t="s">
        <v>6525</v>
      </c>
      <c r="E63" s="3" t="str">
        <f ca="1">IFERROR(__xludf.DUMMYFUNCTION("GOOGLETRANSLATE(B63,""ja"",""vi"")"),"Triathlon")</f>
        <v>Triathlon</v>
      </c>
      <c r="F63" s="3" t="str">
        <f ca="1">IFERROR(__xludf.DUMMYFUNCTION("GOOGLETRANSLATE(C63,""ja"",""vi"")"),"Đấu giá&gt; thể thao, giải trí&gt; Bằng Sport&gt; Triathlon")</f>
        <v>Đấu giá&gt; thể thao, giải trí&gt; Bằng Sport&gt; Triathlon</v>
      </c>
      <c r="G63" s="229" t="str">
        <f t="shared" ca="1" si="0"/>
        <v>"2084299350" : "Triathlon",</v>
      </c>
      <c r="H63" s="229" t="str">
        <f t="shared" si="1"/>
        <v>&lt;li class="col-md-3"&gt;&lt;a class="text-cut" href="javascript:;"(click)="categoryEvent(2084299350)"&gt;{{"2084299350" | translate}}&lt;/a&gt;&lt;/li&gt;</v>
      </c>
    </row>
    <row r="64" spans="1:8" ht="14.25" customHeight="1">
      <c r="A64" s="2">
        <v>25202</v>
      </c>
      <c r="B64" s="2" t="s">
        <v>6529</v>
      </c>
      <c r="C64" s="2" t="s">
        <v>6530</v>
      </c>
      <c r="D64" s="2" t="s">
        <v>6531</v>
      </c>
      <c r="E64" s="3" t="str">
        <f ca="1">IFERROR(__xludf.DUMMYFUNCTION("GOOGLETRANSLATE(B64,""ja"",""vi"")"),"Bóng bàn")</f>
        <v>Bóng bàn</v>
      </c>
      <c r="F64" s="3" t="str">
        <f ca="1">IFERROR(__xludf.DUMMYFUNCTION("GOOGLETRANSLATE(C64,""ja"",""vi"")"),"Đấu giá&gt; thể thao, giải trí&gt; Bằng cách thể thao&gt; Bóng bàn")</f>
        <v>Đấu giá&gt; thể thao, giải trí&gt; Bằng cách thể thao&gt; Bóng bàn</v>
      </c>
      <c r="G64" s="229" t="str">
        <f t="shared" ca="1" si="0"/>
        <v>"25202" : "Bóng bàn",</v>
      </c>
      <c r="H64" s="229" t="str">
        <f t="shared" si="1"/>
        <v>&lt;li class="col-md-3"&gt;&lt;a class="text-cut" href="javascript:;"(click)="categoryEvent(25202)"&gt;{{"25202" | translate}}&lt;/a&gt;&lt;/li&gt;</v>
      </c>
    </row>
    <row r="65" spans="1:8" ht="14.25" customHeight="1">
      <c r="A65" s="2">
        <v>24930</v>
      </c>
      <c r="B65" s="2" t="s">
        <v>6532</v>
      </c>
      <c r="C65" s="2" t="s">
        <v>6534</v>
      </c>
      <c r="D65" s="2" t="s">
        <v>6535</v>
      </c>
      <c r="E65" s="3" t="str">
        <f ca="1">IFERROR(__xludf.DUMMYFUNCTION("GOOGLETRANSLATE(B65,""ja"",""vi"")"),"Leo núi")</f>
        <v>Leo núi</v>
      </c>
      <c r="F65" s="3" t="str">
        <f ca="1">IFERROR(__xludf.DUMMYFUNCTION("GOOGLETRANSLATE(C65,""ja"",""vi"")"),"Đấu giá&gt; thể thao, giải trí&gt; Bằng cách thể thao&gt; Leo núi")</f>
        <v>Đấu giá&gt; thể thao, giải trí&gt; Bằng cách thể thao&gt; Leo núi</v>
      </c>
      <c r="G65" s="229" t="str">
        <f t="shared" ca="1" si="0"/>
        <v>"24930" : "Leo núi",</v>
      </c>
      <c r="H65" s="229" t="str">
        <f t="shared" si="1"/>
        <v>&lt;li class="col-md-3"&gt;&lt;a class="text-cut" href="javascript:;"(click)="categoryEvent(24930)"&gt;{{"24930" | translate}}&lt;/a&gt;&lt;/li&gt;</v>
      </c>
    </row>
    <row r="66" spans="1:8" ht="14.25" customHeight="1">
      <c r="A66" s="2">
        <v>2084048556</v>
      </c>
      <c r="B66" s="2" t="s">
        <v>6539</v>
      </c>
      <c r="C66" s="2" t="s">
        <v>6541</v>
      </c>
      <c r="D66" s="2" t="s">
        <v>6543</v>
      </c>
      <c r="E66" s="3" t="str">
        <f ca="1">IFERROR(__xludf.DUMMYFUNCTION("GOOGLETRANSLATE(B66,""ja"",""vi"")"),"banh để liệng")</f>
        <v>banh để liệng</v>
      </c>
      <c r="F66" s="3" t="str">
        <f ca="1">IFERROR(__xludf.DUMMYFUNCTION("GOOGLETRANSLATE(C66,""ja"",""vi"")"),"Đấu giá&gt; thể thao, giải trí&gt; Bằng cách thể thao&gt; Bóng ném")</f>
        <v>Đấu giá&gt; thể thao, giải trí&gt; Bằng cách thể thao&gt; Bóng ném</v>
      </c>
      <c r="G66" s="229" t="str">
        <f t="shared" ca="1" si="0"/>
        <v>"2084048556" : "banh để liệng",</v>
      </c>
      <c r="H66" s="229" t="str">
        <f t="shared" si="1"/>
        <v>&lt;li class="col-md-3"&gt;&lt;a class="text-cut" href="javascript:;"(click)="categoryEvent(2084048556)"&gt;{{"2084048556" | translate}}&lt;/a&gt;&lt;/li&gt;</v>
      </c>
    </row>
    <row r="67" spans="1:8" ht="14.25" customHeight="1">
      <c r="A67" s="2">
        <v>25338</v>
      </c>
      <c r="B67" s="2" t="s">
        <v>6100</v>
      </c>
      <c r="C67" s="2" t="s">
        <v>6546</v>
      </c>
      <c r="D67" s="2" t="s">
        <v>6548</v>
      </c>
      <c r="E67" s="3" t="str">
        <f ca="1">IFERROR(__xludf.DUMMYFUNCTION("GOOGLETRANSLATE(B67,""ja"",""vi"")"),"Bóng rổ")</f>
        <v>Bóng rổ</v>
      </c>
      <c r="F67" s="3" t="str">
        <f ca="1">IFERROR(__xludf.DUMMYFUNCTION("GOOGLETRANSLATE(C67,""ja"",""vi"")"),"Đấu giá&gt; thể thao, giải trí&gt; Bằng cách thể thao&gt; Bóng rổ")</f>
        <v>Đấu giá&gt; thể thao, giải trí&gt; Bằng cách thể thao&gt; Bóng rổ</v>
      </c>
      <c r="G67" s="229" t="str">
        <f t="shared" ref="G67:G130" ca="1" si="2">CONCATENATE(CHAR(34)&amp;"",A67,""&amp;CHAR(34)," : ", CHAR(34)&amp;"",E67,""&amp;CHAR(34),",")</f>
        <v>"25338" : "Bóng rổ",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href="javascript:;"(click)="categoryEvent(25338)"&gt;{{"25338" | translate}}&lt;/a&gt;&lt;/li&gt;</v>
      </c>
    </row>
    <row r="68" spans="1:8" ht="14.25" customHeight="1">
      <c r="A68" s="2">
        <v>2084005449</v>
      </c>
      <c r="B68" s="2" t="s">
        <v>6550</v>
      </c>
      <c r="C68" s="2" t="s">
        <v>6552</v>
      </c>
      <c r="D68" s="2" t="s">
        <v>6553</v>
      </c>
      <c r="E68" s="3" t="str">
        <f ca="1">IFERROR(__xludf.DUMMYFUNCTION("GOOGLETRANSLATE(B68,""ja"",""vi"")"),"Cầu lông")</f>
        <v>Cầu lông</v>
      </c>
      <c r="F68" s="3" t="str">
        <f ca="1">IFERROR(__xludf.DUMMYFUNCTION("GOOGLETRANSLATE(C68,""ja"",""vi"")"),"Đấu giá&gt; thể thao, giải trí&gt; Bằng cách thể thao&gt; Cầu lông")</f>
        <v>Đấu giá&gt; thể thao, giải trí&gt; Bằng cách thể thao&gt; Cầu lông</v>
      </c>
      <c r="G68" s="229" t="str">
        <f t="shared" ca="1" si="2"/>
        <v>"2084005449" : "Cầu lông",</v>
      </c>
      <c r="H68" s="229" t="str">
        <f t="shared" si="3"/>
        <v>&lt;li class="col-md-3"&gt;&lt;a class="text-cut" href="javascript:;"(click)="categoryEvent(2084005449)"&gt;{{"2084005449" | translate}}&lt;/a&gt;&lt;/li&gt;</v>
      </c>
    </row>
    <row r="69" spans="1:8" ht="14.25" customHeight="1">
      <c r="A69" s="2">
        <v>25342</v>
      </c>
      <c r="B69" s="2" t="s">
        <v>6556</v>
      </c>
      <c r="C69" s="2" t="s">
        <v>6557</v>
      </c>
      <c r="D69" s="2" t="s">
        <v>6558</v>
      </c>
      <c r="E69" s="3" t="str">
        <f ca="1">IFERROR(__xludf.DUMMYFUNCTION("GOOGLETRANSLATE(B69,""ja"",""vi"")"),"bóng chuyền")</f>
        <v>bóng chuyền</v>
      </c>
      <c r="F69" s="3" t="str">
        <f ca="1">IFERROR(__xludf.DUMMYFUNCTION("GOOGLETRANSLATE(C69,""ja"",""vi"")"),"Đấu giá&gt; thể thao, giải trí&gt; Bằng cách thể thao&gt; Bóng chuyền")</f>
        <v>Đấu giá&gt; thể thao, giải trí&gt; Bằng cách thể thao&gt; Bóng chuyền</v>
      </c>
      <c r="G69" s="229" t="str">
        <f t="shared" ca="1" si="2"/>
        <v>"25342" : "bóng chuyền",</v>
      </c>
      <c r="H69" s="229" t="str">
        <f t="shared" si="3"/>
        <v>&lt;li class="col-md-3"&gt;&lt;a class="text-cut" href="javascript:;"(click)="categoryEvent(25342)"&gt;{{"25342" | translate}}&lt;/a&gt;&lt;/li&gt;</v>
      </c>
    </row>
    <row r="70" spans="1:8" ht="14.25" customHeight="1">
      <c r="A70" s="2">
        <v>2084032408</v>
      </c>
      <c r="B70" s="2" t="s">
        <v>6561</v>
      </c>
      <c r="C70" s="2" t="s">
        <v>6562</v>
      </c>
      <c r="D70" s="2" t="s">
        <v>6563</v>
      </c>
      <c r="E70" s="3" t="str">
        <f ca="1">IFERROR(__xludf.DUMMYFUNCTION("GOOGLETRANSLATE(B70,""ja"",""vi"")"),"dù lượn")</f>
        <v>dù lượn</v>
      </c>
      <c r="F70" s="3" t="str">
        <f ca="1">IFERROR(__xludf.DUMMYFUNCTION("GOOGLETRANSLATE(C70,""ja"",""vi"")"),"Đấu giá&gt; thể thao, giải trí&gt; Bằng Sport&gt; dù lượn")</f>
        <v>Đấu giá&gt; thể thao, giải trí&gt; Bằng Sport&gt; dù lượn</v>
      </c>
      <c r="G70" s="229" t="str">
        <f t="shared" ca="1" si="2"/>
        <v>"2084032408" : "dù lượn",</v>
      </c>
      <c r="H70" s="229" t="str">
        <f t="shared" si="3"/>
        <v>&lt;li class="col-md-3"&gt;&lt;a class="text-cut" href="javascript:;"(click)="categoryEvent(2084032408)"&gt;{{"2084032408" | translate}}&lt;/a&gt;&lt;/li&gt;</v>
      </c>
    </row>
    <row r="71" spans="1:8" ht="14.25" customHeight="1">
      <c r="A71" s="2">
        <v>25204</v>
      </c>
      <c r="B71" s="2" t="s">
        <v>6567</v>
      </c>
      <c r="C71" s="2" t="s">
        <v>6569</v>
      </c>
      <c r="D71" s="2" t="s">
        <v>6570</v>
      </c>
      <c r="E71" s="3" t="str">
        <f ca="1">IFERROR(__xludf.DUMMYFUNCTION("GOOGLETRANSLATE(B71,""ja"",""vi"")"),"bida")</f>
        <v>bida</v>
      </c>
      <c r="F71" s="3" t="str">
        <f ca="1">IFERROR(__xludf.DUMMYFUNCTION("GOOGLETRANSLATE(C71,""ja"",""vi"")"),"Đấu giá&gt; thể thao, giải trí&gt; Bằng Sport&gt; Billiards")</f>
        <v>Đấu giá&gt; thể thao, giải trí&gt; Bằng Sport&gt; Billiards</v>
      </c>
      <c r="G71" s="229" t="str">
        <f t="shared" ca="1" si="2"/>
        <v>"25204" : "bida",</v>
      </c>
      <c r="H71" s="229" t="str">
        <f t="shared" si="3"/>
        <v>&lt;li class="col-md-3"&gt;&lt;a class="text-cut" href="javascript:;"(click)="categoryEvent(25204)"&gt;{{"25204" | translate}}&lt;/a&gt;&lt;/li&gt;</v>
      </c>
    </row>
    <row r="72" spans="1:8" ht="14.25" customHeight="1">
      <c r="A72" s="2">
        <v>25340</v>
      </c>
      <c r="B72" s="2" t="s">
        <v>6571</v>
      </c>
      <c r="C72" s="2" t="s">
        <v>6574</v>
      </c>
      <c r="D72" s="2" t="s">
        <v>6576</v>
      </c>
      <c r="E72" s="3" t="str">
        <f ca="1">IFERROR(__xludf.DUMMYFUNCTION("GOOGLETRANSLATE(B72,""ja"",""vi"")"),"Hockey")</f>
        <v>Hockey</v>
      </c>
      <c r="F72" s="3" t="str">
        <f ca="1">IFERROR(__xludf.DUMMYFUNCTION("GOOGLETRANSLATE(C72,""ja"",""vi"")"),"Đấu giá&gt; thể thao, giải trí&gt; Bằng Sport&gt; Field Hockey")</f>
        <v>Đấu giá&gt; thể thao, giải trí&gt; Bằng Sport&gt; Field Hockey</v>
      </c>
      <c r="G72" s="229" t="str">
        <f t="shared" ca="1" si="2"/>
        <v>"25340" : "Hockey",</v>
      </c>
      <c r="H72" s="229" t="str">
        <f t="shared" si="3"/>
        <v>&lt;li class="col-md-3"&gt;&lt;a class="text-cut" href="javascript:;"(click)="categoryEvent(25340)"&gt;{{"25340" | translate}}&lt;/a&gt;&lt;/li&gt;</v>
      </c>
    </row>
    <row r="73" spans="1:8" ht="14.25" customHeight="1">
      <c r="A73" s="2">
        <v>2084244286</v>
      </c>
      <c r="B73" s="2" t="s">
        <v>6579</v>
      </c>
      <c r="C73" s="2" t="s">
        <v>6581</v>
      </c>
      <c r="D73" s="2" t="s">
        <v>6582</v>
      </c>
      <c r="E73" s="3" t="str">
        <f ca="1">IFERROR(__xludf.DUMMYFUNCTION("GOOGLETRANSLATE(B73,""ja"",""vi"")"),"Futsal")</f>
        <v>Futsal</v>
      </c>
      <c r="F73" s="3" t="str">
        <f ca="1">IFERROR(__xludf.DUMMYFUNCTION("GOOGLETRANSLATE(C73,""ja"",""vi"")"),"Đấu giá&gt; thể thao, giải trí&gt; Bằng Sport&gt; Futsal")</f>
        <v>Đấu giá&gt; thể thao, giải trí&gt; Bằng Sport&gt; Futsal</v>
      </c>
      <c r="G73" s="229" t="str">
        <f t="shared" ca="1" si="2"/>
        <v>"2084244286" : "Futsal",</v>
      </c>
      <c r="H73" s="229" t="str">
        <f t="shared" si="3"/>
        <v>&lt;li class="col-md-3"&gt;&lt;a class="text-cut" href="javascript:;"(click)="categoryEvent(2084244286)"&gt;{{"2084244286" | translate}}&lt;/a&gt;&lt;/li&gt;</v>
      </c>
    </row>
    <row r="74" spans="1:8" ht="14.25" customHeight="1">
      <c r="A74" s="2">
        <v>25226</v>
      </c>
      <c r="B74" s="2" t="s">
        <v>6584</v>
      </c>
      <c r="C74" s="2" t="s">
        <v>6585</v>
      </c>
      <c r="D74" s="2" t="s">
        <v>6587</v>
      </c>
      <c r="E74" s="3" t="str">
        <f ca="1">IFERROR(__xludf.DUMMYFUNCTION("GOOGLETRANSLATE(B74,""ja"",""vi"")"),"bowling")</f>
        <v>bowling</v>
      </c>
      <c r="F74" s="3" t="str">
        <f ca="1">IFERROR(__xludf.DUMMYFUNCTION("GOOGLETRANSLATE(C74,""ja"",""vi"")"),"Đấu giá&gt; thể thao, giải trí&gt; Bằng cách thể thao&gt; Bowling")</f>
        <v>Đấu giá&gt; thể thao, giải trí&gt; Bằng cách thể thao&gt; Bowling</v>
      </c>
      <c r="G74" s="229" t="str">
        <f t="shared" ca="1" si="2"/>
        <v>"25226" : "bowling",</v>
      </c>
      <c r="H74" s="229" t="str">
        <f t="shared" si="3"/>
        <v>&lt;li class="col-md-3"&gt;&lt;a class="text-cut" href="javascript:;"(click)="categoryEvent(25226)"&gt;{{"25226" | translate}}&lt;/a&gt;&lt;/li&gt;</v>
      </c>
    </row>
    <row r="75" spans="1:8" ht="14.25" customHeight="1">
      <c r="A75" s="2">
        <v>2084005450</v>
      </c>
      <c r="B75" s="2" t="s">
        <v>6590</v>
      </c>
      <c r="C75" s="2" t="s">
        <v>6591</v>
      </c>
      <c r="D75" s="2" t="s">
        <v>6592</v>
      </c>
      <c r="E75" s="3" t="str">
        <f ca="1">IFERROR(__xludf.DUMMYFUNCTION("GOOGLETRANSLATE(B75,""ja"",""vi"")"),"quyền thuật")</f>
        <v>quyền thuật</v>
      </c>
      <c r="F75" s="3" t="str">
        <f ca="1">IFERROR(__xludf.DUMMYFUNCTION("GOOGLETRANSLATE(C75,""ja"",""vi"")"),"Đấu giá&gt; thể thao, giải trí&gt; Bằng Sport&gt; Boxing")</f>
        <v>Đấu giá&gt; thể thao, giải trí&gt; Bằng Sport&gt; Boxing</v>
      </c>
      <c r="G75" s="229" t="str">
        <f t="shared" ca="1" si="2"/>
        <v>"2084005450" : "quyền thuật",</v>
      </c>
      <c r="H75" s="229" t="str">
        <f t="shared" si="3"/>
        <v>&lt;li class="col-md-3"&gt;&lt;a class="text-cut" href="javascript:;"(click)="categoryEvent(2084005450)"&gt;{{"2084005450" | translate}}&lt;/a&gt;&lt;/li&gt;</v>
      </c>
    </row>
    <row r="76" spans="1:8" ht="14.25" customHeight="1">
      <c r="A76" s="2">
        <v>2084032281</v>
      </c>
      <c r="B76" s="2" t="s">
        <v>6594</v>
      </c>
      <c r="C76" s="2" t="s">
        <v>6595</v>
      </c>
      <c r="D76" s="2" t="s">
        <v>6596</v>
      </c>
      <c r="E76" s="3" t="str">
        <f ca="1">IFERROR(__xludf.DUMMYFUNCTION("GOOGLETRANSLATE(B76,""ja"",""vi"")"),"Ban cơ thể")</f>
        <v>Ban cơ thể</v>
      </c>
      <c r="F76" s="3" t="str">
        <f ca="1">IFERROR(__xludf.DUMMYFUNCTION("GOOGLETRANSLATE(C76,""ja"",""vi"")"),"Đấu giá&gt; Thể thao, giải trí&gt; Bằng Sport&gt; Ban cơ thể")</f>
        <v>Đấu giá&gt; Thể thao, giải trí&gt; Bằng Sport&gt; Ban cơ thể</v>
      </c>
      <c r="G76" s="229" t="str">
        <f t="shared" ca="1" si="2"/>
        <v>"2084032281" : "Ban cơ thể",</v>
      </c>
      <c r="H76" s="229" t="str">
        <f t="shared" si="3"/>
        <v>&lt;li class="col-md-3"&gt;&lt;a class="text-cut" href="javascript:;"(click)="categoryEvent(2084032281)"&gt;{{"2084032281" | translate}}&lt;/a&gt;&lt;/li&gt;</v>
      </c>
    </row>
    <row r="77" spans="1:8" ht="14.25" customHeight="1">
      <c r="A77" s="2">
        <v>2084196833</v>
      </c>
      <c r="B77" s="2" t="s">
        <v>6597</v>
      </c>
      <c r="C77" s="2" t="s">
        <v>6598</v>
      </c>
      <c r="D77" s="2" t="s">
        <v>6599</v>
      </c>
      <c r="E77" s="3" t="str">
        <f ca="1">IFERROR(__xludf.DUMMYFUNCTION("GOOGLETRANSLATE(B77,""ja"",""vi"")"),"Yoga, Pilates")</f>
        <v>Yoga, Pilates</v>
      </c>
      <c r="F77" s="3" t="str">
        <f ca="1">IFERROR(__xludf.DUMMYFUNCTION("GOOGLETRANSLATE(C77,""ja"",""vi"")"),"Đấu giá&gt; thể thao, giải trí&gt; Bằng Sport&gt; Yoga, Pilates")</f>
        <v>Đấu giá&gt; thể thao, giải trí&gt; Bằng Sport&gt; Yoga, Pilates</v>
      </c>
      <c r="G77" s="229" t="str">
        <f t="shared" ca="1" si="2"/>
        <v>"2084196833" : "Yoga, Pilates",</v>
      </c>
      <c r="H77" s="229" t="str">
        <f t="shared" si="3"/>
        <v>&lt;li class="col-md-3"&gt;&lt;a class="text-cut" href="javascript:;"(click)="categoryEvent(2084196833)"&gt;{{"2084196833" | translate}}&lt;/a&gt;&lt;/li&gt;</v>
      </c>
    </row>
    <row r="78" spans="1:8" ht="14.25" customHeight="1">
      <c r="A78" s="2">
        <v>25336</v>
      </c>
      <c r="B78" s="2" t="s">
        <v>6129</v>
      </c>
      <c r="C78" s="2" t="s">
        <v>6603</v>
      </c>
      <c r="D78" s="2" t="s">
        <v>6604</v>
      </c>
      <c r="E78" s="3" t="str">
        <f ca="1">IFERROR(__xludf.DUMMYFUNCTION("GOOGLETRANSLATE(B78,""ja"",""vi"")"),"Bóng chày")</f>
        <v>Bóng chày</v>
      </c>
      <c r="F78" s="3" t="str">
        <f ca="1">IFERROR(__xludf.DUMMYFUNCTION("GOOGLETRANSLATE(C78,""ja"",""vi"")"),"Đấu giá&gt; thể thao, giải trí&gt; Bằng cách thể thao&gt; Bóng chày")</f>
        <v>Đấu giá&gt; thể thao, giải trí&gt; Bằng cách thể thao&gt; Bóng chày</v>
      </c>
      <c r="G78" s="229" t="str">
        <f t="shared" ca="1" si="2"/>
        <v>"25336" : "Bóng chày",</v>
      </c>
      <c r="H78" s="229" t="str">
        <f t="shared" si="3"/>
        <v>&lt;li class="col-md-3"&gt;&lt;a class="text-cut" href="javascript:;"(click)="categoryEvent(25336)"&gt;{{"25336" | translate}}&lt;/a&gt;&lt;/li&gt;</v>
      </c>
    </row>
    <row r="79" spans="1:8" ht="14.25" customHeight="1">
      <c r="A79" s="2">
        <v>25348</v>
      </c>
      <c r="B79" s="2" t="s">
        <v>6605</v>
      </c>
      <c r="C79" s="2" t="s">
        <v>6606</v>
      </c>
      <c r="D79" s="2" t="s">
        <v>6608</v>
      </c>
      <c r="E79" s="3" t="str">
        <f ca="1">IFERROR(__xludf.DUMMYFUNCTION("GOOGLETRANSLATE(B79,""ja"",""vi"")"),"lối đánh quần ở bắc mỹ")</f>
        <v>lối đánh quần ở bắc mỹ</v>
      </c>
      <c r="F79" s="3" t="str">
        <f ca="1">IFERROR(__xludf.DUMMYFUNCTION("GOOGLETRANSLATE(C79,""ja"",""vi"")"),"Đấu giá&gt; thể thao, giải trí&gt; Bằng Sport&gt; Lacrosse")</f>
        <v>Đấu giá&gt; thể thao, giải trí&gt; Bằng Sport&gt; Lacrosse</v>
      </c>
      <c r="G79" s="229" t="str">
        <f t="shared" ca="1" si="2"/>
        <v>"25348" : "lối đánh quần ở bắc mỹ",</v>
      </c>
      <c r="H79" s="229" t="str">
        <f t="shared" si="3"/>
        <v>&lt;li class="col-md-3"&gt;&lt;a class="text-cut" href="javascript:;"(click)="categoryEvent(25348)"&gt;{{"25348" | translate}}&lt;/a&gt;&lt;/li&gt;</v>
      </c>
    </row>
    <row r="80" spans="1:8" ht="14.25" customHeight="1">
      <c r="A80" s="2">
        <v>25354</v>
      </c>
      <c r="B80" s="2" t="s">
        <v>6610</v>
      </c>
      <c r="C80" s="2" t="s">
        <v>6611</v>
      </c>
      <c r="D80" s="2" t="s">
        <v>6612</v>
      </c>
      <c r="E80" s="3" t="str">
        <f ca="1">IFERROR(__xludf.DUMMYFUNCTION("GOOGLETRANSLATE(B80,""ja"",""vi"")"),"Rugby")</f>
        <v>Rugby</v>
      </c>
      <c r="F80" s="3" t="str">
        <f ca="1">IFERROR(__xludf.DUMMYFUNCTION("GOOGLETRANSLATE(C80,""ja"",""vi"")"),"Đấu giá&gt; thể thao, giải trí&gt; Bằng cách thể thao&gt; Bóng bầu dục")</f>
        <v>Đấu giá&gt; thể thao, giải trí&gt; Bằng cách thể thao&gt; Bóng bầu dục</v>
      </c>
      <c r="G80" s="229" t="str">
        <f t="shared" ca="1" si="2"/>
        <v>"25354" : "Rugby",</v>
      </c>
      <c r="H80" s="229" t="str">
        <f t="shared" si="3"/>
        <v>&lt;li class="col-md-3"&gt;&lt;a class="text-cut" href="javascript:;"(click)="categoryEvent(25354)"&gt;{{"25354" | translate}}&lt;/a&gt;&lt;/li&gt;</v>
      </c>
    </row>
    <row r="81" spans="1:8" ht="14.25" customHeight="1">
      <c r="A81" s="2">
        <v>2084285322</v>
      </c>
      <c r="B81" s="2" t="s">
        <v>6614</v>
      </c>
      <c r="C81" s="2" t="s">
        <v>6617</v>
      </c>
      <c r="D81" s="2" t="s">
        <v>6619</v>
      </c>
      <c r="E81" s="3" t="str">
        <f ca="1">IFERROR(__xludf.DUMMYFUNCTION("GOOGLETRANSLATE(B81,""ja"",""vi"")"),"Chạy, chạy bộ")</f>
        <v>Chạy, chạy bộ</v>
      </c>
      <c r="F81" s="3" t="str">
        <f ca="1">IFERROR(__xludf.DUMMYFUNCTION("GOOGLETRANSLATE(C81,""ja"",""vi"")"),"Đấu giá&gt; thể thao, giải trí&gt; thể thao khác&gt; chạy, chạy bộ")</f>
        <v>Đấu giá&gt; thể thao, giải trí&gt; thể thao khác&gt; chạy, chạy bộ</v>
      </c>
      <c r="G81" s="229" t="str">
        <f t="shared" ca="1" si="2"/>
        <v>"2084285322" : "Chạy, chạy bộ",</v>
      </c>
      <c r="H81" s="229" t="str">
        <f t="shared" si="3"/>
        <v>&lt;li class="col-md-3"&gt;&lt;a class="text-cut" href="javascript:;"(click)="categoryEvent(2084285322)"&gt;{{"2084285322" | translate}}&lt;/a&gt;&lt;/li&gt;</v>
      </c>
    </row>
    <row r="82" spans="1:8" ht="14.25" customHeight="1">
      <c r="A82" s="2">
        <v>25254</v>
      </c>
      <c r="B82" s="2" t="s">
        <v>6620</v>
      </c>
      <c r="C82" s="2" t="s">
        <v>6621</v>
      </c>
      <c r="D82" s="2" t="s">
        <v>6623</v>
      </c>
      <c r="E82" s="3" t="str">
        <f ca="1">IFERROR(__xludf.DUMMYFUNCTION("GOOGLETRANSLATE(B82,""ja"",""vi"")"),"leo núi")</f>
        <v>leo núi</v>
      </c>
      <c r="F82" s="3" t="str">
        <f ca="1">IFERROR(__xludf.DUMMYFUNCTION("GOOGLETRANSLATE(C82,""ja"",""vi"")"),"Đấu giá&gt; thể thao, giải trí&gt; Bằng cách thể thao&gt; Leo")</f>
        <v>Đấu giá&gt; thể thao, giải trí&gt; Bằng cách thể thao&gt; Leo</v>
      </c>
      <c r="G82" s="229" t="str">
        <f t="shared" ca="1" si="2"/>
        <v>"25254" : "leo núi",</v>
      </c>
      <c r="H82" s="229" t="str">
        <f t="shared" si="3"/>
        <v>&lt;li class="col-md-3"&gt;&lt;a class="text-cut" href="javascript:;"(click)="categoryEvent(25254)"&gt;{{"25254" | translate}}&lt;/a&gt;&lt;/li&gt;</v>
      </c>
    </row>
    <row r="83" spans="1:8" ht="14.25" customHeight="1">
      <c r="A83" s="2">
        <v>25356</v>
      </c>
      <c r="B83" s="2" t="s">
        <v>6626</v>
      </c>
      <c r="C83" s="2" t="s">
        <v>6627</v>
      </c>
      <c r="D83" s="2" t="s">
        <v>6628</v>
      </c>
      <c r="E83" s="3" t="str">
        <f ca="1">IFERROR(__xludf.DUMMYFUNCTION("GOOGLETRANSLATE(B83,""ja"",""vi"")"),"Điền kinh")</f>
        <v>Điền kinh</v>
      </c>
      <c r="F83" s="3" t="str">
        <f ca="1">IFERROR(__xludf.DUMMYFUNCTION("GOOGLETRANSLATE(C83,""ja"",""vi"")"),"Đấu giá&gt; thể thao, giải trí&gt; Bằng cách thể thao&gt; Điền kinh")</f>
        <v>Đấu giá&gt; thể thao, giải trí&gt; Bằng cách thể thao&gt; Điền kinh</v>
      </c>
      <c r="G83" s="229" t="str">
        <f t="shared" ca="1" si="2"/>
        <v>"25356" : "Điền kinh",</v>
      </c>
      <c r="H83" s="229" t="str">
        <f t="shared" si="3"/>
        <v>&lt;li class="col-md-3"&gt;&lt;a class="text-cut" href="javascript:;"(click)="categoryEvent(25356)"&gt;{{"25356" | translate}}&lt;/a&gt;&lt;/li&gt;</v>
      </c>
    </row>
    <row r="84" spans="1:8" ht="14.25" customHeight="1">
      <c r="A84" s="2">
        <v>23008</v>
      </c>
      <c r="B84" s="2" t="s">
        <v>3999</v>
      </c>
      <c r="C84" s="2" t="s">
        <v>6634</v>
      </c>
      <c r="D84" s="2" t="s">
        <v>6635</v>
      </c>
      <c r="E84" s="3" t="str">
        <f ca="1">IFERROR(__xludf.DUMMYFUNCTION("GOOGLETRANSLATE(B84,""ja"",""vi"")"),"đồ thể thao")</f>
        <v>đồ thể thao</v>
      </c>
      <c r="F84" s="3" t="str">
        <f ca="1">IFERROR(__xludf.DUMMYFUNCTION("GOOGLETRANSLATE(C84,""ja"",""vi"")"),"Đấu giá&gt; thể thao, giải trí&gt; Bằng Sport&gt; đồ thể thao")</f>
        <v>Đấu giá&gt; thể thao, giải trí&gt; Bằng Sport&gt; đồ thể thao</v>
      </c>
      <c r="G84" s="229" t="str">
        <f t="shared" ca="1" si="2"/>
        <v>"23008" : "đồ thể thao",</v>
      </c>
      <c r="H84" s="229" t="str">
        <f t="shared" si="3"/>
        <v>&lt;li class="col-md-3"&gt;&lt;a class="text-cut" href="javascript:;"(click)="categoryEvent(23008)"&gt;{{"23008" | translate}}&lt;/a&gt;&lt;/li&gt;</v>
      </c>
    </row>
    <row r="85" spans="1:8" ht="14.25" customHeight="1">
      <c r="A85" s="2">
        <v>25370</v>
      </c>
      <c r="B85" s="2" t="s">
        <v>6637</v>
      </c>
      <c r="C85" s="2" t="s">
        <v>6639</v>
      </c>
      <c r="D85" s="2" t="s">
        <v>6641</v>
      </c>
      <c r="E85" s="3" t="str">
        <f ca="1">IFERROR(__xludf.DUMMYFUNCTION("GOOGLETRANSLATE(B85,""ja"",""vi"")"),"Lưu niệm, hàng hóa có liên quan")</f>
        <v>Lưu niệm, hàng hóa có liên quan</v>
      </c>
      <c r="F85" s="3" t="str">
        <f ca="1">IFERROR(__xludf.DUMMYFUNCTION("GOOGLETRANSLATE(C85,""ja"",""vi"")"),"Đấu giá&gt; thể thao, giải trí&gt; thể thao khác&gt; lưu niệm, hàng hóa có liên quan")</f>
        <v>Đấu giá&gt; thể thao, giải trí&gt; thể thao khác&gt; lưu niệm, hàng hóa có liên quan</v>
      </c>
      <c r="G85" s="229" t="str">
        <f t="shared" ca="1" si="2"/>
        <v>"25370" : "Lưu niệm, hàng hóa có liên quan",</v>
      </c>
      <c r="H85" s="229" t="str">
        <f t="shared" si="3"/>
        <v>&lt;li class="col-md-3"&gt;&lt;a class="text-cut" href="javascript:;"(click)="categoryEvent(25370)"&gt;{{"25370" | translate}}&lt;/a&gt;&lt;/li&gt;</v>
      </c>
    </row>
    <row r="86" spans="1:8" ht="14.25" customHeight="1">
      <c r="A86" s="2">
        <v>25462</v>
      </c>
      <c r="B86" s="2" t="s">
        <v>16</v>
      </c>
      <c r="C86" s="2" t="s">
        <v>6643</v>
      </c>
      <c r="D86" s="2" t="s">
        <v>6646</v>
      </c>
      <c r="E86" s="3" t="str">
        <f ca="1">IFERROR(__xludf.DUMMYFUNCTION("GOOGLETRANSLATE(B86,""ja"",""vi"")"),"nếu không thì")</f>
        <v>nếu không thì</v>
      </c>
      <c r="F86" s="3" t="str">
        <f ca="1">IFERROR(__xludf.DUMMYFUNCTION("GOOGLETRANSLATE(C86,""ja"",""vi"")"),"Đấu giá&gt; thể thao, giải trí&gt; Bằng Sport&gt; Khác")</f>
        <v>Đấu giá&gt; thể thao, giải trí&gt; Bằng Sport&gt; Khác</v>
      </c>
      <c r="G86" s="229" t="str">
        <f t="shared" ca="1" si="2"/>
        <v>"25462" : "nếu không thì",</v>
      </c>
      <c r="H86" s="229" t="str">
        <f t="shared" si="3"/>
        <v>&lt;li class="col-md-3"&gt;&lt;a class="text-cut" href="javascript:;"(click)="categoryEvent(25462)"&gt;{{"25462" | translate}}&lt;/a&gt;&lt;/li&gt;</v>
      </c>
    </row>
    <row r="87" spans="1:8" ht="14.25" customHeight="1">
      <c r="E87" s="3"/>
      <c r="F87" s="3"/>
      <c r="G87" s="229"/>
      <c r="H87" s="229"/>
    </row>
    <row r="88" spans="1:8" ht="14.25" customHeight="1">
      <c r="A88" s="239">
        <v>24702</v>
      </c>
      <c r="B88" s="232"/>
      <c r="C88" s="232"/>
      <c r="D88" s="233"/>
      <c r="E88" s="3"/>
      <c r="F88" s="3"/>
      <c r="G88" s="229"/>
      <c r="H88" s="229"/>
    </row>
    <row r="89" spans="1:8" ht="14.25" customHeight="1">
      <c r="A89" s="2">
        <v>24802</v>
      </c>
      <c r="B89" s="2" t="s">
        <v>3988</v>
      </c>
      <c r="C89" s="2" t="s">
        <v>6654</v>
      </c>
      <c r="D89" s="2" t="s">
        <v>6656</v>
      </c>
      <c r="E89" s="3" t="str">
        <f ca="1">IFERROR(__xludf.DUMMYFUNCTION("GOOGLETRANSLATE(B89,""ja"",""vi"")"),"Mang ngoài trời")</f>
        <v>Mang ngoài trời</v>
      </c>
      <c r="F89" s="3" t="str">
        <f ca="1">IFERROR(__xludf.DUMMYFUNCTION("GOOGLETRANSLATE(C89,""ja"",""vi"")"),"Đấu giá&gt; thể thao, giải trí&gt; trại, hàng ngoài trời&gt; mặc ngoài trời")</f>
        <v>Đấu giá&gt; thể thao, giải trí&gt; trại, hàng ngoài trời&gt; mặc ngoài trời</v>
      </c>
      <c r="G89" s="229" t="str">
        <f t="shared" ca="1" si="2"/>
        <v>"24802" : "Mang ngoài trời",</v>
      </c>
      <c r="H89" s="229" t="str">
        <f t="shared" si="3"/>
        <v>&lt;li class="col-md-3"&gt;&lt;a class="text-cut" href="javascript:;"(click)="categoryEvent(24802)"&gt;{{"24802" | translate}}&lt;/a&gt;&lt;/li&gt;</v>
      </c>
    </row>
    <row r="90" spans="1:8" ht="14.25" customHeight="1">
      <c r="A90" s="2">
        <v>2084046735</v>
      </c>
      <c r="B90" s="2" t="s">
        <v>6658</v>
      </c>
      <c r="C90" s="2" t="s">
        <v>6659</v>
      </c>
      <c r="D90" s="2" t="s">
        <v>6660</v>
      </c>
      <c r="E90" s="3" t="str">
        <f ca="1">IFERROR(__xludf.DUMMYFUNCTION("GOOGLETRANSLATE(B90,""ja"",""vi"")"),"Đồ che mưa, áo mưa")</f>
        <v>Đồ che mưa, áo mưa</v>
      </c>
      <c r="F90" s="3" t="str">
        <f ca="1">IFERROR(__xludf.DUMMYFUNCTION("GOOGLETRANSLATE(C90,""ja"",""vi"")"),"Đấu giá&gt; thể thao, giải trí&gt; trại, hàng ngoài trời&gt; áo mưa, áo mưa")</f>
        <v>Đấu giá&gt; thể thao, giải trí&gt; trại, hàng ngoài trời&gt; áo mưa, áo mưa</v>
      </c>
      <c r="G90" s="229" t="str">
        <f t="shared" ca="1" si="2"/>
        <v>"2084046735" : "Đồ che mưa, áo mưa",</v>
      </c>
      <c r="H90" s="229" t="str">
        <f t="shared" si="3"/>
        <v>&lt;li class="col-md-3"&gt;&lt;a class="text-cut" href="javascript:;"(click)="categoryEvent(2084046735)"&gt;{{"2084046735" | translate}}&lt;/a&gt;&lt;/li&gt;</v>
      </c>
    </row>
    <row r="91" spans="1:8" ht="14.25" customHeight="1">
      <c r="A91" s="2">
        <v>2084048872</v>
      </c>
      <c r="B91" s="2" t="s">
        <v>6665</v>
      </c>
      <c r="C91" s="2" t="s">
        <v>6667</v>
      </c>
      <c r="D91" s="2" t="s">
        <v>6668</v>
      </c>
      <c r="E91" s="3" t="str">
        <f ca="1">IFERROR(__xludf.DUMMYFUNCTION("GOOGLETRANSLATE(B91,""ja"",""vi"")"),"đôi giày")</f>
        <v>đôi giày</v>
      </c>
      <c r="F91" s="3" t="str">
        <f ca="1">IFERROR(__xludf.DUMMYFUNCTION("GOOGLETRANSLATE(C91,""ja"",""vi"")"),"Đấu giá&gt; thể thao, giải trí&gt; trại, hàng ngoài trời&gt; giày")</f>
        <v>Đấu giá&gt; thể thao, giải trí&gt; trại, hàng ngoài trời&gt; giày</v>
      </c>
      <c r="G91" s="229" t="str">
        <f t="shared" ca="1" si="2"/>
        <v>"2084048872" : "đôi giày",</v>
      </c>
      <c r="H91" s="229" t="str">
        <f t="shared" si="3"/>
        <v>&lt;li class="col-md-3"&gt;&lt;a class="text-cut" href="javascript:;"(click)="categoryEvent(2084048872)"&gt;{{"2084048872" | translate}}&lt;/a&gt;&lt;/li&gt;</v>
      </c>
    </row>
    <row r="92" spans="1:8" ht="14.25" customHeight="1">
      <c r="A92" s="2">
        <v>24750</v>
      </c>
      <c r="B92" s="2" t="s">
        <v>6672</v>
      </c>
      <c r="C92" s="2" t="s">
        <v>6673</v>
      </c>
      <c r="D92" s="2" t="s">
        <v>6674</v>
      </c>
      <c r="E92" s="3" t="str">
        <f ca="1">IFERROR(__xludf.DUMMYFUNCTION("GOOGLETRANSLATE(B92,""ja"",""vi"")"),"Ba lô, túi xách")</f>
        <v>Ba lô, túi xách</v>
      </c>
      <c r="F92" s="3" t="str">
        <f ca="1">IFERROR(__xludf.DUMMYFUNCTION("GOOGLETRANSLATE(C92,""ja"",""vi"")"),"Đấu giá&gt; thể thao, giải trí&gt; trại, hàng ngoài trời&gt; ba lô, túi xách")</f>
        <v>Đấu giá&gt; thể thao, giải trí&gt; trại, hàng ngoài trời&gt; ba lô, túi xách</v>
      </c>
      <c r="G92" s="229" t="str">
        <f t="shared" ca="1" si="2"/>
        <v>"24750" : "Ba lô, túi xách",</v>
      </c>
      <c r="H92" s="229" t="str">
        <f t="shared" si="3"/>
        <v>&lt;li class="col-md-3"&gt;&lt;a class="text-cut" href="javascript:;"(click)="categoryEvent(24750)"&gt;{{"24750" | translate}}&lt;/a&gt;&lt;/li&gt;</v>
      </c>
    </row>
    <row r="93" spans="1:8" ht="14.25" customHeight="1">
      <c r="A93" s="2">
        <v>25014</v>
      </c>
      <c r="B93" s="2" t="s">
        <v>6675</v>
      </c>
      <c r="C93" s="2" t="s">
        <v>6676</v>
      </c>
      <c r="D93" s="2" t="s">
        <v>6678</v>
      </c>
      <c r="E93" s="3" t="str">
        <f ca="1">IFERROR(__xludf.DUMMYFUNCTION("GOOGLETRANSLATE(B93,""ja"",""vi"")"),"Lều, TARP")</f>
        <v>Lều, TARP</v>
      </c>
      <c r="F93" s="3" t="str">
        <f ca="1">IFERROR(__xludf.DUMMYFUNCTION("GOOGLETRANSLATE(C93,""ja"",""vi"")"),"Đấu giá&gt; thể thao, giải trí&gt; trại, hàng ngoài trời&gt; lều, TARP")</f>
        <v>Đấu giá&gt; thể thao, giải trí&gt; trại, hàng ngoài trời&gt; lều, TARP</v>
      </c>
      <c r="G93" s="229" t="str">
        <f t="shared" ca="1" si="2"/>
        <v>"25014" : "Lều, TARP",</v>
      </c>
      <c r="H93" s="229" t="str">
        <f t="shared" si="3"/>
        <v>&lt;li class="col-md-3"&gt;&lt;a class="text-cut" href="javascript:;"(click)="categoryEvent(25014)"&gt;{{"25014" | translate}}&lt;/a&gt;&lt;/li&gt;</v>
      </c>
    </row>
    <row r="94" spans="1:8" ht="14.25" customHeight="1">
      <c r="A94" s="2">
        <v>24902</v>
      </c>
      <c r="B94" s="2" t="s">
        <v>6683</v>
      </c>
      <c r="C94" s="2" t="s">
        <v>6684</v>
      </c>
      <c r="D94" s="2" t="s">
        <v>6685</v>
      </c>
      <c r="E94" s="3" t="str">
        <f ca="1">IFERROR(__xludf.DUMMYFUNCTION("GOOGLETRANSLATE(B94,""ja"",""vi"")"),"Ánh sáng, đèn lồng")</f>
        <v>Ánh sáng, đèn lồng</v>
      </c>
      <c r="F94" s="3" t="str">
        <f ca="1">IFERROR(__xludf.DUMMYFUNCTION("GOOGLETRANSLATE(C94,""ja"",""vi"")"),"Đấu giá&gt; thể thao, giải trí&gt; trại, hàng ngoài trời&gt; ánh sáng, đèn lồng")</f>
        <v>Đấu giá&gt; thể thao, giải trí&gt; trại, hàng ngoài trời&gt; ánh sáng, đèn lồng</v>
      </c>
      <c r="G94" s="229" t="str">
        <f t="shared" ca="1" si="2"/>
        <v>"24902" : "Ánh sáng, đèn lồng",</v>
      </c>
      <c r="H94" s="229" t="str">
        <f t="shared" si="3"/>
        <v>&lt;li class="col-md-3"&gt;&lt;a class="text-cut" href="javascript:;"(click)="categoryEvent(24902)"&gt;{{"24902" | translate}}&lt;/a&gt;&lt;/li&gt;</v>
      </c>
    </row>
    <row r="95" spans="1:8" ht="14.25" customHeight="1">
      <c r="A95" s="2">
        <v>24970</v>
      </c>
      <c r="B95" s="2" t="s">
        <v>6686</v>
      </c>
      <c r="C95" s="2" t="s">
        <v>6688</v>
      </c>
      <c r="D95" s="2" t="s">
        <v>6691</v>
      </c>
      <c r="E95" s="3" t="str">
        <f ca="1">IFERROR(__xludf.DUMMYFUNCTION("GOOGLETRANSLATE(B95,""ja"",""vi"")"),"Túi ngủ, bộ đồ giường")</f>
        <v>Túi ngủ, bộ đồ giường</v>
      </c>
      <c r="F95" s="3" t="str">
        <f ca="1">IFERROR(__xludf.DUMMYFUNCTION("GOOGLETRANSLATE(C95,""ja"",""vi"")"),"Đấu giá&gt; thể thao, giải trí&gt; trại, hàng ngoài trời&gt; túi ngủ, bộ đồ giường")</f>
        <v>Đấu giá&gt; thể thao, giải trí&gt; trại, hàng ngoài trời&gt; túi ngủ, bộ đồ giường</v>
      </c>
      <c r="G95" s="229" t="str">
        <f t="shared" ca="1" si="2"/>
        <v>"24970" : "Túi ngủ, bộ đồ giường",</v>
      </c>
      <c r="H95" s="229" t="str">
        <f t="shared" si="3"/>
        <v>&lt;li class="col-md-3"&gt;&lt;a class="text-cut" href="javascript:;"(click)="categoryEvent(24970)"&gt;{{"24970" | translate}}&lt;/a&gt;&lt;/li&gt;</v>
      </c>
    </row>
    <row r="96" spans="1:8" ht="14.25" customHeight="1">
      <c r="A96" s="2">
        <v>2084042504</v>
      </c>
      <c r="B96" s="2" t="s">
        <v>6693</v>
      </c>
      <c r="C96" s="2" t="s">
        <v>6694</v>
      </c>
      <c r="D96" s="2" t="s">
        <v>6696</v>
      </c>
      <c r="E96" s="3" t="str">
        <f ca="1">IFERROR(__xludf.DUMMYFUNCTION("GOOGLETRANSLATE(B96,""ja"",""vi"")"),"Bàn, ghế")</f>
        <v>Bàn, ghế</v>
      </c>
      <c r="F96" s="3" t="str">
        <f ca="1">IFERROR(__xludf.DUMMYFUNCTION("GOOGLETRANSLATE(C96,""ja"",""vi"")"),"Đấu giá&gt; thể thao, giải trí&gt; trại, hàng ngoài trời&gt; bàn, ghế")</f>
        <v>Đấu giá&gt; thể thao, giải trí&gt; trại, hàng ngoài trời&gt; bàn, ghế</v>
      </c>
      <c r="G96" s="229" t="str">
        <f t="shared" ca="1" si="2"/>
        <v>"2084042504" : "Bàn, ghế",</v>
      </c>
      <c r="H96" s="229" t="str">
        <f t="shared" si="3"/>
        <v>&lt;li class="col-md-3"&gt;&lt;a class="text-cut" href="javascript:;"(click)="categoryEvent(2084042504)"&gt;{{"2084042504" | translate}}&lt;/a&gt;&lt;/li&gt;</v>
      </c>
    </row>
    <row r="97" spans="1:8" ht="14.25" customHeight="1">
      <c r="A97" s="2">
        <v>2084042511</v>
      </c>
      <c r="B97" s="2" t="s">
        <v>6699</v>
      </c>
      <c r="C97" s="2" t="s">
        <v>6701</v>
      </c>
      <c r="D97" s="2" t="s">
        <v>6702</v>
      </c>
      <c r="E97" s="3" t="str">
        <f ca="1">IFERROR(__xludf.DUMMYFUNCTION("GOOGLETRANSLATE(B97,""ja"",""vi"")"),"Bếp lò, lò")</f>
        <v>Bếp lò, lò</v>
      </c>
      <c r="F97" s="3" t="str">
        <f ca="1">IFERROR(__xludf.DUMMYFUNCTION("GOOGLETRANSLATE(C97,""ja"",""vi"")"),"Đấu giá&gt; thể thao, giải trí&gt; trại, hàng ngoài trời&gt; bếp, bếp")</f>
        <v>Đấu giá&gt; thể thao, giải trí&gt; trại, hàng ngoài trời&gt; bếp, bếp</v>
      </c>
      <c r="G97" s="229" t="str">
        <f t="shared" ca="1" si="2"/>
        <v>"2084042511" : "Bếp lò, lò",</v>
      </c>
      <c r="H97" s="229" t="str">
        <f t="shared" si="3"/>
        <v>&lt;li class="col-md-3"&gt;&lt;a class="text-cut" href="javascript:;"(click)="categoryEvent(2084042511)"&gt;{{"2084042511" | translate}}&lt;/a&gt;&lt;/li&gt;</v>
      </c>
    </row>
    <row r="98" spans="1:8" ht="14.25" customHeight="1">
      <c r="A98" s="2">
        <v>24822</v>
      </c>
      <c r="B98" s="2" t="s">
        <v>2167</v>
      </c>
      <c r="C98" s="2" t="s">
        <v>6706</v>
      </c>
      <c r="D98" s="2" t="s">
        <v>6707</v>
      </c>
      <c r="E98" s="3" t="str">
        <f ca="1">IFERROR(__xludf.DUMMYFUNCTION("GOOGLETRANSLATE(B98,""ja"",""vi"")"),"dụng cụ nhà bếp")</f>
        <v>dụng cụ nhà bếp</v>
      </c>
      <c r="F98" s="3" t="str">
        <f ca="1">IFERROR(__xludf.DUMMYFUNCTION("GOOGLETRANSLATE(C98,""ja"",""vi"")"),"Đấu giá&gt; thể thao, giải trí&gt; trại, hàng ngoài trời&gt; dụng cụ nấu")</f>
        <v>Đấu giá&gt; thể thao, giải trí&gt; trại, hàng ngoài trời&gt; dụng cụ nấu</v>
      </c>
      <c r="G98" s="229" t="str">
        <f t="shared" ca="1" si="2"/>
        <v>"24822" : "dụng cụ nhà bếp",</v>
      </c>
      <c r="H98" s="229" t="str">
        <f t="shared" si="3"/>
        <v>&lt;li class="col-md-3"&gt;&lt;a class="text-cut" href="javascript:;"(click)="categoryEvent(24822)"&gt;{{"24822" | translate}}&lt;/a&gt;&lt;/li&gt;</v>
      </c>
    </row>
    <row r="99" spans="1:8" ht="14.25" customHeight="1">
      <c r="A99" s="2">
        <v>2084046750</v>
      </c>
      <c r="B99" s="2" t="s">
        <v>6713</v>
      </c>
      <c r="C99" s="2" t="s">
        <v>6714</v>
      </c>
      <c r="D99" s="2" t="s">
        <v>6715</v>
      </c>
      <c r="E99" s="3" t="str">
        <f ca="1">IFERROR(__xludf.DUMMYFUNCTION("GOOGLETRANSLATE(B99,""ja"",""vi"")"),"nhiên liệu")</f>
        <v>nhiên liệu</v>
      </c>
      <c r="F99" s="3" t="str">
        <f ca="1">IFERROR(__xludf.DUMMYFUNCTION("GOOGLETRANSLATE(C99,""ja"",""vi"")"),"Đấu giá&gt; thể thao, giải trí&gt; trại, hàng ngoài trời&gt; nhiên liệu")</f>
        <v>Đấu giá&gt; thể thao, giải trí&gt; trại, hàng ngoài trời&gt; nhiên liệu</v>
      </c>
      <c r="G99" s="229" t="str">
        <f t="shared" ca="1" si="2"/>
        <v>"2084046750" : "nhiên liệu",</v>
      </c>
      <c r="H99" s="229" t="str">
        <f t="shared" si="3"/>
        <v>&lt;li class="col-md-3"&gt;&lt;a class="text-cut" href="javascript:;"(click)="categoryEvent(2084046750)"&gt;{{"2084046750" | translate}}&lt;/a&gt;&lt;/li&gt;</v>
      </c>
    </row>
    <row r="100" spans="1:8" ht="14.25" customHeight="1">
      <c r="A100" s="2">
        <v>2084209093</v>
      </c>
      <c r="B100" s="2" t="s">
        <v>6717</v>
      </c>
      <c r="C100" s="2" t="s">
        <v>6719</v>
      </c>
      <c r="D100" s="2" t="s">
        <v>6721</v>
      </c>
      <c r="E100" s="3" t="str">
        <f ca="1">IFERROR(__xludf.DUMMYFUNCTION("GOOGLETRANSLATE(B100,""ja"",""vi"")"),"bồn chứa nhiên liệu, mang lon")</f>
        <v>bồn chứa nhiên liệu, mang lon</v>
      </c>
      <c r="F100" s="3" t="str">
        <f ca="1">IFERROR(__xludf.DUMMYFUNCTION("GOOGLETRANSLATE(C100,""ja"",""vi"")"),"Đấu giá&gt; thể thao, giải trí&gt; trại, hàng ngoài trời&gt; bình xăng, lon mang")</f>
        <v>Đấu giá&gt; thể thao, giải trí&gt; trại, hàng ngoài trời&gt; bình xăng, lon mang</v>
      </c>
      <c r="G100" s="229" t="str">
        <f t="shared" ca="1" si="2"/>
        <v>"2084209093" : "bồn chứa nhiên liệu, mang lon",</v>
      </c>
      <c r="H100" s="229" t="str">
        <f t="shared" si="3"/>
        <v>&lt;li class="col-md-3"&gt;&lt;a class="text-cut" href="javascript:;"(click)="categoryEvent(2084209093)"&gt;{{"2084209093" | translate}}&lt;/a&gt;&lt;/li&gt;</v>
      </c>
    </row>
    <row r="101" spans="1:8" ht="14.25" customHeight="1">
      <c r="A101" s="2">
        <v>2084044977</v>
      </c>
      <c r="B101" s="2" t="s">
        <v>6722</v>
      </c>
      <c r="C101" s="2" t="s">
        <v>6724</v>
      </c>
      <c r="D101" s="2" t="s">
        <v>6727</v>
      </c>
      <c r="E101" s="3" t="str">
        <f ca="1">IFERROR(__xludf.DUMMYFUNCTION("GOOGLETRANSLATE(B101,""ja"",""vi"")"),"Cooler, thiết bị kho lạnh")</f>
        <v>Cooler, thiết bị kho lạnh</v>
      </c>
      <c r="F101" s="3" t="str">
        <f ca="1">IFERROR(__xludf.DUMMYFUNCTION("GOOGLETRANSLATE(C101,""ja"",""vi"")"),"Đấu giá&gt; thể thao, giải trí&gt; trại, hàng ngoài trời&gt; mát, thiết bị kho lạnh")</f>
        <v>Đấu giá&gt; thể thao, giải trí&gt; trại, hàng ngoài trời&gt; mát, thiết bị kho lạnh</v>
      </c>
      <c r="G101" s="229" t="str">
        <f t="shared" ca="1" si="2"/>
        <v>"2084044977" : "Cooler, thiết bị kho lạnh",</v>
      </c>
      <c r="H101" s="229" t="str">
        <f t="shared" si="3"/>
        <v>&lt;li class="col-md-3"&gt;&lt;a class="text-cut" href="javascript:;"(click)="categoryEvent(2084044977)"&gt;{{"2084044977" | translate}}&lt;/a&gt;&lt;/li&gt;</v>
      </c>
    </row>
    <row r="102" spans="1:8" ht="14.25" customHeight="1">
      <c r="A102" s="2">
        <v>2084042502</v>
      </c>
      <c r="B102" s="2" t="s">
        <v>2144</v>
      </c>
      <c r="C102" s="2" t="s">
        <v>6730</v>
      </c>
      <c r="D102" s="2" t="s">
        <v>6731</v>
      </c>
      <c r="E102" s="3" t="str">
        <f ca="1">IFERROR(__xludf.DUMMYFUNCTION("GOOGLETRANSLATE(B102,""ja"",""vi"")"),"đồ dùng trên bàn")</f>
        <v>đồ dùng trên bàn</v>
      </c>
      <c r="F102" s="3" t="str">
        <f ca="1">IFERROR(__xludf.DUMMYFUNCTION("GOOGLETRANSLATE(C102,""ja"",""vi"")"),"Đấu giá&gt; thể thao, giải trí&gt; trại, hàng ngoài trời&gt; bộ đồ ăn")</f>
        <v>Đấu giá&gt; thể thao, giải trí&gt; trại, hàng ngoài trời&gt; bộ đồ ăn</v>
      </c>
      <c r="G102" s="229" t="str">
        <f t="shared" ca="1" si="2"/>
        <v>"2084042502" : "đồ dùng trên bàn",</v>
      </c>
      <c r="H102" s="229" t="str">
        <f t="shared" si="3"/>
        <v>&lt;li class="col-md-3"&gt;&lt;a class="text-cut" href="javascript:;"(click)="categoryEvent(2084042502)"&gt;{{"2084042502" | translate}}&lt;/a&gt;&lt;/li&gt;</v>
      </c>
    </row>
    <row r="103" spans="1:8" ht="14.25" customHeight="1">
      <c r="A103" s="2">
        <v>2084042422</v>
      </c>
      <c r="B103" s="2" t="s">
        <v>6734</v>
      </c>
      <c r="C103" s="2" t="s">
        <v>6735</v>
      </c>
      <c r="D103" s="2" t="s">
        <v>6738</v>
      </c>
      <c r="E103" s="3" t="str">
        <f ca="1">IFERROR(__xludf.DUMMYFUNCTION("GOOGLETRANSLATE(B103,""ja"",""vi"")"),"giải trí tấm")</f>
        <v>giải trí tấm</v>
      </c>
      <c r="F103" s="3" t="str">
        <f ca="1">IFERROR(__xludf.DUMMYFUNCTION("GOOGLETRANSLATE(C103,""ja"",""vi"")"),"Đấu giá&gt; thể thao, giải trí&gt; trại, hàng ngoài trời&gt; ghế giải trí")</f>
        <v>Đấu giá&gt; thể thao, giải trí&gt; trại, hàng ngoài trời&gt; ghế giải trí</v>
      </c>
      <c r="G103" s="229" t="str">
        <f t="shared" ca="1" si="2"/>
        <v>"2084042422" : "giải trí tấm",</v>
      </c>
      <c r="H103" s="229" t="str">
        <f t="shared" si="3"/>
        <v>&lt;li class="col-md-3"&gt;&lt;a class="text-cut" href="javascript:;"(click)="categoryEvent(2084042422)"&gt;{{"2084042422" | translate}}&lt;/a&gt;&lt;/li&gt;</v>
      </c>
    </row>
    <row r="104" spans="1:8" ht="14.25" customHeight="1">
      <c r="A104" s="2">
        <v>24930</v>
      </c>
      <c r="B104" s="2" t="s">
        <v>6740</v>
      </c>
      <c r="C104" s="2" t="s">
        <v>6741</v>
      </c>
      <c r="D104" s="2" t="s">
        <v>6742</v>
      </c>
      <c r="E104" s="3" t="str">
        <f ca="1">IFERROR(__xludf.DUMMYFUNCTION("GOOGLETRANSLATE(B104,""ja"",""vi"")"),"nguồn cung cấp leo")</f>
        <v>nguồn cung cấp leo</v>
      </c>
      <c r="F104" s="3" t="str">
        <f ca="1">IFERROR(__xludf.DUMMYFUNCTION("GOOGLETRANSLATE(C104,""ja"",""vi"")"),"Đấu giá&gt; thể thao, giải trí&gt; trại, hàng ngoài trời&gt; nguồn cung cấp leo")</f>
        <v>Đấu giá&gt; thể thao, giải trí&gt; trại, hàng ngoài trời&gt; nguồn cung cấp leo</v>
      </c>
      <c r="G104" s="229" t="str">
        <f t="shared" ca="1" si="2"/>
        <v>"24930" : "nguồn cung cấp leo",</v>
      </c>
      <c r="H104" s="229" t="str">
        <f t="shared" si="3"/>
        <v>&lt;li class="col-md-3"&gt;&lt;a class="text-cut" href="javascript:;"(click)="categoryEvent(24930)"&gt;{{"24930" | translate}}&lt;/a&gt;&lt;/li&gt;</v>
      </c>
    </row>
    <row r="105" spans="1:8" ht="14.25" customHeight="1">
      <c r="A105" s="2">
        <v>2084044978</v>
      </c>
      <c r="B105" s="2" t="s">
        <v>6744</v>
      </c>
      <c r="C105" s="2" t="s">
        <v>6747</v>
      </c>
      <c r="D105" s="2" t="s">
        <v>6748</v>
      </c>
      <c r="E105" s="3" t="str">
        <f ca="1">IFERROR(__xludf.DUMMYFUNCTION("GOOGLETRANSLATE(B105,""ja"",""vi"")"),"chai nước, chai")</f>
        <v>chai nước, chai</v>
      </c>
      <c r="F105" s="3" t="str">
        <f ca="1">IFERROR(__xludf.DUMMYFUNCTION("GOOGLETRANSLATE(C105,""ja"",""vi"")"),"Đấu giá&gt; thể thao, giải trí&gt; trại, hàng ngoài trời&gt; chai nước, chai")</f>
        <v>Đấu giá&gt; thể thao, giải trí&gt; trại, hàng ngoài trời&gt; chai nước, chai</v>
      </c>
      <c r="G105" s="229" t="str">
        <f t="shared" ca="1" si="2"/>
        <v>"2084044978" : "chai nước, chai",</v>
      </c>
      <c r="H105" s="229" t="str">
        <f t="shared" si="3"/>
        <v>&lt;li class="col-md-3"&gt;&lt;a class="text-cut" href="javascript:;"(click)="categoryEvent(2084044978)"&gt;{{"2084044978" | translate}}&lt;/a&gt;&lt;/li&gt;</v>
      </c>
    </row>
    <row r="106" spans="1:8" ht="14.25" customHeight="1">
      <c r="A106" s="2">
        <v>2084063019</v>
      </c>
      <c r="B106" s="2" t="s">
        <v>6750</v>
      </c>
      <c r="C106" s="2" t="s">
        <v>6752</v>
      </c>
      <c r="D106" s="2" t="s">
        <v>6753</v>
      </c>
      <c r="E106" s="3" t="str">
        <f ca="1">IFERROR(__xludf.DUMMYFUNCTION("GOOGLETRANSLATE(B106,""ja"",""vi"")"),"trekking dính")</f>
        <v>trekking dính</v>
      </c>
      <c r="F106" s="3" t="str">
        <f ca="1">IFERROR(__xludf.DUMMYFUNCTION("GOOGLETRANSLATE(C106,""ja"",""vi"")"),"Đấu giá&gt; thể thao, giải trí&gt; trại, hàng ngoài trời&gt; trekking dính")</f>
        <v>Đấu giá&gt; thể thao, giải trí&gt; trại, hàng ngoài trời&gt; trekking dính</v>
      </c>
      <c r="G106" s="229" t="str">
        <f t="shared" ca="1" si="2"/>
        <v>"2084063019" : "trekking dính",</v>
      </c>
      <c r="H106" s="229" t="str">
        <f t="shared" si="3"/>
        <v>&lt;li class="col-md-3"&gt;&lt;a class="text-cut" href="javascript:;"(click)="categoryEvent(2084063019)"&gt;{{"2084063019" | translate}}&lt;/a&gt;&lt;/li&gt;</v>
      </c>
    </row>
    <row r="107" spans="1:8" ht="14.25" customHeight="1">
      <c r="A107" s="2">
        <v>24950</v>
      </c>
      <c r="B107" s="2" t="s">
        <v>6756</v>
      </c>
      <c r="C107" s="2" t="s">
        <v>6757</v>
      </c>
      <c r="D107" s="2" t="s">
        <v>6758</v>
      </c>
      <c r="E107" s="3" t="str">
        <f ca="1">IFERROR(__xludf.DUMMYFUNCTION("GOOGLETRANSLATE(B107,""ja"",""vi"")"),"Navigation")</f>
        <v>Navigation</v>
      </c>
      <c r="F107" s="3" t="str">
        <f ca="1">IFERROR(__xludf.DUMMYFUNCTION("GOOGLETRANSLATE(C107,""ja"",""vi"")"),"Đấu giá&gt; thể thao, giải trí&gt; trại, hàng ngoài trời&gt; navigation")</f>
        <v>Đấu giá&gt; thể thao, giải trí&gt; trại, hàng ngoài trời&gt; navigation</v>
      </c>
      <c r="G107" s="229" t="str">
        <f t="shared" ca="1" si="2"/>
        <v>"24950" : "Navigation",</v>
      </c>
      <c r="H107" s="229" t="str">
        <f t="shared" si="3"/>
        <v>&lt;li class="col-md-3"&gt;&lt;a class="text-cut" href="javascript:;"(click)="categoryEvent(24950)"&gt;{{"24950" | translate}}&lt;/a&gt;&lt;/li&gt;</v>
      </c>
    </row>
    <row r="108" spans="1:8" ht="14.25" customHeight="1">
      <c r="A108" s="2">
        <v>2084049596</v>
      </c>
      <c r="B108" s="2" t="s">
        <v>6760</v>
      </c>
      <c r="C108" s="2" t="s">
        <v>6763</v>
      </c>
      <c r="D108" s="2" t="s">
        <v>6765</v>
      </c>
      <c r="E108" s="3" t="str">
        <f ca="1">IFERROR(__xludf.DUMMYFUNCTION("GOOGLETRANSLATE(B108,""ja"",""vi"")"),"máy phát điện")</f>
        <v>máy phát điện</v>
      </c>
      <c r="F108" s="3" t="str">
        <f ca="1">IFERROR(__xludf.DUMMYFUNCTION("GOOGLETRANSLATE(C108,""ja"",""vi"")"),"Đấu giá&gt; thể thao, giải trí&gt; trại, hàng ngoài trời&gt; máy phát điện")</f>
        <v>Đấu giá&gt; thể thao, giải trí&gt; trại, hàng ngoài trời&gt; máy phát điện</v>
      </c>
      <c r="G108" s="229" t="str">
        <f t="shared" ca="1" si="2"/>
        <v>"2084049596" : "máy phát điện",</v>
      </c>
      <c r="H108" s="229" t="str">
        <f t="shared" si="3"/>
        <v>&lt;li class="col-md-3"&gt;&lt;a class="text-cut" href="javascript:;"(click)="categoryEvent(2084049596)"&gt;{{"2084049596" | translate}}&lt;/a&gt;&lt;/li&gt;</v>
      </c>
    </row>
    <row r="109" spans="1:8" ht="14.25" customHeight="1">
      <c r="A109" s="2">
        <v>24874</v>
      </c>
      <c r="B109" s="2" t="s">
        <v>6766</v>
      </c>
      <c r="C109" s="2" t="s">
        <v>6767</v>
      </c>
      <c r="D109" s="2" t="s">
        <v>6768</v>
      </c>
      <c r="E109" s="3" t="str">
        <f ca="1">IFERROR(__xludf.DUMMYFUNCTION("GOOGLETRANSLATE(B109,""ja"",""vi"")"),"dao")</f>
        <v>dao</v>
      </c>
      <c r="F109" s="3" t="str">
        <f ca="1">IFERROR(__xludf.DUMMYFUNCTION("GOOGLETRANSLATE(C109,""ja"",""vi"")"),"Đấu giá&gt; thể thao, giải trí&gt; trại, hàng ngoài trời&gt; dao")</f>
        <v>Đấu giá&gt; thể thao, giải trí&gt; trại, hàng ngoài trời&gt; dao</v>
      </c>
      <c r="G109" s="229" t="str">
        <f t="shared" ca="1" si="2"/>
        <v>"24874" : "dao",</v>
      </c>
      <c r="H109" s="229" t="str">
        <f t="shared" si="3"/>
        <v>&lt;li class="col-md-3"&gt;&lt;a class="text-cut" href="javascript:;"(click)="categoryEvent(24874)"&gt;{{"24874" | translate}}&lt;/a&gt;&lt;/li&gt;</v>
      </c>
    </row>
    <row r="110" spans="1:8" ht="14.25" customHeight="1">
      <c r="A110" s="2">
        <v>2084002306</v>
      </c>
      <c r="B110" s="2" t="s">
        <v>6769</v>
      </c>
      <c r="C110" s="2" t="s">
        <v>6771</v>
      </c>
      <c r="D110" s="2" t="s">
        <v>6772</v>
      </c>
      <c r="E110" s="3" t="str">
        <f ca="1">IFERROR(__xludf.DUMMYFUNCTION("GOOGLETRANSLATE(B110,""ja"",""vi"")"),"Canoe, kayak")</f>
        <v>Canoe, kayak</v>
      </c>
      <c r="F110" s="3" t="str">
        <f ca="1">IFERROR(__xludf.DUMMYFUNCTION("GOOGLETRANSLATE(C110,""ja"",""vi"")"),"Đấu giá&gt; thể thao, giải trí&gt; trại, hàng ngoài trời&gt; xuồng, thuyền kayak")</f>
        <v>Đấu giá&gt; thể thao, giải trí&gt; trại, hàng ngoài trời&gt; xuồng, thuyền kayak</v>
      </c>
      <c r="G110" s="229" t="str">
        <f t="shared" ca="1" si="2"/>
        <v>"2084002306" : "Canoe, kayak",</v>
      </c>
      <c r="H110" s="229" t="str">
        <f t="shared" si="3"/>
        <v>&lt;li class="col-md-3"&gt;&lt;a class="text-cut" href="javascript:;"(click)="categoryEvent(2084002306)"&gt;{{"2084002306" | translate}}&lt;/a&gt;&lt;/li&gt;</v>
      </c>
    </row>
    <row r="111" spans="1:8" ht="14.25" customHeight="1">
      <c r="A111" s="2">
        <v>2084213349</v>
      </c>
      <c r="B111" s="2" t="s">
        <v>6774</v>
      </c>
      <c r="C111" s="2" t="s">
        <v>6775</v>
      </c>
      <c r="D111" s="2" t="s">
        <v>6776</v>
      </c>
      <c r="E111" s="3" t="str">
        <f ca="1">IFERROR(__xludf.DUMMYFUNCTION("GOOGLETRANSLATE(B111,""ja"",""vi"")"),"xuồng ba lá cao su")</f>
        <v>xuồng ba lá cao su</v>
      </c>
      <c r="F111" s="3" t="str">
        <f ca="1">IFERROR(__xludf.DUMMYFUNCTION("GOOGLETRANSLATE(C111,""ja"",""vi"")"),"Đấu giá&gt; thể thao, giải trí&gt; trại, hàng ngoài trời&gt; xuồng ba lá cao su")</f>
        <v>Đấu giá&gt; thể thao, giải trí&gt; trại, hàng ngoài trời&gt; xuồng ba lá cao su</v>
      </c>
      <c r="G111" s="229" t="str">
        <f t="shared" ca="1" si="2"/>
        <v>"2084213349" : "xuồng ba lá cao su",</v>
      </c>
      <c r="H111" s="229" t="str">
        <f t="shared" si="3"/>
        <v>&lt;li class="col-md-3"&gt;&lt;a class="text-cut" href="javascript:;"(click)="categoryEvent(2084213349)"&gt;{{"2084213349" | translate}}&lt;/a&gt;&lt;/li&gt;</v>
      </c>
    </row>
    <row r="112" spans="1:8" ht="14.25" customHeight="1">
      <c r="A112" s="2">
        <v>2084208695</v>
      </c>
      <c r="B112" s="2" t="s">
        <v>6777</v>
      </c>
      <c r="C112" s="2" t="s">
        <v>6778</v>
      </c>
      <c r="D112" s="2" t="s">
        <v>6780</v>
      </c>
      <c r="E112" s="3" t="str">
        <f ca="1">IFERROR(__xludf.DUMMYFUNCTION("GOOGLETRANSLATE(B112,""ja"",""vi"")"),"dù để che nắng")</f>
        <v>dù để che nắng</v>
      </c>
      <c r="F112" s="3" t="str">
        <f ca="1">IFERROR(__xludf.DUMMYFUNCTION("GOOGLETRANSLATE(C112,""ja"",""vi"")"),"Đấu giá&gt; thể thao, giải trí&gt; trại, hàng ngoài trời&gt; dù để che nắng")</f>
        <v>Đấu giá&gt; thể thao, giải trí&gt; trại, hàng ngoài trời&gt; dù để che nắng</v>
      </c>
      <c r="G112" s="229" t="str">
        <f t="shared" ca="1" si="2"/>
        <v>"2084208695" : "dù để che nắng",</v>
      </c>
      <c r="H112" s="229" t="str">
        <f t="shared" si="3"/>
        <v>&lt;li class="col-md-3"&gt;&lt;a class="text-cut" href="javascript:;"(click)="categoryEvent(2084208695)"&gt;{{"2084208695" | translate}}&lt;/a&gt;&lt;/li&gt;</v>
      </c>
    </row>
    <row r="113" spans="1:8" ht="14.25" customHeight="1">
      <c r="A113" s="2">
        <v>24854</v>
      </c>
      <c r="B113" s="2" t="s">
        <v>6782</v>
      </c>
      <c r="C113" s="2" t="s">
        <v>6783</v>
      </c>
      <c r="D113" s="2" t="s">
        <v>6784</v>
      </c>
      <c r="E113" s="3" t="str">
        <f ca="1">IFERROR(__xludf.DUMMYFUNCTION("GOOGLETRANSLATE(B113,""ja"",""vi"")"),"nguồn cung cấp sơ cứu")</f>
        <v>nguồn cung cấp sơ cứu</v>
      </c>
      <c r="F113" s="3" t="str">
        <f ca="1">IFERROR(__xludf.DUMMYFUNCTION("GOOGLETRANSLATE(C113,""ja"",""vi"")"),"Đấu giá&gt; thể thao, giải trí&gt; trại, hàng ngoài trời&gt; Vật tư khẩn cấp")</f>
        <v>Đấu giá&gt; thể thao, giải trí&gt; trại, hàng ngoài trời&gt; Vật tư khẩn cấp</v>
      </c>
      <c r="G113" s="229" t="str">
        <f t="shared" ca="1" si="2"/>
        <v>"24854" : "nguồn cung cấp sơ cứu",</v>
      </c>
      <c r="H113" s="229" t="str">
        <f t="shared" si="3"/>
        <v>&lt;li class="col-md-3"&gt;&lt;a class="text-cut" href="javascript:;"(click)="categoryEvent(24854)"&gt;{{"24854" | translate}}&lt;/a&gt;&lt;/li&gt;</v>
      </c>
    </row>
    <row r="114" spans="1:8" ht="14.25" customHeight="1">
      <c r="A114" s="2">
        <v>2084062800</v>
      </c>
      <c r="B114" s="2" t="s">
        <v>6785</v>
      </c>
      <c r="C114" s="2" t="s">
        <v>6786</v>
      </c>
      <c r="D114" s="2" t="s">
        <v>6788</v>
      </c>
      <c r="E114" s="3" t="str">
        <f ca="1">IFERROR(__xludf.DUMMYFUNCTION("GOOGLETRANSLATE(B114,""ja"",""vi"")"),"Côn trùng nguồn cung cấp không thấm")</f>
        <v>Côn trùng nguồn cung cấp không thấm</v>
      </c>
      <c r="F114" s="3" t="str">
        <f ca="1">IFERROR(__xludf.DUMMYFUNCTION("GOOGLETRANSLATE(C114,""ja"",""vi"")"),"Đấu giá&gt; thể thao, giải trí&gt; trại, hàng ngoài trời&gt; nguồn cung cấp thuốc chống côn trùng")</f>
        <v>Đấu giá&gt; thể thao, giải trí&gt; trại, hàng ngoài trời&gt; nguồn cung cấp thuốc chống côn trùng</v>
      </c>
      <c r="G114" s="229" t="str">
        <f t="shared" ca="1" si="2"/>
        <v>"2084062800" : "Côn trùng nguồn cung cấp không thấm",</v>
      </c>
      <c r="H114" s="229" t="str">
        <f t="shared" si="3"/>
        <v>&lt;li class="col-md-3"&gt;&lt;a class="text-cut" href="javascript:;"(click)="categoryEvent(2084062800)"&gt;{{"2084062800" | translate}}&lt;/a&gt;&lt;/li&gt;</v>
      </c>
    </row>
    <row r="115" spans="1:8" ht="14.25" customHeight="1">
      <c r="A115" s="2">
        <v>2084208878</v>
      </c>
      <c r="B115" s="2" t="s">
        <v>6790</v>
      </c>
      <c r="C115" s="2" t="s">
        <v>6791</v>
      </c>
      <c r="D115" s="2" t="s">
        <v>6792</v>
      </c>
      <c r="E115" s="3" t="str">
        <f ca="1">IFERROR(__xludf.DUMMYFUNCTION("GOOGLETRANSLATE(B115,""ja"",""vi"")"),"lọng")</f>
        <v>lọng</v>
      </c>
      <c r="F115" s="3" t="str">
        <f ca="1">IFERROR(__xludf.DUMMYFUNCTION("GOOGLETRANSLATE(C115,""ja"",""vi"")"),"Đấu giá&gt; thể thao, giải trí&gt; trại, hàng ngoài trời&gt; ô")</f>
        <v>Đấu giá&gt; thể thao, giải trí&gt; trại, hàng ngoài trời&gt; ô</v>
      </c>
      <c r="G115" s="229" t="str">
        <f t="shared" ca="1" si="2"/>
        <v>"2084208878" : "lọng",</v>
      </c>
      <c r="H115" s="229" t="str">
        <f t="shared" si="3"/>
        <v>&lt;li class="col-md-3"&gt;&lt;a class="text-cut" href="javascript:;"(click)="categoryEvent(2084208878)"&gt;{{"2084208878" | translate}}&lt;/a&gt;&lt;/li&gt;</v>
      </c>
    </row>
    <row r="116" spans="1:8" ht="14.25" customHeight="1">
      <c r="A116" s="2">
        <v>2084209094</v>
      </c>
      <c r="B116" s="2" t="s">
        <v>6793</v>
      </c>
      <c r="C116" s="2" t="s">
        <v>6794</v>
      </c>
      <c r="D116" s="2" t="s">
        <v>6795</v>
      </c>
      <c r="E116" s="3" t="str">
        <f ca="1">IFERROR(__xludf.DUMMYFUNCTION("GOOGLETRANSLATE(B116,""ja"",""vi"")"),"Scoop")</f>
        <v>Scoop</v>
      </c>
      <c r="F116" s="3" t="str">
        <f ca="1">IFERROR(__xludf.DUMMYFUNCTION("GOOGLETRANSLATE(C116,""ja"",""vi"")"),"Đấu giá&gt; thể thao, giải trí&gt; trại, hàng ngoài trời&gt; muỗng")</f>
        <v>Đấu giá&gt; thể thao, giải trí&gt; trại, hàng ngoài trời&gt; muỗng</v>
      </c>
      <c r="G116" s="229" t="str">
        <f t="shared" ca="1" si="2"/>
        <v>"2084209094" : "Scoop",</v>
      </c>
      <c r="H116" s="229" t="str">
        <f t="shared" si="3"/>
        <v>&lt;li class="col-md-3"&gt;&lt;a class="text-cut" href="javascript:;"(click)="categoryEvent(2084209094)"&gt;{{"2084209094" | translate}}&lt;/a&gt;&lt;/li&gt;</v>
      </c>
    </row>
    <row r="117" spans="1:8" ht="14.25" customHeight="1">
      <c r="A117" s="2">
        <v>2084208876</v>
      </c>
      <c r="B117" s="2" t="s">
        <v>329</v>
      </c>
      <c r="C117" s="2" t="s">
        <v>6796</v>
      </c>
      <c r="D117" s="2" t="s">
        <v>6798</v>
      </c>
      <c r="E117" s="3" t="str">
        <f ca="1">IFERROR(__xludf.DUMMYFUNCTION("GOOGLETRANSLATE(B117,""ja"",""vi"")"),"keo")</f>
        <v>keo</v>
      </c>
      <c r="F117" s="3" t="str">
        <f ca="1">IFERROR(__xludf.DUMMYFUNCTION("GOOGLETRANSLATE(C117,""ja"",""vi"")"),"Đấu giá&gt; thể thao, giải trí&gt; trại, hàng ngoài trời&gt; sticker")</f>
        <v>Đấu giá&gt; thể thao, giải trí&gt; trại, hàng ngoài trời&gt; sticker</v>
      </c>
      <c r="G117" s="229" t="str">
        <f t="shared" ca="1" si="2"/>
        <v>"2084208876" : "keo",</v>
      </c>
      <c r="H117" s="229" t="str">
        <f t="shared" si="3"/>
        <v>&lt;li class="col-md-3"&gt;&lt;a class="text-cut" href="javascript:;"(click)="categoryEvent(2084208876)"&gt;{{"2084208876" | translate}}&lt;/a&gt;&lt;/li&gt;</v>
      </c>
    </row>
    <row r="118" spans="1:8" ht="14.25" customHeight="1">
      <c r="A118" s="2">
        <v>2084045042</v>
      </c>
      <c r="B118" s="2" t="s">
        <v>6800</v>
      </c>
      <c r="C118" s="2" t="s">
        <v>6801</v>
      </c>
      <c r="D118" s="2" t="s">
        <v>6802</v>
      </c>
      <c r="E118" s="3" t="str">
        <f ca="1">IFERROR(__xludf.DUMMYFUNCTION("GOOGLETRANSLATE(B118,""ja"",""vi"")"),"ống dòm")</f>
        <v>ống dòm</v>
      </c>
      <c r="F118" s="3" t="str">
        <f ca="1">IFERROR(__xludf.DUMMYFUNCTION("GOOGLETRANSLATE(C118,""ja"",""vi"")"),"Đấu giá&gt; thể thao, giải trí&gt; trại, hàng ngoài trời&gt; ống nhòm")</f>
        <v>Đấu giá&gt; thể thao, giải trí&gt; trại, hàng ngoài trời&gt; ống nhòm</v>
      </c>
      <c r="G118" s="229" t="str">
        <f t="shared" ca="1" si="2"/>
        <v>"2084045042" : "ống dòm",</v>
      </c>
      <c r="H118" s="229" t="str">
        <f t="shared" si="3"/>
        <v>&lt;li class="col-md-3"&gt;&lt;a class="text-cut" href="javascript:;"(click)="categoryEvent(2084045042)"&gt;{{"2084045042" | translate}}&lt;/a&gt;&lt;/li&gt;</v>
      </c>
    </row>
    <row r="119" spans="1:8" ht="14.25" customHeight="1">
      <c r="A119" s="2">
        <v>2084049594</v>
      </c>
      <c r="B119" s="2" t="s">
        <v>4629</v>
      </c>
      <c r="C119" s="2" t="s">
        <v>6803</v>
      </c>
      <c r="D119" s="2" t="s">
        <v>6804</v>
      </c>
      <c r="E119" s="3" t="str">
        <f ca="1">IFERROR(__xludf.DUMMYFUNCTION("GOOGLETRANSLATE(B119,""ja"",""vi"")"),"Camping xe")</f>
        <v>Camping xe</v>
      </c>
      <c r="F119" s="3" t="str">
        <f ca="1">IFERROR(__xludf.DUMMYFUNCTION("GOOGLETRANSLATE(C119,""ja"",""vi"")"),"Đấu giá&gt; thể thao, giải trí&gt; trại, hàng ngoài trời&gt; camper")</f>
        <v>Đấu giá&gt; thể thao, giải trí&gt; trại, hàng ngoài trời&gt; camper</v>
      </c>
      <c r="G119" s="229" t="str">
        <f t="shared" ca="1" si="2"/>
        <v>"2084049594" : "Camping xe",</v>
      </c>
      <c r="H119" s="229" t="str">
        <f t="shared" si="3"/>
        <v>&lt;li class="col-md-3"&gt;&lt;a class="text-cut" href="javascript:;"(click)="categoryEvent(2084049594)"&gt;{{"2084049594" | translate}}&lt;/a&gt;&lt;/li&gt;</v>
      </c>
    </row>
    <row r="120" spans="1:8" ht="14.25" customHeight="1">
      <c r="A120" s="2">
        <v>2084008869</v>
      </c>
      <c r="B120" s="2" t="s">
        <v>162</v>
      </c>
      <c r="C120" s="2" t="s">
        <v>6805</v>
      </c>
      <c r="D120" s="2" t="s">
        <v>6806</v>
      </c>
      <c r="E120" s="3" t="str">
        <f ca="1">IFERROR(__xludf.DUMMYFUNCTION("GOOGLETRANSLATE(B120,""ja"",""vi"")"),"Sách, tạp chí")</f>
        <v>Sách, tạp chí</v>
      </c>
      <c r="F120" s="3" t="str">
        <f ca="1">IFERROR(__xludf.DUMMYFUNCTION("GOOGLETRANSLATE(C120,""ja"",""vi"")"),"Đấu giá&gt; thể thao, giải trí&gt; trại, hàng ngoài trời&gt; Sách, tạp chí")</f>
        <v>Đấu giá&gt; thể thao, giải trí&gt; trại, hàng ngoài trời&gt; Sách, tạp chí</v>
      </c>
      <c r="G120" s="229" t="str">
        <f t="shared" ca="1" si="2"/>
        <v>"2084008869" : "Sách, tạp chí",</v>
      </c>
      <c r="H120" s="229" t="str">
        <f t="shared" si="3"/>
        <v>&lt;li class="col-md-3"&gt;&lt;a class="text-cut" href="javascript:;"(click)="categoryEvent(2084008869)"&gt;{{"2084008869" | translate}}&lt;/a&gt;&lt;/li&gt;</v>
      </c>
    </row>
    <row r="121" spans="1:8" ht="14.25" customHeight="1">
      <c r="A121" s="2">
        <v>2084307765</v>
      </c>
      <c r="B121" s="2" t="s">
        <v>6808</v>
      </c>
      <c r="C121" s="2" t="s">
        <v>6809</v>
      </c>
      <c r="D121" s="2" t="s">
        <v>6810</v>
      </c>
      <c r="E121" s="3" t="str">
        <f ca="1">IFERROR(__xludf.DUMMYFUNCTION("GOOGLETRANSLATE(B121,""ja"",""vi"")"),"Cắm trại, thiết bị ngoài trời cho thuê")</f>
        <v>Cắm trại, thiết bị ngoài trời cho thuê</v>
      </c>
      <c r="F121" s="3" t="str">
        <f ca="1">IFERROR(__xludf.DUMMYFUNCTION("GOOGLETRANSLATE(C121,""ja"",""vi"")"),"Đấu giá&gt; thể thao, giải trí&gt; trại, hàng ngoài trời&gt; cắm trại, thiết bị ngoài trời cho thuê")</f>
        <v>Đấu giá&gt; thể thao, giải trí&gt; trại, hàng ngoài trời&gt; cắm trại, thiết bị ngoài trời cho thuê</v>
      </c>
      <c r="G121" s="229" t="str">
        <f t="shared" ca="1" si="2"/>
        <v>"2084307765" : "Cắm trại, thiết bị ngoài trời cho thuê",</v>
      </c>
      <c r="H121" s="229" t="str">
        <f t="shared" si="3"/>
        <v>&lt;li class="col-md-3"&gt;&lt;a class="text-cut" href="javascript:;"(click)="categoryEvent(2084307765)"&gt;{{"2084307765" | translate}}&lt;/a&gt;&lt;/li&gt;</v>
      </c>
    </row>
    <row r="122" spans="1:8" ht="14.25" customHeight="1">
      <c r="A122" s="2">
        <v>2084005102</v>
      </c>
      <c r="B122" s="2" t="s">
        <v>16</v>
      </c>
      <c r="C122" s="2" t="s">
        <v>6811</v>
      </c>
      <c r="D122" s="2" t="s">
        <v>6812</v>
      </c>
      <c r="E122" s="3" t="str">
        <f ca="1">IFERROR(__xludf.DUMMYFUNCTION("GOOGLETRANSLATE(B122,""ja"",""vi"")"),"nếu không thì")</f>
        <v>nếu không thì</v>
      </c>
      <c r="F122" s="3" t="str">
        <f ca="1">IFERROR(__xludf.DUMMYFUNCTION("GOOGLETRANSLATE(C122,""ja"",""vi"")"),"Đấu giá&gt; thể thao, giải trí&gt; trại, ngoài trời hàng&gt; Khác")</f>
        <v>Đấu giá&gt; thể thao, giải trí&gt; trại, ngoài trời hàng&gt; Khác</v>
      </c>
      <c r="G122" s="229" t="str">
        <f t="shared" ca="1" si="2"/>
        <v>"2084005102" : "nếu không thì",</v>
      </c>
      <c r="H122" s="229" t="str">
        <f t="shared" si="3"/>
        <v>&lt;li class="col-md-3"&gt;&lt;a class="text-cut" href="javascript:;"(click)="categoryEvent(2084005102)"&gt;{{"2084005102" | translate}}&lt;/a&gt;&lt;/li&gt;</v>
      </c>
    </row>
    <row r="123" spans="1:8" ht="14.25" customHeight="1">
      <c r="E123" s="3"/>
      <c r="F123" s="3"/>
      <c r="G123" s="229"/>
      <c r="H123" s="229"/>
    </row>
    <row r="124" spans="1:8" ht="14.25" customHeight="1">
      <c r="E124" s="3"/>
      <c r="F124" s="3"/>
      <c r="G124" s="229"/>
      <c r="H124" s="229"/>
    </row>
    <row r="125" spans="1:8" ht="14.25" customHeight="1">
      <c r="A125" s="240">
        <v>26222</v>
      </c>
      <c r="B125" s="232"/>
      <c r="C125" s="232"/>
      <c r="D125" s="233"/>
      <c r="E125" s="3"/>
      <c r="F125" s="3"/>
      <c r="G125" s="229"/>
      <c r="H125" s="229"/>
    </row>
    <row r="126" spans="1:8" ht="14.25" customHeight="1">
      <c r="A126" s="2">
        <v>26246</v>
      </c>
      <c r="B126" s="2" t="s">
        <v>5609</v>
      </c>
      <c r="C126" s="2" t="s">
        <v>6814</v>
      </c>
      <c r="D126" s="2" t="s">
        <v>6815</v>
      </c>
      <c r="E126" s="3" t="str">
        <f ca="1">IFERROR(__xludf.DUMMYFUNCTION("GOOGLETRANSLATE(B126,""ja"",""vi"")"),"cơ thể")</f>
        <v>cơ thể</v>
      </c>
      <c r="F126" s="3" t="str">
        <f ca="1">IFERROR(__xludf.DUMMYFUNCTION("GOOGLETRANSLATE(C126,""ja"",""vi"")"),"Đấu giá&gt; thể thao, giải trí&gt; xe đạp, xe đạp&gt; thân xe")</f>
        <v>Đấu giá&gt; thể thao, giải trí&gt; xe đạp, xe đạp&gt; thân xe</v>
      </c>
      <c r="G126" s="229" t="str">
        <f t="shared" ca="1" si="2"/>
        <v>"26246" : "cơ thể",</v>
      </c>
      <c r="H126" s="229" t="str">
        <f t="shared" si="3"/>
        <v>&lt;li class="col-md-3"&gt;&lt;a class="text-cut" href="javascript:;"(click)="categoryEvent(26246)"&gt;{{"26246" | translate}}&lt;/a&gt;&lt;/li&gt;</v>
      </c>
    </row>
    <row r="127" spans="1:8" ht="14.25" customHeight="1">
      <c r="A127" s="2">
        <v>26260</v>
      </c>
      <c r="B127" s="2" t="s">
        <v>3876</v>
      </c>
      <c r="C127" s="2" t="s">
        <v>6816</v>
      </c>
      <c r="D127" s="2" t="s">
        <v>6817</v>
      </c>
      <c r="E127" s="3" t="str">
        <f ca="1">IFERROR(__xludf.DUMMYFUNCTION("GOOGLETRANSLATE(B127,""ja"",""vi"")"),"bộ phận")</f>
        <v>bộ phận</v>
      </c>
      <c r="F127" s="3" t="str">
        <f ca="1">IFERROR(__xludf.DUMMYFUNCTION("GOOGLETRANSLATE(C127,""ja"",""vi"")"),"Đấu giá&gt; thể thao, giải trí&gt; xe đạp, xe đạp&gt; phụ tùng")</f>
        <v>Đấu giá&gt; thể thao, giải trí&gt; xe đạp, xe đạp&gt; phụ tùng</v>
      </c>
      <c r="G127" s="229" t="str">
        <f t="shared" ca="1" si="2"/>
        <v>"26260" : "bộ phận",</v>
      </c>
      <c r="H127" s="229" t="str">
        <f t="shared" si="3"/>
        <v>&lt;li class="col-md-3"&gt;&lt;a class="text-cut" href="javascript:;"(click)="categoryEvent(26260)"&gt;{{"26260" | translate}}&lt;/a&gt;&lt;/li&gt;</v>
      </c>
    </row>
    <row r="128" spans="1:8" ht="14.25" customHeight="1">
      <c r="A128" s="2">
        <v>2084032380</v>
      </c>
      <c r="B128" s="2" t="s">
        <v>6818</v>
      </c>
      <c r="C128" s="2" t="s">
        <v>6819</v>
      </c>
      <c r="D128" s="2" t="s">
        <v>6820</v>
      </c>
      <c r="E128" s="3" t="str">
        <f ca="1">IFERROR(__xludf.DUMMYFUNCTION("GOOGLETRANSLATE(B128,""ja"",""vi"")"),"Mang")</f>
        <v>Mang</v>
      </c>
      <c r="F128" s="3" t="str">
        <f ca="1">IFERROR(__xludf.DUMMYFUNCTION("GOOGLETRANSLATE(C128,""ja"",""vi"")"),"Đấu giá&gt; thể thao, giải trí&gt; xe đạp, xe đạp&gt; Mang")</f>
        <v>Đấu giá&gt; thể thao, giải trí&gt; xe đạp, xe đạp&gt; Mang</v>
      </c>
      <c r="G128" s="229" t="str">
        <f t="shared" ca="1" si="2"/>
        <v>"2084032380" : "Mang",</v>
      </c>
      <c r="H128" s="229" t="str">
        <f t="shared" si="3"/>
        <v>&lt;li class="col-md-3"&gt;&lt;a class="text-cut" href="javascript:;"(click)="categoryEvent(2084032380)"&gt;{{"2084032380" | translate}}&lt;/a&gt;&lt;/li&gt;</v>
      </c>
    </row>
    <row r="129" spans="1:8" ht="14.25" customHeight="1">
      <c r="A129" s="2">
        <v>2084227170</v>
      </c>
      <c r="B129" s="2" t="s">
        <v>6821</v>
      </c>
      <c r="C129" s="2" t="s">
        <v>6822</v>
      </c>
      <c r="D129" s="2" t="s">
        <v>6823</v>
      </c>
      <c r="E129" s="3" t="str">
        <f ca="1">IFERROR(__xludf.DUMMYFUNCTION("GOOGLETRANSLATE(B129,""ja"",""vi"")"),"túi")</f>
        <v>túi</v>
      </c>
      <c r="F129" s="3" t="str">
        <f ca="1">IFERROR(__xludf.DUMMYFUNCTION("GOOGLETRANSLATE(C129,""ja"",""vi"")"),"Đấu giá&gt; thể thao, giải trí&gt; xe đạp, xe đạp&gt; túi")</f>
        <v>Đấu giá&gt; thể thao, giải trí&gt; xe đạp, xe đạp&gt; túi</v>
      </c>
      <c r="G129" s="229" t="str">
        <f t="shared" ca="1" si="2"/>
        <v>"2084227170" : "túi",</v>
      </c>
      <c r="H129" s="229" t="str">
        <f t="shared" si="3"/>
        <v>&lt;li class="col-md-3"&gt;&lt;a class="text-cut" href="javascript:;"(click)="categoryEvent(2084227170)"&gt;{{"2084227170" | translate}}&lt;/a&gt;&lt;/li&gt;</v>
      </c>
    </row>
    <row r="130" spans="1:8" ht="14.25" customHeight="1">
      <c r="A130" s="2">
        <v>26224</v>
      </c>
      <c r="B130" s="2" t="s">
        <v>2182</v>
      </c>
      <c r="C130" s="2" t="s">
        <v>6824</v>
      </c>
      <c r="D130" s="2" t="s">
        <v>6825</v>
      </c>
      <c r="E130" s="3" t="str">
        <f ca="1">IFERROR(__xludf.DUMMYFUNCTION("GOOGLETRANSLATE(B130,""ja"",""vi"")"),"phụ kiện")</f>
        <v>phụ kiện</v>
      </c>
      <c r="F130" s="3" t="str">
        <f ca="1">IFERROR(__xludf.DUMMYFUNCTION("GOOGLETRANSLATE(C130,""ja"",""vi"")"),"Đấu giá&gt; thể thao, giải trí&gt; xe đạp, xe đạp&gt; Phụ kiện")</f>
        <v>Đấu giá&gt; thể thao, giải trí&gt; xe đạp, xe đạp&gt; Phụ kiện</v>
      </c>
      <c r="G130" s="229" t="str">
        <f t="shared" ca="1" si="2"/>
        <v>"26224" : "phụ kiện",</v>
      </c>
      <c r="H130" s="229" t="str">
        <f t="shared" si="3"/>
        <v>&lt;li class="col-md-3"&gt;&lt;a class="text-cut" href="javascript:;"(click)="categoryEvent(26224)"&gt;{{"26224" | translate}}&lt;/a&gt;&lt;/li&gt;</v>
      </c>
    </row>
    <row r="131" spans="1:8" ht="14.25" customHeight="1">
      <c r="A131" s="2">
        <v>2084235676</v>
      </c>
      <c r="B131" s="2" t="s">
        <v>6827</v>
      </c>
      <c r="C131" s="2" t="s">
        <v>6828</v>
      </c>
      <c r="D131" s="2" t="s">
        <v>6829</v>
      </c>
      <c r="E131" s="3" t="str">
        <f ca="1">IFERROR(__xludf.DUMMYFUNCTION("GOOGLETRANSLATE(B131,""ja"",""vi"")"),"Dụng cụ, bảo trì")</f>
        <v>Dụng cụ, bảo trì</v>
      </c>
      <c r="F131" s="3" t="str">
        <f ca="1">IFERROR(__xludf.DUMMYFUNCTION("GOOGLETRANSLATE(C131,""ja"",""vi"")"),"Đấu giá&gt; thể thao, giải trí&gt; xe đạp, xe đạp&gt; công cụ, bảo trì")</f>
        <v>Đấu giá&gt; thể thao, giải trí&gt; xe đạp, xe đạp&gt; công cụ, bảo trì</v>
      </c>
      <c r="G131" s="229" t="str">
        <f t="shared" ref="G131:G194" ca="1" si="4">CONCATENATE(CHAR(34)&amp;"",A131,""&amp;CHAR(34)," : ", CHAR(34)&amp;"",E131,""&amp;CHAR(34),",")</f>
        <v>"2084235676" : "Dụng cụ, bảo trì",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href="javascript:;"(click)="categoryEvent(2084235676)"&gt;{{"2084235676" | translate}}&lt;/a&gt;&lt;/li&gt;</v>
      </c>
    </row>
    <row r="132" spans="1:8" ht="14.25" customHeight="1">
      <c r="A132" s="2">
        <v>2084263701</v>
      </c>
      <c r="B132" s="2" t="s">
        <v>6277</v>
      </c>
      <c r="C132" s="2" t="s">
        <v>6830</v>
      </c>
      <c r="D132" s="2" t="s">
        <v>6831</v>
      </c>
      <c r="E132" s="3" t="str">
        <f ca="1">IFERROR(__xludf.DUMMYFUNCTION("GOOGLETRANSLATE(B132,""ja"",""vi"")"),"theo dõi nhịp tim thể thao")</f>
        <v>theo dõi nhịp tim thể thao</v>
      </c>
      <c r="F132" s="3" t="str">
        <f ca="1">IFERROR(__xludf.DUMMYFUNCTION("GOOGLETRANSLATE(C132,""ja"",""vi"")"),"Đấu giá&gt; thể thao, giải trí&gt; xe đạp, xe đạp&gt; màn Sport nhịp tim")</f>
        <v>Đấu giá&gt; thể thao, giải trí&gt; xe đạp, xe đạp&gt; màn Sport nhịp tim</v>
      </c>
      <c r="G132" s="229" t="str">
        <f t="shared" ca="1" si="4"/>
        <v>"2084263701" : "theo dõi nhịp tim thể thao",</v>
      </c>
      <c r="H132" s="229" t="str">
        <f t="shared" si="5"/>
        <v>&lt;li class="col-md-3"&gt;&lt;a class="text-cut" href="javascript:;"(click)="categoryEvent(2084263701)"&gt;{{"2084263701" | translate}}&lt;/a&gt;&lt;/li&gt;</v>
      </c>
    </row>
    <row r="133" spans="1:8" ht="14.25" customHeight="1">
      <c r="A133" s="2">
        <v>2084048299</v>
      </c>
      <c r="B133" s="2" t="s">
        <v>6832</v>
      </c>
      <c r="C133" s="2" t="s">
        <v>6833</v>
      </c>
      <c r="D133" s="2" t="s">
        <v>6834</v>
      </c>
      <c r="E133" s="3" t="str">
        <f ca="1">IFERROR(__xludf.DUMMYFUNCTION("GOOGLETRANSLATE(B133,""ja"",""vi"")"),"thiết bị đào tạo")</f>
        <v>thiết bị đào tạo</v>
      </c>
      <c r="F133" s="3" t="str">
        <f ca="1">IFERROR(__xludf.DUMMYFUNCTION("GOOGLETRANSLATE(C133,""ja"",""vi"")"),"Đấu giá&gt; thể thao, giải trí&gt; xe đạp, xe đạp&gt; thiết bị đào tạo")</f>
        <v>Đấu giá&gt; thể thao, giải trí&gt; xe đạp, xe đạp&gt; thiết bị đào tạo</v>
      </c>
      <c r="G133" s="229" t="str">
        <f t="shared" ca="1" si="4"/>
        <v>"2084048299" : "thiết bị đào tạo",</v>
      </c>
      <c r="H133" s="229" t="str">
        <f t="shared" si="5"/>
        <v>&lt;li class="col-md-3"&gt;&lt;a class="text-cut" href="javascript:;"(click)="categoryEvent(2084048299)"&gt;{{"2084048299" | translate}}&lt;/a&gt;&lt;/li&gt;</v>
      </c>
    </row>
    <row r="134" spans="1:8" ht="14.25" customHeight="1">
      <c r="A134" s="2">
        <v>2084259454</v>
      </c>
      <c r="B134" s="2" t="s">
        <v>6835</v>
      </c>
      <c r="C134" s="2" t="s">
        <v>6836</v>
      </c>
      <c r="D134" s="2" t="s">
        <v>6837</v>
      </c>
      <c r="E134" s="3" t="str">
        <f ca="1">IFERROR(__xludf.DUMMYFUNCTION("GOOGLETRANSLATE(B134,""ja"",""vi"")"),"Handy GPS")</f>
        <v>Handy GPS</v>
      </c>
      <c r="F134" s="3" t="str">
        <f ca="1">IFERROR(__xludf.DUMMYFUNCTION("GOOGLETRANSLATE(C134,""ja"",""vi"")"),"Đấu giá&gt; thể thao, giải trí&gt; xe đạp, xe đạp&gt; Handy GPS")</f>
        <v>Đấu giá&gt; thể thao, giải trí&gt; xe đạp, xe đạp&gt; Handy GPS</v>
      </c>
      <c r="G134" s="229" t="str">
        <f t="shared" ca="1" si="4"/>
        <v>"2084259454" : "Handy GPS",</v>
      </c>
      <c r="H134" s="229" t="str">
        <f t="shared" si="5"/>
        <v>&lt;li class="col-md-3"&gt;&lt;a class="text-cut" href="javascript:;"(click)="categoryEvent(2084259454)"&gt;{{"2084259454" | translate}}&lt;/a&gt;&lt;/li&gt;</v>
      </c>
    </row>
    <row r="135" spans="1:8" ht="14.25" customHeight="1">
      <c r="A135" s="2">
        <v>2084256904</v>
      </c>
      <c r="B135" s="2" t="s">
        <v>380</v>
      </c>
      <c r="C135" s="2" t="s">
        <v>6839</v>
      </c>
      <c r="D135" s="2" t="s">
        <v>6840</v>
      </c>
      <c r="E135" s="3" t="str">
        <f ca="1">IFERROR(__xludf.DUMMYFUNCTION("GOOGLETRANSLATE(B135,""ja"",""vi"")"),"DVD")</f>
        <v>DVD</v>
      </c>
      <c r="F135" s="3" t="str">
        <f ca="1">IFERROR(__xludf.DUMMYFUNCTION("GOOGLETRANSLATE(C135,""ja"",""vi"")"),"Đấu giá&gt; thể thao, giải trí&gt; xe đạp, xe đạp&gt; DVD")</f>
        <v>Đấu giá&gt; thể thao, giải trí&gt; xe đạp, xe đạp&gt; DVD</v>
      </c>
      <c r="G135" s="229" t="str">
        <f t="shared" ca="1" si="4"/>
        <v>"2084256904" : "DVD",</v>
      </c>
      <c r="H135" s="229" t="str">
        <f t="shared" si="5"/>
        <v>&lt;li class="col-md-3"&gt;&lt;a class="text-cut" href="javascript:;"(click)="categoryEvent(2084256904)"&gt;{{"2084256904" | translate}}&lt;/a&gt;&lt;/li&gt;</v>
      </c>
    </row>
    <row r="136" spans="1:8" ht="14.25" customHeight="1">
      <c r="A136" s="2">
        <v>2084048304</v>
      </c>
      <c r="B136" s="2" t="s">
        <v>6841</v>
      </c>
      <c r="C136" s="2" t="s">
        <v>6842</v>
      </c>
      <c r="D136" s="2" t="s">
        <v>6843</v>
      </c>
      <c r="E136" s="3" t="str">
        <f ca="1">IFERROR(__xludf.DUMMYFUNCTION("GOOGLETRANSLATE(B136,""ja"",""vi"")"),"xe đạp lòng chảo Hàng")</f>
        <v>xe đạp lòng chảo Hàng</v>
      </c>
      <c r="F136" s="3" t="str">
        <f ca="1">IFERROR(__xludf.DUMMYFUNCTION("GOOGLETRANSLATE(C136,""ja"",""vi"")"),"Đấu giá&gt; thể thao, giải trí&gt; xe đạp, xe đạp&gt; Hàng đua xe đạp")</f>
        <v>Đấu giá&gt; thể thao, giải trí&gt; xe đạp, xe đạp&gt; Hàng đua xe đạp</v>
      </c>
      <c r="G136" s="229" t="str">
        <f t="shared" ca="1" si="4"/>
        <v>"2084048304" : "xe đạp lòng chảo Hàng",</v>
      </c>
      <c r="H136" s="229" t="str">
        <f t="shared" si="5"/>
        <v>&lt;li class="col-md-3"&gt;&lt;a class="text-cut" href="javascript:;"(click)="categoryEvent(2084048304)"&gt;{{"2084048304" | translate}}&lt;/a&gt;&lt;/li&gt;</v>
      </c>
    </row>
    <row r="137" spans="1:8" ht="14.25" customHeight="1">
      <c r="A137" s="2">
        <v>2084047997</v>
      </c>
      <c r="B137" s="2" t="s">
        <v>5274</v>
      </c>
      <c r="C137" s="2" t="s">
        <v>6844</v>
      </c>
      <c r="D137" s="2" t="s">
        <v>6845</v>
      </c>
      <c r="E137" s="3" t="str">
        <f ca="1">IFERROR(__xludf.DUMMYFUNCTION("GOOGLETRANSLATE(B137,""ja"",""vi"")"),"điều này")</f>
        <v>điều này</v>
      </c>
      <c r="F137" s="3" t="str">
        <f ca="1">IFERROR(__xludf.DUMMYFUNCTION("GOOGLETRANSLATE(C137,""ja"",""vi"")"),"Đấu giá&gt; thể thao, giải trí&gt; xe đạp, xe đạp&gt; Sách")</f>
        <v>Đấu giá&gt; thể thao, giải trí&gt; xe đạp, xe đạp&gt; Sách</v>
      </c>
      <c r="G137" s="229" t="str">
        <f t="shared" ca="1" si="4"/>
        <v>"2084047997" : "điều này",</v>
      </c>
      <c r="H137" s="229" t="str">
        <f t="shared" si="5"/>
        <v>&lt;li class="col-md-3"&gt;&lt;a class="text-cut" href="javascript:;"(click)="categoryEvent(2084047997)"&gt;{{"2084047997" | translate}}&lt;/a&gt;&lt;/li&gt;</v>
      </c>
    </row>
    <row r="138" spans="1:8" ht="14.25" customHeight="1">
      <c r="A138" s="2">
        <v>2084307766</v>
      </c>
      <c r="B138" s="2" t="s">
        <v>6846</v>
      </c>
      <c r="C138" s="2" t="s">
        <v>6847</v>
      </c>
      <c r="D138" s="2" t="s">
        <v>6848</v>
      </c>
      <c r="E138" s="3" t="str">
        <f ca="1">IFERROR(__xludf.DUMMYFUNCTION("GOOGLETRANSLATE(B138,""ja"",""vi"")"),"cho thuê xe đạp")</f>
        <v>cho thuê xe đạp</v>
      </c>
      <c r="F138" s="3" t="str">
        <f ca="1">IFERROR(__xludf.DUMMYFUNCTION("GOOGLETRANSLATE(C138,""ja"",""vi"")"),"Đấu giá&gt; thể thao, giải trí&gt; xe đạp, xe đạp&gt; thuê xe đạp")</f>
        <v>Đấu giá&gt; thể thao, giải trí&gt; xe đạp, xe đạp&gt; thuê xe đạp</v>
      </c>
      <c r="G138" s="229" t="str">
        <f t="shared" ca="1" si="4"/>
        <v>"2084307766" : "cho thuê xe đạp",</v>
      </c>
      <c r="H138" s="229" t="str">
        <f t="shared" si="5"/>
        <v>&lt;li class="col-md-3"&gt;&lt;a class="text-cut" href="javascript:;"(click)="categoryEvent(2084307766)"&gt;{{"2084307766" | translate}}&lt;/a&gt;&lt;/li&gt;</v>
      </c>
    </row>
    <row r="139" spans="1:8" ht="14.25" customHeight="1">
      <c r="A139" s="2">
        <v>2084047573</v>
      </c>
      <c r="B139" s="2" t="s">
        <v>16</v>
      </c>
      <c r="C139" s="2" t="s">
        <v>6849</v>
      </c>
      <c r="D139" s="2" t="s">
        <v>6850</v>
      </c>
      <c r="E139" s="3" t="str">
        <f ca="1">IFERROR(__xludf.DUMMYFUNCTION("GOOGLETRANSLATE(B139,""ja"",""vi"")"),"nếu không thì")</f>
        <v>nếu không thì</v>
      </c>
      <c r="F139" s="3" t="str">
        <f ca="1">IFERROR(__xludf.DUMMYFUNCTION("GOOGLETRANSLATE(C139,""ja"",""vi"")"),"Đấu giá&gt; thể thao, giải trí&gt; xe đạp, xe đạp&gt; Khác")</f>
        <v>Đấu giá&gt; thể thao, giải trí&gt; xe đạp, xe đạp&gt; Khác</v>
      </c>
      <c r="G139" s="229" t="str">
        <f t="shared" ca="1" si="4"/>
        <v>"2084047573" : "nếu không thì",</v>
      </c>
      <c r="H139" s="229" t="str">
        <f t="shared" si="5"/>
        <v>&lt;li class="col-md-3"&gt;&lt;a class="text-cut" href="javascript:;"(click)="categoryEvent(2084047573)"&gt;{{"2084047573" | translate}}&lt;/a&gt;&lt;/li&gt;</v>
      </c>
    </row>
    <row r="140" spans="1:8" ht="14.25" customHeight="1">
      <c r="E140" s="3"/>
      <c r="F140" s="3"/>
      <c r="G140" s="229"/>
      <c r="H140" s="229"/>
    </row>
    <row r="141" spans="1:8" ht="14.25" customHeight="1">
      <c r="A141" s="237">
        <v>25180</v>
      </c>
      <c r="B141" s="232"/>
      <c r="C141" s="232"/>
      <c r="D141" s="233"/>
      <c r="E141" s="3"/>
      <c r="F141" s="3"/>
      <c r="G141" s="229"/>
      <c r="H141" s="229"/>
    </row>
    <row r="142" spans="1:8" ht="14.25" customHeight="1">
      <c r="A142" s="2">
        <v>2084005512</v>
      </c>
      <c r="B142" s="2" t="s">
        <v>6856</v>
      </c>
      <c r="C142" s="2" t="s">
        <v>6857</v>
      </c>
      <c r="D142" s="2" t="s">
        <v>6858</v>
      </c>
      <c r="E142" s="3" t="str">
        <f ca="1">IFERROR(__xludf.DUMMYFUNCTION("GOOGLETRANSLATE(B142,""ja"",""vi"")"),"gậy")</f>
        <v>gậy</v>
      </c>
      <c r="F142" s="3" t="str">
        <f ca="1">IFERROR(__xludf.DUMMYFUNCTION("GOOGLETRANSLATE(C142,""ja"",""vi"")"),"Đấu giá&gt; thể thao, giải trí&gt; cá&gt; que")</f>
        <v>Đấu giá&gt; thể thao, giải trí&gt; cá&gt; que</v>
      </c>
      <c r="G142" s="229" t="str">
        <f t="shared" ca="1" si="4"/>
        <v>"2084005512" : "gậy",</v>
      </c>
      <c r="H142" s="229" t="str">
        <f t="shared" si="5"/>
        <v>&lt;li class="col-md-3"&gt;&lt;a class="text-cut" href="javascript:;"(click)="categoryEvent(2084005512)"&gt;{{"2084005512" | translate}}&lt;/a&gt;&lt;/li&gt;</v>
      </c>
    </row>
    <row r="143" spans="1:8" ht="14.25" customHeight="1">
      <c r="A143" s="2">
        <v>25182</v>
      </c>
      <c r="B143" s="2" t="s">
        <v>6859</v>
      </c>
      <c r="C143" s="2" t="s">
        <v>6860</v>
      </c>
      <c r="D143" s="2" t="s">
        <v>6861</v>
      </c>
      <c r="E143" s="3" t="str">
        <f ca="1">IFERROR(__xludf.DUMMYFUNCTION("GOOGLETRANSLATE(B143,""ja"",""vi"")"),"loạng choạng")</f>
        <v>loạng choạng</v>
      </c>
      <c r="F143" s="3" t="str">
        <f ca="1">IFERROR(__xludf.DUMMYFUNCTION("GOOGLETRANSLATE(C143,""ja"",""vi"")"),"Đấu giá&gt; thể thao, giải trí&gt; cá&gt; reel")</f>
        <v>Đấu giá&gt; thể thao, giải trí&gt; cá&gt; reel</v>
      </c>
      <c r="G143" s="229" t="str">
        <f t="shared" ca="1" si="4"/>
        <v>"25182" : "loạng choạng",</v>
      </c>
      <c r="H143" s="229" t="str">
        <f t="shared" si="5"/>
        <v>&lt;li class="col-md-3"&gt;&lt;a class="text-cut" href="javascript:;"(click)="categoryEvent(25182)"&gt;{{"25182" | translate}}&lt;/a&gt;&lt;/li&gt;</v>
      </c>
    </row>
    <row r="144" spans="1:8" ht="14.25" customHeight="1">
      <c r="A144" s="2">
        <v>25192</v>
      </c>
      <c r="B144" s="2" t="s">
        <v>6864</v>
      </c>
      <c r="C144" s="2" t="s">
        <v>6867</v>
      </c>
      <c r="D144" s="2" t="s">
        <v>6868</v>
      </c>
      <c r="E144" s="3" t="str">
        <f ca="1">IFERROR(__xludf.DUMMYFUNCTION("GOOGLETRANSLATE(B144,""ja"",""vi"")"),"nguồn cung cấp lure")</f>
        <v>nguồn cung cấp lure</v>
      </c>
      <c r="F144" s="3" t="str">
        <f ca="1">IFERROR(__xludf.DUMMYFUNCTION("GOOGLETRANSLATE(C144,""ja"",""vi"")"),"Đấu giá&gt; thể thao, giải trí&gt; cá&gt; nguồn cung cấp thu hút")</f>
        <v>Đấu giá&gt; thể thao, giải trí&gt; cá&gt; nguồn cung cấp thu hút</v>
      </c>
      <c r="G144" s="229" t="str">
        <f t="shared" ca="1" si="4"/>
        <v>"25192" : "nguồn cung cấp lure",</v>
      </c>
      <c r="H144" s="229" t="str">
        <f t="shared" si="5"/>
        <v>&lt;li class="col-md-3"&gt;&lt;a class="text-cut" href="javascript:;"(click)="categoryEvent(25192)"&gt;{{"25192" | translate}}&lt;/a&gt;&lt;/li&gt;</v>
      </c>
    </row>
    <row r="145" spans="1:8" ht="14.25" customHeight="1">
      <c r="A145" s="2">
        <v>2084046953</v>
      </c>
      <c r="B145" s="2" t="s">
        <v>6818</v>
      </c>
      <c r="C145" s="2" t="s">
        <v>6869</v>
      </c>
      <c r="D145" s="2" t="s">
        <v>6870</v>
      </c>
      <c r="E145" s="3" t="str">
        <f ca="1">IFERROR(__xludf.DUMMYFUNCTION("GOOGLETRANSLATE(B145,""ja"",""vi"")"),"Mang")</f>
        <v>Mang</v>
      </c>
      <c r="F145" s="3" t="str">
        <f ca="1">IFERROR(__xludf.DUMMYFUNCTION("GOOGLETRANSLATE(C145,""ja"",""vi"")"),"Đấu giá&gt; Thể thao, Giải trí&gt; Câu cá&gt; Mang")</f>
        <v>Đấu giá&gt; Thể thao, Giải trí&gt; Câu cá&gt; Mang</v>
      </c>
      <c r="G145" s="229" t="str">
        <f t="shared" ca="1" si="4"/>
        <v>"2084046953" : "Mang",</v>
      </c>
      <c r="H145" s="229" t="str">
        <f t="shared" si="5"/>
        <v>&lt;li class="col-md-3"&gt;&lt;a class="text-cut" href="javascript:;"(click)="categoryEvent(2084046953)"&gt;{{"2084046953" | translate}}&lt;/a&gt;&lt;/li&gt;</v>
      </c>
    </row>
    <row r="146" spans="1:8" ht="14.25" customHeight="1">
      <c r="A146" s="2">
        <v>25188</v>
      </c>
      <c r="B146" s="2" t="s">
        <v>6872</v>
      </c>
      <c r="C146" s="2" t="s">
        <v>6874</v>
      </c>
      <c r="D146" s="2" t="s">
        <v>6875</v>
      </c>
      <c r="E146" s="3" t="str">
        <f ca="1">IFERROR(__xludf.DUMMYFUNCTION("GOOGLETRANSLATE(B146,""ja"",""vi"")"),"hộp giải quyết")</f>
        <v>hộp giải quyết</v>
      </c>
      <c r="F146" s="3" t="str">
        <f ca="1">IFERROR(__xludf.DUMMYFUNCTION("GOOGLETRANSLATE(C146,""ja"",""vi"")"),"Đấu giá&gt; thể thao, giải trí&gt; cá&gt; hộp giải quyết")</f>
        <v>Đấu giá&gt; thể thao, giải trí&gt; cá&gt; hộp giải quyết</v>
      </c>
      <c r="G146" s="229" t="str">
        <f t="shared" ca="1" si="4"/>
        <v>"25188" : "hộp giải quyết",</v>
      </c>
      <c r="H146" s="229" t="str">
        <f t="shared" si="5"/>
        <v>&lt;li class="col-md-3"&gt;&lt;a class="text-cut" href="javascript:;"(click)="categoryEvent(25188)"&gt;{{"25188" | translate}}&lt;/a&gt;&lt;/li&gt;</v>
      </c>
    </row>
    <row r="147" spans="1:8" ht="14.25" customHeight="1">
      <c r="A147" s="2">
        <v>2084048285</v>
      </c>
      <c r="B147" s="2" t="s">
        <v>6878</v>
      </c>
      <c r="C147" s="2" t="s">
        <v>6879</v>
      </c>
      <c r="D147" s="2" t="s">
        <v>6880</v>
      </c>
      <c r="E147" s="3" t="str">
        <f ca="1">IFERROR(__xludf.DUMMYFUNCTION("GOOGLETRANSLATE(B147,""ja"",""vi"")"),"Câu cá dòng, dòng")</f>
        <v>Câu cá dòng, dòng</v>
      </c>
      <c r="F147" s="3" t="str">
        <f ca="1">IFERROR(__xludf.DUMMYFUNCTION("GOOGLETRANSLATE(C147,""ja"",""vi"")"),"Đấu giá&gt; thể thao, giải trí&gt; cá&gt; câu cá dòng, dòng")</f>
        <v>Đấu giá&gt; thể thao, giải trí&gt; cá&gt; câu cá dòng, dòng</v>
      </c>
      <c r="G147" s="229" t="str">
        <f t="shared" ca="1" si="4"/>
        <v>"2084048285" : "Câu cá dòng, dòng",</v>
      </c>
      <c r="H147" s="229" t="str">
        <f t="shared" si="5"/>
        <v>&lt;li class="col-md-3"&gt;&lt;a class="text-cut" href="javascript:;"(click)="categoryEvent(2084048285)"&gt;{{"2084048285" | translate}}&lt;/a&gt;&lt;/li&gt;</v>
      </c>
    </row>
    <row r="148" spans="1:8" ht="14.25" customHeight="1">
      <c r="A148" s="2">
        <v>2084203064</v>
      </c>
      <c r="B148" s="2" t="s">
        <v>6881</v>
      </c>
      <c r="C148" s="2" t="s">
        <v>6882</v>
      </c>
      <c r="D148" s="2" t="s">
        <v>6883</v>
      </c>
      <c r="E148" s="3" t="str">
        <f ca="1">IFERROR(__xludf.DUMMYFUNCTION("GOOGLETRANSLATE(B148,""ja"",""vi"")"),"lưỡi câu")</f>
        <v>lưỡi câu</v>
      </c>
      <c r="F148" s="3" t="str">
        <f ca="1">IFERROR(__xludf.DUMMYFUNCTION("GOOGLETRANSLATE(C148,""ja"",""vi"")"),"Đấu giá&gt; thể thao, giải trí&gt; cá&gt; lưỡi câu")</f>
        <v>Đấu giá&gt; thể thao, giải trí&gt; cá&gt; lưỡi câu</v>
      </c>
      <c r="G148" s="229" t="str">
        <f t="shared" ca="1" si="4"/>
        <v>"2084203064" : "lưỡi câu",</v>
      </c>
      <c r="H148" s="229" t="str">
        <f t="shared" si="5"/>
        <v>&lt;li class="col-md-3"&gt;&lt;a class="text-cut" href="javascript:;"(click)="categoryEvent(2084203064)"&gt;{{"2084203064" | translate}}&lt;/a&gt;&lt;/li&gt;</v>
      </c>
    </row>
    <row r="149" spans="1:8" ht="14.25" customHeight="1">
      <c r="A149" s="2">
        <v>2084047891</v>
      </c>
      <c r="B149" s="2" t="s">
        <v>6886</v>
      </c>
      <c r="C149" s="2" t="s">
        <v>6887</v>
      </c>
      <c r="D149" s="2" t="s">
        <v>6889</v>
      </c>
      <c r="E149" s="3" t="str">
        <f ca="1">IFERROR(__xludf.DUMMYFUNCTION("GOOGLETRANSLATE(B149,""ja"",""vi"")"),"phao")</f>
        <v>phao</v>
      </c>
      <c r="F149" s="3" t="str">
        <f ca="1">IFERROR(__xludf.DUMMYFUNCTION("GOOGLETRANSLATE(C149,""ja"",""vi"")"),"Đấu giá&gt; thể thao, giải trí&gt; cá&gt; float")</f>
        <v>Đấu giá&gt; thể thao, giải trí&gt; cá&gt; float</v>
      </c>
      <c r="G149" s="229" t="str">
        <f t="shared" ca="1" si="4"/>
        <v>"2084047891" : "phao",</v>
      </c>
      <c r="H149" s="229" t="str">
        <f t="shared" si="5"/>
        <v>&lt;li class="col-md-3"&gt;&lt;a class="text-cut" href="javascript:;"(click)="categoryEvent(2084047891)"&gt;{{"2084047891" | translate}}&lt;/a&gt;&lt;/li&gt;</v>
      </c>
    </row>
    <row r="150" spans="1:8" ht="14.25" customHeight="1">
      <c r="A150" s="2">
        <v>2084302928</v>
      </c>
      <c r="B150" s="2" t="s">
        <v>6890</v>
      </c>
      <c r="C150" s="2" t="s">
        <v>6891</v>
      </c>
      <c r="D150" s="2" t="s">
        <v>6892</v>
      </c>
      <c r="E150" s="3" t="str">
        <f ca="1">IFERROR(__xludf.DUMMYFUNCTION("GOOGLETRANSLATE(B150,""ja"",""vi"")"),"mồi")</f>
        <v>mồi</v>
      </c>
      <c r="F150" s="3" t="str">
        <f ca="1">IFERROR(__xludf.DUMMYFUNCTION("GOOGLETRANSLATE(C150,""ja"",""vi"")"),"Đấu giá&gt; Thể thao, Giải trí&gt; Câu cá&gt; mồi")</f>
        <v>Đấu giá&gt; Thể thao, Giải trí&gt; Câu cá&gt; mồi</v>
      </c>
      <c r="G150" s="229" t="str">
        <f t="shared" ca="1" si="4"/>
        <v>"2084302928" : "mồi",</v>
      </c>
      <c r="H150" s="229" t="str">
        <f t="shared" si="5"/>
        <v>&lt;li class="col-md-3"&gt;&lt;a class="text-cut" href="javascript:;"(click)="categoryEvent(2084302928)"&gt;{{"2084302928" | translate}}&lt;/a&gt;&lt;/li&gt;</v>
      </c>
    </row>
    <row r="151" spans="1:8" ht="14.25" customHeight="1">
      <c r="A151" s="2">
        <v>25184</v>
      </c>
      <c r="B151" s="2" t="s">
        <v>6893</v>
      </c>
      <c r="C151" s="2" t="s">
        <v>6895</v>
      </c>
      <c r="D151" s="2" t="s">
        <v>6896</v>
      </c>
      <c r="E151" s="3" t="str">
        <f ca="1">IFERROR(__xludf.DUMMYFUNCTION("GOOGLETRANSLATE(B151,""ja"",""vi"")"),"nguồn cung cấp Fly")</f>
        <v>nguồn cung cấp Fly</v>
      </c>
      <c r="F151" s="3" t="str">
        <f ca="1">IFERROR(__xludf.DUMMYFUNCTION("GOOGLETRANSLATE(C151,""ja"",""vi"")"),"Đấu giá&gt; thể thao, giải trí&gt; cá&gt; bay cung cấp")</f>
        <v>Đấu giá&gt; thể thao, giải trí&gt; cá&gt; bay cung cấp</v>
      </c>
      <c r="G151" s="229" t="str">
        <f t="shared" ca="1" si="4"/>
        <v>"25184" : "nguồn cung cấp Fly",</v>
      </c>
      <c r="H151" s="229" t="str">
        <f t="shared" si="5"/>
        <v>&lt;li class="col-md-3"&gt;&lt;a class="text-cut" href="javascript:;"(click)="categoryEvent(25184)"&gt;{{"25184" | translate}}&lt;/a&gt;&lt;/li&gt;</v>
      </c>
    </row>
    <row r="152" spans="1:8" ht="14.25" customHeight="1">
      <c r="A152" s="2">
        <v>2084047892</v>
      </c>
      <c r="B152" s="2" t="s">
        <v>6897</v>
      </c>
      <c r="C152" s="2" t="s">
        <v>6898</v>
      </c>
      <c r="D152" s="2" t="s">
        <v>6899</v>
      </c>
      <c r="E152" s="3" t="str">
        <f ca="1">IFERROR(__xludf.DUMMYFUNCTION("GOOGLETRANSLATE(B152,""ja"",""vi"")"),"nguồn cung cấp Ayu")</f>
        <v>nguồn cung cấp Ayu</v>
      </c>
      <c r="F152" s="3" t="str">
        <f ca="1">IFERROR(__xludf.DUMMYFUNCTION("GOOGLETRANSLATE(C152,""ja"",""vi"")"),"Đấu giá&gt; Thể thao, Giải trí&gt; Câu cá&gt; nguồn cung cấp Ayu")</f>
        <v>Đấu giá&gt; Thể thao, Giải trí&gt; Câu cá&gt; nguồn cung cấp Ayu</v>
      </c>
      <c r="G152" s="229" t="str">
        <f t="shared" ca="1" si="4"/>
        <v>"2084047892" : "nguồn cung cấp Ayu",</v>
      </c>
      <c r="H152" s="229" t="str">
        <f t="shared" si="5"/>
        <v>&lt;li class="col-md-3"&gt;&lt;a class="text-cut" href="javascript:;"(click)="categoryEvent(2084047892)"&gt;{{"2084047892" | translate}}&lt;/a&gt;&lt;/li&gt;</v>
      </c>
    </row>
    <row r="153" spans="1:8" ht="14.25" customHeight="1">
      <c r="A153" s="2">
        <v>25194</v>
      </c>
      <c r="B153" s="2" t="s">
        <v>2182</v>
      </c>
      <c r="C153" s="2" t="s">
        <v>6903</v>
      </c>
      <c r="D153" s="2" t="s">
        <v>6905</v>
      </c>
      <c r="E153" s="3" t="str">
        <f ca="1">IFERROR(__xludf.DUMMYFUNCTION("GOOGLETRANSLATE(B153,""ja"",""vi"")"),"phụ kiện")</f>
        <v>phụ kiện</v>
      </c>
      <c r="F153" s="3" t="str">
        <f ca="1">IFERROR(__xludf.DUMMYFUNCTION("GOOGLETRANSLATE(C153,""ja"",""vi"")"),"Đấu giá&gt; Thể thao, Giải trí&gt; Câu cá&gt; Phụ kiện")</f>
        <v>Đấu giá&gt; Thể thao, Giải trí&gt; Câu cá&gt; Phụ kiện</v>
      </c>
      <c r="G153" s="229" t="str">
        <f t="shared" ca="1" si="4"/>
        <v>"25194" : "phụ kiện",</v>
      </c>
      <c r="H153" s="229" t="str">
        <f t="shared" si="5"/>
        <v>&lt;li class="col-md-3"&gt;&lt;a class="text-cut" href="javascript:;"(click)="categoryEvent(25194)"&gt;{{"25194" | translate}}&lt;/a&gt;&lt;/li&gt;</v>
      </c>
    </row>
    <row r="154" spans="1:8" ht="14.25" customHeight="1">
      <c r="A154" s="2">
        <v>2084259313</v>
      </c>
      <c r="B154" s="2" t="s">
        <v>6906</v>
      </c>
      <c r="C154" s="2" t="s">
        <v>6907</v>
      </c>
      <c r="D154" s="2" t="s">
        <v>6908</v>
      </c>
      <c r="E154" s="3" t="str">
        <f ca="1">IFERROR(__xludf.DUMMYFUNCTION("GOOGLETRANSLATE(B154,""ja"",""vi"")"),"que nhận")</f>
        <v>que nhận</v>
      </c>
      <c r="F154" s="3" t="str">
        <f ca="1">IFERROR(__xludf.DUMMYFUNCTION("GOOGLETRANSLATE(C154,""ja"",""vi"")"),"Đấu giá&gt; thể thao, giải trí&gt; cá&gt; que nhận")</f>
        <v>Đấu giá&gt; thể thao, giải trí&gt; cá&gt; que nhận</v>
      </c>
      <c r="G154" s="229" t="str">
        <f t="shared" ca="1" si="4"/>
        <v>"2084259313" : "que nhận",</v>
      </c>
      <c r="H154" s="229" t="str">
        <f t="shared" si="5"/>
        <v>&lt;li class="col-md-3"&gt;&lt;a class="text-cut" href="javascript:;"(click)="categoryEvent(2084259313)"&gt;{{"2084259313" | translate}}&lt;/a&gt;&lt;/li&gt;</v>
      </c>
    </row>
    <row r="155" spans="1:8" ht="14.25" customHeight="1">
      <c r="A155" s="2">
        <v>26214</v>
      </c>
      <c r="B155" s="2" t="s">
        <v>6273</v>
      </c>
      <c r="C155" s="2" t="s">
        <v>6911</v>
      </c>
      <c r="D155" s="2" t="s">
        <v>6913</v>
      </c>
      <c r="E155" s="3" t="str">
        <f ca="1">IFERROR(__xludf.DUMMYFUNCTION("GOOGLETRANSLATE(B155,""ja"",""vi"")"),"Tàu, thuyền")</f>
        <v>Tàu, thuyền</v>
      </c>
      <c r="F155" s="3" t="str">
        <f ca="1">IFERROR(__xludf.DUMMYFUNCTION("GOOGLETRANSLATE(C155,""ja"",""vi"")"),"Đấu giá&gt; Thể thao, Giải trí&gt; Câu cá&gt; tàu, thuyền")</f>
        <v>Đấu giá&gt; Thể thao, Giải trí&gt; Câu cá&gt; tàu, thuyền</v>
      </c>
      <c r="G155" s="229" t="str">
        <f t="shared" ca="1" si="4"/>
        <v>"26214" : "Tàu, thuyền",</v>
      </c>
      <c r="H155" s="229" t="str">
        <f t="shared" si="5"/>
        <v>&lt;li class="col-md-3"&gt;&lt;a class="text-cut" href="javascript:;"(click)="categoryEvent(26214)"&gt;{{"26214" | translate}}&lt;/a&gt;&lt;/li&gt;</v>
      </c>
    </row>
    <row r="156" spans="1:8" ht="14.25" customHeight="1">
      <c r="A156" s="2">
        <v>2084045133</v>
      </c>
      <c r="B156" s="2" t="s">
        <v>6916</v>
      </c>
      <c r="C156" s="2" t="s">
        <v>6918</v>
      </c>
      <c r="D156" s="2" t="s">
        <v>6919</v>
      </c>
      <c r="E156" s="3" t="str">
        <f ca="1">IFERROR(__xludf.DUMMYFUNCTION("GOOGLETRANSLATE(B156,""ja"",""vi"")"),"công cụ tìm cá")</f>
        <v>công cụ tìm cá</v>
      </c>
      <c r="F156" s="3" t="str">
        <f ca="1">IFERROR(__xludf.DUMMYFUNCTION("GOOGLETRANSLATE(C156,""ja"",""vi"")"),"Đấu giá&gt; thể thao, giải trí&gt; cá&gt; công cụ tìm cá")</f>
        <v>Đấu giá&gt; thể thao, giải trí&gt; cá&gt; công cụ tìm cá</v>
      </c>
      <c r="G156" s="229" t="str">
        <f t="shared" ca="1" si="4"/>
        <v>"2084045133" : "công cụ tìm cá",</v>
      </c>
      <c r="H156" s="229" t="str">
        <f t="shared" si="5"/>
        <v>&lt;li class="col-md-3"&gt;&lt;a class="text-cut" href="javascript:;"(click)="categoryEvent(2084045133)"&gt;{{"2084045133" | translate}}&lt;/a&gt;&lt;/li&gt;</v>
      </c>
    </row>
    <row r="157" spans="1:8" ht="14.25" customHeight="1">
      <c r="A157" s="2">
        <v>2084046841</v>
      </c>
      <c r="B157" s="2" t="s">
        <v>386</v>
      </c>
      <c r="C157" s="2" t="s">
        <v>6920</v>
      </c>
      <c r="D157" s="2" t="s">
        <v>6921</v>
      </c>
      <c r="E157" s="3" t="str">
        <f ca="1">IFERROR(__xludf.DUMMYFUNCTION("GOOGLETRANSLATE(B157,""ja"",""vi"")"),"video")</f>
        <v>video</v>
      </c>
      <c r="F157" s="3" t="str">
        <f ca="1">IFERROR(__xludf.DUMMYFUNCTION("GOOGLETRANSLATE(C157,""ja"",""vi"")"),"Đấu giá&gt; Thể thao, Giải trí&gt; Câu cá&gt; Video")</f>
        <v>Đấu giá&gt; Thể thao, Giải trí&gt; Câu cá&gt; Video</v>
      </c>
      <c r="G157" s="229" t="str">
        <f t="shared" ca="1" si="4"/>
        <v>"2084046841" : "video",</v>
      </c>
      <c r="H157" s="229" t="str">
        <f t="shared" si="5"/>
        <v>&lt;li class="col-md-3"&gt;&lt;a class="text-cut" href="javascript:;"(click)="categoryEvent(2084046841)"&gt;{{"2084046841" | translate}}&lt;/a&gt;&lt;/li&gt;</v>
      </c>
    </row>
    <row r="158" spans="1:8" ht="14.25" customHeight="1">
      <c r="A158" s="2">
        <v>2084008870</v>
      </c>
      <c r="B158" s="2" t="s">
        <v>162</v>
      </c>
      <c r="C158" s="2" t="s">
        <v>6927</v>
      </c>
      <c r="D158" s="2" t="s">
        <v>6928</v>
      </c>
      <c r="E158" s="3" t="str">
        <f ca="1">IFERROR(__xludf.DUMMYFUNCTION("GOOGLETRANSLATE(B158,""ja"",""vi"")"),"Sách, tạp chí")</f>
        <v>Sách, tạp chí</v>
      </c>
      <c r="F158" s="3" t="str">
        <f ca="1">IFERROR(__xludf.DUMMYFUNCTION("GOOGLETRANSLATE(C158,""ja"",""vi"")"),"Đấu giá&gt; Thể thao, Giải trí&gt; Câu cá&gt; Sách, tạp chí")</f>
        <v>Đấu giá&gt; Thể thao, Giải trí&gt; Câu cá&gt; Sách, tạp chí</v>
      </c>
      <c r="G158" s="229" t="str">
        <f t="shared" ca="1" si="4"/>
        <v>"2084008870" : "Sách, tạp chí",</v>
      </c>
      <c r="H158" s="229" t="str">
        <f t="shared" si="5"/>
        <v>&lt;li class="col-md-3"&gt;&lt;a class="text-cut" href="javascript:;"(click)="categoryEvent(2084008870)"&gt;{{"2084008870" | translate}}&lt;/a&gt;&lt;/li&gt;</v>
      </c>
    </row>
    <row r="159" spans="1:8" ht="14.25" customHeight="1">
      <c r="A159" s="2">
        <v>2084047681</v>
      </c>
      <c r="B159" s="2" t="s">
        <v>6929</v>
      </c>
      <c r="C159" s="2" t="s">
        <v>6931</v>
      </c>
      <c r="D159" s="2" t="s">
        <v>6933</v>
      </c>
      <c r="E159" s="3" t="str">
        <f ca="1">IFERROR(__xludf.DUMMYFUNCTION("GOOGLETRANSLATE(B159,""ja"",""vi"")"),"người lội thả ngữa")</f>
        <v>người lội thả ngữa</v>
      </c>
      <c r="F159" s="3" t="str">
        <f ca="1">IFERROR(__xludf.DUMMYFUNCTION("GOOGLETRANSLATE(C159,""ja"",""vi"")"),"Đấu giá&gt; Thể thao, Giải trí&gt; Câu cá&gt; floater")</f>
        <v>Đấu giá&gt; Thể thao, Giải trí&gt; Câu cá&gt; floater</v>
      </c>
      <c r="G159" s="229" t="str">
        <f t="shared" ca="1" si="4"/>
        <v>"2084047681" : "người lội thả ngữa",</v>
      </c>
      <c r="H159" s="229" t="str">
        <f t="shared" si="5"/>
        <v>&lt;li class="col-md-3"&gt;&lt;a class="text-cut" href="javascript:;"(click)="categoryEvent(2084047681)"&gt;{{"2084047681" | translate}}&lt;/a&gt;&lt;/li&gt;</v>
      </c>
    </row>
    <row r="160" spans="1:8" ht="14.25" customHeight="1">
      <c r="A160" s="2">
        <v>25196</v>
      </c>
      <c r="B160" s="2" t="s">
        <v>16</v>
      </c>
      <c r="C160" s="2" t="s">
        <v>6936</v>
      </c>
      <c r="D160" s="2" t="s">
        <v>6937</v>
      </c>
      <c r="E160" s="3" t="str">
        <f ca="1">IFERROR(__xludf.DUMMYFUNCTION("GOOGLETRANSLATE(B160,""ja"",""vi"")"),"nếu không thì")</f>
        <v>nếu không thì</v>
      </c>
      <c r="F160" s="3" t="str">
        <f ca="1">IFERROR(__xludf.DUMMYFUNCTION("GOOGLETRANSLATE(C160,""ja"",""vi"")"),"Đấu giá&gt; Thể thao, Giải trí&gt; Câu cá&gt; Khác")</f>
        <v>Đấu giá&gt; Thể thao, Giải trí&gt; Câu cá&gt; Khác</v>
      </c>
      <c r="G160" s="229" t="str">
        <f t="shared" ca="1" si="4"/>
        <v>"25196" : "nếu không thì",</v>
      </c>
      <c r="H160" s="229" t="str">
        <f t="shared" si="5"/>
        <v>&lt;li class="col-md-3"&gt;&lt;a class="text-cut" href="javascript:;"(click)="categoryEvent(25196)"&gt;{{"25196" | translate}}&lt;/a&gt;&lt;/li&gt;</v>
      </c>
    </row>
    <row r="161" spans="1:8" ht="14.25" customHeight="1">
      <c r="E161" s="3"/>
      <c r="F161" s="3"/>
      <c r="G161" s="229"/>
      <c r="H161" s="229"/>
    </row>
    <row r="162" spans="1:8" ht="14.25" customHeight="1">
      <c r="A162" s="241">
        <v>23008</v>
      </c>
      <c r="B162" s="232"/>
      <c r="C162" s="232"/>
      <c r="D162" s="233"/>
      <c r="E162" s="3"/>
      <c r="F162" s="3"/>
      <c r="G162" s="229"/>
      <c r="H162" s="229"/>
    </row>
    <row r="163" spans="1:8" ht="14.25" customHeight="1">
      <c r="A163" s="2">
        <v>2084005276</v>
      </c>
      <c r="B163" s="2" t="s">
        <v>570</v>
      </c>
      <c r="C163" s="2" t="s">
        <v>6175</v>
      </c>
      <c r="D163" s="2" t="s">
        <v>6176</v>
      </c>
      <c r="E163" s="3" t="str">
        <f ca="1">IFERROR(__xludf.DUMMYFUNCTION("GOOGLETRANSLATE(B163,""ja"",""vi"")"),"Đối với nam giới")</f>
        <v>Đối với nam giới</v>
      </c>
      <c r="F163" s="3" t="str">
        <f ca="1">IFERROR(__xludf.DUMMYFUNCTION("GOOGLETRANSLATE(C163,""ja"",""vi"")"),"Đấu giá&gt; thể thao, giải trí&gt; đồ thể thao&gt; dành cho nam giới")</f>
        <v>Đấu giá&gt; thể thao, giải trí&gt; đồ thể thao&gt; dành cho nam giới</v>
      </c>
      <c r="G163" s="229" t="str">
        <f t="shared" ca="1" si="4"/>
        <v>"2084005276" : "Đối với nam giới",</v>
      </c>
      <c r="H163" s="229" t="str">
        <f t="shared" si="5"/>
        <v>&lt;li class="col-md-3"&gt;&lt;a class="text-cut" href="javascript:;"(click)="categoryEvent(2084005276)"&gt;{{"2084005276" | translate}}&lt;/a&gt;&lt;/li&gt;</v>
      </c>
    </row>
    <row r="164" spans="1:8" ht="14.25" customHeight="1">
      <c r="A164" s="2">
        <v>2084006829</v>
      </c>
      <c r="B164" s="2" t="s">
        <v>2266</v>
      </c>
      <c r="C164" s="2" t="s">
        <v>6182</v>
      </c>
      <c r="D164" s="2" t="s">
        <v>6184</v>
      </c>
      <c r="E164" s="3" t="str">
        <f ca="1">IFERROR(__xludf.DUMMYFUNCTION("GOOGLETRANSLATE(B164,""ja"",""vi"")"),"Đối với phụ nữ")</f>
        <v>Đối với phụ nữ</v>
      </c>
      <c r="F164" s="3" t="str">
        <f ca="1">IFERROR(__xludf.DUMMYFUNCTION("GOOGLETRANSLATE(C164,""ja"",""vi"")"),"Đấu giá&gt; thể thao, giải trí&gt; đồ thể thao&gt; cho phụ nữ")</f>
        <v>Đấu giá&gt; thể thao, giải trí&gt; đồ thể thao&gt; cho phụ nữ</v>
      </c>
      <c r="G164" s="229" t="str">
        <f t="shared" ca="1" si="4"/>
        <v>"2084006829" : "Đối với phụ nữ",</v>
      </c>
      <c r="H164" s="229" t="str">
        <f t="shared" si="5"/>
        <v>&lt;li class="col-md-3"&gt;&lt;a class="text-cut" href="javascript:;"(click)="categoryEvent(2084006829)"&gt;{{"2084006829" | translate}}&lt;/a&gt;&lt;/li&gt;</v>
      </c>
    </row>
    <row r="165" spans="1:8" ht="14.25" customHeight="1">
      <c r="A165" s="2">
        <v>2084024291</v>
      </c>
      <c r="B165" s="2" t="s">
        <v>6191</v>
      </c>
      <c r="C165" s="2" t="s">
        <v>6192</v>
      </c>
      <c r="D165" s="2" t="s">
        <v>6193</v>
      </c>
      <c r="E165" s="3" t="str">
        <f ca="1">IFERROR(__xludf.DUMMYFUNCTION("GOOGLETRANSLATE(B165,""ja"",""vi"")"),"unisex")</f>
        <v>unisex</v>
      </c>
      <c r="F165" s="3" t="str">
        <f ca="1">IFERROR(__xludf.DUMMYFUNCTION("GOOGLETRANSLATE(C165,""ja"",""vi"")"),"Đấu giá&gt; thể thao, giải trí&gt; đồ thể thao&gt; Unisex")</f>
        <v>Đấu giá&gt; thể thao, giải trí&gt; đồ thể thao&gt; Unisex</v>
      </c>
      <c r="G165" s="229" t="str">
        <f t="shared" ca="1" si="4"/>
        <v>"2084024291" : "unisex",</v>
      </c>
      <c r="H165" s="229" t="str">
        <f t="shared" si="5"/>
        <v>&lt;li class="col-md-3"&gt;&lt;a class="text-cut" href="javascript:;"(click)="categoryEvent(2084024291)"&gt;{{"2084024291" | translate}}&lt;/a&gt;&lt;/li&gt;</v>
      </c>
    </row>
    <row r="166" spans="1:8" ht="14.25" customHeight="1">
      <c r="A166" s="2">
        <v>2084024292</v>
      </c>
      <c r="B166" s="2" t="s">
        <v>5960</v>
      </c>
      <c r="C166" s="2" t="s">
        <v>6201</v>
      </c>
      <c r="D166" s="2" t="s">
        <v>6203</v>
      </c>
      <c r="E166" s="3" t="str">
        <f ca="1">IFERROR(__xludf.DUMMYFUNCTION("GOOGLETRANSLATE(B166,""ja"",""vi"")"),"Đối với trẻ em")</f>
        <v>Đối với trẻ em</v>
      </c>
      <c r="F166" s="3" t="str">
        <f ca="1">IFERROR(__xludf.DUMMYFUNCTION("GOOGLETRANSLATE(C166,""ja"",""vi"")"),"Đấu giá&gt; thể thao, giải trí&gt; đồ thể thao&gt; cho trẻ em")</f>
        <v>Đấu giá&gt; thể thao, giải trí&gt; đồ thể thao&gt; cho trẻ em</v>
      </c>
      <c r="G166" s="229" t="str">
        <f t="shared" ca="1" si="4"/>
        <v>"2084024292" : "Đối với trẻ em",</v>
      </c>
      <c r="H166" s="229" t="str">
        <f t="shared" si="5"/>
        <v>&lt;li class="col-md-3"&gt;&lt;a class="text-cut" href="javascript:;"(click)="categoryEvent(2084024292)"&gt;{{"2084024292" | translate}}&lt;/a&gt;&lt;/li&gt;</v>
      </c>
    </row>
    <row r="167" spans="1:8" ht="14.25" customHeight="1">
      <c r="A167" s="2">
        <v>25152</v>
      </c>
      <c r="B167" s="2" t="s">
        <v>6207</v>
      </c>
      <c r="C167" s="2" t="s">
        <v>6208</v>
      </c>
      <c r="D167" s="2" t="s">
        <v>6210</v>
      </c>
      <c r="E167" s="3" t="str">
        <f ca="1">IFERROR(__xludf.DUMMYFUNCTION("GOOGLETRANSLATE(B167,""ja"",""vi"")"),"bằng cách thể thao")</f>
        <v>bằng cách thể thao</v>
      </c>
      <c r="F167" s="3" t="str">
        <f ca="1">IFERROR(__xludf.DUMMYFUNCTION("GOOGLETRANSLATE(C167,""ja"",""vi"")"),"Đấu giá&gt; thể thao, giải trí&gt; đồ thể thao&gt; Bằng Sport")</f>
        <v>Đấu giá&gt; thể thao, giải trí&gt; đồ thể thao&gt; Bằng Sport</v>
      </c>
      <c r="G167" s="229" t="str">
        <f t="shared" ca="1" si="4"/>
        <v>"25152" : "bằng cách thể thao",</v>
      </c>
      <c r="H167" s="229" t="str">
        <f t="shared" si="5"/>
        <v>&lt;li class="col-md-3"&gt;&lt;a class="text-cut" href="javascript:;"(click)="categoryEvent(25152)"&gt;{{"25152" | translate}}&lt;/a&gt;&lt;/li&gt;</v>
      </c>
    </row>
    <row r="168" spans="1:8" ht="14.25" customHeight="1">
      <c r="A168" s="2">
        <v>2084214045</v>
      </c>
      <c r="B168" s="2" t="s">
        <v>3182</v>
      </c>
      <c r="C168" s="2" t="s">
        <v>6215</v>
      </c>
      <c r="D168" s="2" t="s">
        <v>6216</v>
      </c>
      <c r="E168" s="3" t="str">
        <f ca="1">IFERROR(__xludf.DUMMYFUNCTION("GOOGLETRANSLATE(B168,""ja"",""vi"")"),"kính mát")</f>
        <v>kính mát</v>
      </c>
      <c r="F168" s="3" t="str">
        <f ca="1">IFERROR(__xludf.DUMMYFUNCTION("GOOGLETRANSLATE(C168,""ja"",""vi"")"),"Đấu giá&gt; thể thao, giải trí&gt; đồ thể thao&gt; kính mát")</f>
        <v>Đấu giá&gt; thể thao, giải trí&gt; đồ thể thao&gt; kính mát</v>
      </c>
      <c r="G168" s="229" t="str">
        <f t="shared" ca="1" si="4"/>
        <v>"2084214045" : "kính mát",</v>
      </c>
      <c r="H168" s="229" t="str">
        <f t="shared" si="5"/>
        <v>&lt;li class="col-md-3"&gt;&lt;a class="text-cut" href="javascript:;"(click)="categoryEvent(2084214045)"&gt;{{"2084214045" | translate}}&lt;/a&gt;&lt;/li&gt;</v>
      </c>
    </row>
    <row r="169" spans="1:8" ht="14.25" customHeight="1">
      <c r="A169" s="2">
        <v>24802</v>
      </c>
      <c r="B169" s="2" t="s">
        <v>3988</v>
      </c>
      <c r="C169" s="2" t="s">
        <v>6220</v>
      </c>
      <c r="D169" s="2" t="s">
        <v>6223</v>
      </c>
      <c r="E169" s="3" t="str">
        <f ca="1">IFERROR(__xludf.DUMMYFUNCTION("GOOGLETRANSLATE(B169,""ja"",""vi"")"),"Mang ngoài trời")</f>
        <v>Mang ngoài trời</v>
      </c>
      <c r="F169" s="3" t="str">
        <f ca="1">IFERROR(__xludf.DUMMYFUNCTION("GOOGLETRANSLATE(C169,""ja"",""vi"")"),"Đấu giá&gt; thể thao, giải trí&gt; đồ thể thao&gt; Mang ngoài trời")</f>
        <v>Đấu giá&gt; thể thao, giải trí&gt; đồ thể thao&gt; Mang ngoài trời</v>
      </c>
      <c r="G169" s="229" t="str">
        <f t="shared" ca="1" si="4"/>
        <v>"24802" : "Mang ngoài trời",</v>
      </c>
      <c r="H169" s="229" t="str">
        <f t="shared" si="5"/>
        <v>&lt;li class="col-md-3"&gt;&lt;a class="text-cut" href="javascript:;"(click)="categoryEvent(24802)"&gt;{{"24802" | translate}}&lt;/a&gt;&lt;/li&gt;</v>
      </c>
    </row>
    <row r="170" spans="1:8" ht="14.25" customHeight="1">
      <c r="A170" s="2">
        <v>2084006766</v>
      </c>
      <c r="B170" s="2" t="s">
        <v>6227</v>
      </c>
      <c r="C170" s="2" t="s">
        <v>6228</v>
      </c>
      <c r="D170" s="2" t="s">
        <v>6229</v>
      </c>
      <c r="E170" s="3" t="str">
        <f ca="1">IFERROR(__xludf.DUMMYFUNCTION("GOOGLETRANSLATE(B170,""ja"",""vi"")"),"tập thể dục mặc")</f>
        <v>tập thể dục mặc</v>
      </c>
      <c r="F170" s="3" t="str">
        <f ca="1">IFERROR(__xludf.DUMMYFUNCTION("GOOGLETRANSLATE(C170,""ja"",""vi"")"),"Đấu giá&gt; thể thao, giải trí&gt; đồ thể thao&gt; mặc tập thể dục")</f>
        <v>Đấu giá&gt; thể thao, giải trí&gt; đồ thể thao&gt; mặc tập thể dục</v>
      </c>
      <c r="G170" s="229" t="str">
        <f t="shared" ca="1" si="4"/>
        <v>"2084006766" : "tập thể dục mặc",</v>
      </c>
      <c r="H170" s="229" t="str">
        <f t="shared" si="5"/>
        <v>&lt;li class="col-md-3"&gt;&lt;a class="text-cut" href="javascript:;"(click)="categoryEvent(2084006766)"&gt;{{"2084006766" | translate}}&lt;/a&gt;&lt;/li&gt;</v>
      </c>
    </row>
    <row r="171" spans="1:8" ht="14.25" customHeight="1">
      <c r="A171" s="2">
        <v>2084051883</v>
      </c>
      <c r="B171" s="2" t="s">
        <v>6232</v>
      </c>
      <c r="C171" s="2" t="s">
        <v>6234</v>
      </c>
      <c r="D171" s="2" t="s">
        <v>6236</v>
      </c>
      <c r="E171" s="3" t="str">
        <f ca="1">IFERROR(__xludf.DUMMYFUNCTION("GOOGLETRANSLATE(B171,""ja"",""vi"")"),"Swimwear")</f>
        <v>Swimwear</v>
      </c>
      <c r="F171" s="3" t="str">
        <f ca="1">IFERROR(__xludf.DUMMYFUNCTION("GOOGLETRANSLATE(C171,""ja"",""vi"")"),"Đấu giá&gt; thể thao, giải trí&gt; đồ thể thao&gt; Swimwear")</f>
        <v>Đấu giá&gt; thể thao, giải trí&gt; đồ thể thao&gt; Swimwear</v>
      </c>
      <c r="G171" s="229" t="str">
        <f t="shared" ca="1" si="4"/>
        <v>"2084051883" : "Swimwear",</v>
      </c>
      <c r="H171" s="229" t="str">
        <f t="shared" si="5"/>
        <v>&lt;li class="col-md-3"&gt;&lt;a class="text-cut" href="javascript:;"(click)="categoryEvent(2084051883)"&gt;{{"2084051883" | translate}}&lt;/a&gt;&lt;/li&gt;</v>
      </c>
    </row>
    <row r="172" spans="1:8" ht="14.25" customHeight="1">
      <c r="E172" s="3"/>
      <c r="F172" s="3"/>
      <c r="G172" s="229"/>
      <c r="H172" s="229"/>
    </row>
    <row r="173" spans="1:8" ht="14.25" customHeight="1">
      <c r="A173" s="238">
        <v>26214</v>
      </c>
      <c r="B173" s="232"/>
      <c r="C173" s="232"/>
      <c r="D173" s="233"/>
      <c r="E173" s="3"/>
      <c r="F173" s="3"/>
      <c r="G173" s="229"/>
      <c r="H173" s="229"/>
    </row>
    <row r="174" spans="1:8" ht="14.25" customHeight="1">
      <c r="A174" s="2">
        <v>26220</v>
      </c>
      <c r="B174" s="2" t="s">
        <v>6972</v>
      </c>
      <c r="C174" s="2" t="s">
        <v>6975</v>
      </c>
      <c r="D174" s="2" t="s">
        <v>6977</v>
      </c>
      <c r="E174" s="3" t="str">
        <f ca="1">IFERROR(__xludf.DUMMYFUNCTION("GOOGLETRANSLATE(B174,""ja"",""vi"")"),"vỏ tàu")</f>
        <v>vỏ tàu</v>
      </c>
      <c r="F174" s="3" t="str">
        <f ca="1">IFERROR(__xludf.DUMMYFUNCTION("GOOGLETRANSLATE(C174,""ja"",""vi"")"),"Đấu giá&gt; thể thao, giải trí&gt; thuyền, thuyền&gt; thân")</f>
        <v>Đấu giá&gt; thể thao, giải trí&gt; thuyền, thuyền&gt; thân</v>
      </c>
      <c r="G174" s="229" t="str">
        <f t="shared" ca="1" si="4"/>
        <v>"26220" : "vỏ tàu",</v>
      </c>
      <c r="H174" s="229" t="str">
        <f t="shared" si="5"/>
        <v>&lt;li class="col-md-3"&gt;&lt;a class="text-cut" href="javascript:;"(click)="categoryEvent(26220)"&gt;{{"26220" | translate}}&lt;/a&gt;&lt;/li&gt;</v>
      </c>
    </row>
    <row r="175" spans="1:8" ht="14.25" customHeight="1">
      <c r="A175" s="2">
        <v>26216</v>
      </c>
      <c r="B175" s="2" t="s">
        <v>2182</v>
      </c>
      <c r="C175" s="2" t="s">
        <v>6981</v>
      </c>
      <c r="D175" s="2" t="s">
        <v>6983</v>
      </c>
      <c r="E175" s="3" t="str">
        <f ca="1">IFERROR(__xludf.DUMMYFUNCTION("GOOGLETRANSLATE(B175,""ja"",""vi"")"),"phụ kiện")</f>
        <v>phụ kiện</v>
      </c>
      <c r="F175" s="3" t="str">
        <f ca="1">IFERROR(__xludf.DUMMYFUNCTION("GOOGLETRANSLATE(C175,""ja"",""vi"")"),"Đấu giá&gt; thể thao, giải trí&gt; thuyền, thuyền&gt; Accessories")</f>
        <v>Đấu giá&gt; thể thao, giải trí&gt; thuyền, thuyền&gt; Accessories</v>
      </c>
      <c r="G175" s="229" t="str">
        <f t="shared" ca="1" si="4"/>
        <v>"26216" : "phụ kiện",</v>
      </c>
      <c r="H175" s="229" t="str">
        <f t="shared" si="5"/>
        <v>&lt;li class="col-md-3"&gt;&lt;a class="text-cut" href="javascript:;"(click)="categoryEvent(26216)"&gt;{{"26216" | translate}}&lt;/a&gt;&lt;/li&gt;</v>
      </c>
    </row>
    <row r="176" spans="1:8" ht="14.25" customHeight="1">
      <c r="A176" s="2">
        <v>2084047899</v>
      </c>
      <c r="B176" s="2" t="s">
        <v>6987</v>
      </c>
      <c r="C176" s="2" t="s">
        <v>6989</v>
      </c>
      <c r="D176" s="2" t="s">
        <v>6991</v>
      </c>
      <c r="E176" s="3" t="str">
        <f ca="1">IFERROR(__xludf.DUMMYFUNCTION("GOOGLETRANSLATE(B176,""ja"",""vi"")"),"Neo, thiết bị neo")</f>
        <v>Neo, thiết bị neo</v>
      </c>
      <c r="F176" s="3" t="str">
        <f ca="1">IFERROR(__xludf.DUMMYFUNCTION("GOOGLETRANSLATE(C176,""ja"",""vi"")"),"Đấu giá&gt; thể thao, giải trí&gt; thuyền, thuyền&gt; neo, thiết bị neo")</f>
        <v>Đấu giá&gt; thể thao, giải trí&gt; thuyền, thuyền&gt; neo, thiết bị neo</v>
      </c>
      <c r="G176" s="229" t="str">
        <f t="shared" ca="1" si="4"/>
        <v>"2084047899" : "Neo, thiết bị neo",</v>
      </c>
      <c r="H176" s="229" t="str">
        <f t="shared" si="5"/>
        <v>&lt;li class="col-md-3"&gt;&lt;a class="text-cut" href="javascript:;"(click)="categoryEvent(2084047899)"&gt;{{"2084047899" | translate}}&lt;/a&gt;&lt;/li&gt;</v>
      </c>
    </row>
    <row r="177" spans="1:8" ht="14.25" customHeight="1">
      <c r="A177" s="2">
        <v>2084047909</v>
      </c>
      <c r="B177" s="2" t="s">
        <v>6818</v>
      </c>
      <c r="C177" s="2" t="s">
        <v>6997</v>
      </c>
      <c r="D177" s="2" t="s">
        <v>6999</v>
      </c>
      <c r="E177" s="3" t="str">
        <f ca="1">IFERROR(__xludf.DUMMYFUNCTION("GOOGLETRANSLATE(B177,""ja"",""vi"")"),"Mang")</f>
        <v>Mang</v>
      </c>
      <c r="F177" s="3" t="str">
        <f ca="1">IFERROR(__xludf.DUMMYFUNCTION("GOOGLETRANSLATE(C177,""ja"",""vi"")"),"Đấu giá&gt; thể thao, giải trí&gt; thuyền, thuyền&gt; Mang")</f>
        <v>Đấu giá&gt; thể thao, giải trí&gt; thuyền, thuyền&gt; Mang</v>
      </c>
      <c r="G177" s="229" t="str">
        <f t="shared" ca="1" si="4"/>
        <v>"2084047909" : "Mang",</v>
      </c>
      <c r="H177" s="229" t="str">
        <f t="shared" si="5"/>
        <v>&lt;li class="col-md-3"&gt;&lt;a class="text-cut" href="javascript:;"(click)="categoryEvent(2084047909)"&gt;{{"2084047909" | translate}}&lt;/a&gt;&lt;/li&gt;</v>
      </c>
    </row>
    <row r="178" spans="1:8" ht="14.25" customHeight="1">
      <c r="A178" s="2">
        <v>2084048306</v>
      </c>
      <c r="B178" s="2" t="s">
        <v>7004</v>
      </c>
      <c r="C178" s="2" t="s">
        <v>7006</v>
      </c>
      <c r="D178" s="2" t="s">
        <v>7008</v>
      </c>
      <c r="E178" s="3" t="str">
        <f ca="1">IFERROR(__xludf.DUMMYFUNCTION("GOOGLETRANSLATE(B178,""ja"",""vi"")"),"động cơ")</f>
        <v>động cơ</v>
      </c>
      <c r="F178" s="3" t="str">
        <f ca="1">IFERROR(__xludf.DUMMYFUNCTION("GOOGLETRANSLATE(C178,""ja"",""vi"")"),"Đấu giá&gt; thể thao, giải trí&gt; thuyền, thuyền&gt; Động cơ")</f>
        <v>Đấu giá&gt; thể thao, giải trí&gt; thuyền, thuyền&gt; Động cơ</v>
      </c>
      <c r="G178" s="229" t="str">
        <f t="shared" ca="1" si="4"/>
        <v>"2084048306" : "động cơ",</v>
      </c>
      <c r="H178" s="229" t="str">
        <f t="shared" si="5"/>
        <v>&lt;li class="col-md-3"&gt;&lt;a class="text-cut" href="javascript:;"(click)="categoryEvent(2084048306)"&gt;{{"2084048306" | translate}}&lt;/a&gt;&lt;/li&gt;</v>
      </c>
    </row>
    <row r="179" spans="1:8" ht="14.25" customHeight="1">
      <c r="A179" s="2">
        <v>2084036425</v>
      </c>
      <c r="B179" s="2" t="s">
        <v>7014</v>
      </c>
      <c r="C179" s="2" t="s">
        <v>7016</v>
      </c>
      <c r="D179" s="2" t="s">
        <v>7018</v>
      </c>
      <c r="E179" s="3" t="str">
        <f ca="1">IFERROR(__xludf.DUMMYFUNCTION("GOOGLETRANSLATE(B179,""ja"",""vi"")"),"Trailer")</f>
        <v>Trailer</v>
      </c>
      <c r="F179" s="3" t="str">
        <f ca="1">IFERROR(__xludf.DUMMYFUNCTION("GOOGLETRANSLATE(C179,""ja"",""vi"")"),"Đấu giá&gt; thể thao, giải trí&gt; thuyền, thuyền&gt; Trailer")</f>
        <v>Đấu giá&gt; thể thao, giải trí&gt; thuyền, thuyền&gt; Trailer</v>
      </c>
      <c r="G179" s="229" t="str">
        <f t="shared" ca="1" si="4"/>
        <v>"2084036425" : "Trailer",</v>
      </c>
      <c r="H179" s="229" t="str">
        <f t="shared" si="5"/>
        <v>&lt;li class="col-md-3"&gt;&lt;a class="text-cut" href="javascript:;"(click)="categoryEvent(2084036425)"&gt;{{"2084036425" | translate}}&lt;/a&gt;&lt;/li&gt;</v>
      </c>
    </row>
    <row r="180" spans="1:8" ht="14.25" customHeight="1">
      <c r="A180" s="2">
        <v>26218</v>
      </c>
      <c r="B180" s="2" t="s">
        <v>3876</v>
      </c>
      <c r="C180" s="2" t="s">
        <v>7021</v>
      </c>
      <c r="D180" s="2" t="s">
        <v>7024</v>
      </c>
      <c r="E180" s="3" t="str">
        <f ca="1">IFERROR(__xludf.DUMMYFUNCTION("GOOGLETRANSLATE(B180,""ja"",""vi"")"),"bộ phận")</f>
        <v>bộ phận</v>
      </c>
      <c r="F180" s="3" t="str">
        <f ca="1">IFERROR(__xludf.DUMMYFUNCTION("GOOGLETRANSLATE(C180,""ja"",""vi"")"),"Đấu giá&gt; thể thao, giải trí&gt; thuyền, thuyền&gt; phụ tùng")</f>
        <v>Đấu giá&gt; thể thao, giải trí&gt; thuyền, thuyền&gt; phụ tùng</v>
      </c>
      <c r="G180" s="229" t="str">
        <f t="shared" ca="1" si="4"/>
        <v>"26218" : "bộ phận",</v>
      </c>
      <c r="H180" s="229" t="str">
        <f t="shared" si="5"/>
        <v>&lt;li class="col-md-3"&gt;&lt;a class="text-cut" href="javascript:;"(click)="categoryEvent(26218)"&gt;{{"26218" | translate}}&lt;/a&gt;&lt;/li&gt;</v>
      </c>
    </row>
    <row r="181" spans="1:8" ht="14.25" customHeight="1">
      <c r="A181" s="2">
        <v>2084047908</v>
      </c>
      <c r="B181" s="2" t="s">
        <v>3941</v>
      </c>
      <c r="C181" s="2" t="s">
        <v>7029</v>
      </c>
      <c r="D181" s="2" t="s">
        <v>7030</v>
      </c>
      <c r="E181" s="3" t="str">
        <f ca="1">IFERROR(__xludf.DUMMYFUNCTION("GOOGLETRANSLATE(B181,""ja"",""vi"")"),"bảo trì")</f>
        <v>bảo trì</v>
      </c>
      <c r="F181" s="3" t="str">
        <f ca="1">IFERROR(__xludf.DUMMYFUNCTION("GOOGLETRANSLATE(C181,""ja"",""vi"")"),"Đấu giá&gt; thể thao, giải trí&gt; thuyền, thuyền&gt; bảo trì")</f>
        <v>Đấu giá&gt; thể thao, giải trí&gt; thuyền, thuyền&gt; bảo trì</v>
      </c>
      <c r="G181" s="229" t="str">
        <f t="shared" ca="1" si="4"/>
        <v>"2084047908" : "bảo trì",</v>
      </c>
      <c r="H181" s="229" t="str">
        <f t="shared" si="5"/>
        <v>&lt;li class="col-md-3"&gt;&lt;a class="text-cut" href="javascript:;"(click)="categoryEvent(2084047908)"&gt;{{"2084047908" | translate}}&lt;/a&gt;&lt;/li&gt;</v>
      </c>
    </row>
    <row r="182" spans="1:8" ht="14.25" customHeight="1">
      <c r="A182" s="2">
        <v>2084047907</v>
      </c>
      <c r="B182" s="2" t="s">
        <v>7032</v>
      </c>
      <c r="C182" s="2" t="s">
        <v>7034</v>
      </c>
      <c r="D182" s="2" t="s">
        <v>7036</v>
      </c>
      <c r="E182" s="3" t="str">
        <f ca="1">IFERROR(__xludf.DUMMYFUNCTION("GOOGLETRANSLATE(B182,""ja"",""vi"")"),"Thiết bị cứu sinh")</f>
        <v>Thiết bị cứu sinh</v>
      </c>
      <c r="F182" s="3" t="str">
        <f ca="1">IFERROR(__xludf.DUMMYFUNCTION("GOOGLETRANSLATE(C182,""ja"",""vi"")"),"Đấu giá&gt; thể thao, giải trí&gt; thuyền, thuyền&gt; thiết bị cứu sinh")</f>
        <v>Đấu giá&gt; thể thao, giải trí&gt; thuyền, thuyền&gt; thiết bị cứu sinh</v>
      </c>
      <c r="G182" s="229" t="str">
        <f t="shared" ca="1" si="4"/>
        <v>"2084047907" : "Thiết bị cứu sinh",</v>
      </c>
      <c r="H182" s="229" t="str">
        <f t="shared" si="5"/>
        <v>&lt;li class="col-md-3"&gt;&lt;a class="text-cut" href="javascript:;"(click)="categoryEvent(2084047907)"&gt;{{"2084047907" | translate}}&lt;/a&gt;&lt;/li&gt;</v>
      </c>
    </row>
    <row r="183" spans="1:8" ht="14.25" customHeight="1">
      <c r="A183" s="2">
        <v>2084045133</v>
      </c>
      <c r="B183" s="2" t="s">
        <v>6916</v>
      </c>
      <c r="C183" s="2" t="s">
        <v>7040</v>
      </c>
      <c r="D183" s="2" t="s">
        <v>7041</v>
      </c>
      <c r="E183" s="3" t="str">
        <f ca="1">IFERROR(__xludf.DUMMYFUNCTION("GOOGLETRANSLATE(B183,""ja"",""vi"")"),"công cụ tìm cá")</f>
        <v>công cụ tìm cá</v>
      </c>
      <c r="F183" s="3" t="str">
        <f ca="1">IFERROR(__xludf.DUMMYFUNCTION("GOOGLETRANSLATE(C183,""ja"",""vi"")"),"Đấu giá&gt; thể thao, giải trí&gt; thuyền, thuyền&gt; công cụ tìm cá")</f>
        <v>Đấu giá&gt; thể thao, giải trí&gt; thuyền, thuyền&gt; công cụ tìm cá</v>
      </c>
      <c r="G183" s="229" t="str">
        <f t="shared" ca="1" si="4"/>
        <v>"2084045133" : "công cụ tìm cá",</v>
      </c>
      <c r="H183" s="229" t="str">
        <f t="shared" si="5"/>
        <v>&lt;li class="col-md-3"&gt;&lt;a class="text-cut" href="javascript:;"(click)="categoryEvent(2084045133)"&gt;{{"2084045133" | translate}}&lt;/a&gt;&lt;/li&gt;</v>
      </c>
    </row>
    <row r="184" spans="1:8" ht="14.25" customHeight="1">
      <c r="A184" s="2">
        <v>2084005447</v>
      </c>
      <c r="B184" s="2" t="s">
        <v>7045</v>
      </c>
      <c r="C184" s="2" t="s">
        <v>7047</v>
      </c>
      <c r="D184" s="2" t="s">
        <v>7048</v>
      </c>
      <c r="E184" s="3" t="str">
        <f ca="1">IFERROR(__xludf.DUMMYFUNCTION("GOOGLETRANSLATE(B184,""ja"",""vi"")"),"xe máy nước")</f>
        <v>xe máy nước</v>
      </c>
      <c r="F184" s="3" t="str">
        <f ca="1">IFERROR(__xludf.DUMMYFUNCTION("GOOGLETRANSLATE(C184,""ja"",""vi"")"),"Đấu giá&gt; thể thao, giải trí&gt; thuyền, thuyền&gt; xe máy nước")</f>
        <v>Đấu giá&gt; thể thao, giải trí&gt; thuyền, thuyền&gt; xe máy nước</v>
      </c>
      <c r="G184" s="229" t="str">
        <f t="shared" ca="1" si="4"/>
        <v>"2084005447" : "xe máy nước",</v>
      </c>
      <c r="H184" s="229" t="str">
        <f t="shared" si="5"/>
        <v>&lt;li class="col-md-3"&gt;&lt;a class="text-cut" href="javascript:;"(click)="categoryEvent(2084005447)"&gt;{{"2084005447" | translate}}&lt;/a&gt;&lt;/li&gt;</v>
      </c>
    </row>
    <row r="185" spans="1:8" ht="14.25" customHeight="1">
      <c r="A185" s="2">
        <v>2084209093</v>
      </c>
      <c r="B185" s="2" t="s">
        <v>7050</v>
      </c>
      <c r="C185" s="2" t="s">
        <v>7052</v>
      </c>
      <c r="D185" s="2" t="s">
        <v>7053</v>
      </c>
      <c r="E185" s="3" t="str">
        <f ca="1">IFERROR(__xludf.DUMMYFUNCTION("GOOGLETRANSLATE(B185,""ja"",""vi"")"),"bình xăng")</f>
        <v>bình xăng</v>
      </c>
      <c r="F185" s="3" t="str">
        <f ca="1">IFERROR(__xludf.DUMMYFUNCTION("GOOGLETRANSLATE(C185,""ja"",""vi"")"),"Đấu giá&gt; thể thao, giải trí&gt; thuyền, thuyền&gt; bình xăng")</f>
        <v>Đấu giá&gt; thể thao, giải trí&gt; thuyền, thuyền&gt; bình xăng</v>
      </c>
      <c r="G185" s="229" t="str">
        <f t="shared" ca="1" si="4"/>
        <v>"2084209093" : "bình xăng",</v>
      </c>
      <c r="H185" s="229" t="str">
        <f t="shared" si="5"/>
        <v>&lt;li class="col-md-3"&gt;&lt;a class="text-cut" href="javascript:;"(click)="categoryEvent(2084209093)"&gt;{{"2084209093" | translate}}&lt;/a&gt;&lt;/li&gt;</v>
      </c>
    </row>
    <row r="186" spans="1:8" ht="14.25" customHeight="1">
      <c r="A186" s="2">
        <v>21104</v>
      </c>
      <c r="B186" s="2" t="s">
        <v>205</v>
      </c>
      <c r="C186" s="2" t="s">
        <v>7056</v>
      </c>
      <c r="D186" s="2" t="s">
        <v>7057</v>
      </c>
      <c r="E186" s="3" t="str">
        <f ca="1">IFERROR(__xludf.DUMMYFUNCTION("GOOGLETRANSLATE(B186,""ja"",""vi"")"),"Antique, bộ sưu tập")</f>
        <v>Antique, bộ sưu tập</v>
      </c>
      <c r="F186" s="3" t="str">
        <f ca="1">IFERROR(__xludf.DUMMYFUNCTION("GOOGLETRANSLATE(C186,""ja"",""vi"")"),"Đấu giá&gt; thể thao, giải trí&gt; thuyền, thuyền&gt; cổ, bộ sưu tập")</f>
        <v>Đấu giá&gt; thể thao, giải trí&gt; thuyền, thuyền&gt; cổ, bộ sưu tập</v>
      </c>
      <c r="G186" s="229" t="str">
        <f t="shared" ca="1" si="4"/>
        <v>"21104" : "Antique, bộ sưu tập",</v>
      </c>
      <c r="H186" s="229" t="str">
        <f t="shared" si="5"/>
        <v>&lt;li class="col-md-3"&gt;&lt;a class="text-cut" href="javascript:;"(click)="categoryEvent(21104)"&gt;{{"21104" | translate}}&lt;/a&gt;&lt;/li&gt;</v>
      </c>
    </row>
    <row r="187" spans="1:8" ht="14.25" customHeight="1">
      <c r="E187" s="3"/>
      <c r="F187" s="3"/>
      <c r="G187" s="229"/>
      <c r="H187" s="229"/>
    </row>
    <row r="188" spans="1:8" ht="14.25" customHeight="1">
      <c r="A188" s="252">
        <v>2084214045</v>
      </c>
      <c r="B188" s="232"/>
      <c r="C188" s="232"/>
      <c r="D188" s="233"/>
      <c r="E188" s="3"/>
      <c r="F188" s="3"/>
      <c r="G188" s="229"/>
      <c r="H188" s="229"/>
    </row>
    <row r="189" spans="1:8" ht="14.25" customHeight="1">
      <c r="A189" s="2">
        <v>2084246695</v>
      </c>
      <c r="B189" s="2" t="s">
        <v>7062</v>
      </c>
      <c r="C189" s="2" t="s">
        <v>7063</v>
      </c>
      <c r="D189" s="2" t="s">
        <v>7065</v>
      </c>
      <c r="E189" s="3" t="str">
        <f ca="1">IFERROR(__xludf.DUMMYFUNCTION("GOOGLETRANSLATE(B189,""ja"",""vi"")"),"OGK")</f>
        <v>OGK</v>
      </c>
      <c r="F189" s="3" t="str">
        <f ca="1">IFERROR(__xludf.DUMMYFUNCTION("GOOGLETRANSLATE(C189,""ja"",""vi"")"),"Đấu giá&gt; thể thao, giải trí&gt; thể thao kính mát&gt; OGK")</f>
        <v>Đấu giá&gt; thể thao, giải trí&gt; thể thao kính mát&gt; OGK</v>
      </c>
      <c r="G189" s="229" t="str">
        <f t="shared" ca="1" si="4"/>
        <v>"2084246695" : "OGK",</v>
      </c>
      <c r="H189" s="229" t="str">
        <f t="shared" si="5"/>
        <v>&lt;li class="col-md-3"&gt;&lt;a class="text-cut" href="javascript:;"(click)="categoryEvent(2084246695)"&gt;{{"2084246695" | translate}}&lt;/a&gt;&lt;/li&gt;</v>
      </c>
    </row>
    <row r="190" spans="1:8" ht="14.25" customHeight="1">
      <c r="A190" s="2">
        <v>2084246694</v>
      </c>
      <c r="B190" s="2" t="s">
        <v>7068</v>
      </c>
      <c r="C190" s="2" t="s">
        <v>7070</v>
      </c>
      <c r="D190" s="2" t="s">
        <v>7072</v>
      </c>
      <c r="E190" s="3" t="str">
        <f ca="1">IFERROR(__xludf.DUMMYFUNCTION("GOOGLETRANSLATE(B190,""ja"",""vi"")"),"zerorh +")</f>
        <v>zerorh +</v>
      </c>
      <c r="F190" s="3" t="str">
        <f ca="1">IFERROR(__xludf.DUMMYFUNCTION("GOOGLETRANSLATE(C190,""ja"",""vi"")"),"Đấu giá&gt; thể thao, giải trí&gt; thể thao kính mát&gt; zerorh +")</f>
        <v>Đấu giá&gt; thể thao, giải trí&gt; thể thao kính mát&gt; zerorh +</v>
      </c>
      <c r="G190" s="229" t="str">
        <f t="shared" ca="1" si="4"/>
        <v>"2084246694" : "zerorh +",</v>
      </c>
      <c r="H190" s="229" t="str">
        <f t="shared" si="5"/>
        <v>&lt;li class="col-md-3"&gt;&lt;a class="text-cut" href="javascript:;"(click)="categoryEvent(2084246694)"&gt;{{"2084246694" | translate}}&lt;/a&gt;&lt;/li&gt;</v>
      </c>
    </row>
    <row r="191" spans="1:8" ht="14.25" customHeight="1">
      <c r="A191" s="2">
        <v>2084214052</v>
      </c>
      <c r="B191" s="2" t="s">
        <v>7075</v>
      </c>
      <c r="C191" s="2" t="s">
        <v>7077</v>
      </c>
      <c r="D191" s="2" t="s">
        <v>7078</v>
      </c>
      <c r="E191" s="3" t="str">
        <f ca="1">IFERROR(__xludf.DUMMYFUNCTION("GOOGLETRANSLATE(B191,""ja"",""vi"")"),"Arnett")</f>
        <v>Arnett</v>
      </c>
      <c r="F191" s="3" t="str">
        <f ca="1">IFERROR(__xludf.DUMMYFUNCTION("GOOGLETRANSLATE(C191,""ja"",""vi"")"),"Đấu giá&gt; thể thao, giải trí&gt; kính mát thể thao&gt; Arnett")</f>
        <v>Đấu giá&gt; thể thao, giải trí&gt; kính mát thể thao&gt; Arnett</v>
      </c>
      <c r="G191" s="229" t="str">
        <f t="shared" ca="1" si="4"/>
        <v>"2084214052" : "Arnett",</v>
      </c>
      <c r="H191" s="229" t="str">
        <f t="shared" si="5"/>
        <v>&lt;li class="col-md-3"&gt;&lt;a class="text-cut" href="javascript:;"(click)="categoryEvent(2084214052)"&gt;{{"2084214052" | translate}}&lt;/a&gt;&lt;/li&gt;</v>
      </c>
    </row>
    <row r="192" spans="1:8" ht="14.25" customHeight="1">
      <c r="A192" s="2">
        <v>2084214050</v>
      </c>
      <c r="B192" s="2" t="s">
        <v>7081</v>
      </c>
      <c r="C192" s="2" t="s">
        <v>7082</v>
      </c>
      <c r="D192" s="2" t="s">
        <v>7083</v>
      </c>
      <c r="E192" s="3" t="str">
        <f ca="1">IFERROR(__xludf.DUMMYFUNCTION("GOOGLETRANSLATE(B192,""ja"",""vi"")"),"rìu")</f>
        <v>rìu</v>
      </c>
      <c r="F192" s="3" t="str">
        <f ca="1">IFERROR(__xludf.DUMMYFUNCTION("GOOGLETRANSLATE(C192,""ja"",""vi"")"),"Đấu giá&gt; thể thao, giải trí&gt; kính mát thể thao&gt; Axe")</f>
        <v>Đấu giá&gt; thể thao, giải trí&gt; kính mát thể thao&gt; Axe</v>
      </c>
      <c r="G192" s="229" t="str">
        <f t="shared" ca="1" si="4"/>
        <v>"2084214050" : "rìu",</v>
      </c>
      <c r="H192" s="229" t="str">
        <f t="shared" si="5"/>
        <v>&lt;li class="col-md-3"&gt;&lt;a class="text-cut" href="javascript:;"(click)="categoryEvent(2084214050)"&gt;{{"2084214050" | translate}}&lt;/a&gt;&lt;/li&gt;</v>
      </c>
    </row>
    <row r="193" spans="1:8" ht="14.25" customHeight="1">
      <c r="A193" s="2">
        <v>2084214047</v>
      </c>
      <c r="B193" s="2" t="s">
        <v>7086</v>
      </c>
      <c r="C193" s="2" t="s">
        <v>7087</v>
      </c>
      <c r="D193" s="2" t="s">
        <v>7088</v>
      </c>
      <c r="E193" s="3" t="str">
        <f ca="1">IFERROR(__xludf.DUMMYFUNCTION("GOOGLETRANSLATE(B193,""ja"",""vi"")"),"Adidas")</f>
        <v>Adidas</v>
      </c>
      <c r="F193" s="3" t="str">
        <f ca="1">IFERROR(__xludf.DUMMYFUNCTION("GOOGLETRANSLATE(C193,""ja"",""vi"")"),"Đấu giá&gt; thể thao, giải trí&gt; kính mát thể thao&gt; Adidas")</f>
        <v>Đấu giá&gt; thể thao, giải trí&gt; kính mát thể thao&gt; Adidas</v>
      </c>
      <c r="G193" s="229" t="str">
        <f t="shared" ca="1" si="4"/>
        <v>"2084214047" : "Adidas",</v>
      </c>
      <c r="H193" s="229" t="str">
        <f t="shared" si="5"/>
        <v>&lt;li class="col-md-3"&gt;&lt;a class="text-cut" href="javascript:;"(click)="categoryEvent(2084214047)"&gt;{{"2084214047" | translate}}&lt;/a&gt;&lt;/li&gt;</v>
      </c>
    </row>
    <row r="194" spans="1:8" ht="14.25" customHeight="1">
      <c r="A194" s="2">
        <v>2084214334</v>
      </c>
      <c r="B194" s="2" t="s">
        <v>7091</v>
      </c>
      <c r="C194" s="2" t="s">
        <v>7092</v>
      </c>
      <c r="D194" s="2" t="s">
        <v>7093</v>
      </c>
      <c r="E194" s="3" t="str">
        <f ca="1">IFERROR(__xludf.DUMMYFUNCTION("GOOGLETRANSLATE(B194,""ja"",""vi"")"),"Oakley")</f>
        <v>Oakley</v>
      </c>
      <c r="F194" s="3" t="str">
        <f ca="1">IFERROR(__xludf.DUMMYFUNCTION("GOOGLETRANSLATE(C194,""ja"",""vi"")"),"Đấu giá&gt; thể thao, giải trí&gt; kính mát thể thao&gt; Oakley")</f>
        <v>Đấu giá&gt; thể thao, giải trí&gt; kính mát thể thao&gt; Oakley</v>
      </c>
      <c r="G194" s="229" t="str">
        <f t="shared" ca="1" si="4"/>
        <v>"2084214334" : "Oakley",</v>
      </c>
      <c r="H194" s="229" t="str">
        <f t="shared" si="5"/>
        <v>&lt;li class="col-md-3"&gt;&lt;a class="text-cut" href="javascript:;"(click)="categoryEvent(2084214334)"&gt;{{"2084214334" | translate}}&lt;/a&gt;&lt;/li&gt;</v>
      </c>
    </row>
    <row r="195" spans="1:8" ht="14.25" customHeight="1">
      <c r="A195" s="2">
        <v>2084214053</v>
      </c>
      <c r="B195" s="2" t="s">
        <v>7094</v>
      </c>
      <c r="C195" s="2" t="s">
        <v>7096</v>
      </c>
      <c r="D195" s="2" t="s">
        <v>7097</v>
      </c>
      <c r="E195" s="3" t="str">
        <f ca="1">IFERROR(__xludf.DUMMYFUNCTION("GOOGLETRANSLATE(B195,""ja"",""vi"")"),"Coleman")</f>
        <v>Coleman</v>
      </c>
      <c r="F195" s="3" t="str">
        <f ca="1">IFERROR(__xludf.DUMMYFUNCTION("GOOGLETRANSLATE(C195,""ja"",""vi"")"),"Đấu giá&gt; thể thao, giải trí&gt; kính mát thể thao&gt; Coleman")</f>
        <v>Đấu giá&gt; thể thao, giải trí&gt; kính mát thể thao&gt; Coleman</v>
      </c>
      <c r="G195" s="229" t="str">
        <f t="shared" ref="G195:G258" ca="1" si="6">CONCATENATE(CHAR(34)&amp;"",A195,""&amp;CHAR(34)," : ", CHAR(34)&amp;"",E195,""&amp;CHAR(34),",")</f>
        <v>"2084214053" : "Coleman",</v>
      </c>
      <c r="H195" s="229" t="str">
        <f t="shared" ref="H195:H258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href="javascript:;"(click)="categoryEvent(2084214053)"&gt;{{"2084214053" | translate}}&lt;/a&gt;&lt;/li&gt;</v>
      </c>
    </row>
    <row r="196" spans="1:8" ht="14.25" customHeight="1">
      <c r="A196" s="2">
        <v>2084214051</v>
      </c>
      <c r="B196" s="2" t="s">
        <v>7099</v>
      </c>
      <c r="C196" s="2" t="s">
        <v>7100</v>
      </c>
      <c r="D196" s="2" t="s">
        <v>7101</v>
      </c>
      <c r="E196" s="3" t="str">
        <f ca="1">IFERROR(__xludf.DUMMYFUNCTION("GOOGLETRANSLATE(B196,""ja"",""vi"")"),"Spy")</f>
        <v>Spy</v>
      </c>
      <c r="F196" s="3" t="str">
        <f ca="1">IFERROR(__xludf.DUMMYFUNCTION("GOOGLETRANSLATE(C196,""ja"",""vi"")"),"Đấu giá&gt; thể thao, giải trí&gt; kính mát thể thao&gt; gián điệp")</f>
        <v>Đấu giá&gt; thể thao, giải trí&gt; kính mát thể thao&gt; gián điệp</v>
      </c>
      <c r="G196" s="229" t="str">
        <f t="shared" ca="1" si="6"/>
        <v>"2084214051" : "Spy",</v>
      </c>
      <c r="H196" s="229" t="str">
        <f t="shared" si="7"/>
        <v>&lt;li class="col-md-3"&gt;&lt;a class="text-cut" href="javascript:;"(click)="categoryEvent(2084214051)"&gt;{{"2084214051" | translate}}&lt;/a&gt;&lt;/li&gt;</v>
      </c>
    </row>
    <row r="197" spans="1:8" ht="14.25" customHeight="1">
      <c r="A197" s="2">
        <v>2084246696</v>
      </c>
      <c r="B197" s="2" t="s">
        <v>7102</v>
      </c>
      <c r="C197" s="2" t="s">
        <v>7103</v>
      </c>
      <c r="D197" s="2" t="s">
        <v>7104</v>
      </c>
      <c r="E197" s="3" t="str">
        <f ca="1">IFERROR(__xludf.DUMMYFUNCTION("GOOGLETRANSLATE(B197,""ja"",""vi"")"),"Spalding")</f>
        <v>Spalding</v>
      </c>
      <c r="F197" s="3" t="str">
        <f ca="1">IFERROR(__xludf.DUMMYFUNCTION("GOOGLETRANSLATE(C197,""ja"",""vi"")"),"Đấu giá&gt; thể thao, giải trí&gt; thể thao kính mát&gt; Spalding")</f>
        <v>Đấu giá&gt; thể thao, giải trí&gt; thể thao kính mát&gt; Spalding</v>
      </c>
      <c r="G197" s="229" t="str">
        <f t="shared" ca="1" si="6"/>
        <v>"2084246696" : "Spalding",</v>
      </c>
      <c r="H197" s="229" t="str">
        <f t="shared" si="7"/>
        <v>&lt;li class="col-md-3"&gt;&lt;a class="text-cut" href="javascript:;"(click)="categoryEvent(2084246696)"&gt;{{"2084246696" | translate}}&lt;/a&gt;&lt;/li&gt;</v>
      </c>
    </row>
    <row r="198" spans="1:8" ht="14.25" customHeight="1">
      <c r="A198" s="2">
        <v>2084214054</v>
      </c>
      <c r="B198" s="2" t="s">
        <v>7107</v>
      </c>
      <c r="C198" s="2" t="s">
        <v>7108</v>
      </c>
      <c r="D198" s="2" t="s">
        <v>7109</v>
      </c>
      <c r="E198" s="3" t="str">
        <f ca="1">IFERROR(__xludf.DUMMYFUNCTION("GOOGLETRANSLATE(B198,""ja"",""vi"")"),"thiên nga")</f>
        <v>thiên nga</v>
      </c>
      <c r="F198" s="3" t="str">
        <f ca="1">IFERROR(__xludf.DUMMYFUNCTION("GOOGLETRANSLATE(C198,""ja"",""vi"")"),"Đấu giá&gt; thể thao, giải trí&gt; kính mát thể thao&gt; Thiên nga")</f>
        <v>Đấu giá&gt; thể thao, giải trí&gt; kính mát thể thao&gt; Thiên nga</v>
      </c>
      <c r="G198" s="229" t="str">
        <f t="shared" ca="1" si="6"/>
        <v>"2084214054" : "thiên nga",</v>
      </c>
      <c r="H198" s="229" t="str">
        <f t="shared" si="7"/>
        <v>&lt;li class="col-md-3"&gt;&lt;a class="text-cut" href="javascript:;"(click)="categoryEvent(2084214054)"&gt;{{"2084214054" | translate}}&lt;/a&gt;&lt;/li&gt;</v>
      </c>
    </row>
    <row r="199" spans="1:8" ht="14.25" customHeight="1">
      <c r="A199" s="2">
        <v>2084214046</v>
      </c>
      <c r="B199" s="2" t="s">
        <v>7110</v>
      </c>
      <c r="C199" s="2" t="s">
        <v>7111</v>
      </c>
      <c r="D199" s="2" t="s">
        <v>7112</v>
      </c>
      <c r="E199" s="3" t="str">
        <f ca="1">IFERROR(__xludf.DUMMYFUNCTION("GOOGLETRANSLATE(B199,""ja"",""vi"")"),"Nike")</f>
        <v>Nike</v>
      </c>
      <c r="F199" s="3" t="str">
        <f ca="1">IFERROR(__xludf.DUMMYFUNCTION("GOOGLETRANSLATE(C199,""ja"",""vi"")"),"Đấu giá&gt; thể thao, giải trí&gt; kính mát thể thao&gt; Nike")</f>
        <v>Đấu giá&gt; thể thao, giải trí&gt; kính mát thể thao&gt; Nike</v>
      </c>
      <c r="G199" s="229" t="str">
        <f t="shared" ca="1" si="6"/>
        <v>"2084214046" : "Nike",</v>
      </c>
      <c r="H199" s="229" t="str">
        <f t="shared" si="7"/>
        <v>&lt;li class="col-md-3"&gt;&lt;a class="text-cut" href="javascript:;"(click)="categoryEvent(2084214046)"&gt;{{"2084214046" | translate}}&lt;/a&gt;&lt;/li&gt;</v>
      </c>
    </row>
    <row r="200" spans="1:8" ht="14.25" customHeight="1">
      <c r="A200" s="2">
        <v>2084214055</v>
      </c>
      <c r="B200" s="2" t="s">
        <v>7115</v>
      </c>
      <c r="C200" s="2" t="s">
        <v>7116</v>
      </c>
      <c r="D200" s="2" t="s">
        <v>7117</v>
      </c>
      <c r="E200" s="3" t="str">
        <f ca="1">IFERROR(__xludf.DUMMYFUNCTION("GOOGLETRANSLATE(B200,""ja"",""vi"")"),"đen bay")</f>
        <v>đen bay</v>
      </c>
      <c r="F200" s="3" t="str">
        <f ca="1">IFERROR(__xludf.DUMMYFUNCTION("GOOGLETRANSLATE(C200,""ja"",""vi"")"),"Đấu giá&gt; thể thao, giải trí&gt; kính mát thể thao&gt; Đen Fly")</f>
        <v>Đấu giá&gt; thể thao, giải trí&gt; kính mát thể thao&gt; Đen Fly</v>
      </c>
      <c r="G200" s="229" t="str">
        <f t="shared" ca="1" si="6"/>
        <v>"2084214055" : "đen bay",</v>
      </c>
      <c r="H200" s="229" t="str">
        <f t="shared" si="7"/>
        <v>&lt;li class="col-md-3"&gt;&lt;a class="text-cut" href="javascript:;"(click)="categoryEvent(2084214055)"&gt;{{"2084214055" | translate}}&lt;/a&gt;&lt;/li&gt;</v>
      </c>
    </row>
    <row r="201" spans="1:8" ht="14.25" customHeight="1">
      <c r="A201" s="2">
        <v>2084214049</v>
      </c>
      <c r="B201" s="2" t="s">
        <v>7119</v>
      </c>
      <c r="C201" s="2" t="s">
        <v>7121</v>
      </c>
      <c r="D201" s="2" t="s">
        <v>7122</v>
      </c>
      <c r="E201" s="3" t="str">
        <f ca="1">IFERROR(__xludf.DUMMYFUNCTION("GOOGLETRANSLATE(B201,""ja"",""vi"")"),"Brico")</f>
        <v>Brico</v>
      </c>
      <c r="F201" s="3" t="str">
        <f ca="1">IFERROR(__xludf.DUMMYFUNCTION("GOOGLETRANSLATE(C201,""ja"",""vi"")"),"Đấu giá&gt; thể thao, giải trí&gt; kính mát thể thao&gt; Brico")</f>
        <v>Đấu giá&gt; thể thao, giải trí&gt; kính mát thể thao&gt; Brico</v>
      </c>
      <c r="G201" s="229" t="str">
        <f t="shared" ca="1" si="6"/>
        <v>"2084214049" : "Brico",</v>
      </c>
      <c r="H201" s="229" t="str">
        <f t="shared" si="7"/>
        <v>&lt;li class="col-md-3"&gt;&lt;a class="text-cut" href="javascript:;"(click)="categoryEvent(2084214049)"&gt;{{"2084214049" | translate}}&lt;/a&gt;&lt;/li&gt;</v>
      </c>
    </row>
    <row r="202" spans="1:8" ht="14.25" customHeight="1">
      <c r="A202" s="2">
        <v>2084214057</v>
      </c>
      <c r="B202" s="2" t="s">
        <v>7123</v>
      </c>
      <c r="C202" s="2" t="s">
        <v>7124</v>
      </c>
      <c r="D202" s="2" t="s">
        <v>7126</v>
      </c>
      <c r="E202" s="3" t="str">
        <f ca="1">IFERROR(__xludf.DUMMYFUNCTION("GOOGLETRANSLATE(B202,""ja"",""vi"")"),"dự án Rudy")</f>
        <v>dự án Rudy</v>
      </c>
      <c r="F202" s="3" t="str">
        <f ca="1">IFERROR(__xludf.DUMMYFUNCTION("GOOGLETRANSLATE(C202,""ja"",""vi"")"),"Đấu giá&gt; thể thao, giải trí&gt; kính mát thể thao&gt; Dự án Rudy")</f>
        <v>Đấu giá&gt; thể thao, giải trí&gt; kính mát thể thao&gt; Dự án Rudy</v>
      </c>
      <c r="G202" s="229" t="str">
        <f t="shared" ca="1" si="6"/>
        <v>"2084214057" : "dự án Rudy",</v>
      </c>
      <c r="H202" s="229" t="str">
        <f t="shared" si="7"/>
        <v>&lt;li class="col-md-3"&gt;&lt;a class="text-cut" href="javascript:;"(click)="categoryEvent(2084214057)"&gt;{{"2084214057" | translate}}&lt;/a&gt;&lt;/li&gt;</v>
      </c>
    </row>
    <row r="203" spans="1:8" ht="14.25" customHeight="1">
      <c r="A203" s="2">
        <v>2084214048</v>
      </c>
      <c r="B203" s="2" t="s">
        <v>7128</v>
      </c>
      <c r="C203" s="2" t="s">
        <v>7129</v>
      </c>
      <c r="D203" s="2" t="s">
        <v>7130</v>
      </c>
      <c r="E203" s="3" t="str">
        <f ca="1">IFERROR(__xludf.DUMMYFUNCTION("GOOGLETRANSLATE(B203,""ja"",""vi"")"),"Ray-Ban")</f>
        <v>Ray-Ban</v>
      </c>
      <c r="F203" s="3" t="str">
        <f ca="1">IFERROR(__xludf.DUMMYFUNCTION("GOOGLETRANSLATE(C203,""ja"",""vi"")"),"Đấu giá&gt; thể thao, giải trí&gt; thể thao kính mát&gt; Ray-Ban")</f>
        <v>Đấu giá&gt; thể thao, giải trí&gt; thể thao kính mát&gt; Ray-Ban</v>
      </c>
      <c r="G203" s="229" t="str">
        <f t="shared" ca="1" si="6"/>
        <v>"2084214048" : "Ray-Ban",</v>
      </c>
      <c r="H203" s="229" t="str">
        <f t="shared" si="7"/>
        <v>&lt;li class="col-md-3"&gt;&lt;a class="text-cut" href="javascript:;"(click)="categoryEvent(2084214048)"&gt;{{"2084214048" | translate}}&lt;/a&gt;&lt;/li&gt;</v>
      </c>
    </row>
    <row r="204" spans="1:8" ht="14.25" customHeight="1">
      <c r="A204" s="2">
        <v>2084214056</v>
      </c>
      <c r="B204" s="2" t="s">
        <v>16</v>
      </c>
      <c r="C204" s="2" t="s">
        <v>7133</v>
      </c>
      <c r="D204" s="2" t="s">
        <v>7134</v>
      </c>
      <c r="E204" s="3" t="str">
        <f ca="1">IFERROR(__xludf.DUMMYFUNCTION("GOOGLETRANSLATE(B204,""ja"",""vi"")"),"nếu không thì")</f>
        <v>nếu không thì</v>
      </c>
      <c r="F204" s="3" t="str">
        <f ca="1">IFERROR(__xludf.DUMMYFUNCTION("GOOGLETRANSLATE(C204,""ja"",""vi"")"),"Đấu giá&gt; thể thao, giải trí&gt; kính mát thể thao&gt; Khác")</f>
        <v>Đấu giá&gt; thể thao, giải trí&gt; kính mát thể thao&gt; Khác</v>
      </c>
      <c r="G204" s="229" t="str">
        <f t="shared" ca="1" si="6"/>
        <v>"2084214056" : "nếu không thì",</v>
      </c>
      <c r="H204" s="229" t="str">
        <f t="shared" si="7"/>
        <v>&lt;li class="col-md-3"&gt;&lt;a class="text-cut" href="javascript:;"(click)="categoryEvent(2084214056)"&gt;{{"2084214056" | translate}}&lt;/a&gt;&lt;/li&gt;</v>
      </c>
    </row>
    <row r="205" spans="1:8" ht="14.25" customHeight="1">
      <c r="E205" s="3"/>
      <c r="F205" s="3"/>
      <c r="G205" s="229"/>
      <c r="H205" s="229"/>
    </row>
    <row r="206" spans="1:8" ht="14.25" customHeight="1">
      <c r="A206" s="261">
        <v>2084042420</v>
      </c>
      <c r="B206" s="232"/>
      <c r="C206" s="232"/>
      <c r="D206" s="233"/>
      <c r="E206" s="3"/>
      <c r="F206" s="3"/>
      <c r="G206" s="229"/>
      <c r="H206" s="229"/>
    </row>
    <row r="207" spans="1:8" ht="14.25" customHeight="1">
      <c r="A207" s="2">
        <v>2084042423</v>
      </c>
      <c r="B207" s="2" t="s">
        <v>7137</v>
      </c>
      <c r="C207" s="2" t="s">
        <v>7138</v>
      </c>
      <c r="D207" s="2" t="s">
        <v>7139</v>
      </c>
      <c r="E207" s="3" t="str">
        <f ca="1">IFERROR(__xludf.DUMMYFUNCTION("GOOGLETRANSLATE(B207,""ja"",""vi"")"),"Phao, thiết bị tuyển nổi")</f>
        <v>Phao, thiết bị tuyển nổi</v>
      </c>
      <c r="F207" s="3" t="str">
        <f ca="1">IFERROR(__xludf.DUMMYFUNCTION("GOOGLETRANSLATE(C207,""ja"",""vi"")"),"Đấu giá&gt; đồ chơi, trò chơi&gt; chơi trong nước&gt; phao, thiết bị tuyển nổi")</f>
        <v>Đấu giá&gt; đồ chơi, trò chơi&gt; chơi trong nước&gt; phao, thiết bị tuyển nổi</v>
      </c>
      <c r="G207" s="229" t="str">
        <f t="shared" ca="1" si="6"/>
        <v>"2084042423" : "Phao, thiết bị tuyển nổi",</v>
      </c>
      <c r="H207" s="229" t="str">
        <f t="shared" si="7"/>
        <v>&lt;li class="col-md-3"&gt;&lt;a class="text-cut" href="javascript:;"(click)="categoryEvent(2084042423)"&gt;{{"2084042423" | translate}}&lt;/a&gt;&lt;/li&gt;</v>
      </c>
    </row>
    <row r="208" spans="1:8" ht="14.25" customHeight="1">
      <c r="A208" s="2">
        <v>2084044885</v>
      </c>
      <c r="B208" s="2" t="s">
        <v>6774</v>
      </c>
      <c r="C208" s="2" t="s">
        <v>7142</v>
      </c>
      <c r="D208" s="2" t="s">
        <v>7143</v>
      </c>
      <c r="E208" s="3" t="str">
        <f ca="1">IFERROR(__xludf.DUMMYFUNCTION("GOOGLETRANSLATE(B208,""ja"",""vi"")"),"xuồng ba lá cao su")</f>
        <v>xuồng ba lá cao su</v>
      </c>
      <c r="F208" s="3" t="str">
        <f ca="1">IFERROR(__xludf.DUMMYFUNCTION("GOOGLETRANSLATE(C208,""ja"",""vi"")"),"Đấu giá&gt; đồ chơi, trò chơi&gt; chơi trong nước&gt; xuồng ba lá cao su")</f>
        <v>Đấu giá&gt; đồ chơi, trò chơi&gt; chơi trong nước&gt; xuồng ba lá cao su</v>
      </c>
      <c r="G208" s="229" t="str">
        <f t="shared" ca="1" si="6"/>
        <v>"2084044885" : "xuồng ba lá cao su",</v>
      </c>
      <c r="H208" s="229" t="str">
        <f t="shared" si="7"/>
        <v>&lt;li class="col-md-3"&gt;&lt;a class="text-cut" href="javascript:;"(click)="categoryEvent(2084044885)"&gt;{{"2084044885" | translate}}&lt;/a&gt;&lt;/li&gt;</v>
      </c>
    </row>
    <row r="209" spans="1:8" ht="14.25" customHeight="1">
      <c r="A209" s="2">
        <v>2084208878</v>
      </c>
      <c r="B209" s="2" t="s">
        <v>7146</v>
      </c>
      <c r="C209" s="2" t="s">
        <v>7147</v>
      </c>
      <c r="D209" s="2" t="s">
        <v>7148</v>
      </c>
      <c r="E209" s="3" t="str">
        <f ca="1">IFERROR(__xludf.DUMMYFUNCTION("GOOGLETRANSLATE(B209,""ja"",""vi"")"),"bãi biển ô")</f>
        <v>bãi biển ô</v>
      </c>
      <c r="F209" s="3" t="str">
        <f ca="1">IFERROR(__xludf.DUMMYFUNCTION("GOOGLETRANSLATE(C209,""ja"",""vi"")"),"Đấu giá&gt; đồ chơi, trò chơi&gt; chơi trong nước&gt; ô bãi biển")</f>
        <v>Đấu giá&gt; đồ chơi, trò chơi&gt; chơi trong nước&gt; ô bãi biển</v>
      </c>
      <c r="G209" s="229" t="str">
        <f t="shared" ca="1" si="6"/>
        <v>"2084208878" : "bãi biển ô",</v>
      </c>
      <c r="H209" s="229" t="str">
        <f t="shared" si="7"/>
        <v>&lt;li class="col-md-3"&gt;&lt;a class="text-cut" href="javascript:;"(click)="categoryEvent(2084208878)"&gt;{{"2084208878" | translate}}&lt;/a&gt;&lt;/li&gt;</v>
      </c>
    </row>
    <row r="210" spans="1:8" ht="14.25" customHeight="1">
      <c r="A210" s="2">
        <v>2084042424</v>
      </c>
      <c r="B210" s="2" t="s">
        <v>7151</v>
      </c>
      <c r="C210" s="2" t="s">
        <v>7152</v>
      </c>
      <c r="D210" s="2" t="s">
        <v>7153</v>
      </c>
      <c r="E210" s="3" t="str">
        <f ca="1">IFERROR(__xludf.DUMMYFUNCTION("GOOGLETRANSLATE(B210,""ja"",""vi"")"),"bãi biển bóng")</f>
        <v>bãi biển bóng</v>
      </c>
      <c r="F210" s="3" t="str">
        <f ca="1">IFERROR(__xludf.DUMMYFUNCTION("GOOGLETRANSLATE(C210,""ja"",""vi"")"),"Đấu giá&gt; đồ chơi, trò chơi&gt; chơi trong nước&gt; bóng bãi biển")</f>
        <v>Đấu giá&gt; đồ chơi, trò chơi&gt; chơi trong nước&gt; bóng bãi biển</v>
      </c>
      <c r="G210" s="229" t="str">
        <f t="shared" ca="1" si="6"/>
        <v>"2084042424" : "bãi biển bóng",</v>
      </c>
      <c r="H210" s="229" t="str">
        <f t="shared" si="7"/>
        <v>&lt;li class="col-md-3"&gt;&lt;a class="text-cut" href="javascript:;"(click)="categoryEvent(2084042424)"&gt;{{"2084042424" | translate}}&lt;/a&gt;&lt;/li&gt;</v>
      </c>
    </row>
    <row r="211" spans="1:8" ht="14.25" customHeight="1">
      <c r="A211" s="2">
        <v>2084042422</v>
      </c>
      <c r="B211" s="2" t="s">
        <v>6734</v>
      </c>
      <c r="C211" s="2" t="s">
        <v>7156</v>
      </c>
      <c r="D211" s="2" t="s">
        <v>7157</v>
      </c>
      <c r="E211" s="3" t="str">
        <f ca="1">IFERROR(__xludf.DUMMYFUNCTION("GOOGLETRANSLATE(B211,""ja"",""vi"")"),"giải trí tấm")</f>
        <v>giải trí tấm</v>
      </c>
      <c r="F211" s="3" t="str">
        <f ca="1">IFERROR(__xludf.DUMMYFUNCTION("GOOGLETRANSLATE(C211,""ja"",""vi"")"),"Đấu giá&gt; đồ chơi, trò chơi&gt; chơi trong nước&gt; ghế giải trí")</f>
        <v>Đấu giá&gt; đồ chơi, trò chơi&gt; chơi trong nước&gt; ghế giải trí</v>
      </c>
      <c r="G211" s="229" t="str">
        <f t="shared" ca="1" si="6"/>
        <v>"2084042422" : "giải trí tấm",</v>
      </c>
      <c r="H211" s="229" t="str">
        <f t="shared" si="7"/>
        <v>&lt;li class="col-md-3"&gt;&lt;a class="text-cut" href="javascript:;"(click)="categoryEvent(2084042422)"&gt;{{"2084042422" | translate}}&lt;/a&gt;&lt;/li&gt;</v>
      </c>
    </row>
    <row r="212" spans="1:8" ht="14.25" customHeight="1">
      <c r="A212" s="2">
        <v>2084042421</v>
      </c>
      <c r="B212" s="2" t="s">
        <v>7160</v>
      </c>
      <c r="C212" s="2" t="s">
        <v>7161</v>
      </c>
      <c r="D212" s="2" t="s">
        <v>7162</v>
      </c>
      <c r="E212" s="3" t="str">
        <f ca="1">IFERROR(__xludf.DUMMYFUNCTION("GOOGLETRANSLATE(B212,""ja"",""vi"")"),"hồ bơi gia đình")</f>
        <v>hồ bơi gia đình</v>
      </c>
      <c r="F212" s="3" t="str">
        <f ca="1">IFERROR(__xludf.DUMMYFUNCTION("GOOGLETRANSLATE(C212,""ja"",""vi"")"),"Đấu giá&gt; đồ chơi, trò chơi&gt; chơi trong nước&gt; hồ bơi nhà")</f>
        <v>Đấu giá&gt; đồ chơi, trò chơi&gt; chơi trong nước&gt; hồ bơi nhà</v>
      </c>
      <c r="G212" s="229" t="str">
        <f t="shared" ca="1" si="6"/>
        <v>"2084042421" : "hồ bơi gia đình",</v>
      </c>
      <c r="H212" s="229" t="str">
        <f t="shared" si="7"/>
        <v>&lt;li class="col-md-3"&gt;&lt;a class="text-cut" href="javascript:;"(click)="categoryEvent(2084042421)"&gt;{{"2084042421" | translate}}&lt;/a&gt;&lt;/li&gt;</v>
      </c>
    </row>
    <row r="213" spans="1:8" ht="14.25" customHeight="1">
      <c r="A213" s="2">
        <v>2084042425</v>
      </c>
      <c r="B213" s="2" t="s">
        <v>7165</v>
      </c>
      <c r="C213" s="2" t="s">
        <v>7166</v>
      </c>
      <c r="D213" s="2" t="s">
        <v>7167</v>
      </c>
      <c r="E213" s="3" t="str">
        <f ca="1">IFERROR(__xludf.DUMMYFUNCTION("GOOGLETRANSLATE(B213,""ja"",""vi"")"),"súng nước")</f>
        <v>súng nước</v>
      </c>
      <c r="F213" s="3" t="str">
        <f ca="1">IFERROR(__xludf.DUMMYFUNCTION("GOOGLETRANSLATE(C213,""ja"",""vi"")"),"Đấu giá&gt; đồ chơi, trò chơi&gt; chơi trong nước&gt; súng nước")</f>
        <v>Đấu giá&gt; đồ chơi, trò chơi&gt; chơi trong nước&gt; súng nước</v>
      </c>
      <c r="G213" s="229" t="str">
        <f t="shared" ca="1" si="6"/>
        <v>"2084042425" : "súng nước",</v>
      </c>
      <c r="H213" s="229" t="str">
        <f t="shared" si="7"/>
        <v>&lt;li class="col-md-3"&gt;&lt;a class="text-cut" href="javascript:;"(click)="categoryEvent(2084042425)"&gt;{{"2084042425" | translate}}&lt;/a&gt;&lt;/li&gt;</v>
      </c>
    </row>
    <row r="214" spans="1:8" ht="14.25" customHeight="1">
      <c r="A214" s="2">
        <v>2084042176</v>
      </c>
      <c r="B214" s="2" t="s">
        <v>7172</v>
      </c>
      <c r="C214" s="2" t="s">
        <v>7174</v>
      </c>
      <c r="D214" s="2" t="s">
        <v>7175</v>
      </c>
      <c r="E214" s="3" t="str">
        <f ca="1">IFERROR(__xludf.DUMMYFUNCTION("GOOGLETRANSLATE(B214,""ja"",""vi"")"),"Pool Voucher")</f>
        <v>Pool Voucher</v>
      </c>
      <c r="F214" s="3" t="str">
        <f ca="1">IFERROR(__xludf.DUMMYFUNCTION("GOOGLETRANSLATE(C214,""ja"",""vi"")"),"Đấu giá&gt; Đồ chơi, trò chơi&gt; lội&gt; Chứng từ hồ bơi")</f>
        <v>Đấu giá&gt; Đồ chơi, trò chơi&gt; lội&gt; Chứng từ hồ bơi</v>
      </c>
      <c r="G214" s="229" t="str">
        <f t="shared" ca="1" si="6"/>
        <v>"2084042176" : "Pool Voucher",</v>
      </c>
      <c r="H214" s="229" t="str">
        <f t="shared" si="7"/>
        <v>&lt;li class="col-md-3"&gt;&lt;a class="text-cut" href="javascript:;"(click)="categoryEvent(2084042176)"&gt;{{"2084042176" | translate}}&lt;/a&gt;&lt;/li&gt;</v>
      </c>
    </row>
    <row r="215" spans="1:8" ht="14.25" customHeight="1">
      <c r="E215" s="3"/>
      <c r="F215" s="3"/>
      <c r="G215" s="229"/>
      <c r="H215" s="229"/>
    </row>
    <row r="216" spans="1:8" ht="14.25" customHeight="1">
      <c r="A216" s="253">
        <v>2084062737</v>
      </c>
      <c r="B216" s="232"/>
      <c r="C216" s="232"/>
      <c r="D216" s="233"/>
      <c r="E216" s="3"/>
      <c r="F216" s="3"/>
      <c r="G216" s="229"/>
      <c r="H216" s="229"/>
    </row>
    <row r="217" spans="1:8" ht="14.25" customHeight="1">
      <c r="A217" s="2">
        <v>2084062739</v>
      </c>
      <c r="B217" s="2" t="s">
        <v>7183</v>
      </c>
      <c r="C217" s="2" t="s">
        <v>7185</v>
      </c>
      <c r="D217" s="2" t="s">
        <v>7187</v>
      </c>
      <c r="E217" s="3" t="str">
        <f ca="1">IFERROR(__xludf.DUMMYFUNCTION("GOOGLETRANSLATE(B217,""ja"",""vi"")"),"sức chịu đựng")</f>
        <v>sức chịu đựng</v>
      </c>
      <c r="F217" s="3" t="str">
        <f ca="1">IFERROR(__xludf.DUMMYFUNCTION("GOOGLETRANSLATE(C217,""ja"",""vi"")"),"Đấu giá&gt; thể thao, giải trí&gt; bổ sung&gt; sức chịu đựng")</f>
        <v>Đấu giá&gt; thể thao, giải trí&gt; bổ sung&gt; sức chịu đựng</v>
      </c>
      <c r="G217" s="229" t="str">
        <f t="shared" ca="1" si="6"/>
        <v>"2084062739" : "sức chịu đựng",</v>
      </c>
      <c r="H217" s="229" t="str">
        <f t="shared" si="7"/>
        <v>&lt;li class="col-md-3"&gt;&lt;a class="text-cut" href="javascript:;"(click)="categoryEvent(2084062739)"&gt;{{"2084062739" | translate}}&lt;/a&gt;&lt;/li&gt;</v>
      </c>
    </row>
    <row r="218" spans="1:8" ht="14.25" customHeight="1">
      <c r="A218" s="2">
        <v>2084062738</v>
      </c>
      <c r="B218" s="2" t="s">
        <v>7190</v>
      </c>
      <c r="C218" s="2" t="s">
        <v>7191</v>
      </c>
      <c r="D218" s="2" t="s">
        <v>7193</v>
      </c>
      <c r="E218" s="3" t="str">
        <f ca="1">IFERROR(__xludf.DUMMYFUNCTION("GOOGLETRANSLATE(B218,""ja"",""vi"")"),"hệ thống tức thời")</f>
        <v>hệ thống tức thời</v>
      </c>
      <c r="F218" s="3" t="str">
        <f ca="1">IFERROR(__xludf.DUMMYFUNCTION("GOOGLETRANSLATE(C218,""ja"",""vi"")"),"Đấu giá&gt; thể thao, giải trí&gt; bổ sung&gt; hệ thống tức thời")</f>
        <v>Đấu giá&gt; thể thao, giải trí&gt; bổ sung&gt; hệ thống tức thời</v>
      </c>
      <c r="G218" s="229" t="str">
        <f t="shared" ca="1" si="6"/>
        <v>"2084062738" : "hệ thống tức thời",</v>
      </c>
      <c r="H218" s="229" t="str">
        <f t="shared" si="7"/>
        <v>&lt;li class="col-md-3"&gt;&lt;a class="text-cut" href="javascript:;"(click)="categoryEvent(2084062738)"&gt;{{"2084062738" | translate}}&lt;/a&gt;&lt;/li&gt;</v>
      </c>
    </row>
    <row r="219" spans="1:8" ht="14.25" customHeight="1">
      <c r="E219" s="3"/>
      <c r="F219" s="3"/>
      <c r="G219" s="229"/>
      <c r="H219" s="229"/>
    </row>
    <row r="220" spans="1:8" ht="14.25" customHeight="1">
      <c r="A220" s="264">
        <v>2084042464</v>
      </c>
      <c r="B220" s="232"/>
      <c r="C220" s="232"/>
      <c r="D220" s="233"/>
      <c r="E220" s="3"/>
      <c r="F220" s="3"/>
      <c r="G220" s="229"/>
      <c r="H220" s="229"/>
    </row>
    <row r="221" spans="1:8" ht="14.25" customHeight="1">
      <c r="A221" s="2">
        <v>2084062636</v>
      </c>
      <c r="B221" s="2" t="s">
        <v>1203</v>
      </c>
      <c r="C221" s="2" t="s">
        <v>7206</v>
      </c>
      <c r="D221" s="2" t="s">
        <v>7207</v>
      </c>
      <c r="E221" s="3" t="str">
        <f ca="1">IFERROR(__xludf.DUMMYFUNCTION("GOOGLETRANSLATE(B221,""ja"",""vi"")"),"Đặt phòng khách sạn")</f>
        <v>Đặt phòng khách sạn</v>
      </c>
      <c r="F221" s="3" t="str">
        <f ca="1">IFERROR(__xludf.DUMMYFUNCTION("GOOGLETRANSLATE(C221,""ja"",""vi"")"),"Đấu giá&gt; thể thao, giải trí&gt; Du lịch&gt; đặt phòng nơi ăn nghỉ")</f>
        <v>Đấu giá&gt; thể thao, giải trí&gt; Du lịch&gt; đặt phòng nơi ăn nghỉ</v>
      </c>
      <c r="G221" s="229" t="str">
        <f t="shared" ca="1" si="6"/>
        <v>"2084062636" : "Đặt phòng khách sạn",</v>
      </c>
      <c r="H221" s="229" t="str">
        <f t="shared" si="7"/>
        <v>&lt;li class="col-md-3"&gt;&lt;a class="text-cut" href="javascript:;"(click)="categoryEvent(2084062636)"&gt;{{"2084062636" | translate}}&lt;/a&gt;&lt;/li&gt;</v>
      </c>
    </row>
    <row r="222" spans="1:8" ht="14.25" customHeight="1">
      <c r="A222" s="2">
        <v>2084008297</v>
      </c>
      <c r="B222" s="2" t="s">
        <v>2290</v>
      </c>
      <c r="C222" s="2" t="s">
        <v>7213</v>
      </c>
      <c r="D222" s="2" t="s">
        <v>7214</v>
      </c>
      <c r="E222" s="3" t="str">
        <f ca="1">IFERROR(__xludf.DUMMYFUNCTION("GOOGLETRANSLATE(B222,""ja"",""vi"")"),"Vali, thân cây")</f>
        <v>Vali, thân cây</v>
      </c>
      <c r="F222" s="3" t="str">
        <f ca="1">IFERROR(__xludf.DUMMYFUNCTION("GOOGLETRANSLATE(C222,""ja"",""vi"")"),"Đấu giá&gt; thể thao, giải trí&gt; Du lịch&gt; va li, thân cây")</f>
        <v>Đấu giá&gt; thể thao, giải trí&gt; Du lịch&gt; va li, thân cây</v>
      </c>
      <c r="G222" s="229" t="str">
        <f t="shared" ca="1" si="6"/>
        <v>"2084008297" : "Vali, thân cây",</v>
      </c>
      <c r="H222" s="229" t="str">
        <f t="shared" si="7"/>
        <v>&lt;li class="col-md-3"&gt;&lt;a class="text-cut" href="javascript:;"(click)="categoryEvent(2084008297)"&gt;{{"2084008297" | translate}}&lt;/a&gt;&lt;/li&gt;</v>
      </c>
    </row>
    <row r="223" spans="1:8" ht="14.25" customHeight="1">
      <c r="A223" s="2">
        <v>2084042469</v>
      </c>
      <c r="B223" s="2" t="s">
        <v>7217</v>
      </c>
      <c r="C223" s="2" t="s">
        <v>7218</v>
      </c>
      <c r="D223" s="2" t="s">
        <v>7220</v>
      </c>
      <c r="E223" s="3" t="str">
        <f ca="1">IFERROR(__xludf.DUMMYFUNCTION("GOOGLETRANSLATE(B223,""ja"",""vi"")"),"phần mềm")</f>
        <v>phần mềm</v>
      </c>
      <c r="F223" s="3" t="str">
        <f ca="1">IFERROR(__xludf.DUMMYFUNCTION("GOOGLETRANSLATE(C223,""ja"",""vi"")"),"Đấu giá&gt; thể thao, giải trí&gt; Du lịch&gt; Phần mềm")</f>
        <v>Đấu giá&gt; thể thao, giải trí&gt; Du lịch&gt; Phần mềm</v>
      </c>
      <c r="G223" s="229" t="str">
        <f t="shared" ca="1" si="6"/>
        <v>"2084042469" : "phần mềm",</v>
      </c>
      <c r="H223" s="229" t="str">
        <f t="shared" si="7"/>
        <v>&lt;li class="col-md-3"&gt;&lt;a class="text-cut" href="javascript:;"(click)="categoryEvent(2084042469)"&gt;{{"2084042469" | translate}}&lt;/a&gt;&lt;/li&gt;</v>
      </c>
    </row>
    <row r="224" spans="1:8" ht="14.25" customHeight="1">
      <c r="A224" s="2">
        <v>2084044348</v>
      </c>
      <c r="B224" s="2" t="s">
        <v>7225</v>
      </c>
      <c r="C224" s="2" t="s">
        <v>7227</v>
      </c>
      <c r="D224" s="2" t="s">
        <v>7230</v>
      </c>
      <c r="E224" s="3" t="str">
        <f ca="1">IFERROR(__xludf.DUMMYFUNCTION("GOOGLETRANSLATE(B224,""ja"",""vi"")"),"Vé, chứng từ")</f>
        <v>Vé, chứng từ</v>
      </c>
      <c r="F224" s="3" t="str">
        <f ca="1">IFERROR(__xludf.DUMMYFUNCTION("GOOGLETRANSLATE(C224,""ja"",""vi"")"),"Đấu giá&gt; thể thao, giải trí&gt; Du lịch&gt; vé, chứng từ")</f>
        <v>Đấu giá&gt; thể thao, giải trí&gt; Du lịch&gt; vé, chứng từ</v>
      </c>
      <c r="G224" s="229" t="str">
        <f t="shared" ca="1" si="6"/>
        <v>"2084044348" : "Vé, chứng từ",</v>
      </c>
      <c r="H224" s="229" t="str">
        <f t="shared" si="7"/>
        <v>&lt;li class="col-md-3"&gt;&lt;a class="text-cut" href="javascript:;"(click)="categoryEvent(2084044348)"&gt;{{"2084044348" | translate}}&lt;/a&gt;&lt;/li&gt;</v>
      </c>
    </row>
    <row r="225" spans="1:8" ht="14.25" customHeight="1">
      <c r="A225" s="2">
        <v>2084259454</v>
      </c>
      <c r="B225" s="2" t="s">
        <v>6835</v>
      </c>
      <c r="C225" s="2" t="s">
        <v>7236</v>
      </c>
      <c r="D225" s="2" t="s">
        <v>7239</v>
      </c>
      <c r="E225" s="3" t="str">
        <f ca="1">IFERROR(__xludf.DUMMYFUNCTION("GOOGLETRANSLATE(B225,""ja"",""vi"")"),"Handy GPS")</f>
        <v>Handy GPS</v>
      </c>
      <c r="F225" s="3" t="str">
        <f ca="1">IFERROR(__xludf.DUMMYFUNCTION("GOOGLETRANSLATE(C225,""ja"",""vi"")"),"Đấu giá&gt; thể thao, giải trí&gt; Du lịch&gt; Handy GPS")</f>
        <v>Đấu giá&gt; thể thao, giải trí&gt; Du lịch&gt; Handy GPS</v>
      </c>
      <c r="G225" s="229" t="str">
        <f t="shared" ca="1" si="6"/>
        <v>"2084259454" : "Handy GPS",</v>
      </c>
      <c r="H225" s="229" t="str">
        <f t="shared" si="7"/>
        <v>&lt;li class="col-md-3"&gt;&lt;a class="text-cut" href="javascript:;"(click)="categoryEvent(2084259454)"&gt;{{"2084259454" | translate}}&lt;/a&gt;&lt;/li&gt;</v>
      </c>
    </row>
    <row r="226" spans="1:8" ht="14.25" customHeight="1">
      <c r="A226" s="2">
        <v>2084046995</v>
      </c>
      <c r="B226" s="2" t="s">
        <v>386</v>
      </c>
      <c r="C226" s="2" t="s">
        <v>7242</v>
      </c>
      <c r="D226" s="2" t="s">
        <v>7243</v>
      </c>
      <c r="E226" s="3" t="str">
        <f ca="1">IFERROR(__xludf.DUMMYFUNCTION("GOOGLETRANSLATE(B226,""ja"",""vi"")"),"video")</f>
        <v>video</v>
      </c>
      <c r="F226" s="3" t="str">
        <f ca="1">IFERROR(__xludf.DUMMYFUNCTION("GOOGLETRANSLATE(C226,""ja"",""vi"")"),"Đấu giá&gt; thể thao, giải trí&gt; Du lịch&gt; Video")</f>
        <v>Đấu giá&gt; thể thao, giải trí&gt; Du lịch&gt; Video</v>
      </c>
      <c r="G226" s="229" t="str">
        <f t="shared" ca="1" si="6"/>
        <v>"2084046995" : "video",</v>
      </c>
      <c r="H226" s="229" t="str">
        <f t="shared" si="7"/>
        <v>&lt;li class="col-md-3"&gt;&lt;a class="text-cut" href="javascript:;"(click)="categoryEvent(2084046995)"&gt;{{"2084046995" | translate}}&lt;/a&gt;&lt;/li&gt;</v>
      </c>
    </row>
    <row r="227" spans="1:8" ht="14.25" customHeight="1">
      <c r="A227" s="2">
        <v>2084042468</v>
      </c>
      <c r="B227" s="2" t="s">
        <v>162</v>
      </c>
      <c r="C227" s="2" t="s">
        <v>7246</v>
      </c>
      <c r="D227" s="2" t="s">
        <v>7247</v>
      </c>
      <c r="E227" s="3" t="str">
        <f ca="1">IFERROR(__xludf.DUMMYFUNCTION("GOOGLETRANSLATE(B227,""ja"",""vi"")"),"Sách, tạp chí")</f>
        <v>Sách, tạp chí</v>
      </c>
      <c r="F227" s="3" t="str">
        <f ca="1">IFERROR(__xludf.DUMMYFUNCTION("GOOGLETRANSLATE(C227,""ja"",""vi"")"),"Đấu giá&gt; thể thao, giải trí&gt; Du lịch&gt; Sách, tạp chí")</f>
        <v>Đấu giá&gt; thể thao, giải trí&gt; Du lịch&gt; Sách, tạp chí</v>
      </c>
      <c r="G227" s="229" t="str">
        <f t="shared" ca="1" si="6"/>
        <v>"2084042468" : "Sách, tạp chí",</v>
      </c>
      <c r="H227" s="229" t="str">
        <f t="shared" si="7"/>
        <v>&lt;li class="col-md-3"&gt;&lt;a class="text-cut" href="javascript:;"(click)="categoryEvent(2084042468)"&gt;{{"2084042468" | translate}}&lt;/a&gt;&lt;/li&gt;</v>
      </c>
    </row>
    <row r="228" spans="1:8" ht="14.25" customHeight="1">
      <c r="A228" s="2">
        <v>2084047924</v>
      </c>
      <c r="B228" s="2" t="s">
        <v>7252</v>
      </c>
      <c r="C228" s="2" t="s">
        <v>7253</v>
      </c>
      <c r="D228" s="2" t="s">
        <v>7254</v>
      </c>
      <c r="E228" s="3" t="str">
        <f ca="1">IFERROR(__xludf.DUMMYFUNCTION("GOOGLETRANSLATE(B228,""ja"",""vi"")"),"Phụ kiện cho du lịch")</f>
        <v>Phụ kiện cho du lịch</v>
      </c>
      <c r="F228" s="3" t="str">
        <f ca="1">IFERROR(__xludf.DUMMYFUNCTION("GOOGLETRANSLATE(C228,""ja"",""vi"")"),"Đấu giá&gt; thể thao, giải trí&gt; Du lịch&gt; phụ kiện dành cho du lịch")</f>
        <v>Đấu giá&gt; thể thao, giải trí&gt; Du lịch&gt; phụ kiện dành cho du lịch</v>
      </c>
      <c r="G228" s="229" t="str">
        <f t="shared" ca="1" si="6"/>
        <v>"2084047924" : "Phụ kiện cho du lịch",</v>
      </c>
      <c r="H228" s="229" t="str">
        <f t="shared" si="7"/>
        <v>&lt;li class="col-md-3"&gt;&lt;a class="text-cut" href="javascript:;"(click)="categoryEvent(2084047924)"&gt;{{"2084047924" | translate}}&lt;/a&gt;&lt;/li&gt;</v>
      </c>
    </row>
    <row r="229" spans="1:8" ht="14.25" customHeight="1">
      <c r="E229" s="3"/>
      <c r="F229" s="3"/>
      <c r="G229" s="229"/>
      <c r="H229" s="229"/>
    </row>
    <row r="230" spans="1:8" ht="14.25" customHeight="1">
      <c r="A230" s="254">
        <v>25430</v>
      </c>
      <c r="B230" s="232"/>
      <c r="C230" s="232"/>
      <c r="D230" s="233"/>
      <c r="E230" s="3"/>
      <c r="F230" s="3"/>
      <c r="G230" s="229"/>
      <c r="H230" s="229"/>
    </row>
    <row r="231" spans="1:8" ht="14.25" customHeight="1">
      <c r="A231" s="2">
        <v>25448</v>
      </c>
      <c r="B231" s="2" t="s">
        <v>6379</v>
      </c>
      <c r="C231" s="2" t="s">
        <v>7262</v>
      </c>
      <c r="D231" s="2" t="s">
        <v>7264</v>
      </c>
      <c r="E231" s="3" t="str">
        <f ca="1">IFERROR(__xludf.DUMMYFUNCTION("GOOGLETRANSLATE(B231,""ja"",""vi"")"),"bóng đá Mỹ")</f>
        <v>bóng đá Mỹ</v>
      </c>
      <c r="F231" s="3" t="str">
        <f ca="1">IFERROR(__xludf.DUMMYFUNCTION("GOOGLETRANSLATE(C231,""ja"",""vi"")"),"Đấu giá&gt; vé, chứng từ, đặt phòng khách sạn&gt; vé vui chơi giải trí&gt; Thể thao&gt; bóng đá Mỹ")</f>
        <v>Đấu giá&gt; vé, chứng từ, đặt phòng khách sạn&gt; vé vui chơi giải trí&gt; Thể thao&gt; bóng đá Mỹ</v>
      </c>
      <c r="G231" s="229" t="str">
        <f t="shared" ca="1" si="6"/>
        <v>"25448" : "bóng đá Mỹ",</v>
      </c>
      <c r="H231" s="229" t="str">
        <f t="shared" si="7"/>
        <v>&lt;li class="col-md-3"&gt;&lt;a class="text-cut" href="javascript:;"(click)="categoryEvent(25448)"&gt;{{"25448" | translate}}&lt;/a&gt;&lt;/li&gt;</v>
      </c>
    </row>
    <row r="232" spans="1:8" ht="14.25" customHeight="1">
      <c r="A232" s="2">
        <v>25450</v>
      </c>
      <c r="B232" s="2" t="s">
        <v>6399</v>
      </c>
      <c r="C232" s="2" t="s">
        <v>7267</v>
      </c>
      <c r="D232" s="2" t="s">
        <v>7268</v>
      </c>
      <c r="E232" s="3" t="str">
        <f ca="1">IFERROR(__xludf.DUMMYFUNCTION("GOOGLETRANSLATE(B232,""ja"",""vi"")"),"golf")</f>
        <v>golf</v>
      </c>
      <c r="F232" s="3" t="str">
        <f ca="1">IFERROR(__xludf.DUMMYFUNCTION("GOOGLETRANSLATE(C232,""ja"",""vi"")"),"Đấu giá&gt; vé, chứng từ, đặt phòng khách sạn&gt; vé vui chơi giải trí&gt; Thể thao&gt; golf")</f>
        <v>Đấu giá&gt; vé, chứng từ, đặt phòng khách sạn&gt; vé vui chơi giải trí&gt; Thể thao&gt; golf</v>
      </c>
      <c r="G232" s="229" t="str">
        <f t="shared" ca="1" si="6"/>
        <v>"25450" : "golf",</v>
      </c>
      <c r="H232" s="229" t="str">
        <f t="shared" si="7"/>
        <v>&lt;li class="col-md-3"&gt;&lt;a class="text-cut" href="javascript:;"(click)="categoryEvent(25450)"&gt;{{"25450" | translate}}&lt;/a&gt;&lt;/li&gt;</v>
      </c>
    </row>
    <row r="233" spans="1:8" ht="14.25" customHeight="1">
      <c r="A233" s="2">
        <v>25456</v>
      </c>
      <c r="B233" s="2" t="s">
        <v>6095</v>
      </c>
      <c r="C233" s="2" t="s">
        <v>7271</v>
      </c>
      <c r="D233" s="2" t="s">
        <v>7273</v>
      </c>
      <c r="E233" s="3" t="str">
        <f ca="1">IFERROR(__xludf.DUMMYFUNCTION("GOOGLETRANSLATE(B233,""ja"",""vi"")"),"bóng đá")</f>
        <v>bóng đá</v>
      </c>
      <c r="F233" s="3" t="str">
        <f ca="1">IFERROR(__xludf.DUMMYFUNCTION("GOOGLETRANSLATE(C233,""ja"",""vi"")"),"Đấu giá&gt; vé, chứng từ, đặt phòng khách sạn&gt; vé vui chơi giải trí&gt; Thể thao&gt; Bóng đá")</f>
        <v>Đấu giá&gt; vé, chứng từ, đặt phòng khách sạn&gt; vé vui chơi giải trí&gt; Thể thao&gt; Bóng đá</v>
      </c>
      <c r="G233" s="229" t="str">
        <f t="shared" ca="1" si="6"/>
        <v>"25456" : "bóng đá",</v>
      </c>
      <c r="H233" s="229" t="str">
        <f t="shared" si="7"/>
        <v>&lt;li class="col-md-3"&gt;&lt;a class="text-cut" href="javascript:;"(click)="categoryEvent(25456)"&gt;{{"25456" | translate}}&lt;/a&gt;&lt;/li&gt;</v>
      </c>
    </row>
    <row r="234" spans="1:8" ht="14.25" customHeight="1">
      <c r="A234" s="2">
        <v>2084045757</v>
      </c>
      <c r="B234" s="2" t="s">
        <v>6468</v>
      </c>
      <c r="C234" s="2" t="s">
        <v>7277</v>
      </c>
      <c r="D234" s="2" t="s">
        <v>7278</v>
      </c>
      <c r="E234" s="3" t="str">
        <f ca="1">IFERROR(__xludf.DUMMYFUNCTION("GOOGLETRANSLATE(B234,""ja"",""vi"")"),"softball")</f>
        <v>softball</v>
      </c>
      <c r="F234" s="3" t="str">
        <f ca="1">IFERROR(__xludf.DUMMYFUNCTION("GOOGLETRANSLATE(C234,""ja"",""vi"")"),"Đấu giá&gt; vé, chứng từ, đặt phòng khách sạn&gt; vé vui chơi giải trí&gt; Thể thao&gt; Môn bóng mềm")</f>
        <v>Đấu giá&gt; vé, chứng từ, đặt phòng khách sạn&gt; vé vui chơi giải trí&gt; Thể thao&gt; Môn bóng mềm</v>
      </c>
      <c r="G234" s="229" t="str">
        <f t="shared" ca="1" si="6"/>
        <v>"2084045757" : "softball",</v>
      </c>
      <c r="H234" s="229" t="str">
        <f t="shared" si="7"/>
        <v>&lt;li class="col-md-3"&gt;&lt;a class="text-cut" href="javascript:;"(click)="categoryEvent(2084045757)"&gt;{{"2084045757" | translate}}&lt;/a&gt;&lt;/li&gt;</v>
      </c>
    </row>
    <row r="235" spans="1:8" ht="14.25" customHeight="1">
      <c r="A235" s="2">
        <v>2084230533</v>
      </c>
      <c r="B235" s="2" t="s">
        <v>6518</v>
      </c>
      <c r="C235" s="2" t="s">
        <v>7283</v>
      </c>
      <c r="D235" s="2" t="s">
        <v>7284</v>
      </c>
      <c r="E235" s="3" t="str">
        <f ca="1">IFERROR(__xludf.DUMMYFUNCTION("GOOGLETRANSLATE(B235,""ja"",""vi"")"),"quần vợt")</f>
        <v>quần vợt</v>
      </c>
      <c r="F235" s="3" t="str">
        <f ca="1">IFERROR(__xludf.DUMMYFUNCTION("GOOGLETRANSLATE(C235,""ja"",""vi"")"),"Đấu giá&gt; vé, chứng từ, đặt phòng khách sạn&gt; vé vui chơi giải trí&gt; Thể thao&gt; Tennis")</f>
        <v>Đấu giá&gt; vé, chứng từ, đặt phòng khách sạn&gt; vé vui chơi giải trí&gt; Thể thao&gt; Tennis</v>
      </c>
      <c r="G235" s="229" t="str">
        <f t="shared" ca="1" si="6"/>
        <v>"2084230533" : "quần vợt",</v>
      </c>
      <c r="H235" s="229" t="str">
        <f t="shared" si="7"/>
        <v>&lt;li class="col-md-3"&gt;&lt;a class="text-cut" href="javascript:;"(click)="categoryEvent(2084230533)"&gt;{{"2084230533" | translate}}&lt;/a&gt;&lt;/li&gt;</v>
      </c>
    </row>
    <row r="236" spans="1:8" ht="14.25" customHeight="1">
      <c r="A236" s="2">
        <v>25442</v>
      </c>
      <c r="B236" s="2" t="s">
        <v>6100</v>
      </c>
      <c r="C236" s="2" t="s">
        <v>7287</v>
      </c>
      <c r="D236" s="2" t="s">
        <v>7288</v>
      </c>
      <c r="E236" s="3" t="str">
        <f ca="1">IFERROR(__xludf.DUMMYFUNCTION("GOOGLETRANSLATE(B236,""ja"",""vi"")"),"Bóng rổ")</f>
        <v>Bóng rổ</v>
      </c>
      <c r="F236" s="3" t="str">
        <f ca="1">IFERROR(__xludf.DUMMYFUNCTION("GOOGLETRANSLATE(C236,""ja"",""vi"")"),"Đấu giá&gt; vé, chứng từ, đặt phòng khách sạn&gt; vé vui chơi giải trí&gt; Thể thao&gt; Bóng rổ")</f>
        <v>Đấu giá&gt; vé, chứng từ, đặt phòng khách sạn&gt; vé vui chơi giải trí&gt; Thể thao&gt; Bóng rổ</v>
      </c>
      <c r="G236" s="229" t="str">
        <f t="shared" ca="1" si="6"/>
        <v>"25442" : "Bóng rổ",</v>
      </c>
      <c r="H236" s="229" t="str">
        <f t="shared" si="7"/>
        <v>&lt;li class="col-md-3"&gt;&lt;a class="text-cut" href="javascript:;"(click)="categoryEvent(25442)"&gt;{{"25442" | translate}}&lt;/a&gt;&lt;/li&gt;</v>
      </c>
    </row>
    <row r="237" spans="1:8" ht="14.25" customHeight="1">
      <c r="A237" s="2">
        <v>2084230534</v>
      </c>
      <c r="B237" s="2" t="s">
        <v>6556</v>
      </c>
      <c r="C237" s="2" t="s">
        <v>7293</v>
      </c>
      <c r="D237" s="2" t="s">
        <v>7294</v>
      </c>
      <c r="E237" s="3" t="str">
        <f ca="1">IFERROR(__xludf.DUMMYFUNCTION("GOOGLETRANSLATE(B237,""ja"",""vi"")"),"bóng chuyền")</f>
        <v>bóng chuyền</v>
      </c>
      <c r="F237" s="3" t="str">
        <f ca="1">IFERROR(__xludf.DUMMYFUNCTION("GOOGLETRANSLATE(C237,""ja"",""vi"")"),"Đấu giá&gt; vé, chứng từ, đặt phòng khách sạn&gt; vé vui chơi giải trí&gt; Thể thao&gt; Bóng chuyền")</f>
        <v>Đấu giá&gt; vé, chứng từ, đặt phòng khách sạn&gt; vé vui chơi giải trí&gt; Thể thao&gt; Bóng chuyền</v>
      </c>
      <c r="G237" s="229" t="str">
        <f t="shared" ca="1" si="6"/>
        <v>"2084230534" : "bóng chuyền",</v>
      </c>
      <c r="H237" s="229" t="str">
        <f t="shared" si="7"/>
        <v>&lt;li class="col-md-3"&gt;&lt;a class="text-cut" href="javascript:;"(click)="categoryEvent(2084230534)"&gt;{{"2084230534" | translate}}&lt;/a&gt;&lt;/li&gt;</v>
      </c>
    </row>
    <row r="238" spans="1:8" ht="14.25" customHeight="1">
      <c r="A238" s="2">
        <v>25438</v>
      </c>
      <c r="B238" s="2" t="s">
        <v>7299</v>
      </c>
      <c r="C238" s="2" t="s">
        <v>7301</v>
      </c>
      <c r="D238" s="2" t="s">
        <v>7302</v>
      </c>
      <c r="E238" s="3" t="str">
        <f ca="1">IFERROR(__xludf.DUMMYFUNCTION("GOOGLETRANSLATE(B238,""ja"",""vi"")"),"đua xe motor")</f>
        <v>đua xe motor</v>
      </c>
      <c r="F238" s="3" t="str">
        <f ca="1">IFERROR(__xludf.DUMMYFUNCTION("GOOGLETRANSLATE(C238,""ja"",""vi"")"),"Đấu giá&gt; Vé, vé phí bảo hiểm, đặt nơi ăn nghỉ&gt; vé vui chơi giải trí&gt; Thể thao&gt; Đua xe motor")</f>
        <v>Đấu giá&gt; Vé, vé phí bảo hiểm, đặt nơi ăn nghỉ&gt; vé vui chơi giải trí&gt; Thể thao&gt; Đua xe motor</v>
      </c>
      <c r="G238" s="229" t="str">
        <f t="shared" ca="1" si="6"/>
        <v>"25438" : "đua xe motor",</v>
      </c>
      <c r="H238" s="229" t="str">
        <f t="shared" si="7"/>
        <v>&lt;li class="col-md-3"&gt;&lt;a class="text-cut" href="javascript:;"(click)="categoryEvent(25438)"&gt;{{"25438" | translate}}&lt;/a&gt;&lt;/li&gt;</v>
      </c>
    </row>
    <row r="239" spans="1:8" ht="14.25" customHeight="1">
      <c r="A239" s="2">
        <v>25458</v>
      </c>
      <c r="B239" s="2" t="s">
        <v>6117</v>
      </c>
      <c r="C239" s="2" t="s">
        <v>7305</v>
      </c>
      <c r="D239" s="2" t="s">
        <v>7306</v>
      </c>
      <c r="E239" s="3" t="str">
        <f ca="1">IFERROR(__xludf.DUMMYFUNCTION("GOOGLETRANSLATE(B239,""ja"",""vi"")"),"Võ thuật, Wrestling")</f>
        <v>Võ thuật, Wrestling</v>
      </c>
      <c r="F239" s="3" t="str">
        <f ca="1">IFERROR(__xludf.DUMMYFUNCTION("GOOGLETRANSLATE(C239,""ja"",""vi"")"),"Đấu giá&gt; vé, chứng từ, đặt phòng khách sạn&gt; vé vui chơi giải trí&gt; Thể thao&gt; Võ thuật, Wrestling")</f>
        <v>Đấu giá&gt; vé, chứng từ, đặt phòng khách sạn&gt; vé vui chơi giải trí&gt; Thể thao&gt; Võ thuật, Wrestling</v>
      </c>
      <c r="G239" s="229" t="str">
        <f t="shared" ca="1" si="6"/>
        <v>"25458" : "Võ thuật, Wrestling",</v>
      </c>
      <c r="H239" s="229" t="str">
        <f t="shared" si="7"/>
        <v>&lt;li class="col-md-3"&gt;&lt;a class="text-cut" href="javascript:;"(click)="categoryEvent(25458)"&gt;{{"25458" | translate}}&lt;/a&gt;&lt;/li&gt;</v>
      </c>
    </row>
    <row r="240" spans="1:8" ht="14.25" customHeight="1">
      <c r="A240" s="2">
        <v>2084045756</v>
      </c>
      <c r="B240" s="2" t="s">
        <v>6129</v>
      </c>
      <c r="C240" s="2" t="s">
        <v>7309</v>
      </c>
      <c r="D240" s="2" t="s">
        <v>7311</v>
      </c>
      <c r="E240" s="3" t="str">
        <f ca="1">IFERROR(__xludf.DUMMYFUNCTION("GOOGLETRANSLATE(B240,""ja"",""vi"")"),"Bóng chày")</f>
        <v>Bóng chày</v>
      </c>
      <c r="F240" s="3" t="str">
        <f ca="1">IFERROR(__xludf.DUMMYFUNCTION("GOOGLETRANSLATE(C240,""ja"",""vi"")"),"Đấu giá&gt; vé, chứng từ, đặt phòng khách sạn&gt; vé vui chơi giải trí&gt; Thể thao&gt; Bóng chày")</f>
        <v>Đấu giá&gt; vé, chứng từ, đặt phòng khách sạn&gt; vé vui chơi giải trí&gt; Thể thao&gt; Bóng chày</v>
      </c>
      <c r="G240" s="229" t="str">
        <f t="shared" ca="1" si="6"/>
        <v>"2084045756" : "Bóng chày",</v>
      </c>
      <c r="H240" s="229" t="str">
        <f t="shared" si="7"/>
        <v>&lt;li class="col-md-3"&gt;&lt;a class="text-cut" href="javascript:;"(click)="categoryEvent(2084045756)"&gt;{{"2084045756" | translate}}&lt;/a&gt;&lt;/li&gt;</v>
      </c>
    </row>
    <row r="241" spans="1:8" ht="14.25" customHeight="1">
      <c r="A241" s="2">
        <v>25460</v>
      </c>
      <c r="B241" s="2" t="s">
        <v>16</v>
      </c>
      <c r="C241" s="2" t="s">
        <v>7316</v>
      </c>
      <c r="D241" s="2" t="s">
        <v>7319</v>
      </c>
      <c r="E241" s="3" t="str">
        <f ca="1">IFERROR(__xludf.DUMMYFUNCTION("GOOGLETRANSLATE(B241,""ja"",""vi"")"),"nếu không thì")</f>
        <v>nếu không thì</v>
      </c>
      <c r="F241" s="3" t="str">
        <f ca="1">IFERROR(__xludf.DUMMYFUNCTION("GOOGLETRANSLATE(C241,""ja"",""vi"")"),"Đấu giá&gt; vé, chứng từ, đặt phòng khách sạn&gt; vé vui chơi giải trí&gt; Thể thao&gt; Khác")</f>
        <v>Đấu giá&gt; vé, chứng từ, đặt phòng khách sạn&gt; vé vui chơi giải trí&gt; Thể thao&gt; Khác</v>
      </c>
      <c r="G241" s="229" t="str">
        <f t="shared" ca="1" si="6"/>
        <v>"25460" : "nếu không thì",</v>
      </c>
      <c r="H241" s="229" t="str">
        <f t="shared" si="7"/>
        <v>&lt;li class="col-md-3"&gt;&lt;a class="text-cut" href="javascript:;"(click)="categoryEvent(25460)"&gt;{{"25460" | translate}}&lt;/a&gt;&lt;/li&gt;</v>
      </c>
    </row>
    <row r="242" spans="1:8" ht="14.25" customHeight="1">
      <c r="E242" s="3"/>
      <c r="F242" s="3"/>
      <c r="G242" s="229"/>
      <c r="H242" s="229"/>
    </row>
    <row r="243" spans="1:8" ht="14.25" customHeight="1">
      <c r="A243" s="249">
        <v>2084044344</v>
      </c>
      <c r="B243" s="232"/>
      <c r="C243" s="232"/>
      <c r="D243" s="233"/>
      <c r="E243" s="3"/>
      <c r="F243" s="3"/>
      <c r="G243" s="229"/>
      <c r="H243" s="229"/>
    </row>
    <row r="244" spans="1:8" ht="14.25" customHeight="1">
      <c r="A244" s="2">
        <v>2084046717</v>
      </c>
      <c r="B244" s="2" t="s">
        <v>402</v>
      </c>
      <c r="C244" s="2" t="s">
        <v>7325</v>
      </c>
      <c r="D244" s="2" t="s">
        <v>7326</v>
      </c>
      <c r="E244" s="3" t="str">
        <f ca="1">IFERROR(__xludf.DUMMYFUNCTION("GOOGLETRANSLATE(B244,""ja"",""vi"")"),"Kuokado")</f>
        <v>Kuokado</v>
      </c>
      <c r="F244" s="3" t="str">
        <f ca="1">IFERROR(__xludf.DUMMYFUNCTION("GOOGLETRANSLATE(C244,""ja"",""vi"")"),"Đấu giá vé, chứng từ, đặt&gt; Khách sạn&gt; theo thể loại&gt; Giải trí&gt; Kuokado")</f>
        <v>Đấu giá vé, chứng từ, đặt&gt; Khách sạn&gt; theo thể loại&gt; Giải trí&gt; Kuokado</v>
      </c>
      <c r="G244" s="229" t="str">
        <f t="shared" ca="1" si="6"/>
        <v>"2084046717" : "Kuokado",</v>
      </c>
      <c r="H244" s="229" t="str">
        <f t="shared" si="7"/>
        <v>&lt;li class="col-md-3"&gt;&lt;a class="text-cut" href="javascript:;"(click)="categoryEvent(2084046717)"&gt;{{"2084046717" | translate}}&lt;/a&gt;&lt;/li&gt;</v>
      </c>
    </row>
    <row r="245" spans="1:8" ht="14.25" customHeight="1">
      <c r="A245" s="2">
        <v>2084044985</v>
      </c>
      <c r="B245" s="2" t="s">
        <v>7329</v>
      </c>
      <c r="C245" s="2" t="s">
        <v>7330</v>
      </c>
      <c r="D245" s="2" t="s">
        <v>7331</v>
      </c>
      <c r="E245" s="3" t="str">
        <f ca="1">IFERROR(__xludf.DUMMYFUNCTION("GOOGLETRANSLATE(B245,""ja"",""vi"")"),"Golf Voucher")</f>
        <v>Golf Voucher</v>
      </c>
      <c r="F245" s="3" t="str">
        <f ca="1">IFERROR(__xludf.DUMMYFUNCTION("GOOGLETRANSLATE(C245,""ja"",""vi"")"),"Đấu giá vé, chứng từ, đặt&gt; Khách sạn&gt; theo thể loại&gt; Giải trí&gt; Golf Voucher")</f>
        <v>Đấu giá vé, chứng từ, đặt&gt; Khách sạn&gt; theo thể loại&gt; Giải trí&gt; Golf Voucher</v>
      </c>
      <c r="G245" s="229" t="str">
        <f t="shared" ca="1" si="6"/>
        <v>"2084044985" : "Golf Voucher",</v>
      </c>
      <c r="H245" s="229" t="str">
        <f t="shared" si="7"/>
        <v>&lt;li class="col-md-3"&gt;&lt;a class="text-cut" href="javascript:;"(click)="categoryEvent(2084044985)"&gt;{{"2084044985" | translate}}&lt;/a&gt;&lt;/li&gt;</v>
      </c>
    </row>
    <row r="246" spans="1:8" ht="14.25" customHeight="1">
      <c r="A246" s="2">
        <v>2084042176</v>
      </c>
      <c r="B246" s="2" t="s">
        <v>7334</v>
      </c>
      <c r="C246" s="2" t="s">
        <v>7335</v>
      </c>
      <c r="D246" s="2" t="s">
        <v>7336</v>
      </c>
      <c r="E246" s="3" t="str">
        <f ca="1">IFERROR(__xludf.DUMMYFUNCTION("GOOGLETRANSLATE(B246,""ja"",""vi"")"),"vé hồ bơi")</f>
        <v>vé hồ bơi</v>
      </c>
      <c r="F246" s="3" t="str">
        <f ca="1">IFERROR(__xludf.DUMMYFUNCTION("GOOGLETRANSLATE(C246,""ja"",""vi"")"),"Đấu giá vé, chứng từ, đặt&gt; Khách sạn&gt; theo thể loại&gt; giải trí&gt; vé hồ bơi")</f>
        <v>Đấu giá vé, chứng từ, đặt&gt; Khách sạn&gt; theo thể loại&gt; giải trí&gt; vé hồ bơi</v>
      </c>
      <c r="G246" s="229" t="str">
        <f t="shared" ca="1" si="6"/>
        <v>"2084042176" : "vé hồ bơi",</v>
      </c>
      <c r="H246" s="229" t="str">
        <f t="shared" si="7"/>
        <v>&lt;li class="col-md-3"&gt;&lt;a class="text-cut" href="javascript:;"(click)="categoryEvent(2084042176)"&gt;{{"2084042176" | translate}}&lt;/a&gt;&lt;/li&gt;</v>
      </c>
    </row>
    <row r="247" spans="1:8" ht="14.25" customHeight="1">
      <c r="A247" s="2">
        <v>2084044321</v>
      </c>
      <c r="B247" s="2" t="s">
        <v>7340</v>
      </c>
      <c r="C247" s="2" t="s">
        <v>7341</v>
      </c>
      <c r="D247" s="2" t="s">
        <v>7343</v>
      </c>
      <c r="E247" s="3" t="str">
        <f ca="1">IFERROR(__xludf.DUMMYFUNCTION("GOOGLETRANSLATE(B247,""ja"",""vi"")"),"Phiếu Quà tặng Giải trí")</f>
        <v>Phiếu Quà tặng Giải trí</v>
      </c>
      <c r="F247" s="3" t="str">
        <f ca="1">IFERROR(__xludf.DUMMYFUNCTION("GOOGLETRANSLATE(C247,""ja"",""vi"")"),"Đấu giá vé, chứng từ, đặt&gt; Khách sạn&gt; theo thể loại&gt; Giải trí&gt; Phiếu Quà tặng Giải trí")</f>
        <v>Đấu giá vé, chứng từ, đặt&gt; Khách sạn&gt; theo thể loại&gt; Giải trí&gt; Phiếu Quà tặng Giải trí</v>
      </c>
      <c r="G247" s="229" t="str">
        <f t="shared" ca="1" si="6"/>
        <v>"2084044321" : "Phiếu Quà tặng Giải trí",</v>
      </c>
      <c r="H247" s="229" t="str">
        <f t="shared" si="7"/>
        <v>&lt;li class="col-md-3"&gt;&lt;a class="text-cut" href="javascript:;"(click)="categoryEvent(2084044321)"&gt;{{"2084044321" | translate}}&lt;/a&gt;&lt;/li&gt;</v>
      </c>
    </row>
    <row r="248" spans="1:8" ht="14.25" customHeight="1">
      <c r="A248" s="2">
        <v>2084062636</v>
      </c>
      <c r="B248" s="2" t="s">
        <v>1203</v>
      </c>
      <c r="C248" s="2" t="s">
        <v>7346</v>
      </c>
      <c r="D248" s="2" t="s">
        <v>7348</v>
      </c>
      <c r="E248" s="3" t="str">
        <f ca="1">IFERROR(__xludf.DUMMYFUNCTION("GOOGLETRANSLATE(B248,""ja"",""vi"")"),"Đặt phòng khách sạn")</f>
        <v>Đặt phòng khách sạn</v>
      </c>
      <c r="F248" s="3" t="str">
        <f ca="1">IFERROR(__xludf.DUMMYFUNCTION("GOOGLETRANSLATE(C248,""ja"",""vi"")"),"Đấu giá&gt; vé, chứng từ, đặt phòng khách sạn&gt; theo thể loại&gt; Giải trí&gt; đặt phòng nơi ăn nghỉ")</f>
        <v>Đấu giá&gt; vé, chứng từ, đặt phòng khách sạn&gt; theo thể loại&gt; Giải trí&gt; đặt phòng nơi ăn nghỉ</v>
      </c>
      <c r="G248" s="229" t="str">
        <f t="shared" ca="1" si="6"/>
        <v>"2084062636" : "Đặt phòng khách sạn",</v>
      </c>
      <c r="H248" s="229" t="str">
        <f t="shared" si="7"/>
        <v>&lt;li class="col-md-3"&gt;&lt;a class="text-cut" href="javascript:;"(click)="categoryEvent(2084062636)"&gt;{{"2084062636" | translate}}&lt;/a&gt;&lt;/li&gt;</v>
      </c>
    </row>
    <row r="249" spans="1:8" ht="14.25" customHeight="1">
      <c r="A249" s="2">
        <v>25432</v>
      </c>
      <c r="B249" s="2" t="s">
        <v>1366</v>
      </c>
      <c r="C249" s="2" t="s">
        <v>7351</v>
      </c>
      <c r="D249" s="2" t="s">
        <v>7352</v>
      </c>
      <c r="E249" s="3" t="str">
        <f ca="1">IFERROR(__xludf.DUMMYFUNCTION("GOOGLETRANSLATE(B249,""ja"",""vi"")"),"khu vui chơi, công viên giải trí")</f>
        <v>khu vui chơi, công viên giải trí</v>
      </c>
      <c r="F249" s="3" t="str">
        <f ca="1">IFERROR(__xludf.DUMMYFUNCTION("GOOGLETRANSLATE(C249,""ja"",""vi"")"),"Đấu giá&gt; vé, chứng từ, đặt phòng khách sạn&gt; theo thể loại&gt; Giải trí&gt; Khu vui chơi giải trí, công viên giải trí")</f>
        <v>Đấu giá&gt; vé, chứng từ, đặt phòng khách sạn&gt; theo thể loại&gt; Giải trí&gt; Khu vui chơi giải trí, công viên giải trí</v>
      </c>
      <c r="G249" s="229" t="str">
        <f t="shared" ca="1" si="6"/>
        <v>"25432" : "khu vui chơi, công viên giải trí",</v>
      </c>
      <c r="H249" s="229" t="str">
        <f t="shared" si="7"/>
        <v>&lt;li class="col-md-3"&gt;&lt;a class="text-cut" href="javascript:;"(click)="categoryEvent(25432)"&gt;{{"25432" | translate}}&lt;/a&gt;&lt;/li&gt;</v>
      </c>
    </row>
    <row r="250" spans="1:8" ht="14.25" customHeight="1">
      <c r="E250" s="3"/>
      <c r="F250" s="3"/>
      <c r="G250" s="229"/>
      <c r="H250" s="229"/>
    </row>
    <row r="251" spans="1:8" ht="14.25" customHeight="1">
      <c r="A251" s="250">
        <v>2084046936</v>
      </c>
      <c r="B251" s="232"/>
      <c r="C251" s="232"/>
      <c r="D251" s="233"/>
      <c r="E251" s="3"/>
      <c r="F251" s="3"/>
      <c r="G251" s="229"/>
      <c r="H251" s="229"/>
    </row>
    <row r="252" spans="1:8" ht="14.25" customHeight="1">
      <c r="A252" s="2">
        <v>2084048398</v>
      </c>
      <c r="B252" s="2" t="s">
        <v>6761</v>
      </c>
      <c r="C252" s="2" t="s">
        <v>7358</v>
      </c>
      <c r="D252" s="2" t="s">
        <v>7360</v>
      </c>
      <c r="E252" s="3" t="str">
        <f ca="1">IFERROR(__xludf.DUMMYFUNCTION("GOOGLETRANSLATE(B252,""ja"",""vi"")"),"trò chơi")</f>
        <v>trò chơi</v>
      </c>
      <c r="F252" s="3" t="str">
        <f ca="1">IFERROR(__xludf.DUMMYFUNCTION("GOOGLETRANSLATE(C252,""ja"",""vi"")"),"Đấu giá&gt; Sở thích, văn hóa&gt; pachinko, pachislot&gt; Games")</f>
        <v>Đấu giá&gt; Sở thích, văn hóa&gt; pachinko, pachislot&gt; Games</v>
      </c>
      <c r="G252" s="229" t="str">
        <f t="shared" ca="1" si="6"/>
        <v>"2084048398" : "trò chơi",</v>
      </c>
      <c r="H252" s="229" t="str">
        <f t="shared" si="7"/>
        <v>&lt;li class="col-md-3"&gt;&lt;a class="text-cut" href="javascript:;"(click)="categoryEvent(2084048398)"&gt;{{"2084048398" | translate}}&lt;/a&gt;&lt;/li&gt;</v>
      </c>
    </row>
    <row r="253" spans="1:8" ht="14.25" customHeight="1">
      <c r="A253" s="2">
        <v>2084046952</v>
      </c>
      <c r="B253" s="2" t="s">
        <v>7362</v>
      </c>
      <c r="C253" s="2" t="s">
        <v>7363</v>
      </c>
      <c r="D253" s="2" t="s">
        <v>7364</v>
      </c>
      <c r="E253" s="3" t="str">
        <f ca="1">IFERROR(__xludf.DUMMYFUNCTION("GOOGLETRANSLATE(B253,""ja"",""vi"")"),"Pachi thực tế")</f>
        <v>Pachi thực tế</v>
      </c>
      <c r="F253" s="3" t="str">
        <f ca="1">IFERROR(__xludf.DUMMYFUNCTION("GOOGLETRANSLATE(C253,""ja"",""vi"")"),"Đấu giá&gt; Sở thích, văn hóa&gt; pachinko, pachislot&gt; Pachi thực tế")</f>
        <v>Đấu giá&gt; Sở thích, văn hóa&gt; pachinko, pachislot&gt; Pachi thực tế</v>
      </c>
      <c r="G253" s="229" t="str">
        <f t="shared" ca="1" si="6"/>
        <v>"2084046952" : "Pachi thực tế",</v>
      </c>
      <c r="H253" s="229" t="str">
        <f t="shared" si="7"/>
        <v>&lt;li class="col-md-3"&gt;&lt;a class="text-cut" href="javascript:;"(click)="categoryEvent(2084046952)"&gt;{{"2084046952" | translate}}&lt;/a&gt;&lt;/li&gt;</v>
      </c>
    </row>
    <row r="254" spans="1:8" ht="14.25" customHeight="1">
      <c r="A254" s="2">
        <v>2084046951</v>
      </c>
      <c r="B254" s="2" t="s">
        <v>7367</v>
      </c>
      <c r="C254" s="2" t="s">
        <v>7368</v>
      </c>
      <c r="D254" s="2" t="s">
        <v>7369</v>
      </c>
      <c r="E254" s="3" t="str">
        <f ca="1">IFERROR(__xludf.DUMMYFUNCTION("GOOGLETRANSLATE(B254,""ja"",""vi"")"),"pachinko thực tế")</f>
        <v>pachinko thực tế</v>
      </c>
      <c r="F254" s="3" t="str">
        <f ca="1">IFERROR(__xludf.DUMMYFUNCTION("GOOGLETRANSLATE(C254,""ja"",""vi"")"),"Đấu giá&gt; Sở thích, văn hóa&gt; pachinko, pachislot&gt; pachinko thực tế")</f>
        <v>Đấu giá&gt; Sở thích, văn hóa&gt; pachinko, pachislot&gt; pachinko thực tế</v>
      </c>
      <c r="G254" s="229" t="str">
        <f t="shared" ca="1" si="6"/>
        <v>"2084046951" : "pachinko thực tế",</v>
      </c>
      <c r="H254" s="229" t="str">
        <f t="shared" si="7"/>
        <v>&lt;li class="col-md-3"&gt;&lt;a class="text-cut" href="javascript:;"(click)="categoryEvent(2084046951)"&gt;{{"2084046951" | translate}}&lt;/a&gt;&lt;/li&gt;</v>
      </c>
    </row>
    <row r="255" spans="1:8" ht="14.25" customHeight="1">
      <c r="A255" s="2">
        <v>2084047014</v>
      </c>
      <c r="B255" s="2" t="s">
        <v>386</v>
      </c>
      <c r="C255" s="2" t="s">
        <v>7373</v>
      </c>
      <c r="D255" s="2" t="s">
        <v>7375</v>
      </c>
      <c r="E255" s="3" t="str">
        <f ca="1">IFERROR(__xludf.DUMMYFUNCTION("GOOGLETRANSLATE(B255,""ja"",""vi"")"),"video")</f>
        <v>video</v>
      </c>
      <c r="F255" s="3" t="str">
        <f ca="1">IFERROR(__xludf.DUMMYFUNCTION("GOOGLETRANSLATE(C255,""ja"",""vi"")"),"Đấu giá&gt; Sở thích, văn hóa&gt; pachinko, pachislot&gt; Video")</f>
        <v>Đấu giá&gt; Sở thích, văn hóa&gt; pachinko, pachislot&gt; Video</v>
      </c>
      <c r="G255" s="229" t="str">
        <f t="shared" ca="1" si="6"/>
        <v>"2084047014" : "video",</v>
      </c>
      <c r="H255" s="229" t="str">
        <f t="shared" si="7"/>
        <v>&lt;li class="col-md-3"&gt;&lt;a class="text-cut" href="javascript:;"(click)="categoryEvent(2084047014)"&gt;{{"2084047014" | translate}}&lt;/a&gt;&lt;/li&gt;</v>
      </c>
    </row>
    <row r="256" spans="1:8" ht="14.25" customHeight="1">
      <c r="A256" s="2">
        <v>2084046944</v>
      </c>
      <c r="B256" s="2" t="s">
        <v>351</v>
      </c>
      <c r="C256" s="2" t="s">
        <v>7378</v>
      </c>
      <c r="D256" s="2" t="s">
        <v>7380</v>
      </c>
      <c r="E256" s="3" t="str">
        <f ca="1">IFERROR(__xludf.DUMMYFUNCTION("GOOGLETRANSLATE(B256,""ja"",""vi"")"),"tạp chí")</f>
        <v>tạp chí</v>
      </c>
      <c r="F256" s="3" t="str">
        <f ca="1">IFERROR(__xludf.DUMMYFUNCTION("GOOGLETRANSLATE(C256,""ja"",""vi"")"),"Đấu giá&gt; Sở thích, văn hóa&gt; pachinko, pachislot&gt; Tạp chí")</f>
        <v>Đấu giá&gt; Sở thích, văn hóa&gt; pachinko, pachislot&gt; Tạp chí</v>
      </c>
      <c r="G256" s="229" t="str">
        <f t="shared" ca="1" si="6"/>
        <v>"2084046944" : "tạp chí",</v>
      </c>
      <c r="H256" s="229" t="str">
        <f t="shared" si="7"/>
        <v>&lt;li class="col-md-3"&gt;&lt;a class="text-cut" href="javascript:;"(click)="categoryEvent(2084046944)"&gt;{{"2084046944" | translate}}&lt;/a&gt;&lt;/li&gt;</v>
      </c>
    </row>
    <row r="257" spans="1:8" ht="14.25" customHeight="1">
      <c r="A257" s="2">
        <v>2084046940</v>
      </c>
      <c r="B257" s="2" t="s">
        <v>5274</v>
      </c>
      <c r="C257" s="2" t="s">
        <v>7383</v>
      </c>
      <c r="D257" s="2" t="s">
        <v>7385</v>
      </c>
      <c r="E257" s="3" t="str">
        <f ca="1">IFERROR(__xludf.DUMMYFUNCTION("GOOGLETRANSLATE(B257,""ja"",""vi"")"),"điều này")</f>
        <v>điều này</v>
      </c>
      <c r="F257" s="3" t="str">
        <f ca="1">IFERROR(__xludf.DUMMYFUNCTION("GOOGLETRANSLATE(C257,""ja"",""vi"")"),"Đấu giá&gt; Sở thích, văn hóa&gt; pachinko, pachislot&gt; Sách")</f>
        <v>Đấu giá&gt; Sở thích, văn hóa&gt; pachinko, pachislot&gt; Sách</v>
      </c>
      <c r="G257" s="229" t="str">
        <f t="shared" ca="1" si="6"/>
        <v>"2084046940" : "điều này",</v>
      </c>
      <c r="H257" s="229" t="str">
        <f t="shared" si="7"/>
        <v>&lt;li class="col-md-3"&gt;&lt;a class="text-cut" href="javascript:;"(click)="categoryEvent(2084046940)"&gt;{{"2084046940" | translate}}&lt;/a&gt;&lt;/li&gt;</v>
      </c>
    </row>
    <row r="258" spans="1:8" ht="14.25" customHeight="1">
      <c r="A258" s="2">
        <v>2084047539</v>
      </c>
      <c r="B258" s="2" t="s">
        <v>16</v>
      </c>
      <c r="C258" s="2" t="s">
        <v>7386</v>
      </c>
      <c r="D258" s="2" t="s">
        <v>7387</v>
      </c>
      <c r="E258" s="3" t="str">
        <f ca="1">IFERROR(__xludf.DUMMYFUNCTION("GOOGLETRANSLATE(B258,""ja"",""vi"")"),"nếu không thì")</f>
        <v>nếu không thì</v>
      </c>
      <c r="F258" s="3" t="str">
        <f ca="1">IFERROR(__xludf.DUMMYFUNCTION("GOOGLETRANSLATE(C258,""ja"",""vi"")"),"Đấu giá&gt; Sở thích, văn hóa&gt; pachinko, pachislot&gt; Khác")</f>
        <v>Đấu giá&gt; Sở thích, văn hóa&gt; pachinko, pachislot&gt; Khác</v>
      </c>
      <c r="G258" s="229" t="str">
        <f t="shared" ca="1" si="6"/>
        <v>"2084047539" : "nếu không thì",</v>
      </c>
      <c r="H258" s="229" t="str">
        <f t="shared" si="7"/>
        <v>&lt;li class="col-md-3"&gt;&lt;a class="text-cut" href="javascript:;"(click)="categoryEvent(2084047539)"&gt;{{"2084047539" | translate}}&lt;/a&gt;&lt;/li&gt;</v>
      </c>
    </row>
    <row r="259" spans="1:8" ht="14.25" customHeight="1">
      <c r="E259" s="3"/>
      <c r="F259" s="3"/>
      <c r="G259" s="229"/>
      <c r="H259" s="229"/>
    </row>
    <row r="260" spans="1:8" ht="14.25" customHeight="1">
      <c r="A260" s="251">
        <v>2084048240</v>
      </c>
      <c r="B260" s="232"/>
      <c r="C260" s="232"/>
      <c r="D260" s="233"/>
      <c r="E260" s="3"/>
      <c r="F260" s="3"/>
      <c r="G260" s="229"/>
      <c r="H260" s="229"/>
    </row>
    <row r="261" spans="1:8" ht="14.25" customHeight="1">
      <c r="A261" s="2">
        <v>2084048505</v>
      </c>
      <c r="B261" s="2" t="s">
        <v>389</v>
      </c>
      <c r="C261" s="2" t="s">
        <v>7391</v>
      </c>
      <c r="D261" s="2" t="s">
        <v>7393</v>
      </c>
      <c r="E261" s="3" t="str">
        <f ca="1">IFERROR(__xludf.DUMMYFUNCTION("GOOGLETRANSLATE(B261,""ja"",""vi"")"),"thẻ điện thoại")</f>
        <v>thẻ điện thoại</v>
      </c>
      <c r="F261" s="3" t="str">
        <f ca="1">IFERROR(__xludf.DUMMYFUNCTION("GOOGLETRANSLATE(C261,""ja"",""vi"")"),"Đấu giá&gt; thể thao, giải trí&gt; đua thuyền&gt; Thẻ điện thoại")</f>
        <v>Đấu giá&gt; thể thao, giải trí&gt; đua thuyền&gt; Thẻ điện thoại</v>
      </c>
      <c r="G261" s="229" t="str">
        <f t="shared" ref="G261:G320" ca="1" si="8">CONCATENATE(CHAR(34)&amp;"",A261,""&amp;CHAR(34)," : ", CHAR(34)&amp;"",E261,""&amp;CHAR(34),",")</f>
        <v>"2084048505" : "thẻ điện thoại",</v>
      </c>
      <c r="H261" s="229" t="str">
        <f t="shared" ref="H261:H320" si="9">CONCATENATE("&lt;li class=",CHAR(34)&amp;"","col-md-3",""&amp;CHAR(34),"&gt;","&lt;a class=",CHAR(34)&amp;"","text-cut",""&amp;CHAR(34)," href=",CHAR(34)&amp;"","javascript:;",""&amp;CHAR(34), "(click)=",CHAR(34)&amp;"","categoryEvent(",A261,")",""&amp;CHAR(34),"&gt;{{",CHAR(34)&amp;"",A261,""&amp;CHAR(34)," | translate}}&lt;/a&gt;&lt;/li&gt;")</f>
        <v>&lt;li class="col-md-3"&gt;&lt;a class="text-cut" href="javascript:;"(click)="categoryEvent(2084048505)"&gt;{{"2084048505" | translate}}&lt;/a&gt;&lt;/li&gt;</v>
      </c>
    </row>
    <row r="262" spans="1:8" ht="14.25" customHeight="1">
      <c r="A262" s="2">
        <v>2084048508</v>
      </c>
      <c r="B262" s="2" t="s">
        <v>386</v>
      </c>
      <c r="C262" s="2" t="s">
        <v>7397</v>
      </c>
      <c r="D262" s="2" t="s">
        <v>7398</v>
      </c>
      <c r="E262" s="3" t="str">
        <f ca="1">IFERROR(__xludf.DUMMYFUNCTION("GOOGLETRANSLATE(B262,""ja"",""vi"")"),"video")</f>
        <v>video</v>
      </c>
      <c r="F262" s="3" t="str">
        <f ca="1">IFERROR(__xludf.DUMMYFUNCTION("GOOGLETRANSLATE(C262,""ja"",""vi"")"),"Đấu giá&gt; thể thao, giải trí&gt; đua thuyền&gt; Video")</f>
        <v>Đấu giá&gt; thể thao, giải trí&gt; đua thuyền&gt; Video</v>
      </c>
      <c r="G262" s="229" t="str">
        <f t="shared" ca="1" si="8"/>
        <v>"2084048508" : "video",</v>
      </c>
      <c r="H262" s="229" t="str">
        <f t="shared" si="9"/>
        <v>&lt;li class="col-md-3"&gt;&lt;a class="text-cut" href="javascript:;"(click)="categoryEvent(2084048508)"&gt;{{"2084048508" | translate}}&lt;/a&gt;&lt;/li&gt;</v>
      </c>
    </row>
    <row r="263" spans="1:8" ht="14.25" customHeight="1">
      <c r="A263" s="2">
        <v>2084048507</v>
      </c>
      <c r="B263" s="2" t="s">
        <v>7401</v>
      </c>
      <c r="C263" s="2" t="s">
        <v>7402</v>
      </c>
      <c r="D263" s="2" t="s">
        <v>7403</v>
      </c>
      <c r="E263" s="3" t="str">
        <f ca="1">IFERROR(__xludf.DUMMYFUNCTION("GOOGLETRANSLATE(B263,""ja"",""vi"")"),"cánh quạt")</f>
        <v>cánh quạt</v>
      </c>
      <c r="F263" s="3" t="str">
        <f ca="1">IFERROR(__xludf.DUMMYFUNCTION("GOOGLETRANSLATE(C263,""ja"",""vi"")"),"Đấu giá&gt; thể thao, giải trí&gt; đua xuồng máy&gt; cánh quạt")</f>
        <v>Đấu giá&gt; thể thao, giải trí&gt; đua xuồng máy&gt; cánh quạt</v>
      </c>
      <c r="G263" s="229" t="str">
        <f t="shared" ca="1" si="8"/>
        <v>"2084048507" : "cánh quạt",</v>
      </c>
      <c r="H263" s="229" t="str">
        <f t="shared" si="9"/>
        <v>&lt;li class="col-md-3"&gt;&lt;a class="text-cut" href="javascript:;"(click)="categoryEvent(2084048507)"&gt;{{"2084048507" | translate}}&lt;/a&gt;&lt;/li&gt;</v>
      </c>
    </row>
    <row r="264" spans="1:8" ht="14.25" customHeight="1">
      <c r="A264" s="2">
        <v>2084048510</v>
      </c>
      <c r="B264" s="2" t="s">
        <v>16</v>
      </c>
      <c r="C264" s="2" t="s">
        <v>7408</v>
      </c>
      <c r="D264" s="2" t="s">
        <v>7409</v>
      </c>
      <c r="E264" s="3" t="str">
        <f ca="1">IFERROR(__xludf.DUMMYFUNCTION("GOOGLETRANSLATE(B264,""ja"",""vi"")"),"nếu không thì")</f>
        <v>nếu không thì</v>
      </c>
      <c r="F264" s="3" t="str">
        <f ca="1">IFERROR(__xludf.DUMMYFUNCTION("GOOGLETRANSLATE(C264,""ja"",""vi"")"),"Đấu giá&gt; thể thao, giải trí&gt; đua thuyền&gt; Khác")</f>
        <v>Đấu giá&gt; thể thao, giải trí&gt; đua thuyền&gt; Khác</v>
      </c>
      <c r="G264" s="229" t="str">
        <f t="shared" ca="1" si="8"/>
        <v>"2084048510" : "nếu không thì",</v>
      </c>
      <c r="H264" s="229" t="str">
        <f t="shared" si="9"/>
        <v>&lt;li class="col-md-3"&gt;&lt;a class="text-cut" href="javascript:;"(click)="categoryEvent(2084048510)"&gt;{{"2084048510" | translate}}&lt;/a&gt;&lt;/li&gt;</v>
      </c>
    </row>
    <row r="265" spans="1:8" ht="14.25" customHeight="1">
      <c r="E265" s="3"/>
      <c r="F265" s="3"/>
      <c r="G265" s="229"/>
      <c r="H265" s="229"/>
    </row>
    <row r="266" spans="1:8" ht="14.25" customHeight="1">
      <c r="A266" s="255">
        <v>25407</v>
      </c>
      <c r="B266" s="232"/>
      <c r="C266" s="232"/>
      <c r="D266" s="233"/>
      <c r="E266" s="3"/>
      <c r="F266" s="3"/>
      <c r="G266" s="229"/>
      <c r="H266" s="229"/>
    </row>
    <row r="267" spans="1:8" ht="14.25" customHeight="1">
      <c r="A267" s="2">
        <v>2084048298</v>
      </c>
      <c r="B267" s="2" t="s">
        <v>5949</v>
      </c>
      <c r="C267" s="2" t="s">
        <v>7415</v>
      </c>
      <c r="D267" s="2" t="s">
        <v>7417</v>
      </c>
      <c r="E267" s="3" t="str">
        <f ca="1">IFERROR(__xludf.DUMMYFUNCTION("GOOGLETRANSLATE(B267,""ja"",""vi"")"),"Thú nhồi bông")</f>
        <v>Thú nhồi bông</v>
      </c>
      <c r="F267" s="3" t="str">
        <f ca="1">IFERROR(__xludf.DUMMYFUNCTION("GOOGLETRANSLATE(C267,""ja"",""vi"")"),"Đấu giá&gt; thể thao, giải trí&gt; Đua ngựa&gt; nhồi")</f>
        <v>Đấu giá&gt; thể thao, giải trí&gt; Đua ngựa&gt; nhồi</v>
      </c>
      <c r="G267" s="229" t="str">
        <f t="shared" ca="1" si="8"/>
        <v>"2084048298" : "Thú nhồi bông",</v>
      </c>
      <c r="H267" s="229" t="str">
        <f t="shared" si="9"/>
        <v>&lt;li class="col-md-3"&gt;&lt;a class="text-cut" href="javascript:;"(click)="categoryEvent(2084048298)"&gt;{{"2084048298" | translate}}&lt;/a&gt;&lt;/li&gt;</v>
      </c>
    </row>
    <row r="268" spans="1:8" ht="14.25" customHeight="1">
      <c r="A268" s="2">
        <v>2084049601</v>
      </c>
      <c r="B268" s="2" t="s">
        <v>7421</v>
      </c>
      <c r="C268" s="2" t="s">
        <v>7422</v>
      </c>
      <c r="D268" s="2" t="s">
        <v>7423</v>
      </c>
      <c r="E268" s="3" t="str">
        <f ca="1">IFERROR(__xludf.DUMMYFUNCTION("GOOGLETRANSLATE(B268,""ja"",""vi"")"),"cái yếm")</f>
        <v>cái yếm</v>
      </c>
      <c r="F268" s="3" t="str">
        <f ca="1">IFERROR(__xludf.DUMMYFUNCTION("GOOGLETRANSLATE(C268,""ja"",""vi"")"),"Đấu giá&gt; thể thao, giải trí&gt; Đua ngựa&gt; Yếm")</f>
        <v>Đấu giá&gt; thể thao, giải trí&gt; Đua ngựa&gt; Yếm</v>
      </c>
      <c r="G268" s="229" t="str">
        <f t="shared" ca="1" si="8"/>
        <v>"2084049601" : "cái yếm",</v>
      </c>
      <c r="H268" s="229" t="str">
        <f t="shared" si="9"/>
        <v>&lt;li class="col-md-3"&gt;&lt;a class="text-cut" href="javascript:;"(click)="categoryEvent(2084049601)"&gt;{{"2084049601" | translate}}&lt;/a&gt;&lt;/li&gt;</v>
      </c>
    </row>
    <row r="269" spans="1:8" ht="14.25" customHeight="1">
      <c r="A269" s="2">
        <v>2084046950</v>
      </c>
      <c r="B269" s="2" t="s">
        <v>7427</v>
      </c>
      <c r="C269" s="2" t="s">
        <v>7428</v>
      </c>
      <c r="D269" s="2" t="s">
        <v>7429</v>
      </c>
      <c r="E269" s="3" t="str">
        <f ca="1">IFERROR(__xludf.DUMMYFUNCTION("GOOGLETRANSLATE(B269,""ja"",""vi"")"),"chương trình đua")</f>
        <v>chương trình đua</v>
      </c>
      <c r="F269" s="3" t="str">
        <f ca="1">IFERROR(__xludf.DUMMYFUNCTION("GOOGLETRANSLATE(C269,""ja"",""vi"")"),"Đấu giá&gt; thể thao, giải trí&gt; Đua ngựa&gt; Racing chương trình")</f>
        <v>Đấu giá&gt; thể thao, giải trí&gt; Đua ngựa&gt; Racing chương trình</v>
      </c>
      <c r="G269" s="229" t="str">
        <f t="shared" ca="1" si="8"/>
        <v>"2084046950" : "chương trình đua",</v>
      </c>
      <c r="H269" s="229" t="str">
        <f t="shared" si="9"/>
        <v>&lt;li class="col-md-3"&gt;&lt;a class="text-cut" href="javascript:;"(click)="categoryEvent(2084046950)"&gt;{{"2084046950" | translate}}&lt;/a&gt;&lt;/li&gt;</v>
      </c>
    </row>
    <row r="270" spans="1:8" ht="14.25" customHeight="1">
      <c r="A270" s="2">
        <v>2084046949</v>
      </c>
      <c r="B270" s="2" t="s">
        <v>7433</v>
      </c>
      <c r="C270" s="2" t="s">
        <v>7434</v>
      </c>
      <c r="D270" s="2" t="s">
        <v>7435</v>
      </c>
      <c r="E270" s="3" t="str">
        <f ca="1">IFERROR(__xludf.DUMMYFUNCTION("GOOGLETRANSLATE(B270,""ja"",""vi"")"),"Cá cược cuối cuộc đua")</f>
        <v>Cá cược cuối cuộc đua</v>
      </c>
      <c r="F270" s="3" t="str">
        <f ca="1">IFERROR(__xludf.DUMMYFUNCTION("GOOGLETRANSLATE(C270,""ja"",""vi"")"),"Đấu giá&gt; thể thao, giải trí&gt; đua ngựa&gt; cược vé đến cuối cuộc đua")</f>
        <v>Đấu giá&gt; thể thao, giải trí&gt; đua ngựa&gt; cược vé đến cuối cuộc đua</v>
      </c>
      <c r="G270" s="229" t="str">
        <f t="shared" ca="1" si="8"/>
        <v>"2084046949" : "Cá cược cuối cuộc đua",</v>
      </c>
      <c r="H270" s="229" t="str">
        <f t="shared" si="9"/>
        <v>&lt;li class="col-md-3"&gt;&lt;a class="text-cut" href="javascript:;"(click)="categoryEvent(2084046949)"&gt;{{"2084046949" | translate}}&lt;/a&gt;&lt;/li&gt;</v>
      </c>
    </row>
    <row r="271" spans="1:8" ht="14.25" customHeight="1">
      <c r="A271" s="2">
        <v>2084046939</v>
      </c>
      <c r="B271" s="2" t="s">
        <v>5274</v>
      </c>
      <c r="C271" s="2" t="s">
        <v>7439</v>
      </c>
      <c r="D271" s="2" t="s">
        <v>7441</v>
      </c>
      <c r="E271" s="3" t="str">
        <f ca="1">IFERROR(__xludf.DUMMYFUNCTION("GOOGLETRANSLATE(B271,""ja"",""vi"")"),"điều này")</f>
        <v>điều này</v>
      </c>
      <c r="F271" s="3" t="str">
        <f ca="1">IFERROR(__xludf.DUMMYFUNCTION("GOOGLETRANSLATE(C271,""ja"",""vi"")"),"Đấu giá&gt; thể thao, giải trí&gt; Đua ngựa&gt; Sách")</f>
        <v>Đấu giá&gt; thể thao, giải trí&gt; Đua ngựa&gt; Sách</v>
      </c>
      <c r="G271" s="229" t="str">
        <f t="shared" ca="1" si="8"/>
        <v>"2084046939" : "điều này",</v>
      </c>
      <c r="H271" s="229" t="str">
        <f t="shared" si="9"/>
        <v>&lt;li class="col-md-3"&gt;&lt;a class="text-cut" href="javascript:;"(click)="categoryEvent(2084046939)"&gt;{{"2084046939" | translate}}&lt;/a&gt;&lt;/li&gt;</v>
      </c>
    </row>
    <row r="272" spans="1:8" ht="14.25" customHeight="1">
      <c r="A272" s="2">
        <v>2084256905</v>
      </c>
      <c r="B272" s="2" t="s">
        <v>380</v>
      </c>
      <c r="C272" s="2" t="s">
        <v>7443</v>
      </c>
      <c r="D272" s="2" t="s">
        <v>7444</v>
      </c>
      <c r="E272" s="3" t="str">
        <f ca="1">IFERROR(__xludf.DUMMYFUNCTION("GOOGLETRANSLATE(B272,""ja"",""vi"")"),"DVD")</f>
        <v>DVD</v>
      </c>
      <c r="F272" s="3" t="str">
        <f ca="1">IFERROR(__xludf.DUMMYFUNCTION("GOOGLETRANSLATE(C272,""ja"",""vi"")"),"Đấu giá&gt; thể thao, giải trí&gt; Đua ngựa&gt; DVD")</f>
        <v>Đấu giá&gt; thể thao, giải trí&gt; Đua ngựa&gt; DVD</v>
      </c>
      <c r="G272" s="229" t="str">
        <f t="shared" ca="1" si="8"/>
        <v>"2084256905" : "DVD",</v>
      </c>
      <c r="H272" s="229" t="str">
        <f t="shared" si="9"/>
        <v>&lt;li class="col-md-3"&gt;&lt;a class="text-cut" href="javascript:;"(click)="categoryEvent(2084256905)"&gt;{{"2084256905" | translate}}&lt;/a&gt;&lt;/li&gt;</v>
      </c>
    </row>
    <row r="273" spans="1:8" ht="14.25" customHeight="1">
      <c r="A273" s="2">
        <v>2084046993</v>
      </c>
      <c r="B273" s="2" t="s">
        <v>386</v>
      </c>
      <c r="C273" s="2" t="s">
        <v>7445</v>
      </c>
      <c r="D273" s="2" t="s">
        <v>7446</v>
      </c>
      <c r="E273" s="3" t="str">
        <f ca="1">IFERROR(__xludf.DUMMYFUNCTION("GOOGLETRANSLATE(B273,""ja"",""vi"")"),"video")</f>
        <v>video</v>
      </c>
      <c r="F273" s="3" t="str">
        <f ca="1">IFERROR(__xludf.DUMMYFUNCTION("GOOGLETRANSLATE(C273,""ja"",""vi"")"),"Đấu giá&gt; thể thao, giải trí&gt; Đua ngựa&gt; Video")</f>
        <v>Đấu giá&gt; thể thao, giải trí&gt; Đua ngựa&gt; Video</v>
      </c>
      <c r="G273" s="229" t="str">
        <f t="shared" ca="1" si="8"/>
        <v>"2084046993" : "video",</v>
      </c>
      <c r="H273" s="229" t="str">
        <f t="shared" si="9"/>
        <v>&lt;li class="col-md-3"&gt;&lt;a class="text-cut" href="javascript:;"(click)="categoryEvent(2084046993)"&gt;{{"2084046993" | translate}}&lt;/a&gt;&lt;/li&gt;</v>
      </c>
    </row>
    <row r="274" spans="1:8" ht="14.25" customHeight="1">
      <c r="A274" s="2">
        <v>2084005116</v>
      </c>
      <c r="B274" s="2" t="s">
        <v>389</v>
      </c>
      <c r="C274" s="2" t="s">
        <v>7449</v>
      </c>
      <c r="D274" s="2" t="s">
        <v>7450</v>
      </c>
      <c r="E274" s="3" t="str">
        <f ca="1">IFERROR(__xludf.DUMMYFUNCTION("GOOGLETRANSLATE(B274,""ja"",""vi"")"),"thẻ điện thoại")</f>
        <v>thẻ điện thoại</v>
      </c>
      <c r="F274" s="3" t="str">
        <f ca="1">IFERROR(__xludf.DUMMYFUNCTION("GOOGLETRANSLATE(C274,""ja"",""vi"")"),"Đấu giá&gt; thể thao, giải trí&gt; đua ngựa&gt; Thẻ điện thoại")</f>
        <v>Đấu giá&gt; thể thao, giải trí&gt; đua ngựa&gt; Thẻ điện thoại</v>
      </c>
      <c r="G274" s="229" t="str">
        <f t="shared" ca="1" si="8"/>
        <v>"2084005116" : "thẻ điện thoại",</v>
      </c>
      <c r="H274" s="229" t="str">
        <f t="shared" si="9"/>
        <v>&lt;li class="col-md-3"&gt;&lt;a class="text-cut" href="javascript:;"(click)="categoryEvent(2084005116)"&gt;{{"2084005116" | translate}}&lt;/a&gt;&lt;/li&gt;</v>
      </c>
    </row>
    <row r="275" spans="1:8" ht="14.25" customHeight="1">
      <c r="A275" s="2">
        <v>2084046947</v>
      </c>
      <c r="B275" s="2" t="s">
        <v>351</v>
      </c>
      <c r="C275" s="2" t="s">
        <v>7454</v>
      </c>
      <c r="D275" s="2" t="s">
        <v>7455</v>
      </c>
      <c r="E275" s="3" t="str">
        <f ca="1">IFERROR(__xludf.DUMMYFUNCTION("GOOGLETRANSLATE(B275,""ja"",""vi"")"),"tạp chí")</f>
        <v>tạp chí</v>
      </c>
      <c r="F275" s="3" t="str">
        <f ca="1">IFERROR(__xludf.DUMMYFUNCTION("GOOGLETRANSLATE(C275,""ja"",""vi"")"),"Đấu giá&gt; thể thao, giải trí&gt; Đua ngựa&gt; Tạp chí")</f>
        <v>Đấu giá&gt; thể thao, giải trí&gt; Đua ngựa&gt; Tạp chí</v>
      </c>
      <c r="G275" s="229" t="str">
        <f t="shared" ca="1" si="8"/>
        <v>"2084046947" : "tạp chí",</v>
      </c>
      <c r="H275" s="229" t="str">
        <f t="shared" si="9"/>
        <v>&lt;li class="col-md-3"&gt;&lt;a class="text-cut" href="javascript:;"(click)="categoryEvent(2084046947)"&gt;{{"2084046947" | translate}}&lt;/a&gt;&lt;/li&gt;</v>
      </c>
    </row>
    <row r="276" spans="1:8" ht="14.25" customHeight="1">
      <c r="A276" s="2">
        <v>2084005139</v>
      </c>
      <c r="B276" s="2" t="s">
        <v>16</v>
      </c>
      <c r="C276" s="2" t="s">
        <v>7458</v>
      </c>
      <c r="D276" s="2" t="s">
        <v>7459</v>
      </c>
      <c r="E276" s="3" t="str">
        <f ca="1">IFERROR(__xludf.DUMMYFUNCTION("GOOGLETRANSLATE(B276,""ja"",""vi"")"),"nếu không thì")</f>
        <v>nếu không thì</v>
      </c>
      <c r="F276" s="3" t="str">
        <f ca="1">IFERROR(__xludf.DUMMYFUNCTION("GOOGLETRANSLATE(C276,""ja"",""vi"")"),"Đấu giá&gt; thể thao, giải trí&gt; Đua ngựa&gt; Khác")</f>
        <v>Đấu giá&gt; thể thao, giải trí&gt; Đua ngựa&gt; Khác</v>
      </c>
      <c r="G276" s="229" t="str">
        <f t="shared" ca="1" si="8"/>
        <v>"2084005139" : "nếu không thì",</v>
      </c>
      <c r="H276" s="229" t="str">
        <f t="shared" si="9"/>
        <v>&lt;li class="col-md-3"&gt;&lt;a class="text-cut" href="javascript:;"(click)="categoryEvent(2084005139)"&gt;{{"2084005139" | translate}}&lt;/a&gt;&lt;/li&gt;</v>
      </c>
    </row>
    <row r="277" spans="1:8" ht="14.25" customHeight="1">
      <c r="E277" s="3"/>
      <c r="F277" s="3"/>
      <c r="G277" s="229"/>
      <c r="H277" s="229"/>
    </row>
    <row r="278" spans="1:8" ht="14.25" customHeight="1">
      <c r="A278" s="272">
        <v>2084048304</v>
      </c>
      <c r="B278" s="232"/>
      <c r="C278" s="232"/>
      <c r="D278" s="233"/>
      <c r="E278" s="3"/>
      <c r="F278" s="3"/>
      <c r="G278" s="229"/>
      <c r="H278" s="229"/>
    </row>
    <row r="279" spans="1:8" ht="14.25" customHeight="1">
      <c r="A279" s="2">
        <v>2084048514</v>
      </c>
      <c r="B279" s="2" t="s">
        <v>7460</v>
      </c>
      <c r="C279" s="2" t="s">
        <v>7461</v>
      </c>
      <c r="D279" s="2" t="s">
        <v>7463</v>
      </c>
      <c r="E279" s="3" t="str">
        <f ca="1">IFERROR(__xludf.DUMMYFUNCTION("GOOGLETRANSLATE(B279,""ja"",""vi"")"),"Đồng phục")</f>
        <v>Đồng phục</v>
      </c>
      <c r="F279" s="3" t="str">
        <f ca="1">IFERROR(__xludf.DUMMYFUNCTION("GOOGLETRANSLATE(C279,""ja"",""vi"")"),"Đấu giá&gt; thể thao, giải trí&gt; đua xe đạp&gt; đồng phục")</f>
        <v>Đấu giá&gt; thể thao, giải trí&gt; đua xe đạp&gt; đồng phục</v>
      </c>
      <c r="G279" s="229" t="str">
        <f t="shared" ca="1" si="8"/>
        <v>"2084048514" : "Đồng phục",</v>
      </c>
      <c r="H279" s="229" t="str">
        <f t="shared" si="9"/>
        <v>&lt;li class="col-md-3"&gt;&lt;a class="text-cut" href="javascript:;"(click)="categoryEvent(2084048514)"&gt;{{"2084048514" | translate}}&lt;/a&gt;&lt;/li&gt;</v>
      </c>
    </row>
    <row r="280" spans="1:8" ht="14.25" customHeight="1">
      <c r="A280" s="2">
        <v>2084283224</v>
      </c>
      <c r="B280" s="2" t="s">
        <v>5609</v>
      </c>
      <c r="C280" s="2" t="s">
        <v>7465</v>
      </c>
      <c r="D280" s="2" t="s">
        <v>7467</v>
      </c>
      <c r="E280" s="3" t="str">
        <f ca="1">IFERROR(__xludf.DUMMYFUNCTION("GOOGLETRANSLATE(B280,""ja"",""vi"")"),"cơ thể")</f>
        <v>cơ thể</v>
      </c>
      <c r="F280" s="3" t="str">
        <f ca="1">IFERROR(__xludf.DUMMYFUNCTION("GOOGLETRANSLATE(C280,""ja"",""vi"")"),"Đấu giá&gt; thể thao, giải trí&gt; đua xe đạp&gt; cơ thể")</f>
        <v>Đấu giá&gt; thể thao, giải trí&gt; đua xe đạp&gt; cơ thể</v>
      </c>
      <c r="G280" s="229" t="str">
        <f t="shared" ca="1" si="8"/>
        <v>"2084283224" : "cơ thể",</v>
      </c>
      <c r="H280" s="229" t="str">
        <f t="shared" si="9"/>
        <v>&lt;li class="col-md-3"&gt;&lt;a class="text-cut" href="javascript:;"(click)="categoryEvent(2084283224)"&gt;{{"2084283224" | translate}}&lt;/a&gt;&lt;/li&gt;</v>
      </c>
    </row>
    <row r="281" spans="1:8" ht="14.25" customHeight="1">
      <c r="A281" s="2">
        <v>2084229851</v>
      </c>
      <c r="B281" s="2" t="s">
        <v>7470</v>
      </c>
      <c r="C281" s="2" t="s">
        <v>7471</v>
      </c>
      <c r="D281" s="2" t="s">
        <v>7472</v>
      </c>
      <c r="E281" s="3" t="str">
        <f ca="1">IFERROR(__xludf.DUMMYFUNCTION("GOOGLETRANSLATE(B281,""ja"",""vi"")"),"khung")</f>
        <v>khung</v>
      </c>
      <c r="F281" s="3" t="str">
        <f ca="1">IFERROR(__xludf.DUMMYFUNCTION("GOOGLETRANSLATE(C281,""ja"",""vi"")"),"Đấu giá&gt; thể thao, giải trí&gt; đua xe đạp&gt; khung")</f>
        <v>Đấu giá&gt; thể thao, giải trí&gt; đua xe đạp&gt; khung</v>
      </c>
      <c r="G281" s="229" t="str">
        <f t="shared" ca="1" si="8"/>
        <v>"2084229851" : "khung",</v>
      </c>
      <c r="H281" s="229" t="str">
        <f t="shared" si="9"/>
        <v>&lt;li class="col-md-3"&gt;&lt;a class="text-cut" href="javascript:;"(click)="categoryEvent(2084229851)"&gt;{{"2084229851" | translate}}&lt;/a&gt;&lt;/li&gt;</v>
      </c>
    </row>
    <row r="282" spans="1:8" ht="14.25" customHeight="1">
      <c r="A282" s="2">
        <v>2084048511</v>
      </c>
      <c r="B282" s="2" t="s">
        <v>389</v>
      </c>
      <c r="C282" s="2" t="s">
        <v>7475</v>
      </c>
      <c r="D282" s="2" t="s">
        <v>7476</v>
      </c>
      <c r="E282" s="3" t="str">
        <f ca="1">IFERROR(__xludf.DUMMYFUNCTION("GOOGLETRANSLATE(B282,""ja"",""vi"")"),"thẻ điện thoại")</f>
        <v>thẻ điện thoại</v>
      </c>
      <c r="F282" s="3" t="str">
        <f ca="1">IFERROR(__xludf.DUMMYFUNCTION("GOOGLETRANSLATE(C282,""ja"",""vi"")"),"Đấu giá&gt; thể thao, giải trí&gt; đua xe đạp&gt; Thẻ điện thoại")</f>
        <v>Đấu giá&gt; thể thao, giải trí&gt; đua xe đạp&gt; Thẻ điện thoại</v>
      </c>
      <c r="G282" s="229" t="str">
        <f t="shared" ca="1" si="8"/>
        <v>"2084048511" : "thẻ điện thoại",</v>
      </c>
      <c r="H282" s="229" t="str">
        <f t="shared" si="9"/>
        <v>&lt;li class="col-md-3"&gt;&lt;a class="text-cut" href="javascript:;"(click)="categoryEvent(2084048511)"&gt;{{"2084048511" | translate}}&lt;/a&gt;&lt;/li&gt;</v>
      </c>
    </row>
    <row r="283" spans="1:8" ht="14.25" customHeight="1">
      <c r="A283" s="2">
        <v>2084048513</v>
      </c>
      <c r="B283" s="2" t="s">
        <v>16</v>
      </c>
      <c r="C283" s="2" t="s">
        <v>7478</v>
      </c>
      <c r="D283" s="2" t="s">
        <v>7480</v>
      </c>
      <c r="E283" s="3" t="str">
        <f ca="1">IFERROR(__xludf.DUMMYFUNCTION("GOOGLETRANSLATE(B283,""ja"",""vi"")"),"nếu không thì")</f>
        <v>nếu không thì</v>
      </c>
      <c r="F283" s="3" t="str">
        <f ca="1">IFERROR(__xludf.DUMMYFUNCTION("GOOGLETRANSLATE(C283,""ja"",""vi"")"),"Đấu giá&gt; thể thao, giải trí&gt; đua xe đạp&gt; Khác")</f>
        <v>Đấu giá&gt; thể thao, giải trí&gt; đua xe đạp&gt; Khác</v>
      </c>
      <c r="G283" s="229" t="str">
        <f t="shared" ca="1" si="8"/>
        <v>"2084048513" : "nếu không thì",</v>
      </c>
      <c r="H283" s="229" t="str">
        <f t="shared" si="9"/>
        <v>&lt;li class="col-md-3"&gt;&lt;a class="text-cut" href="javascript:;"(click)="categoryEvent(2084048513)"&gt;{{"2084048513" | translate}}&lt;/a&gt;&lt;/li&gt;</v>
      </c>
    </row>
    <row r="284" spans="1:8" ht="14.25" customHeight="1">
      <c r="E284" s="3"/>
      <c r="F284" s="3"/>
      <c r="G284" s="229"/>
      <c r="H284" s="229"/>
    </row>
    <row r="285" spans="1:8" ht="14.25" customHeight="1">
      <c r="A285" s="244">
        <v>24534</v>
      </c>
      <c r="B285" s="232"/>
      <c r="C285" s="232"/>
      <c r="D285" s="233"/>
      <c r="E285" s="3"/>
      <c r="F285" s="3"/>
      <c r="G285" s="229"/>
      <c r="H285" s="229"/>
    </row>
    <row r="286" spans="1:8" ht="14.25" customHeight="1">
      <c r="A286" s="2">
        <v>2084008190</v>
      </c>
      <c r="B286" s="2" t="s">
        <v>1941</v>
      </c>
      <c r="C286" s="2" t="s">
        <v>1942</v>
      </c>
      <c r="D286" s="2" t="s">
        <v>1945</v>
      </c>
      <c r="E286" s="3" t="str">
        <f ca="1">IFERROR(__xludf.DUMMYFUNCTION("GOOGLETRANSLATE(B286,""ja"",""vi"")"),"chó")</f>
        <v>chó</v>
      </c>
      <c r="F286" s="3" t="str">
        <f ca="1">IFERROR(__xludf.DUMMYFUNCTION("GOOGLETRANSLATE(C286,""ja"",""vi"")"),"Đấu giá&gt; nhà, nội thất&gt; Đồ Pet&gt; Chó")</f>
        <v>Đấu giá&gt; nhà, nội thất&gt; Đồ Pet&gt; Chó</v>
      </c>
      <c r="G286" s="229" t="str">
        <f t="shared" ca="1" si="8"/>
        <v>"2084008190" : "chó",</v>
      </c>
      <c r="H286" s="229" t="str">
        <f t="shared" si="9"/>
        <v>&lt;li class="col-md-3"&gt;&lt;a class="text-cut" href="javascript:;"(click)="categoryEvent(2084008190)"&gt;{{"2084008190" | translate}}&lt;/a&gt;&lt;/li&gt;</v>
      </c>
    </row>
    <row r="287" spans="1:8" ht="14.25" customHeight="1">
      <c r="A287" s="2">
        <v>2084008191</v>
      </c>
      <c r="B287" s="2" t="s">
        <v>1950</v>
      </c>
      <c r="C287" s="2" t="s">
        <v>1951</v>
      </c>
      <c r="D287" s="2" t="s">
        <v>1952</v>
      </c>
      <c r="E287" s="3" t="str">
        <f ca="1">IFERROR(__xludf.DUMMYFUNCTION("GOOGLETRANSLATE(B287,""ja"",""vi"")"),"con mèo")</f>
        <v>con mèo</v>
      </c>
      <c r="F287" s="3" t="str">
        <f ca="1">IFERROR(__xludf.DUMMYFUNCTION("GOOGLETRANSLATE(C287,""ja"",""vi"")"),"Đấu giá&gt; nhà, nội thất&gt; Đồ Pet&gt; mèo")</f>
        <v>Đấu giá&gt; nhà, nội thất&gt; Đồ Pet&gt; mèo</v>
      </c>
      <c r="G287" s="229" t="str">
        <f t="shared" ca="1" si="8"/>
        <v>"2084008191" : "con mèo",</v>
      </c>
      <c r="H287" s="229" t="str">
        <f t="shared" si="9"/>
        <v>&lt;li class="col-md-3"&gt;&lt;a class="text-cut" href="javascript:;"(click)="categoryEvent(2084008191)"&gt;{{"2084008191" | translate}}&lt;/a&gt;&lt;/li&gt;</v>
      </c>
    </row>
    <row r="288" spans="1:8" ht="14.25" customHeight="1">
      <c r="A288" s="2">
        <v>2084008192</v>
      </c>
      <c r="B288" s="2" t="s">
        <v>1955</v>
      </c>
      <c r="C288" s="2" t="s">
        <v>1957</v>
      </c>
      <c r="D288" s="2" t="s">
        <v>1961</v>
      </c>
      <c r="E288" s="3" t="str">
        <f ca="1">IFERROR(__xludf.DUMMYFUNCTION("GOOGLETRANSLATE(B288,""ja"",""vi"")"),"động vật nhỏ")</f>
        <v>động vật nhỏ</v>
      </c>
      <c r="F288" s="3" t="str">
        <f ca="1">IFERROR(__xludf.DUMMYFUNCTION("GOOGLETRANSLATE(C288,""ja"",""vi"")"),"Đấu giá&gt; nhà, nội thất&gt; Đồ Pet&gt; Loài vật nhỏ")</f>
        <v>Đấu giá&gt; nhà, nội thất&gt; Đồ Pet&gt; Loài vật nhỏ</v>
      </c>
      <c r="G288" s="229" t="str">
        <f t="shared" ca="1" si="8"/>
        <v>"2084008192" : "động vật nhỏ",</v>
      </c>
      <c r="H288" s="229" t="str">
        <f t="shared" si="9"/>
        <v>&lt;li class="col-md-3"&gt;&lt;a class="text-cut" href="javascript:;"(click)="categoryEvent(2084008192)"&gt;{{"2084008192" | translate}}&lt;/a&gt;&lt;/li&gt;</v>
      </c>
    </row>
    <row r="289" spans="1:8" ht="14.25" customHeight="1">
      <c r="A289" s="2">
        <v>2084008193</v>
      </c>
      <c r="B289" s="2" t="s">
        <v>1968</v>
      </c>
      <c r="C289" s="2" t="s">
        <v>1971</v>
      </c>
      <c r="D289" s="2" t="s">
        <v>1973</v>
      </c>
      <c r="E289" s="3" t="str">
        <f ca="1">IFERROR(__xludf.DUMMYFUNCTION("GOOGLETRANSLATE(B289,""ja"",""vi"")"),"chim")</f>
        <v>chim</v>
      </c>
      <c r="F289" s="3" t="str">
        <f ca="1">IFERROR(__xludf.DUMMYFUNCTION("GOOGLETRANSLATE(C289,""ja"",""vi"")"),"Đấu giá&gt; nhà, nội thất&gt; Đồ Pet&gt; chim")</f>
        <v>Đấu giá&gt; nhà, nội thất&gt; Đồ Pet&gt; chim</v>
      </c>
      <c r="G289" s="229" t="str">
        <f t="shared" ca="1" si="8"/>
        <v>"2084008193" : "chim",</v>
      </c>
      <c r="H289" s="229" t="str">
        <f t="shared" si="9"/>
        <v>&lt;li class="col-md-3"&gt;&lt;a class="text-cut" href="javascript:;"(click)="categoryEvent(2084008193)"&gt;{{"2084008193" | translate}}&lt;/a&gt;&lt;/li&gt;</v>
      </c>
    </row>
    <row r="290" spans="1:8" ht="14.25" customHeight="1">
      <c r="A290" s="2">
        <v>24246</v>
      </c>
      <c r="B290" s="2" t="s">
        <v>1980</v>
      </c>
      <c r="C290" s="2" t="s">
        <v>1983</v>
      </c>
      <c r="D290" s="2" t="s">
        <v>1985</v>
      </c>
      <c r="E290" s="3" t="str">
        <f ca="1">IFERROR(__xludf.DUMMYFUNCTION("GOOGLETRANSLATE(B290,""ja"",""vi"")"),", Nhà máy nước cá")</f>
        <v>, Nhà máy nước cá</v>
      </c>
      <c r="F290" s="3" t="str">
        <f ca="1">IFERROR(__xludf.DUMMYFUNCTION("GOOGLETRANSLATE(C290,""ja"",""vi"")"),"Đấu giá&gt; nhà, nội thất&gt; Đồ Pet&gt; cá, nhà máy nước")</f>
        <v>Đấu giá&gt; nhà, nội thất&gt; Đồ Pet&gt; cá, nhà máy nước</v>
      </c>
      <c r="G290" s="229" t="str">
        <f t="shared" ca="1" si="8"/>
        <v>"24246" : ", Nhà máy nước cá",</v>
      </c>
      <c r="H290" s="229" t="str">
        <f t="shared" si="9"/>
        <v>&lt;li class="col-md-3"&gt;&lt;a class="text-cut" href="javascript:;"(click)="categoryEvent(24246)"&gt;{{"24246" | translate}}&lt;/a&gt;&lt;/li&gt;</v>
      </c>
    </row>
    <row r="291" spans="1:8" ht="14.25" customHeight="1">
      <c r="A291" s="2">
        <v>2084047553</v>
      </c>
      <c r="B291" s="2" t="s">
        <v>1989</v>
      </c>
      <c r="C291" s="2" t="s">
        <v>1990</v>
      </c>
      <c r="D291" s="2" t="s">
        <v>1993</v>
      </c>
      <c r="E291" s="3" t="str">
        <f ca="1">IFERROR(__xludf.DUMMYFUNCTION("GOOGLETRANSLATE(B291,""ja"",""vi"")"),"Bò sát, lưỡng cư nguồn cung cấp")</f>
        <v>Bò sát, lưỡng cư nguồn cung cấp</v>
      </c>
      <c r="F291" s="3" t="str">
        <f ca="1">IFERROR(__xludf.DUMMYFUNCTION("GOOGLETRANSLATE(C291,""ja"",""vi"")"),"Đấu giá&gt; nhà, nội thất&gt; Đồ Pet&gt; bò sát, lưỡng cư nguồn cung cấp")</f>
        <v>Đấu giá&gt; nhà, nội thất&gt; Đồ Pet&gt; bò sát, lưỡng cư nguồn cung cấp</v>
      </c>
      <c r="G291" s="229" t="str">
        <f t="shared" ca="1" si="8"/>
        <v>"2084047553" : "Bò sát, lưỡng cư nguồn cung cấp",</v>
      </c>
      <c r="H291" s="229" t="str">
        <f t="shared" si="9"/>
        <v>&lt;li class="col-md-3"&gt;&lt;a class="text-cut" href="javascript:;"(click)="categoryEvent(2084047553)"&gt;{{"2084047553" | translate}}&lt;/a&gt;&lt;/li&gt;</v>
      </c>
    </row>
    <row r="292" spans="1:8" ht="14.25" customHeight="1">
      <c r="A292" s="2">
        <v>2084061345</v>
      </c>
      <c r="B292" s="2" t="s">
        <v>1764</v>
      </c>
      <c r="C292" s="2" t="s">
        <v>1998</v>
      </c>
      <c r="D292" s="2" t="s">
        <v>1999</v>
      </c>
      <c r="E292" s="3" t="str">
        <f ca="1">IFERROR(__xludf.DUMMYFUNCTION("GOOGLETRANSLATE(B292,""ja"",""vi"")"),"Côn trùng")</f>
        <v>Côn trùng</v>
      </c>
      <c r="F292" s="3" t="str">
        <f ca="1">IFERROR(__xludf.DUMMYFUNCTION("GOOGLETRANSLATE(C292,""ja"",""vi"")"),"Đấu giá&gt; nhà, nội thất&gt; Đồ Pet&gt; côn trùng")</f>
        <v>Đấu giá&gt; nhà, nội thất&gt; Đồ Pet&gt; côn trùng</v>
      </c>
      <c r="G292" s="229" t="str">
        <f t="shared" ca="1" si="8"/>
        <v>"2084061345" : "Côn trùng",</v>
      </c>
      <c r="H292" s="229" t="str">
        <f t="shared" si="9"/>
        <v>&lt;li class="col-md-3"&gt;&lt;a class="text-cut" href="javascript:;"(click)="categoryEvent(2084061345)"&gt;{{"2084061345" | translate}}&lt;/a&gt;&lt;/li&gt;</v>
      </c>
    </row>
    <row r="293" spans="1:8" ht="14.25" customHeight="1">
      <c r="A293" s="2">
        <v>24538</v>
      </c>
      <c r="B293" s="2" t="s">
        <v>2003</v>
      </c>
      <c r="C293" s="2" t="s">
        <v>2005</v>
      </c>
      <c r="D293" s="2" t="s">
        <v>2008</v>
      </c>
      <c r="E293" s="3" t="str">
        <f ca="1">IFERROR(__xludf.DUMMYFUNCTION("GOOGLETRANSLATE(B293,""ja"",""vi"")"),"Cage, lồng")</f>
        <v>Cage, lồng</v>
      </c>
      <c r="F293" s="3" t="str">
        <f ca="1">IFERROR(__xludf.DUMMYFUNCTION("GOOGLETRANSLATE(C293,""ja"",""vi"")"),"Đấu giá&gt; nhà, nội thất&gt; Đồ Pet&gt; lồng, lồng")</f>
        <v>Đấu giá&gt; nhà, nội thất&gt; Đồ Pet&gt; lồng, lồng</v>
      </c>
      <c r="G293" s="229" t="str">
        <f t="shared" ca="1" si="8"/>
        <v>"24538" : "Cage, lồng",</v>
      </c>
      <c r="H293" s="229" t="str">
        <f t="shared" si="9"/>
        <v>&lt;li class="col-md-3"&gt;&lt;a class="text-cut" href="javascript:;"(click)="categoryEvent(24538)"&gt;{{"24538" | translate}}&lt;/a&gt;&lt;/li&gt;</v>
      </c>
    </row>
    <row r="294" spans="1:8" ht="14.25" customHeight="1">
      <c r="A294" s="2">
        <v>24542</v>
      </c>
      <c r="B294" s="2" t="s">
        <v>2012</v>
      </c>
      <c r="C294" s="2" t="s">
        <v>2013</v>
      </c>
      <c r="D294" s="2" t="s">
        <v>2014</v>
      </c>
      <c r="E294" s="3" t="str">
        <f ca="1">IFERROR(__xludf.DUMMYFUNCTION("GOOGLETRANSLATE(B294,""ja"",""vi"")"),"thức ăn vật nuôi")</f>
        <v>thức ăn vật nuôi</v>
      </c>
      <c r="F294" s="3" t="str">
        <f ca="1">IFERROR(__xludf.DUMMYFUNCTION("GOOGLETRANSLATE(C294,""ja"",""vi"")"),"Đấu giá&gt; nhà, nội thất&gt; Đồ Pet&gt; Pet Food")</f>
        <v>Đấu giá&gt; nhà, nội thất&gt; Đồ Pet&gt; Pet Food</v>
      </c>
      <c r="G294" s="229" t="str">
        <f t="shared" ca="1" si="8"/>
        <v>"24542" : "thức ăn vật nuôi",</v>
      </c>
      <c r="H294" s="229" t="str">
        <f t="shared" si="9"/>
        <v>&lt;li class="col-md-3"&gt;&lt;a class="text-cut" href="javascript:;"(click)="categoryEvent(24542)"&gt;{{"24542" | translate}}&lt;/a&gt;&lt;/li&gt;</v>
      </c>
    </row>
    <row r="295" spans="1:8" ht="14.25" customHeight="1">
      <c r="A295" s="2">
        <v>2084008884</v>
      </c>
      <c r="B295" s="2" t="s">
        <v>162</v>
      </c>
      <c r="C295" s="2" t="s">
        <v>2018</v>
      </c>
      <c r="D295" s="2" t="s">
        <v>2019</v>
      </c>
      <c r="E295" s="3" t="str">
        <f ca="1">IFERROR(__xludf.DUMMYFUNCTION("GOOGLETRANSLATE(B295,""ja"",""vi"")"),"Sách, tạp chí")</f>
        <v>Sách, tạp chí</v>
      </c>
      <c r="F295" s="3" t="str">
        <f ca="1">IFERROR(__xludf.DUMMYFUNCTION("GOOGLETRANSLATE(C295,""ja"",""vi"")"),"Đấu giá&gt; nhà, Đồ nội thất&gt; Pet&gt; Sách, tạp chí")</f>
        <v>Đấu giá&gt; nhà, Đồ nội thất&gt; Pet&gt; Sách, tạp chí</v>
      </c>
      <c r="G295" s="229" t="str">
        <f t="shared" ca="1" si="8"/>
        <v>"2084008884" : "Sách, tạp chí",</v>
      </c>
      <c r="H295" s="229" t="str">
        <f t="shared" si="9"/>
        <v>&lt;li class="col-md-3"&gt;&lt;a class="text-cut" href="javascript:;"(click)="categoryEvent(2084008884)"&gt;{{"2084008884" | translate}}&lt;/a&gt;&lt;/li&gt;</v>
      </c>
    </row>
    <row r="296" spans="1:8" ht="14.25" customHeight="1">
      <c r="A296" s="2">
        <v>24546</v>
      </c>
      <c r="B296" s="2" t="s">
        <v>16</v>
      </c>
      <c r="C296" s="2" t="s">
        <v>2023</v>
      </c>
      <c r="D296" s="2" t="s">
        <v>2026</v>
      </c>
      <c r="E296" s="3" t="str">
        <f ca="1">IFERROR(__xludf.DUMMYFUNCTION("GOOGLETRANSLATE(B296,""ja"",""vi"")"),"nếu không thì")</f>
        <v>nếu không thì</v>
      </c>
      <c r="F296" s="3" t="str">
        <f ca="1">IFERROR(__xludf.DUMMYFUNCTION("GOOGLETRANSLATE(C296,""ja"",""vi"")"),"Đấu giá&gt; nhà, nội thất&gt; Đồ Pet&gt; Khác")</f>
        <v>Đấu giá&gt; nhà, nội thất&gt; Đồ Pet&gt; Khác</v>
      </c>
      <c r="G296" s="229" t="str">
        <f t="shared" ca="1" si="8"/>
        <v>"24546" : "nếu không thì",</v>
      </c>
      <c r="H296" s="229" t="str">
        <f t="shared" si="9"/>
        <v>&lt;li class="col-md-3"&gt;&lt;a class="text-cut" href="javascript:;"(click)="categoryEvent(24546)"&gt;{{"24546" | translate}}&lt;/a&gt;&lt;/li&gt;</v>
      </c>
    </row>
    <row r="297" spans="1:8" ht="14.25" customHeight="1">
      <c r="E297" s="3"/>
      <c r="F297" s="3"/>
      <c r="G297" s="229"/>
      <c r="H297" s="229"/>
    </row>
    <row r="298" spans="1:8" ht="14.25" customHeight="1">
      <c r="A298" s="245">
        <v>26086</v>
      </c>
      <c r="B298" s="232"/>
      <c r="C298" s="232"/>
      <c r="D298" s="233"/>
      <c r="E298" s="3"/>
      <c r="F298" s="3"/>
      <c r="G298" s="229"/>
      <c r="H298" s="229"/>
    </row>
    <row r="299" spans="1:8" ht="14.25" customHeight="1">
      <c r="A299" s="2">
        <v>2084200287</v>
      </c>
      <c r="B299" s="2" t="s">
        <v>1217</v>
      </c>
      <c r="C299" s="2" t="s">
        <v>1218</v>
      </c>
      <c r="D299" s="2" t="s">
        <v>1219</v>
      </c>
      <c r="E299" s="3" t="str">
        <f ca="1">IFERROR(__xludf.DUMMYFUNCTION("GOOGLETRANSLATE(B299,""ja"",""vi"")"),"nông nghiệp")</f>
        <v>nông nghiệp</v>
      </c>
      <c r="F299" s="3" t="str">
        <f ca="1">IFERROR(__xludf.DUMMYFUNCTION("GOOGLETRANSLATE(C299,""ja"",""vi"")"),"Đấu giá&gt; hoa, làm vườn&gt; nông nghiệp")</f>
        <v>Đấu giá&gt; hoa, làm vườn&gt; nông nghiệp</v>
      </c>
      <c r="G299" s="229" t="str">
        <f t="shared" ca="1" si="8"/>
        <v>"2084200287" : "nông nghiệp",</v>
      </c>
      <c r="H299" s="229" t="str">
        <f t="shared" si="9"/>
        <v>&lt;li class="col-md-3"&gt;&lt;a class="text-cut" href="javascript:;"(click)="categoryEvent(2084200287)"&gt;{{"2084200287" | translate}}&lt;/a&gt;&lt;/li&gt;</v>
      </c>
    </row>
    <row r="300" spans="1:8" ht="14.25" customHeight="1">
      <c r="A300" s="2">
        <v>2084006704</v>
      </c>
      <c r="B300" s="2" t="s">
        <v>1225</v>
      </c>
      <c r="C300" s="2" t="s">
        <v>1226</v>
      </c>
      <c r="D300" s="2" t="s">
        <v>1227</v>
      </c>
      <c r="E300" s="3" t="str">
        <f ca="1">IFERROR(__xludf.DUMMYFUNCTION("GOOGLETRANSLATE(B300,""ja"",""vi"")"),"nghề làm vườn")</f>
        <v>nghề làm vườn</v>
      </c>
      <c r="F300" s="3" t="str">
        <f ca="1">IFERROR(__xludf.DUMMYFUNCTION("GOOGLETRANSLATE(C300,""ja"",""vi"")"),"Đấu giá&gt; hoa, làm vườn&gt; Làm vườn")</f>
        <v>Đấu giá&gt; hoa, làm vườn&gt; Làm vườn</v>
      </c>
      <c r="G300" s="229" t="str">
        <f t="shared" ca="1" si="8"/>
        <v>"2084006704" : "nghề làm vườn",</v>
      </c>
      <c r="H300" s="229" t="str">
        <f t="shared" si="9"/>
        <v>&lt;li class="col-md-3"&gt;&lt;a class="text-cut" href="javascript:;"(click)="categoryEvent(2084006704)"&gt;{{"2084006704" | translate}}&lt;/a&gt;&lt;/li&gt;</v>
      </c>
    </row>
    <row r="301" spans="1:8" ht="14.25" customHeight="1">
      <c r="A301" s="2">
        <v>2084006711</v>
      </c>
      <c r="B301" s="2" t="s">
        <v>1232</v>
      </c>
      <c r="C301" s="2" t="s">
        <v>1233</v>
      </c>
      <c r="D301" s="2" t="s">
        <v>1234</v>
      </c>
      <c r="E301" s="3" t="str">
        <f ca="1">IFERROR(__xludf.DUMMYFUNCTION("GOOGLETRANSLATE(B301,""ja"",""vi"")"),"sắp xếp")</f>
        <v>sắp xếp</v>
      </c>
      <c r="F301" s="3" t="str">
        <f ca="1">IFERROR(__xludf.DUMMYFUNCTION("GOOGLETRANSLATE(C301,""ja"",""vi"")"),"Đấu giá&gt; hoa, làm vườn&gt; sắp xếp")</f>
        <v>Đấu giá&gt; hoa, làm vườn&gt; sắp xếp</v>
      </c>
      <c r="G301" s="229" t="str">
        <f t="shared" ca="1" si="8"/>
        <v>"2084006711" : "sắp xếp",</v>
      </c>
      <c r="H301" s="229" t="str">
        <f t="shared" si="9"/>
        <v>&lt;li class="col-md-3"&gt;&lt;a class="text-cut" href="javascript:;"(click)="categoryEvent(2084006711)"&gt;{{"2084006711" | translate}}&lt;/a&gt;&lt;/li&gt;</v>
      </c>
    </row>
    <row r="302" spans="1:8" ht="14.25" customHeight="1">
      <c r="A302" s="2">
        <v>2084006710</v>
      </c>
      <c r="B302" s="2" t="s">
        <v>1239</v>
      </c>
      <c r="C302" s="2" t="s">
        <v>1240</v>
      </c>
      <c r="D302" s="2" t="s">
        <v>1241</v>
      </c>
      <c r="E302" s="3" t="str">
        <f ca="1">IFERROR(__xludf.DUMMYFUNCTION("GOOGLETRANSLATE(B302,""ja"",""vi"")"),"hoa cắt cành, bó hoa")</f>
        <v>hoa cắt cành, bó hoa</v>
      </c>
      <c r="F302" s="3" t="str">
        <f ca="1">IFERROR(__xludf.DUMMYFUNCTION("GOOGLETRANSLATE(C302,""ja"",""vi"")"),"Đấu giá&gt; hoa, làm vườn&gt; cắt hoa, bó hoa")</f>
        <v>Đấu giá&gt; hoa, làm vườn&gt; cắt hoa, bó hoa</v>
      </c>
      <c r="G302" s="229" t="str">
        <f t="shared" ca="1" si="8"/>
        <v>"2084006710" : "hoa cắt cành, bó hoa",</v>
      </c>
      <c r="H302" s="229" t="str">
        <f t="shared" si="9"/>
        <v>&lt;li class="col-md-3"&gt;&lt;a class="text-cut" href="javascript:;"(click)="categoryEvent(2084006710)"&gt;{{"2084006710" | translate}}&lt;/a&gt;&lt;/li&gt;</v>
      </c>
    </row>
    <row r="303" spans="1:8" ht="14.25" customHeight="1">
      <c r="A303" s="2">
        <v>2084048020</v>
      </c>
      <c r="B303" s="2" t="s">
        <v>1245</v>
      </c>
      <c r="C303" s="2" t="s">
        <v>1251</v>
      </c>
      <c r="D303" s="2" t="s">
        <v>1252</v>
      </c>
      <c r="E303" s="3" t="str">
        <f ca="1">IFERROR(__xludf.DUMMYFUNCTION("GOOGLETRANSLATE(B303,""ja"",""vi"")"),"Bonsai")</f>
        <v>Bonsai</v>
      </c>
      <c r="F303" s="3" t="str">
        <f ca="1">IFERROR(__xludf.DUMMYFUNCTION("GOOGLETRANSLATE(C303,""ja"",""vi"")"),"Đấu giá&gt; hoa, làm vườn&gt; cây cảnh")</f>
        <v>Đấu giá&gt; hoa, làm vườn&gt; cây cảnh</v>
      </c>
      <c r="G303" s="229" t="str">
        <f t="shared" ca="1" si="8"/>
        <v>"2084048020" : "Bonsai",</v>
      </c>
      <c r="H303" s="229" t="str">
        <f t="shared" si="9"/>
        <v>&lt;li class="col-md-3"&gt;&lt;a class="text-cut" href="javascript:;"(click)="categoryEvent(2084048020)"&gt;{{"2084048020" | translate}}&lt;/a&gt;&lt;/li&gt;</v>
      </c>
    </row>
    <row r="304" spans="1:8" ht="14.25" customHeight="1">
      <c r="A304" s="2">
        <v>2084048017</v>
      </c>
      <c r="B304" s="2" t="s">
        <v>1256</v>
      </c>
      <c r="C304" s="2" t="s">
        <v>1257</v>
      </c>
      <c r="D304" s="2" t="s">
        <v>1260</v>
      </c>
      <c r="E304" s="3" t="str">
        <f ca="1">IFERROR(__xludf.DUMMYFUNCTION("GOOGLETRANSLATE(B304,""ja"",""vi"")"),"cây trong nhà")</f>
        <v>cây trong nhà</v>
      </c>
      <c r="F304" s="3" t="str">
        <f ca="1">IFERROR(__xludf.DUMMYFUNCTION("GOOGLETRANSLATE(C304,""ja"",""vi"")"),"Đấu giá&gt; hoa, làm vườn&gt; cây trang trí")</f>
        <v>Đấu giá&gt; hoa, làm vườn&gt; cây trang trí</v>
      </c>
      <c r="G304" s="229" t="str">
        <f t="shared" ca="1" si="8"/>
        <v>"2084048017" : "cây trong nhà",</v>
      </c>
      <c r="H304" s="229" t="str">
        <f t="shared" si="9"/>
        <v>&lt;li class="col-md-3"&gt;&lt;a class="text-cut" href="javascript:;"(click)="categoryEvent(2084048017)"&gt;{{"2084048017" | translate}}&lt;/a&gt;&lt;/li&gt;</v>
      </c>
    </row>
    <row r="305" spans="1:8" ht="14.25" customHeight="1">
      <c r="A305" s="2">
        <v>2084006709</v>
      </c>
      <c r="B305" s="2" t="s">
        <v>1265</v>
      </c>
      <c r="C305" s="2" t="s">
        <v>1267</v>
      </c>
      <c r="D305" s="2" t="s">
        <v>1269</v>
      </c>
      <c r="E305" s="3" t="str">
        <f ca="1">IFERROR(__xludf.DUMMYFUNCTION("GOOGLETRANSLATE(B305,""ja"",""vi"")"),"cây trồng trong chậu")</f>
        <v>cây trồng trong chậu</v>
      </c>
      <c r="F305" s="3" t="str">
        <f ca="1">IFERROR(__xludf.DUMMYFUNCTION("GOOGLETRANSLATE(C305,""ja"",""vi"")"),"Đấu giá&gt; hoa, làm vườn&gt; chậu cây")</f>
        <v>Đấu giá&gt; hoa, làm vườn&gt; chậu cây</v>
      </c>
      <c r="G305" s="229" t="str">
        <f t="shared" ca="1" si="8"/>
        <v>"2084006709" : "cây trồng trong chậu",</v>
      </c>
      <c r="H305" s="229" t="str">
        <f t="shared" si="9"/>
        <v>&lt;li class="col-md-3"&gt;&lt;a class="text-cut" href="javascript:;"(click)="categoryEvent(2084006709)"&gt;{{"2084006709" | translate}}&lt;/a&gt;&lt;/li&gt;</v>
      </c>
    </row>
    <row r="306" spans="1:8" ht="14.25" customHeight="1">
      <c r="A306" s="2">
        <v>2084006703</v>
      </c>
      <c r="B306" s="2" t="s">
        <v>1272</v>
      </c>
      <c r="C306" s="2" t="s">
        <v>1273</v>
      </c>
      <c r="D306" s="2" t="s">
        <v>1275</v>
      </c>
      <c r="E306" s="3" t="str">
        <f ca="1">IFERROR(__xludf.DUMMYFUNCTION("GOOGLETRANSLATE(B306,""ja"",""vi"")"),"Ueki, vườn")</f>
        <v>Ueki, vườn</v>
      </c>
      <c r="F306" s="3" t="str">
        <f ca="1">IFERROR(__xludf.DUMMYFUNCTION("GOOGLETRANSLATE(C306,""ja"",""vi"")"),"Đấu giá&gt; hoa, làm vườn&gt; Ueki, vườn")</f>
        <v>Đấu giá&gt; hoa, làm vườn&gt; Ueki, vườn</v>
      </c>
      <c r="G306" s="229" t="str">
        <f t="shared" ca="1" si="8"/>
        <v>"2084006703" : "Ueki, vườn",</v>
      </c>
      <c r="H306" s="229" t="str">
        <f t="shared" si="9"/>
        <v>&lt;li class="col-md-3"&gt;&lt;a class="text-cut" href="javascript:;"(click)="categoryEvent(2084006703)"&gt;{{"2084006703" | translate}}&lt;/a&gt;&lt;/li&gt;</v>
      </c>
    </row>
    <row r="307" spans="1:8" ht="14.25" customHeight="1">
      <c r="A307" s="2">
        <v>2084206880</v>
      </c>
      <c r="B307" s="2" t="s">
        <v>1279</v>
      </c>
      <c r="C307" s="2" t="s">
        <v>1280</v>
      </c>
      <c r="D307" s="2" t="s">
        <v>1282</v>
      </c>
      <c r="E307" s="3" t="str">
        <f ca="1">IFERROR(__xludf.DUMMYFUNCTION("GOOGLETRANSLATE(B307,""ja"",""vi"")"),"Landscaping công cụ, vật liệu")</f>
        <v>Landscaping công cụ, vật liệu</v>
      </c>
      <c r="F307" s="3" t="str">
        <f ca="1">IFERROR(__xludf.DUMMYFUNCTION("GOOGLETRANSLATE(C307,""ja"",""vi"")"),"Đấu giá&gt; hoa, làm vườn&gt; công cụ cây cảnh, vật liệu")</f>
        <v>Đấu giá&gt; hoa, làm vườn&gt; công cụ cây cảnh, vật liệu</v>
      </c>
      <c r="G307" s="229" t="str">
        <f t="shared" ca="1" si="8"/>
        <v>"2084206880" : "Landscaping công cụ, vật liệu",</v>
      </c>
      <c r="H307" s="229" t="str">
        <f t="shared" si="9"/>
        <v>&lt;li class="col-md-3"&gt;&lt;a class="text-cut" href="javascript:;"(click)="categoryEvent(2084206880)"&gt;{{"2084206880" | translate}}&lt;/a&gt;&lt;/li&gt;</v>
      </c>
    </row>
    <row r="308" spans="1:8" ht="14.25" customHeight="1">
      <c r="A308" s="2">
        <v>2084048857</v>
      </c>
      <c r="B308" s="2" t="s">
        <v>1289</v>
      </c>
      <c r="C308" s="2" t="s">
        <v>1290</v>
      </c>
      <c r="D308" s="2" t="s">
        <v>1292</v>
      </c>
      <c r="E308" s="3" t="str">
        <f ca="1">IFERROR(__xludf.DUMMYFUNCTION("GOOGLETRANSLATE(B308,""ja"",""vi"")"),"bảo quản")</f>
        <v>bảo quản</v>
      </c>
      <c r="F308" s="3" t="str">
        <f ca="1">IFERROR(__xludf.DUMMYFUNCTION("GOOGLETRANSLATE(C308,""ja"",""vi"")"),"Đấu giá&gt; hoa, làm vườn&gt; hoa bảo quản")</f>
        <v>Đấu giá&gt; hoa, làm vườn&gt; hoa bảo quản</v>
      </c>
      <c r="G308" s="229" t="str">
        <f t="shared" ca="1" si="8"/>
        <v>"2084048857" : "bảo quản",</v>
      </c>
      <c r="H308" s="229" t="str">
        <f t="shared" si="9"/>
        <v>&lt;li class="col-md-3"&gt;&lt;a class="text-cut" href="javascript:;"(click)="categoryEvent(2084048857)"&gt;{{"2084048857" | translate}}&lt;/a&gt;&lt;/li&gt;</v>
      </c>
    </row>
    <row r="309" spans="1:8" ht="14.25" customHeight="1">
      <c r="A309" s="2">
        <v>2084006708</v>
      </c>
      <c r="B309" s="2" t="s">
        <v>1298</v>
      </c>
      <c r="C309" s="2" t="s">
        <v>1300</v>
      </c>
      <c r="D309" s="2" t="s">
        <v>1301</v>
      </c>
      <c r="E309" s="3" t="str">
        <f ca="1">IFERROR(__xludf.DUMMYFUNCTION("GOOGLETRANSLATE(B309,""ja"",""vi"")"),"hoa khô")</f>
        <v>hoa khô</v>
      </c>
      <c r="F309" s="3" t="str">
        <f ca="1">IFERROR(__xludf.DUMMYFUNCTION("GOOGLETRANSLATE(C309,""ja"",""vi"")"),"Đấu giá&gt; hoa, làm vườn&gt; hoa khô")</f>
        <v>Đấu giá&gt; hoa, làm vườn&gt; hoa khô</v>
      </c>
      <c r="G309" s="229" t="str">
        <f t="shared" ca="1" si="8"/>
        <v>"2084006708" : "hoa khô",</v>
      </c>
      <c r="H309" s="229" t="str">
        <f t="shared" si="9"/>
        <v>&lt;li class="col-md-3"&gt;&lt;a class="text-cut" href="javascript:;"(click)="categoryEvent(2084006708)"&gt;{{"2084006708" | translate}}&lt;/a&gt;&lt;/li&gt;</v>
      </c>
    </row>
    <row r="310" spans="1:8" ht="14.25" customHeight="1">
      <c r="A310" s="2">
        <v>2084047125</v>
      </c>
      <c r="B310" s="2" t="s">
        <v>1304</v>
      </c>
      <c r="C310" s="2" t="s">
        <v>1306</v>
      </c>
      <c r="D310" s="2" t="s">
        <v>1308</v>
      </c>
      <c r="E310" s="3" t="str">
        <f ca="1">IFERROR(__xludf.DUMMYFUNCTION("GOOGLETRANSLATE(B310,""ja"",""vi"")"),"cho thuê")</f>
        <v>cho thuê</v>
      </c>
      <c r="F310" s="3" t="str">
        <f ca="1">IFERROR(__xludf.DUMMYFUNCTION("GOOGLETRANSLATE(C310,""ja"",""vi"")"),"Đấu giá&gt; hoa, làm vườn&gt; thuê")</f>
        <v>Đấu giá&gt; hoa, làm vườn&gt; thuê</v>
      </c>
      <c r="G310" s="229" t="str">
        <f t="shared" ca="1" si="8"/>
        <v>"2084047125" : "cho thuê",</v>
      </c>
      <c r="H310" s="229" t="str">
        <f t="shared" si="9"/>
        <v>&lt;li class="col-md-3"&gt;&lt;a class="text-cut" href="javascript:;"(click)="categoryEvent(2084047125)"&gt;{{"2084047125" | translate}}&lt;/a&gt;&lt;/li&gt;</v>
      </c>
    </row>
    <row r="311" spans="1:8" ht="14.25" customHeight="1">
      <c r="A311" s="2">
        <v>2084048858</v>
      </c>
      <c r="B311" s="2" t="s">
        <v>1310</v>
      </c>
      <c r="C311" s="2" t="s">
        <v>1312</v>
      </c>
      <c r="D311" s="2" t="s">
        <v>1313</v>
      </c>
      <c r="E311" s="3" t="str">
        <f ca="1">IFERROR(__xludf.DUMMYFUNCTION("GOOGLETRANSLATE(B311,""ja"",""vi"")"),"ép hoa")</f>
        <v>ép hoa</v>
      </c>
      <c r="F311" s="3" t="str">
        <f ca="1">IFERROR(__xludf.DUMMYFUNCTION("GOOGLETRANSLATE(C311,""ja"",""vi"")"),"Đấu giá&gt; hoa, làm vườn&gt; hoa ép")</f>
        <v>Đấu giá&gt; hoa, làm vườn&gt; hoa ép</v>
      </c>
      <c r="G311" s="229" t="str">
        <f t="shared" ca="1" si="8"/>
        <v>"2084048858" : "ép hoa",</v>
      </c>
      <c r="H311" s="229" t="str">
        <f t="shared" si="9"/>
        <v>&lt;li class="col-md-3"&gt;&lt;a class="text-cut" href="javascript:;"(click)="categoryEvent(2084048858)"&gt;{{"2084048858" | translate}}&lt;/a&gt;&lt;/li&gt;</v>
      </c>
    </row>
    <row r="312" spans="1:8" ht="14.25" customHeight="1">
      <c r="A312" s="2">
        <v>2084006705</v>
      </c>
      <c r="B312" s="2" t="s">
        <v>1315</v>
      </c>
      <c r="C312" s="2" t="s">
        <v>1317</v>
      </c>
      <c r="D312" s="2" t="s">
        <v>1318</v>
      </c>
      <c r="E312" s="3" t="str">
        <f ca="1">IFERROR(__xludf.DUMMYFUNCTION("GOOGLETRANSLATE(B312,""ja"",""vi"")"),"hoa nhân tạo")</f>
        <v>hoa nhân tạo</v>
      </c>
      <c r="F312" s="3" t="str">
        <f ca="1">IFERROR(__xludf.DUMMYFUNCTION("GOOGLETRANSLATE(C312,""ja"",""vi"")"),"Đấu giá&gt; hoa, làm vườn&gt; hoa giả")</f>
        <v>Đấu giá&gt; hoa, làm vườn&gt; hoa giả</v>
      </c>
      <c r="G312" s="229" t="str">
        <f t="shared" ca="1" si="8"/>
        <v>"2084006705" : "hoa nhân tạo",</v>
      </c>
      <c r="H312" s="229" t="str">
        <f t="shared" si="9"/>
        <v>&lt;li class="col-md-3"&gt;&lt;a class="text-cut" href="javascript:;"(click)="categoryEvent(2084006705)"&gt;{{"2084006705" | translate}}&lt;/a&gt;&lt;/li&gt;</v>
      </c>
    </row>
    <row r="313" spans="1:8" ht="14.25" customHeight="1">
      <c r="A313" s="2">
        <v>2084024334</v>
      </c>
      <c r="B313" s="2" t="s">
        <v>1321</v>
      </c>
      <c r="C313" s="2" t="s">
        <v>1322</v>
      </c>
      <c r="D313" s="2" t="s">
        <v>1323</v>
      </c>
      <c r="E313" s="3" t="str">
        <f ca="1">IFERROR(__xludf.DUMMYFUNCTION("GOOGLETRANSLATE(B313,""ja"",""vi"")"),"cái bình")</f>
        <v>cái bình</v>
      </c>
      <c r="F313" s="3" t="str">
        <f ca="1">IFERROR(__xludf.DUMMYFUNCTION("GOOGLETRANSLATE(C313,""ja"",""vi"")"),"Đấu giá&gt; hoa, làm vườn&gt; bình")</f>
        <v>Đấu giá&gt; hoa, làm vườn&gt; bình</v>
      </c>
      <c r="G313" s="229" t="str">
        <f t="shared" ca="1" si="8"/>
        <v>"2084024334" : "cái bình",</v>
      </c>
      <c r="H313" s="229" t="str">
        <f t="shared" si="9"/>
        <v>&lt;li class="col-md-3"&gt;&lt;a class="text-cut" href="javascript:;"(click)="categoryEvent(2084024334)"&gt;{{"2084024334" | translate}}&lt;/a&gt;&lt;/li&gt;</v>
      </c>
    </row>
    <row r="314" spans="1:8" ht="14.25" customHeight="1">
      <c r="A314" s="2">
        <v>2084047772</v>
      </c>
      <c r="B314" s="2" t="s">
        <v>1326</v>
      </c>
      <c r="C314" s="2" t="s">
        <v>1327</v>
      </c>
      <c r="D314" s="2" t="s">
        <v>1328</v>
      </c>
      <c r="E314" s="3" t="str">
        <f ca="1">IFERROR(__xludf.DUMMYFUNCTION("GOOGLETRANSLATE(B314,""ja"",""vi"")"),"sách liên quan")</f>
        <v>sách liên quan</v>
      </c>
      <c r="F314" s="3" t="str">
        <f ca="1">IFERROR(__xludf.DUMMYFUNCTION("GOOGLETRANSLATE(C314,""ja"",""vi"")"),"Đấu giá&gt; hoa, làm vườn&gt; sách liên quan")</f>
        <v>Đấu giá&gt; hoa, làm vườn&gt; sách liên quan</v>
      </c>
      <c r="G314" s="229" t="str">
        <f t="shared" ca="1" si="8"/>
        <v>"2084047772" : "sách liên quan",</v>
      </c>
      <c r="H314" s="229" t="str">
        <f t="shared" si="9"/>
        <v>&lt;li class="col-md-3"&gt;&lt;a class="text-cut" href="javascript:;"(click)="categoryEvent(2084047772)"&gt;{{"2084047772" | translate}}&lt;/a&gt;&lt;/li&gt;</v>
      </c>
    </row>
    <row r="315" spans="1:8" ht="14.25" customHeight="1">
      <c r="A315" s="2">
        <v>2084006706</v>
      </c>
      <c r="B315" s="2" t="s">
        <v>16</v>
      </c>
      <c r="C315" s="2" t="s">
        <v>1329</v>
      </c>
      <c r="D315" s="2" t="s">
        <v>1330</v>
      </c>
      <c r="E315" s="3" t="str">
        <f ca="1">IFERROR(__xludf.DUMMYFUNCTION("GOOGLETRANSLATE(B315,""ja"",""vi"")"),"nếu không thì")</f>
        <v>nếu không thì</v>
      </c>
      <c r="F315" s="3" t="str">
        <f ca="1">IFERROR(__xludf.DUMMYFUNCTION("GOOGLETRANSLATE(C315,""ja"",""vi"")"),"Đấu giá&gt; hoa, làm vườn&gt; Khác")</f>
        <v>Đấu giá&gt; hoa, làm vườn&gt; Khác</v>
      </c>
      <c r="G315" s="229" t="str">
        <f t="shared" ca="1" si="8"/>
        <v>"2084006706" : "nếu không thì",</v>
      </c>
      <c r="H315" s="229" t="str">
        <f t="shared" si="9"/>
        <v>&lt;li class="col-md-3"&gt;&lt;a class="text-cut" href="javascript:;"(click)="categoryEvent(2084006706)"&gt;{{"2084006706" | translate}}&lt;/a&gt;&lt;/li&gt;</v>
      </c>
    </row>
    <row r="316" spans="1:8" ht="14.25" customHeight="1">
      <c r="E316" s="3"/>
      <c r="F316" s="3"/>
      <c r="G316" s="229"/>
      <c r="H316" s="229"/>
    </row>
    <row r="317" spans="1:8" ht="14.25" customHeight="1">
      <c r="A317" s="243">
        <v>2084307762</v>
      </c>
      <c r="B317" s="232"/>
      <c r="C317" s="232"/>
      <c r="D317" s="233"/>
      <c r="E317" s="3"/>
      <c r="F317" s="3"/>
      <c r="G317" s="229"/>
      <c r="H317" s="229"/>
    </row>
    <row r="318" spans="1:8" ht="14.25" customHeight="1">
      <c r="A318" s="2">
        <v>2084307765</v>
      </c>
      <c r="B318" s="2" t="s">
        <v>7534</v>
      </c>
      <c r="C318" s="2" t="s">
        <v>7535</v>
      </c>
      <c r="D318" s="2" t="s">
        <v>7536</v>
      </c>
      <c r="E318" s="3" t="str">
        <f ca="1">IFERROR(__xludf.DUMMYFUNCTION("GOOGLETRANSLATE(B318,""ja"",""vi"")"),"Cắm trại, ngoài trời")</f>
        <v>Cắm trại, ngoài trời</v>
      </c>
      <c r="F318" s="3" t="str">
        <f ca="1">IFERROR(__xludf.DUMMYFUNCTION("GOOGLETRANSLATE(C318,""ja"",""vi"")"),"Đấu giá&gt; Khác&gt; Cho thuê&gt; Thể thao, giải trí&gt; trại, ngoài trời")</f>
        <v>Đấu giá&gt; Khác&gt; Cho thuê&gt; Thể thao, giải trí&gt; trại, ngoài trời</v>
      </c>
      <c r="G318" s="229" t="str">
        <f t="shared" ca="1" si="8"/>
        <v>"2084307765" : "Cắm trại, ngoài trời",</v>
      </c>
      <c r="H318" s="229" t="str">
        <f t="shared" si="9"/>
        <v>&lt;li class="col-md-3"&gt;&lt;a class="text-cut" href="javascript:;"(click)="categoryEvent(2084307765)"&gt;{{"2084307765" | translate}}&lt;/a&gt;&lt;/li&gt;</v>
      </c>
    </row>
    <row r="319" spans="1:8" ht="14.25" customHeight="1">
      <c r="A319" s="2">
        <v>2084307766</v>
      </c>
      <c r="B319" s="2" t="s">
        <v>5917</v>
      </c>
      <c r="C319" s="2" t="s">
        <v>7539</v>
      </c>
      <c r="D319" s="2" t="s">
        <v>7541</v>
      </c>
      <c r="E319" s="3" t="str">
        <f ca="1">IFERROR(__xludf.DUMMYFUNCTION("GOOGLETRANSLATE(B319,""ja"",""vi"")"),"xe đạp")</f>
        <v>xe đạp</v>
      </c>
      <c r="F319" s="3" t="str">
        <f ca="1">IFERROR(__xludf.DUMMYFUNCTION("GOOGLETRANSLATE(C319,""ja"",""vi"")"),"Đấu giá&gt; Khác&gt; Cho thuê&gt; Thể thao, giải trí&gt; xe đạp")</f>
        <v>Đấu giá&gt; Khác&gt; Cho thuê&gt; Thể thao, giải trí&gt; xe đạp</v>
      </c>
      <c r="G319" s="229" t="str">
        <f t="shared" ca="1" si="8"/>
        <v>"2084307766" : "xe đạp",</v>
      </c>
      <c r="H319" s="229" t="str">
        <f t="shared" si="9"/>
        <v>&lt;li class="col-md-3"&gt;&lt;a class="text-cut" href="javascript:;"(click)="categoryEvent(2084307766)"&gt;{{"2084307766" | translate}}&lt;/a&gt;&lt;/li&gt;</v>
      </c>
    </row>
    <row r="320" spans="1:8" ht="14.25" customHeight="1">
      <c r="A320" s="2">
        <v>2084307767</v>
      </c>
      <c r="B320" s="2" t="s">
        <v>7544</v>
      </c>
      <c r="C320" s="2" t="s">
        <v>7545</v>
      </c>
      <c r="D320" s="2" t="s">
        <v>7546</v>
      </c>
      <c r="E320" s="3" t="str">
        <f ca="1">IFERROR(__xludf.DUMMYFUNCTION("GOOGLETRANSLATE(B320,""ja"",""vi"")"),"Trượt tuyết, trượt tuyết")</f>
        <v>Trượt tuyết, trượt tuyết</v>
      </c>
      <c r="F320" s="3" t="str">
        <f ca="1">IFERROR(__xludf.DUMMYFUNCTION("GOOGLETRANSLATE(C320,""ja"",""vi"")"),"Đấu giá&gt; Khác&gt; Cho thuê&gt; Thể thao, Giải trí&gt; Trượt tuyết, trượt tuyết")</f>
        <v>Đấu giá&gt; Khác&gt; Cho thuê&gt; Thể thao, Giải trí&gt; Trượt tuyết, trượt tuyết</v>
      </c>
      <c r="G320" s="229" t="str">
        <f t="shared" ca="1" si="8"/>
        <v>"2084307767" : "Trượt tuyết, trượt tuyết",</v>
      </c>
      <c r="H320" s="229" t="str">
        <f t="shared" si="9"/>
        <v>&lt;li class="col-md-3"&gt;&lt;a class="text-cut" href="javascript:;"(click)="categoryEvent(2084307767)"&gt;{{"2084307767" | translate}}&lt;/a&gt;&lt;/li&gt;</v>
      </c>
    </row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173:D173"/>
    <mergeCell ref="A188:D188"/>
    <mergeCell ref="A26:D26"/>
    <mergeCell ref="A88:D88"/>
    <mergeCell ref="A125:D125"/>
    <mergeCell ref="A141:D141"/>
    <mergeCell ref="A162:D162"/>
    <mergeCell ref="A230:D230"/>
    <mergeCell ref="A243:D243"/>
    <mergeCell ref="A251:D251"/>
    <mergeCell ref="A206:D206"/>
    <mergeCell ref="A216:D216"/>
    <mergeCell ref="A220:D220"/>
    <mergeCell ref="A278:D278"/>
    <mergeCell ref="A285:D285"/>
    <mergeCell ref="A298:D298"/>
    <mergeCell ref="A317:D317"/>
    <mergeCell ref="A260:D260"/>
    <mergeCell ref="A266:D266"/>
  </mergeCells>
  <pageMargins left="0.7" right="0.7" top="0.75" bottom="0.75" header="0" footer="0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C1" workbookViewId="0">
      <selection activeCell="H2" sqref="H2"/>
    </sheetView>
  </sheetViews>
  <sheetFormatPr defaultColWidth="12.59765625" defaultRowHeight="15" customHeight="1"/>
  <cols>
    <col min="1" max="1" width="15.3984375" customWidth="1"/>
    <col min="2" max="2" width="23.09765625" customWidth="1"/>
    <col min="3" max="3" width="46.09765625" customWidth="1"/>
    <col min="4" max="4" width="48.59765625" customWidth="1"/>
    <col min="5" max="5" width="6.3984375" customWidth="1"/>
    <col min="6" max="6" width="39.59765625" customWidth="1"/>
    <col min="7" max="7" width="32.19921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22436</v>
      </c>
      <c r="B2" s="89" t="s">
        <v>6471</v>
      </c>
      <c r="C2" s="89" t="s">
        <v>6472</v>
      </c>
      <c r="D2" s="2" t="s">
        <v>6474</v>
      </c>
      <c r="E2" s="3" t="str">
        <f ca="1">IFERROR(__xludf.DUMMYFUNCTION("GOOGLETRANSLATE(B2,""ja"",""vi"")"),"công cụ và thiết bị âm nhạc")</f>
        <v>công cụ và thiết bị âm nhạc</v>
      </c>
      <c r="F2" s="3" t="str">
        <f ca="1">IFERROR(__xludf.DUMMYFUNCTION("GOOGLETRANSLATE(C2,""ja"",""vi"")"),"Đấu giá&gt; Sở thích, văn hóa&gt; nhạc cụ, thiết bị")</f>
        <v>Đấu giá&gt; Sở thích, văn hóa&gt; nhạc cụ, thiết bị</v>
      </c>
      <c r="G2" s="229" t="str">
        <f ca="1">CONCATENATE(CHAR(34)&amp;"",A2,""&amp;CHAR(34)," : ", CHAR(34)&amp;"",E2,""&amp;CHAR(34),",")</f>
        <v>"22436" : "công cụ và thiết bị âm nhạc",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href="javascript:;"(click)="categoryEvent(22436)"&gt;{{"22436" | translate}}&lt;/a&gt;&lt;/li&gt;</v>
      </c>
    </row>
    <row r="3" spans="1:8" ht="14.25" customHeight="1">
      <c r="A3" s="4">
        <v>20056</v>
      </c>
      <c r="B3" s="90" t="s">
        <v>4993</v>
      </c>
      <c r="C3" s="90" t="s">
        <v>6480</v>
      </c>
      <c r="D3" s="4" t="s">
        <v>6482</v>
      </c>
      <c r="E3" s="3" t="str">
        <f ca="1">IFERROR(__xludf.DUMMYFUNCTION("GOOGLETRANSLATE(B3,""ja"",""vi"")"),"Tác phẩm nghệ thuật")</f>
        <v>Tác phẩm nghệ thuật</v>
      </c>
      <c r="F3" s="3" t="str">
        <f ca="1">IFERROR(__xludf.DUMMYFUNCTION("GOOGLETRANSLATE(C3,""ja"",""vi"")"),"Đấu giá&gt; Sở thích, văn hóa&gt; tác phẩm nghệ thuật")</f>
        <v>Đấu giá&gt; Sở thích, văn hóa&gt; tác phẩm nghệ thuật</v>
      </c>
      <c r="G3" s="229" t="str">
        <f t="shared" ref="G3:G66" ca="1" si="0">CONCATENATE(CHAR(34)&amp;"",A3,""&amp;CHAR(34)," : ", CHAR(34)&amp;"",E3,""&amp;CHAR(34),",")</f>
        <v>"20056" : "Tác phẩm nghệ thuật",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href="javascript:;"(click)="categoryEvent(20056)"&gt;{{"20056" | translate}}&lt;/a&gt;&lt;/li&gt;</v>
      </c>
    </row>
    <row r="4" spans="1:8" ht="14.25" customHeight="1">
      <c r="A4" s="5">
        <v>20124</v>
      </c>
      <c r="B4" s="117" t="s">
        <v>2192</v>
      </c>
      <c r="C4" s="117" t="s">
        <v>6489</v>
      </c>
      <c r="D4" s="5" t="s">
        <v>6490</v>
      </c>
      <c r="E4" s="3" t="str">
        <f ca="1">IFERROR(__xludf.DUMMYFUNCTION("GOOGLETRANSLATE(B4,""ja"",""vi"")"),"Art Supplies")</f>
        <v>Art Supplies</v>
      </c>
      <c r="F4" s="3" t="str">
        <f ca="1">IFERROR(__xludf.DUMMYFUNCTION("GOOGLETRANSLATE(C4,""ja"",""vi"")"),"Đấu giá&gt; Sở thích, văn hóa&gt; Art Supplies")</f>
        <v>Đấu giá&gt; Sở thích, văn hóa&gt; Art Supplies</v>
      </c>
      <c r="G4" s="229" t="str">
        <f t="shared" ca="1" si="0"/>
        <v>"20124" : "Art Supplies",</v>
      </c>
      <c r="H4" s="229" t="str">
        <f t="shared" si="1"/>
        <v>&lt;li class="col-md-3"&gt;&lt;a class="text-cut" href="javascript:;"(click)="categoryEvent(20124)"&gt;{{"20124" | translate}}&lt;/a&gt;&lt;/li&gt;</v>
      </c>
    </row>
    <row r="5" spans="1:8" ht="14.25" customHeight="1">
      <c r="A5" s="8">
        <v>20924</v>
      </c>
      <c r="B5" s="93" t="s">
        <v>2421</v>
      </c>
      <c r="C5" s="93" t="s">
        <v>6494</v>
      </c>
      <c r="D5" s="8" t="s">
        <v>6495</v>
      </c>
      <c r="E5" s="3" t="str">
        <f ca="1">IFERROR(__xludf.DUMMYFUNCTION("GOOGLETRANSLATE(B5,""ja"",""vi"")"),"nghề tay, thủ công mỹ nghệ")</f>
        <v>nghề tay, thủ công mỹ nghệ</v>
      </c>
      <c r="F5" s="3" t="str">
        <f ca="1">IFERROR(__xludf.DUMMYFUNCTION("GOOGLETRANSLATE(C5,""ja"",""vi"")"),"Đấu giá&gt; Sở thích, văn hóa&gt; thủ công, thủ công mỹ nghệ")</f>
        <v>Đấu giá&gt; Sở thích, văn hóa&gt; thủ công, thủ công mỹ nghệ</v>
      </c>
      <c r="G5" s="229" t="str">
        <f t="shared" ca="1" si="0"/>
        <v>"20924" : "nghề tay, thủ công mỹ nghệ",</v>
      </c>
      <c r="H5" s="229" t="str">
        <f t="shared" si="1"/>
        <v>&lt;li class="col-md-3"&gt;&lt;a class="text-cut" href="javascript:;"(click)="categoryEvent(20924)"&gt;{{"20924" | translate}}&lt;/a&gt;&lt;/li&gt;</v>
      </c>
    </row>
    <row r="6" spans="1:8" ht="14.25" customHeight="1">
      <c r="A6" s="6">
        <v>20428</v>
      </c>
      <c r="B6" s="94" t="s">
        <v>805</v>
      </c>
      <c r="C6" s="94" t="s">
        <v>6499</v>
      </c>
      <c r="D6" s="6" t="s">
        <v>6501</v>
      </c>
      <c r="E6" s="3" t="str">
        <f ca="1">IFERROR(__xludf.DUMMYFUNCTION("GOOGLETRANSLATE(B6,""ja"",""vi"")"),"quân đội")</f>
        <v>quân đội</v>
      </c>
      <c r="F6" s="3" t="str">
        <f ca="1">IFERROR(__xludf.DUMMYFUNCTION("GOOGLETRANSLATE(C6,""ja"",""vi"")"),"Đấu giá&gt; Sở thích, văn hóa&gt; Quân sự")</f>
        <v>Đấu giá&gt; Sở thích, văn hóa&gt; Quân sự</v>
      </c>
      <c r="G6" s="229" t="str">
        <f t="shared" ca="1" si="0"/>
        <v>"20428" : "quân đội",</v>
      </c>
      <c r="H6" s="229" t="str">
        <f t="shared" si="1"/>
        <v>&lt;li class="col-md-3"&gt;&lt;a class="text-cut" href="javascript:;"(click)="categoryEvent(20428)"&gt;{{"20428" | translate}}&lt;/a&gt;&lt;/li&gt;</v>
      </c>
    </row>
    <row r="7" spans="1:8" ht="14.25" customHeight="1">
      <c r="A7" s="9">
        <v>25888</v>
      </c>
      <c r="B7" s="95" t="s">
        <v>357</v>
      </c>
      <c r="C7" s="95" t="s">
        <v>6506</v>
      </c>
      <c r="D7" s="9" t="s">
        <v>6507</v>
      </c>
      <c r="E7" s="3" t="str">
        <f ca="1">IFERROR(__xludf.DUMMYFUNCTION("GOOGLETRANSLATE(B7,""ja"",""vi"")"),"nhân vật")</f>
        <v>nhân vật</v>
      </c>
      <c r="F7" s="3" t="str">
        <f ca="1">IFERROR(__xludf.DUMMYFUNCTION("GOOGLETRANSLATE(C7,""ja"",""vi"")"),"Đấu giá&gt; Sở thích, văn hóa&gt; Hình")</f>
        <v>Đấu giá&gt; Sở thích, văn hóa&gt; Hình</v>
      </c>
      <c r="G7" s="229" t="str">
        <f t="shared" ca="1" si="0"/>
        <v>"25888" : "nhân vật",</v>
      </c>
      <c r="H7" s="229" t="str">
        <f t="shared" si="1"/>
        <v>&lt;li class="col-md-3"&gt;&lt;a class="text-cut" href="javascript:;"(click)="categoryEvent(25888)"&gt;{{"25888" | translate}}&lt;/a&gt;&lt;/li&gt;</v>
      </c>
    </row>
    <row r="8" spans="1:8" ht="14.25" customHeight="1">
      <c r="A8" s="7">
        <v>2084251269</v>
      </c>
      <c r="B8" s="96" t="s">
        <v>6511</v>
      </c>
      <c r="C8" s="96" t="s">
        <v>6513</v>
      </c>
      <c r="D8" s="7" t="s">
        <v>6514</v>
      </c>
      <c r="E8" s="3" t="str">
        <f ca="1">IFERROR(__xludf.DUMMYFUNCTION("GOOGLETRANSLATE(B8,""ja"",""vi"")"),"Toy RC")</f>
        <v>Toy RC</v>
      </c>
      <c r="F8" s="3" t="str">
        <f ca="1">IFERROR(__xludf.DUMMYFUNCTION("GOOGLETRANSLATE(C8,""ja"",""vi"")"),"Đấu giá&gt; Sở thích, văn hóa&gt; Đồ chơi RC")</f>
        <v>Đấu giá&gt; Sở thích, văn hóa&gt; Đồ chơi RC</v>
      </c>
      <c r="G8" s="229" t="str">
        <f t="shared" ca="1" si="0"/>
        <v>"2084251269" : "Toy RC",</v>
      </c>
      <c r="H8" s="229" t="str">
        <f t="shared" si="1"/>
        <v>&lt;li class="col-md-3"&gt;&lt;a class="text-cut" href="javascript:;"(click)="categoryEvent(2084251269)"&gt;{{"2084251269" | translate}}&lt;/a&gt;&lt;/li&gt;</v>
      </c>
    </row>
    <row r="9" spans="1:8" ht="14.25" customHeight="1">
      <c r="A9" s="41">
        <v>2084250263</v>
      </c>
      <c r="B9" s="97" t="s">
        <v>364</v>
      </c>
      <c r="C9" s="97" t="s">
        <v>6520</v>
      </c>
      <c r="D9" s="41" t="s">
        <v>6522</v>
      </c>
      <c r="E9" s="3" t="str">
        <f ca="1">IFERROR(__xludf.DUMMYFUNCTION("GOOGLETRANSLATE(B9,""ja"",""vi"")"),"nhựa")</f>
        <v>nhựa</v>
      </c>
      <c r="F9" s="3" t="str">
        <f ca="1">IFERROR(__xludf.DUMMYFUNCTION("GOOGLETRANSLATE(C9,""ja"",""vi"")"),"Đấu giá&gt; Sở thích, văn hóa&gt; nhựa")</f>
        <v>Đấu giá&gt; Sở thích, văn hóa&gt; nhựa</v>
      </c>
      <c r="G9" s="229" t="str">
        <f t="shared" ca="1" si="0"/>
        <v>"2084250263" : "nhựa",</v>
      </c>
      <c r="H9" s="229" t="str">
        <f t="shared" si="1"/>
        <v>&lt;li class="col-md-3"&gt;&lt;a class="text-cut" href="javascript:;"(click)="categoryEvent(2084250263)"&gt;{{"2084250263" | translate}}&lt;/a&gt;&lt;/li&gt;</v>
      </c>
    </row>
    <row r="10" spans="1:8" ht="14.25" customHeight="1">
      <c r="A10" s="16">
        <v>2084251212</v>
      </c>
      <c r="B10" s="98" t="s">
        <v>6526</v>
      </c>
      <c r="C10" s="98" t="s">
        <v>6527</v>
      </c>
      <c r="D10" s="16" t="s">
        <v>6528</v>
      </c>
      <c r="E10" s="3" t="str">
        <f ca="1">IFERROR(__xludf.DUMMYFUNCTION("GOOGLETRANSLATE(B10,""ja"",""vi"")"),"Sở thích RC")</f>
        <v>Sở thích RC</v>
      </c>
      <c r="F10" s="3" t="str">
        <f ca="1">IFERROR(__xludf.DUMMYFUNCTION("GOOGLETRANSLATE(C10,""ja"",""vi"")"),"Đấu giá&gt; Sở thích, văn hóa&gt; Sở thích RC")</f>
        <v>Đấu giá&gt; Sở thích, văn hóa&gt; Sở thích RC</v>
      </c>
      <c r="G10" s="229" t="str">
        <f t="shared" ca="1" si="0"/>
        <v>"2084251212" : "Sở thích RC",</v>
      </c>
      <c r="H10" s="229" t="str">
        <f t="shared" si="1"/>
        <v>&lt;li class="col-md-3"&gt;&lt;a class="text-cut" href="javascript:;"(click)="categoryEvent(2084251212)"&gt;{{"2084251212" | translate}}&lt;/a&gt;&lt;/li&gt;</v>
      </c>
    </row>
    <row r="11" spans="1:8" ht="14.25" customHeight="1">
      <c r="A11" s="43">
        <v>2084260113</v>
      </c>
      <c r="B11" s="99" t="s">
        <v>6533</v>
      </c>
      <c r="C11" s="99" t="s">
        <v>6536</v>
      </c>
      <c r="D11" s="43" t="s">
        <v>6537</v>
      </c>
      <c r="E11" s="3" t="str">
        <f ca="1">IFERROR(__xludf.DUMMYFUNCTION("GOOGLETRANSLATE(B11,""ja"",""vi"")"),"minicar")</f>
        <v>minicar</v>
      </c>
      <c r="F11" s="3" t="str">
        <f ca="1">IFERROR(__xludf.DUMMYFUNCTION("GOOGLETRANSLATE(C11,""ja"",""vi"")"),"Đấu giá&gt; Sở thích, văn hóa&gt; minicar")</f>
        <v>Đấu giá&gt; Sở thích, văn hóa&gt; minicar</v>
      </c>
      <c r="G11" s="229" t="str">
        <f t="shared" ca="1" si="0"/>
        <v>"2084260113" : "minicar",</v>
      </c>
      <c r="H11" s="229" t="str">
        <f t="shared" si="1"/>
        <v>&lt;li class="col-md-3"&gt;&lt;a class="text-cut" href="javascript:;"(click)="categoryEvent(2084260113)"&gt;{{"2084260113" | translate}}&lt;/a&gt;&lt;/li&gt;</v>
      </c>
    </row>
    <row r="12" spans="1:8" ht="14.25" customHeight="1">
      <c r="A12" s="45">
        <v>2084259579</v>
      </c>
      <c r="B12" s="100" t="s">
        <v>6540</v>
      </c>
      <c r="C12" s="100" t="s">
        <v>6542</v>
      </c>
      <c r="D12" s="45" t="s">
        <v>6544</v>
      </c>
      <c r="E12" s="3" t="str">
        <f ca="1">IFERROR(__xludf.DUMMYFUNCTION("GOOGLETRANSLATE(B12,""ja"",""vi"")"),"mô hình tàu")</f>
        <v>mô hình tàu</v>
      </c>
      <c r="F12" s="3" t="str">
        <f ca="1">IFERROR(__xludf.DUMMYFUNCTION("GOOGLETRANSLATE(C12,""ja"",""vi"")"),"Đấu giá&gt; Sở thích, văn hóa&gt; mô hình đường sắt")</f>
        <v>Đấu giá&gt; Sở thích, văn hóa&gt; mô hình đường sắt</v>
      </c>
      <c r="G12" s="229" t="str">
        <f t="shared" ca="1" si="0"/>
        <v>"2084259579" : "mô hình tàu",</v>
      </c>
      <c r="H12" s="229" t="str">
        <f t="shared" si="1"/>
        <v>&lt;li class="col-md-3"&gt;&lt;a class="text-cut" href="javascript:;"(click)="categoryEvent(2084259579)"&gt;{{"2084259579" | translate}}&lt;/a&gt;&lt;/li&gt;</v>
      </c>
    </row>
    <row r="13" spans="1:8" ht="14.25" customHeight="1">
      <c r="A13" s="48">
        <v>2084063789</v>
      </c>
      <c r="B13" s="101" t="s">
        <v>6545</v>
      </c>
      <c r="C13" s="101" t="s">
        <v>6547</v>
      </c>
      <c r="D13" s="48" t="s">
        <v>6549</v>
      </c>
      <c r="E13" s="3" t="str">
        <f ca="1">IFERROR(__xludf.DUMMYFUNCTION("GOOGLETRANSLATE(B13,""ja"",""vi"")"),"Mô hình hóa Vật tư")</f>
        <v>Mô hình hóa Vật tư</v>
      </c>
      <c r="F13" s="3" t="str">
        <f ca="1">IFERROR(__xludf.DUMMYFUNCTION("GOOGLETRANSLATE(C13,""ja"",""vi"")"),"Đấu giá&gt; Sở thích, văn hóa&gt; nguồn cung cấp mô hình sản xuất")</f>
        <v>Đấu giá&gt; Sở thích, văn hóa&gt; nguồn cung cấp mô hình sản xuất</v>
      </c>
      <c r="G13" s="229" t="str">
        <f t="shared" ca="1" si="0"/>
        <v>"2084063789" : "Mô hình hóa Vật tư",</v>
      </c>
      <c r="H13" s="229" t="str">
        <f t="shared" si="1"/>
        <v>&lt;li class="col-md-3"&gt;&lt;a class="text-cut" href="javascript:;"(click)="categoryEvent(2084063789)"&gt;{{"2084063789" | translate}}&lt;/a&gt;&lt;/li&gt;</v>
      </c>
    </row>
    <row r="14" spans="1:8" ht="14.25" customHeight="1">
      <c r="A14" s="50">
        <v>27753</v>
      </c>
      <c r="B14" s="102" t="s">
        <v>1546</v>
      </c>
      <c r="C14" s="102" t="s">
        <v>6554</v>
      </c>
      <c r="D14" s="50" t="s">
        <v>6555</v>
      </c>
      <c r="E14" s="3" t="str">
        <f ca="1">IFERROR(__xludf.DUMMYFUNCTION("GOOGLETRANSLATE(B14,""ja"",""vi"")"),"đường sắt")</f>
        <v>đường sắt</v>
      </c>
      <c r="F14" s="3" t="str">
        <f ca="1">IFERROR(__xludf.DUMMYFUNCTION("GOOGLETRANSLATE(C14,""ja"",""vi"")"),"Đấu giá&gt; Sở thích, văn hóa&gt; đường sắt")</f>
        <v>Đấu giá&gt; Sở thích, văn hóa&gt; đường sắt</v>
      </c>
      <c r="G14" s="229" t="str">
        <f t="shared" ca="1" si="0"/>
        <v>"27753" : "đường sắt",</v>
      </c>
      <c r="H14" s="229" t="str">
        <f t="shared" si="1"/>
        <v>&lt;li class="col-md-3"&gt;&lt;a class="text-cut" href="javascript:;"(click)="categoryEvent(27753)"&gt;{{"27753" | translate}}&lt;/a&gt;&lt;/li&gt;</v>
      </c>
    </row>
    <row r="15" spans="1:8" ht="14.25" customHeight="1">
      <c r="A15" s="53">
        <v>26186</v>
      </c>
      <c r="B15" s="103" t="s">
        <v>6333</v>
      </c>
      <c r="C15" s="103" t="s">
        <v>6559</v>
      </c>
      <c r="D15" s="53" t="s">
        <v>6560</v>
      </c>
      <c r="E15" s="3" t="str">
        <f ca="1">IFERROR(__xludf.DUMMYFUNCTION("GOOGLETRANSLATE(B15,""ja"",""vi"")"),"phi cơ")</f>
        <v>phi cơ</v>
      </c>
      <c r="F15" s="3" t="str">
        <f ca="1">IFERROR(__xludf.DUMMYFUNCTION("GOOGLETRANSLATE(C15,""ja"",""vi"")"),"Đấu giá&gt; Sở thích, văn hóa&gt; máy bay")</f>
        <v>Đấu giá&gt; Sở thích, văn hóa&gt; máy bay</v>
      </c>
      <c r="G15" s="229" t="str">
        <f t="shared" ca="1" si="0"/>
        <v>"26186" : "phi cơ",</v>
      </c>
      <c r="H15" s="229" t="str">
        <f t="shared" si="1"/>
        <v>&lt;li class="col-md-3"&gt;&lt;a class="text-cut" href="javascript:;"(click)="categoryEvent(26186)"&gt;{{"26186" | translate}}&lt;/a&gt;&lt;/li&gt;</v>
      </c>
    </row>
    <row r="16" spans="1:8" ht="14.25" customHeight="1">
      <c r="A16" s="56">
        <v>23761</v>
      </c>
      <c r="B16" s="104" t="s">
        <v>6565</v>
      </c>
      <c r="C16" s="104" t="s">
        <v>6566</v>
      </c>
      <c r="D16" s="56" t="s">
        <v>6568</v>
      </c>
      <c r="E16" s="3" t="str">
        <f ca="1">IFERROR(__xludf.DUMMYFUNCTION("GOOGLETRANSLATE(B16,""ja"",""vi"")"),"Ham đài phát thanh")</f>
        <v>Ham đài phát thanh</v>
      </c>
      <c r="F16" s="3" t="str">
        <f ca="1">IFERROR(__xludf.DUMMYFUNCTION("GOOGLETRANSLATE(C16,""ja"",""vi"")"),"Đấu giá&gt; Sở thích, văn hóa&gt; radio nghiệp dư")</f>
        <v>Đấu giá&gt; Sở thích, văn hóa&gt; radio nghiệp dư</v>
      </c>
      <c r="G16" s="229" t="str">
        <f t="shared" ca="1" si="0"/>
        <v>"23761" : "Ham đài phát thanh",</v>
      </c>
      <c r="H16" s="229" t="str">
        <f t="shared" si="1"/>
        <v>&lt;li class="col-md-3"&gt;&lt;a class="text-cut" href="javascript:;"(click)="categoryEvent(23761)"&gt;{{"23761" | translate}}&lt;/a&gt;&lt;/li&gt;</v>
      </c>
    </row>
    <row r="17" spans="1:8" ht="14.25" customHeight="1">
      <c r="A17" s="59">
        <v>2084046936</v>
      </c>
      <c r="B17" s="105" t="s">
        <v>6324</v>
      </c>
      <c r="C17" s="105" t="s">
        <v>6572</v>
      </c>
      <c r="D17" s="59" t="s">
        <v>6573</v>
      </c>
      <c r="E17" s="3" t="str">
        <f ca="1">IFERROR(__xludf.DUMMYFUNCTION("GOOGLETRANSLATE(B17,""ja"",""vi"")"),"Pachinko, pachislot")</f>
        <v>Pachinko, pachislot</v>
      </c>
      <c r="F17" s="3" t="str">
        <f ca="1">IFERROR(__xludf.DUMMYFUNCTION("GOOGLETRANSLATE(C17,""ja"",""vi"")"),"Đấu giá&gt; Sở thích, văn hóa&gt; pachinko, pachislot")</f>
        <v>Đấu giá&gt; Sở thích, văn hóa&gt; pachinko, pachislot</v>
      </c>
      <c r="G17" s="229" t="str">
        <f t="shared" ca="1" si="0"/>
        <v>"2084046936" : "Pachinko, pachislot",</v>
      </c>
      <c r="H17" s="229" t="str">
        <f t="shared" si="1"/>
        <v>&lt;li class="col-md-3"&gt;&lt;a class="text-cut" href="javascript:;"(click)="categoryEvent(2084046936)"&gt;{{"2084046936" | translate}}&lt;/a&gt;&lt;/li&gt;</v>
      </c>
    </row>
    <row r="18" spans="1:8" ht="14.25" customHeight="1">
      <c r="A18" s="63">
        <v>24318</v>
      </c>
      <c r="B18" s="106" t="s">
        <v>6577</v>
      </c>
      <c r="C18" s="106" t="s">
        <v>6578</v>
      </c>
      <c r="D18" s="63" t="s">
        <v>6580</v>
      </c>
      <c r="E18" s="3" t="str">
        <f ca="1">IFERROR(__xludf.DUMMYFUNCTION("GOOGLETRANSLATE(B18,""ja"",""vi"")"),"ngắm chim")</f>
        <v>ngắm chim</v>
      </c>
      <c r="F18" s="3" t="str">
        <f ca="1">IFERROR(__xludf.DUMMYFUNCTION("GOOGLETRANSLATE(C18,""ja"",""vi"")"),"Đấu giá&gt; Sở thích, văn hóa&gt; Ngắm chim")</f>
        <v>Đấu giá&gt; Sở thích, văn hóa&gt; Ngắm chim</v>
      </c>
      <c r="G18" s="229" t="str">
        <f t="shared" ca="1" si="0"/>
        <v>"24318" : "ngắm chim",</v>
      </c>
      <c r="H18" s="229" t="str">
        <f t="shared" si="1"/>
        <v>&lt;li class="col-md-3"&gt;&lt;a class="text-cut" href="javascript:;"(click)="categoryEvent(24318)"&gt;{{"24318" | translate}}&lt;/a&gt;&lt;/li&gt;</v>
      </c>
    </row>
    <row r="19" spans="1:8" ht="14.25" customHeight="1">
      <c r="A19" s="75">
        <v>2084307790</v>
      </c>
      <c r="B19" s="112" t="s">
        <v>6586</v>
      </c>
      <c r="C19" s="112" t="s">
        <v>6588</v>
      </c>
      <c r="D19" s="75" t="s">
        <v>6589</v>
      </c>
      <c r="E19" s="3" t="str">
        <f ca="1">IFERROR(__xludf.DUMMYFUNCTION("GOOGLETRANSLATE(B19,""ja"",""vi"")"),"cho thuê nhạc cụ")</f>
        <v>cho thuê nhạc cụ</v>
      </c>
      <c r="F19" s="3" t="str">
        <f ca="1">IFERROR(__xludf.DUMMYFUNCTION("GOOGLETRANSLATE(C19,""ja"",""vi"")"),"Đấu giá&gt; Sở thích, văn hóa&gt; cho thuê dụng cụ âm nhạc")</f>
        <v>Đấu giá&gt; Sở thích, văn hóa&gt; cho thuê dụng cụ âm nhạc</v>
      </c>
      <c r="G19" s="229" t="str">
        <f t="shared" ca="1" si="0"/>
        <v>"2084307790" : "cho thuê nhạc cụ",</v>
      </c>
      <c r="H19" s="229" t="str">
        <f t="shared" si="1"/>
        <v>&lt;li class="col-md-3"&gt;&lt;a class="text-cut" href="javascript:;"(click)="categoryEvent(2084307790)"&gt;{{"2084307790" | translate}}&lt;/a&gt;&lt;/li&gt;</v>
      </c>
    </row>
    <row r="20" spans="1:8" ht="14.25" customHeight="1">
      <c r="A20" s="81">
        <v>26075</v>
      </c>
      <c r="B20" s="123" t="s">
        <v>16</v>
      </c>
      <c r="C20" s="123" t="s">
        <v>6601</v>
      </c>
      <c r="D20" s="81" t="s">
        <v>6602</v>
      </c>
      <c r="E20" s="3" t="str">
        <f ca="1">IFERROR(__xludf.DUMMYFUNCTION("GOOGLETRANSLATE(B20,""ja"",""vi"")"),"nếu không thì")</f>
        <v>nếu không thì</v>
      </c>
      <c r="F20" s="3" t="str">
        <f ca="1">IFERROR(__xludf.DUMMYFUNCTION("GOOGLETRANSLATE(C20,""ja"",""vi"")"),"Đấu giá&gt; Sở thích, văn hóa&gt; Khác")</f>
        <v>Đấu giá&gt; Sở thích, văn hóa&gt; Khác</v>
      </c>
      <c r="G20" s="229" t="str">
        <f t="shared" ca="1" si="0"/>
        <v>"26075" : "nếu không thì",</v>
      </c>
      <c r="H20" s="229" t="str">
        <f t="shared" si="1"/>
        <v>&lt;li class="col-md-3"&gt;&lt;a class="text-cut" href="javascript:;"(click)="categoryEvent(26075)"&gt;{{"26075" | translate}}&lt;/a&gt;&lt;/li&gt;</v>
      </c>
    </row>
    <row r="21" spans="1:8" ht="14.25" customHeight="1">
      <c r="E21" s="3"/>
      <c r="F21" s="3"/>
      <c r="G21" s="229"/>
      <c r="H21" s="229"/>
    </row>
    <row r="22" spans="1:8" ht="25.5" customHeight="1">
      <c r="A22" s="231">
        <v>22436</v>
      </c>
      <c r="B22" s="232"/>
      <c r="C22" s="232"/>
      <c r="D22" s="233"/>
      <c r="E22" s="3"/>
      <c r="F22" s="3"/>
      <c r="G22" s="229"/>
      <c r="H22" s="229"/>
    </row>
    <row r="23" spans="1:8" ht="14.25" customHeight="1">
      <c r="A23" s="2">
        <v>22476</v>
      </c>
      <c r="B23" s="2" t="s">
        <v>6613</v>
      </c>
      <c r="C23" s="2" t="s">
        <v>6616</v>
      </c>
      <c r="D23" s="2" t="s">
        <v>6618</v>
      </c>
      <c r="E23" s="3" t="str">
        <f ca="1">IFERROR(__xludf.DUMMYFUNCTION("GOOGLETRANSLATE(B23,""ja"",""vi"")"),"Guitar")</f>
        <v>Guitar</v>
      </c>
      <c r="F23" s="3" t="str">
        <f ca="1">IFERROR(__xludf.DUMMYFUNCTION("GOOGLETRANSLATE(C23,""ja"",""vi"")"),"Đấu giá&gt; Sở thích, văn hóa&gt; nhạc cụ, thiết bị&gt; guitar")</f>
        <v>Đấu giá&gt; Sở thích, văn hóa&gt; nhạc cụ, thiết bị&gt; guitar</v>
      </c>
      <c r="G23" s="229" t="str">
        <f t="shared" ca="1" si="0"/>
        <v>"22476" : "Guitar",</v>
      </c>
      <c r="H23" s="229" t="str">
        <f t="shared" si="1"/>
        <v>&lt;li class="col-md-3"&gt;&lt;a class="text-cut" href="javascript:;"(click)="categoryEvent(22476)"&gt;{{"22476" | translate}}&lt;/a&gt;&lt;/li&gt;</v>
      </c>
    </row>
    <row r="24" spans="1:8" ht="14.25" customHeight="1">
      <c r="A24" s="2">
        <v>22480</v>
      </c>
      <c r="B24" s="2" t="s">
        <v>6622</v>
      </c>
      <c r="C24" s="2" t="s">
        <v>6624</v>
      </c>
      <c r="D24" s="2" t="s">
        <v>6625</v>
      </c>
      <c r="E24" s="3" t="str">
        <f ca="1">IFERROR(__xludf.DUMMYFUNCTION("GOOGLETRANSLATE(B24,""ja"",""vi"")"),"căn cứ")</f>
        <v>căn cứ</v>
      </c>
      <c r="F24" s="3" t="str">
        <f ca="1">IFERROR(__xludf.DUMMYFUNCTION("GOOGLETRANSLATE(C24,""ja"",""vi"")"),"Đấu giá&gt; Sở thích, văn hóa&gt; nhạc cụ, thiết bị&gt; cơ sở")</f>
        <v>Đấu giá&gt; Sở thích, văn hóa&gt; nhạc cụ, thiết bị&gt; cơ sở</v>
      </c>
      <c r="G24" s="229" t="str">
        <f t="shared" ca="1" si="0"/>
        <v>"22480" : "căn cứ",</v>
      </c>
      <c r="H24" s="229" t="str">
        <f t="shared" si="1"/>
        <v>&lt;li class="col-md-3"&gt;&lt;a class="text-cut" href="javascript:;"(click)="categoryEvent(22480)"&gt;{{"22480" | translate}}&lt;/a&gt;&lt;/li&gt;</v>
      </c>
    </row>
    <row r="25" spans="1:8" ht="14.25" customHeight="1">
      <c r="A25" s="2">
        <v>22572</v>
      </c>
      <c r="B25" s="2" t="s">
        <v>6629</v>
      </c>
      <c r="C25" s="2" t="s">
        <v>6630</v>
      </c>
      <c r="D25" s="2" t="s">
        <v>6632</v>
      </c>
      <c r="E25" s="3" t="str">
        <f ca="1">IFERROR(__xludf.DUMMYFUNCTION("GOOGLETRANSLATE(B25,""ja"",""vi"")"),"nhạc cụ dây")</f>
        <v>nhạc cụ dây</v>
      </c>
      <c r="F25" s="3" t="str">
        <f ca="1">IFERROR(__xludf.DUMMYFUNCTION("GOOGLETRANSLATE(C25,""ja"",""vi"")"),"Đấu giá&gt; Sở thích, văn hóa&gt; nhạc cụ, thiết bị&gt; nhạc cụ dây")</f>
        <v>Đấu giá&gt; Sở thích, văn hóa&gt; nhạc cụ, thiết bị&gt; nhạc cụ dây</v>
      </c>
      <c r="G25" s="229" t="str">
        <f t="shared" ca="1" si="0"/>
        <v>"22572" : "nhạc cụ dây",</v>
      </c>
      <c r="H25" s="229" t="str">
        <f t="shared" si="1"/>
        <v>&lt;li class="col-md-3"&gt;&lt;a class="text-cut" href="javascript:;"(click)="categoryEvent(22572)"&gt;{{"22572" | translate}}&lt;/a&gt;&lt;/li&gt;</v>
      </c>
    </row>
    <row r="26" spans="1:8" ht="14.25" customHeight="1">
      <c r="A26" s="2">
        <v>22440</v>
      </c>
      <c r="B26" s="2" t="s">
        <v>6636</v>
      </c>
      <c r="C26" s="2" t="s">
        <v>6638</v>
      </c>
      <c r="D26" s="2" t="s">
        <v>6640</v>
      </c>
      <c r="E26" s="3" t="str">
        <f ca="1">IFERROR(__xludf.DUMMYFUNCTION("GOOGLETRANSLATE(B26,""ja"",""vi"")"),"gió cụ")</f>
        <v>gió cụ</v>
      </c>
      <c r="F26" s="3" t="str">
        <f ca="1">IFERROR(__xludf.DUMMYFUNCTION("GOOGLETRANSLATE(C26,""ja"",""vi"")"),"Đấu giá&gt; Sở thích, văn hóa&gt; nhạc cụ, thiết bị&gt; kèn")</f>
        <v>Đấu giá&gt; Sở thích, văn hóa&gt; nhạc cụ, thiết bị&gt; kèn</v>
      </c>
      <c r="G26" s="229" t="str">
        <f t="shared" ca="1" si="0"/>
        <v>"22440" : "gió cụ",</v>
      </c>
      <c r="H26" s="229" t="str">
        <f t="shared" si="1"/>
        <v>&lt;li class="col-md-3"&gt;&lt;a class="text-cut" href="javascript:;"(click)="categoryEvent(22440)"&gt;{{"22440" | translate}}&lt;/a&gt;&lt;/li&gt;</v>
      </c>
    </row>
    <row r="27" spans="1:8" ht="14.25" customHeight="1">
      <c r="A27" s="2">
        <v>22532</v>
      </c>
      <c r="B27" s="2" t="s">
        <v>6642</v>
      </c>
      <c r="C27" s="2" t="s">
        <v>6645</v>
      </c>
      <c r="D27" s="2" t="s">
        <v>6647</v>
      </c>
      <c r="E27" s="3" t="str">
        <f ca="1">IFERROR(__xludf.DUMMYFUNCTION("GOOGLETRANSLATE(B27,""ja"",""vi"")"),"công cụ bàn phím")</f>
        <v>công cụ bàn phím</v>
      </c>
      <c r="F27" s="3" t="str">
        <f ca="1">IFERROR(__xludf.DUMMYFUNCTION("GOOGLETRANSLATE(C27,""ja"",""vi"")"),"Đấu giá&gt; Sở thích, văn hóa&gt; công cụ và thiết bị âm nhạc&gt; công cụ bàn phím")</f>
        <v>Đấu giá&gt; Sở thích, văn hóa&gt; công cụ và thiết bị âm nhạc&gt; công cụ bàn phím</v>
      </c>
      <c r="G27" s="229" t="str">
        <f t="shared" ca="1" si="0"/>
        <v>"22532" : "công cụ bàn phím",</v>
      </c>
      <c r="H27" s="229" t="str">
        <f t="shared" si="1"/>
        <v>&lt;li class="col-md-3"&gt;&lt;a class="text-cut" href="javascript:;"(click)="categoryEvent(22532)"&gt;{{"22532" | translate}}&lt;/a&gt;&lt;/li&gt;</v>
      </c>
    </row>
    <row r="28" spans="1:8" ht="14.25" customHeight="1">
      <c r="A28" s="2">
        <v>22500</v>
      </c>
      <c r="B28" s="2" t="s">
        <v>6648</v>
      </c>
      <c r="C28" s="2" t="s">
        <v>6649</v>
      </c>
      <c r="D28" s="2" t="s">
        <v>6650</v>
      </c>
      <c r="E28" s="3" t="str">
        <f ca="1">IFERROR(__xludf.DUMMYFUNCTION("GOOGLETRANSLATE(B28,""ja"",""vi"")"),"bộ gõ nhạc cụ")</f>
        <v>bộ gõ nhạc cụ</v>
      </c>
      <c r="F28" s="3" t="str">
        <f ca="1">IFERROR(__xludf.DUMMYFUNCTION("GOOGLETRANSLATE(C28,""ja"",""vi"")"),"Đấu giá&gt; Sở thích, văn hóa&gt; nhạc cụ, thiết bị&gt; nhạc cụ gõ")</f>
        <v>Đấu giá&gt; Sở thích, văn hóa&gt; nhạc cụ, thiết bị&gt; nhạc cụ gõ</v>
      </c>
      <c r="G28" s="229" t="str">
        <f t="shared" ca="1" si="0"/>
        <v>"22500" : "bộ gõ nhạc cụ",</v>
      </c>
      <c r="H28" s="229" t="str">
        <f t="shared" si="1"/>
        <v>&lt;li class="col-md-3"&gt;&lt;a class="text-cut" href="javascript:;"(click)="categoryEvent(22500)"&gt;{{"22500" | translate}}&lt;/a&gt;&lt;/li&gt;</v>
      </c>
    </row>
    <row r="29" spans="1:8" ht="14.25" customHeight="1">
      <c r="A29" s="2">
        <v>2084305860</v>
      </c>
      <c r="B29" s="2" t="s">
        <v>6653</v>
      </c>
      <c r="C29" s="2" t="s">
        <v>6655</v>
      </c>
      <c r="D29" s="2" t="s">
        <v>6657</v>
      </c>
      <c r="E29" s="3" t="str">
        <f ca="1">IFERROR(__xludf.DUMMYFUNCTION("GOOGLETRANSLATE(B29,""ja"",""vi"")"),"nhạc cụ Nhật Bản")</f>
        <v>nhạc cụ Nhật Bản</v>
      </c>
      <c r="F29" s="3" t="str">
        <f ca="1">IFERROR(__xludf.DUMMYFUNCTION("GOOGLETRANSLATE(C29,""ja"",""vi"")"),"Đấu giá&gt; Sở thích, văn hóa&gt; công cụ và thiết bị âm nhạc&gt; nhạc cụ Nhật Bản")</f>
        <v>Đấu giá&gt; Sở thích, văn hóa&gt; công cụ và thiết bị âm nhạc&gt; nhạc cụ Nhật Bản</v>
      </c>
      <c r="G29" s="229" t="str">
        <f t="shared" ca="1" si="0"/>
        <v>"2084305860" : "nhạc cụ Nhật Bản",</v>
      </c>
      <c r="H29" s="229" t="str">
        <f t="shared" si="1"/>
        <v>&lt;li class="col-md-3"&gt;&lt;a class="text-cut" href="javascript:;"(click)="categoryEvent(2084305860)"&gt;{{"2084305860" | translate}}&lt;/a&gt;&lt;/li&gt;</v>
      </c>
    </row>
    <row r="30" spans="1:8" ht="14.25" customHeight="1">
      <c r="A30" s="2">
        <v>2084019010</v>
      </c>
      <c r="B30" s="2" t="s">
        <v>6661</v>
      </c>
      <c r="C30" s="2" t="s">
        <v>6662</v>
      </c>
      <c r="D30" s="2" t="s">
        <v>6663</v>
      </c>
      <c r="E30" s="3" t="str">
        <f ca="1">IFERROR(__xludf.DUMMYFUNCTION("GOOGLETRANSLATE(B30,""ja"",""vi"")"),"Ghi âm, thiết bị PA")</f>
        <v>Ghi âm, thiết bị PA</v>
      </c>
      <c r="F30" s="3" t="str">
        <f ca="1">IFERROR(__xludf.DUMMYFUNCTION("GOOGLETRANSLATE(C30,""ja"",""vi"")"),"Đấu giá&gt; Sở thích, văn hóa&gt; nhạc cụ, thiết bị&gt; ghi âm, thiết bị PA")</f>
        <v>Đấu giá&gt; Sở thích, văn hóa&gt; nhạc cụ, thiết bị&gt; ghi âm, thiết bị PA</v>
      </c>
      <c r="G30" s="229" t="str">
        <f t="shared" ca="1" si="0"/>
        <v>"2084019010" : "Ghi âm, thiết bị PA",</v>
      </c>
      <c r="H30" s="229" t="str">
        <f t="shared" si="1"/>
        <v>&lt;li class="col-md-3"&gt;&lt;a class="text-cut" href="javascript:;"(click)="categoryEvent(2084019010)"&gt;{{"2084019010" | translate}}&lt;/a&gt;&lt;/li&gt;</v>
      </c>
    </row>
    <row r="31" spans="1:8" ht="14.25" customHeight="1">
      <c r="A31" s="2">
        <v>2084261081</v>
      </c>
      <c r="B31" s="2" t="s">
        <v>6669</v>
      </c>
      <c r="C31" s="2" t="s">
        <v>6670</v>
      </c>
      <c r="D31" s="2" t="s">
        <v>6671</v>
      </c>
      <c r="E31" s="3" t="str">
        <f ca="1">IFERROR(__xludf.DUMMYFUNCTION("GOOGLETRANSLATE(B31,""ja"",""vi"")"),"thiết bị DJ")</f>
        <v>thiết bị DJ</v>
      </c>
      <c r="F31" s="3" t="str">
        <f ca="1">IFERROR(__xludf.DUMMYFUNCTION("GOOGLETRANSLATE(C31,""ja"",""vi"")"),"Đấu giá&gt; Sở thích, văn hóa&gt; nhạc cụ, thiết bị&gt; Thiết bị DJ")</f>
        <v>Đấu giá&gt; Sở thích, văn hóa&gt; nhạc cụ, thiết bị&gt; Thiết bị DJ</v>
      </c>
      <c r="G31" s="229" t="str">
        <f t="shared" ca="1" si="0"/>
        <v>"2084261081" : "thiết bị DJ",</v>
      </c>
      <c r="H31" s="229" t="str">
        <f t="shared" si="1"/>
        <v>&lt;li class="col-md-3"&gt;&lt;a class="text-cut" href="javascript:;"(click)="categoryEvent(2084261081)"&gt;{{"2084261081" | translate}}&lt;/a&gt;&lt;/li&gt;</v>
      </c>
    </row>
    <row r="32" spans="1:8" ht="14.25" customHeight="1">
      <c r="A32" s="2">
        <v>22544</v>
      </c>
      <c r="B32" s="2" t="s">
        <v>6680</v>
      </c>
      <c r="C32" s="2" t="s">
        <v>6681</v>
      </c>
      <c r="D32" s="2" t="s">
        <v>6682</v>
      </c>
      <c r="E32" s="3" t="str">
        <f ca="1">IFERROR(__xludf.DUMMYFUNCTION("GOOGLETRANSLATE(B32,""ja"",""vi"")"),"DTM, DAW")</f>
        <v>DTM, DAW</v>
      </c>
      <c r="F32" s="3" t="str">
        <f ca="1">IFERROR(__xludf.DUMMYFUNCTION("GOOGLETRANSLATE(C32,""ja"",""vi"")"),"Đấu giá&gt; Sở thích, văn hóa&gt; nhạc cụ, thiết bị&gt; DTM, DAW")</f>
        <v>Đấu giá&gt; Sở thích, văn hóa&gt; nhạc cụ, thiết bị&gt; DTM, DAW</v>
      </c>
      <c r="G32" s="229" t="str">
        <f t="shared" ca="1" si="0"/>
        <v>"22544" : "DTM, DAW",</v>
      </c>
      <c r="H32" s="229" t="str">
        <f t="shared" si="1"/>
        <v>&lt;li class="col-md-3"&gt;&lt;a class="text-cut" href="javascript:;"(click)="categoryEvent(22544)"&gt;{{"22544" | translate}}&lt;/a&gt;&lt;/li&gt;</v>
      </c>
    </row>
    <row r="33" spans="1:8" ht="14.25" customHeight="1">
      <c r="A33" s="2">
        <v>2084005286</v>
      </c>
      <c r="B33" s="2" t="s">
        <v>5143</v>
      </c>
      <c r="C33" s="2" t="s">
        <v>6687</v>
      </c>
      <c r="D33" s="2" t="s">
        <v>6690</v>
      </c>
      <c r="E33" s="3" t="str">
        <f ca="1">IFERROR(__xludf.DUMMYFUNCTION("GOOGLETRANSLATE(B33,""ja"",""vi"")"),"amp")</f>
        <v>amp</v>
      </c>
      <c r="F33" s="3" t="str">
        <f ca="1">IFERROR(__xludf.DUMMYFUNCTION("GOOGLETRANSLATE(C33,""ja"",""vi"")"),"Đấu giá&gt; Sở thích, văn hóa&gt; nhạc cụ, thiết bị&gt; Bộ khuếch đại")</f>
        <v>Đấu giá&gt; Sở thích, văn hóa&gt; nhạc cụ, thiết bị&gt; Bộ khuếch đại</v>
      </c>
      <c r="G33" s="229" t="str">
        <f t="shared" ca="1" si="0"/>
        <v>"2084005286" : "amp",</v>
      </c>
      <c r="H33" s="229" t="str">
        <f t="shared" si="1"/>
        <v>&lt;li class="col-md-3"&gt;&lt;a class="text-cut" href="javascript:;"(click)="categoryEvent(2084005286)"&gt;{{"2084005286" | translate}}&lt;/a&gt;&lt;/li&gt;</v>
      </c>
    </row>
    <row r="34" spans="1:8" ht="14.25" customHeight="1">
      <c r="A34" s="2">
        <v>2084210466</v>
      </c>
      <c r="B34" s="2" t="s">
        <v>6695</v>
      </c>
      <c r="C34" s="2" t="s">
        <v>6697</v>
      </c>
      <c r="D34" s="2" t="s">
        <v>6698</v>
      </c>
      <c r="E34" s="3" t="str">
        <f ca="1">IFERROR(__xludf.DUMMYFUNCTION("GOOGLETRANSLATE(B34,""ja"",""vi"")"),"máy nhịp")</f>
        <v>máy nhịp</v>
      </c>
      <c r="F34" s="3" t="str">
        <f ca="1">IFERROR(__xludf.DUMMYFUNCTION("GOOGLETRANSLATE(C34,""ja"",""vi"")"),"Đấu giá&gt; Sở thích, văn hóa&gt; nhạc cụ, thiết bị&gt; nhịp")</f>
        <v>Đấu giá&gt; Sở thích, văn hóa&gt; nhạc cụ, thiết bị&gt; nhịp</v>
      </c>
      <c r="G34" s="229" t="str">
        <f t="shared" ca="1" si="0"/>
        <v>"2084210466" : "máy nhịp",</v>
      </c>
      <c r="H34" s="229" t="str">
        <f t="shared" si="1"/>
        <v>&lt;li class="col-md-3"&gt;&lt;a class="text-cut" href="javascript:;"(click)="categoryEvent(2084210466)"&gt;{{"2084210466" | translate}}&lt;/a&gt;&lt;/li&gt;</v>
      </c>
    </row>
    <row r="35" spans="1:8" ht="14.25" customHeight="1">
      <c r="A35" s="2">
        <v>2084210467</v>
      </c>
      <c r="B35" s="2" t="s">
        <v>6703</v>
      </c>
      <c r="C35" s="2" t="s">
        <v>6704</v>
      </c>
      <c r="D35" s="2" t="s">
        <v>6705</v>
      </c>
      <c r="E35" s="3" t="str">
        <f ca="1">IFERROR(__xludf.DUMMYFUNCTION("GOOGLETRANSLATE(B35,""ja"",""vi"")"),"âm nhạc đứng")</f>
        <v>âm nhạc đứng</v>
      </c>
      <c r="F35" s="3" t="str">
        <f ca="1">IFERROR(__xludf.DUMMYFUNCTION("GOOGLETRANSLATE(C35,""ja"",""vi"")"),"Đấu giá&gt; Sở thích, văn hóa&gt; công cụ và thiết bị âm nhạc&gt; đứng âm nhạc")</f>
        <v>Đấu giá&gt; Sở thích, văn hóa&gt; công cụ và thiết bị âm nhạc&gt; đứng âm nhạc</v>
      </c>
      <c r="G35" s="229" t="str">
        <f t="shared" ca="1" si="0"/>
        <v>"2084210467" : "âm nhạc đứng",</v>
      </c>
      <c r="H35" s="229" t="str">
        <f t="shared" si="1"/>
        <v>&lt;li class="col-md-3"&gt;&lt;a class="text-cut" href="javascript:;"(click)="categoryEvent(2084210467)"&gt;{{"2084210467" | translate}}&lt;/a&gt;&lt;/li&gt;</v>
      </c>
    </row>
    <row r="36" spans="1:8" ht="14.25" customHeight="1">
      <c r="A36" s="2">
        <v>2084285349</v>
      </c>
      <c r="B36" s="2" t="s">
        <v>6708</v>
      </c>
      <c r="C36" s="2" t="s">
        <v>6710</v>
      </c>
      <c r="D36" s="2" t="s">
        <v>6712</v>
      </c>
      <c r="E36" s="3" t="str">
        <f ca="1">IFERROR(__xludf.DUMMYFUNCTION("GOOGLETRANSLATE(B36,""ja"",""vi"")"),"nguồn cung cấp cách âm")</f>
        <v>nguồn cung cấp cách âm</v>
      </c>
      <c r="F36" s="3" t="str">
        <f ca="1">IFERROR(__xludf.DUMMYFUNCTION("GOOGLETRANSLATE(C36,""ja"",""vi"")"),"Đấu giá&gt; Sở thích, văn hóa&gt; Nhạc cụ và thiết bị&gt; cách âm nguồn cung cấp")</f>
        <v>Đấu giá&gt; Sở thích, văn hóa&gt; Nhạc cụ và thiết bị&gt; cách âm nguồn cung cấp</v>
      </c>
      <c r="G36" s="229" t="str">
        <f t="shared" ca="1" si="0"/>
        <v>"2084285349" : "nguồn cung cấp cách âm",</v>
      </c>
      <c r="H36" s="229" t="str">
        <f t="shared" si="1"/>
        <v>&lt;li class="col-md-3"&gt;&lt;a class="text-cut" href="javascript:;"(click)="categoryEvent(2084285349)"&gt;{{"2084285349" | translate}}&lt;/a&gt;&lt;/li&gt;</v>
      </c>
    </row>
    <row r="37" spans="1:8" ht="14.25" customHeight="1">
      <c r="A37" s="2">
        <v>2084024191</v>
      </c>
      <c r="B37" s="2" t="s">
        <v>6716</v>
      </c>
      <c r="C37" s="2" t="s">
        <v>6718</v>
      </c>
      <c r="D37" s="2" t="s">
        <v>6720</v>
      </c>
      <c r="E37" s="3" t="str">
        <f ca="1">IFERROR(__xludf.DUMMYFUNCTION("GOOGLETRANSLATE(B37,""ja"",""vi"")"),"đồ chơi âm nhạc")</f>
        <v>đồ chơi âm nhạc</v>
      </c>
      <c r="F37" s="3" t="str">
        <f ca="1">IFERROR(__xludf.DUMMYFUNCTION("GOOGLETRANSLATE(C37,""ja"",""vi"")"),"Đấu giá&gt; Sở thích, văn hóa&gt; Nhạc cụ và thiết bị&gt; đồ chơi âm nhạc")</f>
        <v>Đấu giá&gt; Sở thích, văn hóa&gt; Nhạc cụ và thiết bị&gt; đồ chơi âm nhạc</v>
      </c>
      <c r="G37" s="229" t="str">
        <f t="shared" ca="1" si="0"/>
        <v>"2084024191" : "đồ chơi âm nhạc",</v>
      </c>
      <c r="H37" s="229" t="str">
        <f t="shared" si="1"/>
        <v>&lt;li class="col-md-3"&gt;&lt;a class="text-cut" href="javascript:;"(click)="categoryEvent(2084024191)"&gt;{{"2084024191" | translate}}&lt;/a&gt;&lt;/li&gt;</v>
      </c>
    </row>
    <row r="38" spans="1:8" ht="14.25" customHeight="1">
      <c r="A38" s="2">
        <v>2084009086</v>
      </c>
      <c r="B38" s="2" t="s">
        <v>6725</v>
      </c>
      <c r="C38" s="2" t="s">
        <v>6728</v>
      </c>
      <c r="D38" s="2" t="s">
        <v>6729</v>
      </c>
      <c r="E38" s="3" t="str">
        <f ca="1">IFERROR(__xludf.DUMMYFUNCTION("GOOGLETRANSLATE(B38,""ja"",""vi"")"),"số điểm")</f>
        <v>số điểm</v>
      </c>
      <c r="F38" s="3" t="str">
        <f ca="1">IFERROR(__xludf.DUMMYFUNCTION("GOOGLETRANSLATE(C38,""ja"",""vi"")"),"Đấu giá&gt; Sở thích, văn hóa&gt; nhạc cụ, thiết bị&gt; điểm")</f>
        <v>Đấu giá&gt; Sở thích, văn hóa&gt; nhạc cụ, thiết bị&gt; điểm</v>
      </c>
      <c r="G38" s="229" t="str">
        <f t="shared" ca="1" si="0"/>
        <v>"2084009086" : "số điểm",</v>
      </c>
      <c r="H38" s="229" t="str">
        <f t="shared" si="1"/>
        <v>&lt;li class="col-md-3"&gt;&lt;a class="text-cut" href="javascript:;"(click)="categoryEvent(2084009086)"&gt;{{"2084009086" | translate}}&lt;/a&gt;&lt;/li&gt;</v>
      </c>
    </row>
    <row r="39" spans="1:8" ht="14.25" customHeight="1">
      <c r="A39" s="2">
        <v>2084307734</v>
      </c>
      <c r="B39" s="2" t="s">
        <v>6733</v>
      </c>
      <c r="C39" s="2" t="s">
        <v>6737</v>
      </c>
      <c r="D39" s="2" t="s">
        <v>6739</v>
      </c>
      <c r="E39" s="3" t="str">
        <f ca="1">IFERROR(__xludf.DUMMYFUNCTION("GOOGLETRANSLATE(B39,""ja"",""vi"")"),"Ghi âm, sản xuất âm nhạc")</f>
        <v>Ghi âm, sản xuất âm nhạc</v>
      </c>
      <c r="F39" s="3" t="str">
        <f ca="1">IFERROR(__xludf.DUMMYFUNCTION("GOOGLETRANSLATE(C39,""ja"",""vi"")"),"Đấu giá&gt; Sở thích, văn hóa&gt; nhạc cụ, thiết bị&gt; ghi âm, sản xuất âm nhạc")</f>
        <v>Đấu giá&gt; Sở thích, văn hóa&gt; nhạc cụ, thiết bị&gt; ghi âm, sản xuất âm nhạc</v>
      </c>
      <c r="G39" s="229" t="str">
        <f t="shared" ca="1" si="0"/>
        <v>"2084307734" : "Ghi âm, sản xuất âm nhạc",</v>
      </c>
      <c r="H39" s="229" t="str">
        <f t="shared" si="1"/>
        <v>&lt;li class="col-md-3"&gt;&lt;a class="text-cut" href="javascript:;"(click)="categoryEvent(2084307734)"&gt;{{"2084307734" | translate}}&lt;/a&gt;&lt;/li&gt;</v>
      </c>
    </row>
    <row r="40" spans="1:8" ht="14.25" customHeight="1">
      <c r="A40" s="2">
        <v>2084307822</v>
      </c>
      <c r="B40" s="2" t="s">
        <v>267</v>
      </c>
      <c r="C40" s="2" t="s">
        <v>6743</v>
      </c>
      <c r="D40" s="2" t="s">
        <v>6746</v>
      </c>
      <c r="E40" s="3" t="str">
        <f ca="1">IFERROR(__xludf.DUMMYFUNCTION("GOOGLETRANSLATE(B40,""ja"",""vi"")"),"sửa chữa nhạc cụ, tu sửa")</f>
        <v>sửa chữa nhạc cụ, tu sửa</v>
      </c>
      <c r="F40" s="3" t="str">
        <f ca="1">IFERROR(__xludf.DUMMYFUNCTION("GOOGLETRANSLATE(C40,""ja"",""vi"")"),"Đấu giá&gt; Sở thích, văn hóa&gt; Nhạc cụ và thiết bị&gt; âm nhạc sửa chữa thiết bị, tu sửa")</f>
        <v>Đấu giá&gt; Sở thích, văn hóa&gt; Nhạc cụ và thiết bị&gt; âm nhạc sửa chữa thiết bị, tu sửa</v>
      </c>
      <c r="G40" s="229" t="str">
        <f t="shared" ca="1" si="0"/>
        <v>"2084307822" : "sửa chữa nhạc cụ, tu sửa",</v>
      </c>
      <c r="H40" s="229" t="str">
        <f t="shared" si="1"/>
        <v>&lt;li class="col-md-3"&gt;&lt;a class="text-cut" href="javascript:;"(click)="categoryEvent(2084307822)"&gt;{{"2084307822" | translate}}&lt;/a&gt;&lt;/li&gt;</v>
      </c>
    </row>
    <row r="41" spans="1:8" ht="14.25" customHeight="1">
      <c r="A41" s="2">
        <v>2084307743</v>
      </c>
      <c r="B41" s="2" t="s">
        <v>6751</v>
      </c>
      <c r="C41" s="2" t="s">
        <v>6754</v>
      </c>
      <c r="D41" s="2" t="s">
        <v>6755</v>
      </c>
      <c r="E41" s="3" t="str">
        <f ca="1">IFERROR(__xludf.DUMMYFUNCTION("GOOGLETRANSLATE(B41,""ja"",""vi"")"),"bài học nhạc cụ")</f>
        <v>bài học nhạc cụ</v>
      </c>
      <c r="F41" s="3" t="str">
        <f ca="1">IFERROR(__xludf.DUMMYFUNCTION("GOOGLETRANSLATE(C41,""ja"",""vi"")"),"Đấu giá&gt; Sở thích, văn hóa&gt; Nhạc cụ và thiết bị&gt; bài học nhạc cụ")</f>
        <v>Đấu giá&gt; Sở thích, văn hóa&gt; Nhạc cụ và thiết bị&gt; bài học nhạc cụ</v>
      </c>
      <c r="G41" s="229" t="str">
        <f t="shared" ca="1" si="0"/>
        <v>"2084307743" : "bài học nhạc cụ",</v>
      </c>
      <c r="H41" s="229" t="str">
        <f t="shared" si="1"/>
        <v>&lt;li class="col-md-3"&gt;&lt;a class="text-cut" href="javascript:;"(click)="categoryEvent(2084307743)"&gt;{{"2084307743" | translate}}&lt;/a&gt;&lt;/li&gt;</v>
      </c>
    </row>
    <row r="42" spans="1:8" ht="14.25" customHeight="1">
      <c r="A42" s="2">
        <v>2084307790</v>
      </c>
      <c r="B42" s="2" t="s">
        <v>6586</v>
      </c>
      <c r="C42" s="2" t="s">
        <v>6759</v>
      </c>
      <c r="D42" s="2" t="s">
        <v>6762</v>
      </c>
      <c r="E42" s="3" t="str">
        <f ca="1">IFERROR(__xludf.DUMMYFUNCTION("GOOGLETRANSLATE(B42,""ja"",""vi"")"),"cho thuê nhạc cụ")</f>
        <v>cho thuê nhạc cụ</v>
      </c>
      <c r="F42" s="3" t="str">
        <f ca="1">IFERROR(__xludf.DUMMYFUNCTION("GOOGLETRANSLATE(C42,""ja"",""vi"")"),"Đấu giá&gt; Sở thích, văn hóa&gt; công cụ và thiết bị âm nhạc&gt; nhạc cho thuê nhạc cụ")</f>
        <v>Đấu giá&gt; Sở thích, văn hóa&gt; công cụ và thiết bị âm nhạc&gt; nhạc cho thuê nhạc cụ</v>
      </c>
      <c r="G42" s="229" t="str">
        <f t="shared" ca="1" si="0"/>
        <v>"2084307790" : "cho thuê nhạc cụ",</v>
      </c>
      <c r="H42" s="229" t="str">
        <f t="shared" si="1"/>
        <v>&lt;li class="col-md-3"&gt;&lt;a class="text-cut" href="javascript:;"(click)="categoryEvent(2084307790)"&gt;{{"2084307790" | translate}}&lt;/a&gt;&lt;/li&gt;</v>
      </c>
    </row>
    <row r="43" spans="1:8" ht="14.25" customHeight="1">
      <c r="A43" s="2">
        <v>22656</v>
      </c>
      <c r="B43" s="2" t="s">
        <v>16</v>
      </c>
      <c r="C43" s="2" t="s">
        <v>6770</v>
      </c>
      <c r="D43" s="2" t="s">
        <v>6773</v>
      </c>
      <c r="E43" s="3" t="str">
        <f ca="1">IFERROR(__xludf.DUMMYFUNCTION("GOOGLETRANSLATE(B43,""ja"",""vi"")"),"nếu không thì")</f>
        <v>nếu không thì</v>
      </c>
      <c r="F43" s="3" t="str">
        <f ca="1">IFERROR(__xludf.DUMMYFUNCTION("GOOGLETRANSLATE(C43,""ja"",""vi"")"),"Đấu giá&gt; Sở thích, văn hóa&gt; công cụ và thiết bị âm nhạc&gt; Khác")</f>
        <v>Đấu giá&gt; Sở thích, văn hóa&gt; công cụ và thiết bị âm nhạc&gt; Khác</v>
      </c>
      <c r="G43" s="229" t="str">
        <f t="shared" ca="1" si="0"/>
        <v>"22656" : "nếu không thì",</v>
      </c>
      <c r="H43" s="229" t="str">
        <f t="shared" si="1"/>
        <v>&lt;li class="col-md-3"&gt;&lt;a class="text-cut" href="javascript:;"(click)="categoryEvent(22656)"&gt;{{"22656" | translate}}&lt;/a&gt;&lt;/li&gt;</v>
      </c>
    </row>
    <row r="44" spans="1:8" ht="14.25" customHeight="1">
      <c r="E44" s="3"/>
      <c r="F44" s="3"/>
      <c r="G44" s="229"/>
      <c r="H44" s="229"/>
    </row>
    <row r="45" spans="1:8" ht="14.25" customHeight="1">
      <c r="A45" s="239">
        <v>20056</v>
      </c>
      <c r="B45" s="232"/>
      <c r="C45" s="232"/>
      <c r="D45" s="233"/>
      <c r="E45" s="3"/>
      <c r="F45" s="3"/>
      <c r="G45" s="229"/>
      <c r="H45" s="229"/>
    </row>
    <row r="46" spans="1:8" ht="14.25" customHeight="1">
      <c r="A46" s="2">
        <v>20080</v>
      </c>
      <c r="B46" s="2" t="s">
        <v>5223</v>
      </c>
      <c r="C46" s="2" t="s">
        <v>5224</v>
      </c>
      <c r="D46" s="2" t="s">
        <v>5226</v>
      </c>
      <c r="E46" s="3" t="str">
        <f ca="1">IFERROR(__xludf.DUMMYFUNCTION("GOOGLETRANSLATE(B46,""ja"",""vi"")"),"hình ảnh")</f>
        <v>hình ảnh</v>
      </c>
      <c r="F46" s="3" t="str">
        <f ca="1">IFERROR(__xludf.DUMMYFUNCTION("GOOGLETRANSLATE(C46,""ja"",""vi"")"),"Đấu giá&gt; Sở thích, văn hóa&gt; tác phẩm nghệ thuật&gt; Tranh")</f>
        <v>Đấu giá&gt; Sở thích, văn hóa&gt; tác phẩm nghệ thuật&gt; Tranh</v>
      </c>
      <c r="G46" s="229" t="str">
        <f t="shared" ca="1" si="0"/>
        <v>"20080" : "hình ảnh",</v>
      </c>
      <c r="H46" s="229" t="str">
        <f t="shared" si="1"/>
        <v>&lt;li class="col-md-3"&gt;&lt;a class="text-cut" href="javascript:;"(click)="categoryEvent(20080)"&gt;{{"20080" | translate}}&lt;/a&gt;&lt;/li&gt;</v>
      </c>
    </row>
    <row r="47" spans="1:8" ht="14.25" customHeight="1">
      <c r="A47" s="2">
        <v>2084006148</v>
      </c>
      <c r="B47" s="2" t="s">
        <v>5230</v>
      </c>
      <c r="C47" s="2" t="s">
        <v>5232</v>
      </c>
      <c r="D47" s="2" t="s">
        <v>5234</v>
      </c>
      <c r="E47" s="3" t="str">
        <f ca="1">IFERROR(__xludf.DUMMYFUNCTION("GOOGLETRANSLATE(B47,""ja"",""vi"")"),"khắc")</f>
        <v>khắc</v>
      </c>
      <c r="F47" s="3" t="str">
        <f ca="1">IFERROR(__xludf.DUMMYFUNCTION("GOOGLETRANSLATE(C47,""ja"",""vi"")"),"Đấu giá&gt; Sở thích, văn hóa&gt; tác phẩm nghệ thuật&gt; In")</f>
        <v>Đấu giá&gt; Sở thích, văn hóa&gt; tác phẩm nghệ thuật&gt; In</v>
      </c>
      <c r="G47" s="229" t="str">
        <f t="shared" ca="1" si="0"/>
        <v>"2084006148" : "khắc",</v>
      </c>
      <c r="H47" s="229" t="str">
        <f t="shared" si="1"/>
        <v>&lt;li class="col-md-3"&gt;&lt;a class="text-cut" href="javascript:;"(click)="categoryEvent(2084006148)"&gt;{{"2084006148" | translate}}&lt;/a&gt;&lt;/li&gt;</v>
      </c>
    </row>
    <row r="48" spans="1:8" ht="14.25" customHeight="1">
      <c r="A48" s="2">
        <v>20120</v>
      </c>
      <c r="B48" s="2" t="s">
        <v>5237</v>
      </c>
      <c r="C48" s="2" t="s">
        <v>5238</v>
      </c>
      <c r="D48" s="2" t="s">
        <v>5239</v>
      </c>
      <c r="E48" s="3" t="str">
        <f ca="1">IFERROR(__xludf.DUMMYFUNCTION("GOOGLETRANSLATE(B48,""ja"",""vi"")"),"Điêu khắc, các đối tượng")</f>
        <v>Điêu khắc, các đối tượng</v>
      </c>
      <c r="F48" s="3" t="str">
        <f ca="1">IFERROR(__xludf.DUMMYFUNCTION("GOOGLETRANSLATE(C48,""ja"",""vi"")"),"Đấu giá&gt; Sở thích, văn hóa&gt; tác phẩm nghệ thuật&gt; điêu khắc, các đối tượng")</f>
        <v>Đấu giá&gt; Sở thích, văn hóa&gt; tác phẩm nghệ thuật&gt; điêu khắc, các đối tượng</v>
      </c>
      <c r="G48" s="229" t="str">
        <f t="shared" ca="1" si="0"/>
        <v>"20120" : "Điêu khắc, các đối tượng",</v>
      </c>
      <c r="H48" s="229" t="str">
        <f t="shared" si="1"/>
        <v>&lt;li class="col-md-3"&gt;&lt;a class="text-cut" href="javascript:;"(click)="categoryEvent(20120)"&gt;{{"20120" | translate}}&lt;/a&gt;&lt;/li&gt;</v>
      </c>
    </row>
    <row r="49" spans="1:8" ht="14.25" customHeight="1">
      <c r="A49" s="2">
        <v>2084024008</v>
      </c>
      <c r="B49" s="2" t="s">
        <v>5245</v>
      </c>
      <c r="C49" s="2" t="s">
        <v>5246</v>
      </c>
      <c r="D49" s="2" t="s">
        <v>5247</v>
      </c>
      <c r="E49" s="3" t="str">
        <f ca="1">IFERROR(__xludf.DUMMYFUNCTION("GOOGLETRANSLATE(B49,""ja"",""vi"")"),"đồ thủ công")</f>
        <v>đồ thủ công</v>
      </c>
      <c r="F49" s="3" t="str">
        <f ca="1">IFERROR(__xludf.DUMMYFUNCTION("GOOGLETRANSLATE(C49,""ja"",""vi"")"),"Đấu giá&gt; Sở thích, văn hóa&gt; nghệ thuật&gt; thủ công")</f>
        <v>Đấu giá&gt; Sở thích, văn hóa&gt; nghệ thuật&gt; thủ công</v>
      </c>
      <c r="G49" s="229" t="str">
        <f t="shared" ca="1" si="0"/>
        <v>"2084024008" : "đồ thủ công",</v>
      </c>
      <c r="H49" s="229" t="str">
        <f t="shared" si="1"/>
        <v>&lt;li class="col-md-3"&gt;&lt;a class="text-cut" href="javascript:;"(click)="categoryEvent(2084024008)"&gt;{{"2084024008" | translate}}&lt;/a&gt;&lt;/li&gt;</v>
      </c>
    </row>
    <row r="50" spans="1:8" ht="14.25" customHeight="1">
      <c r="A50" s="2">
        <v>2084006189</v>
      </c>
      <c r="B50" s="2" t="s">
        <v>5253</v>
      </c>
      <c r="C50" s="2" t="s">
        <v>5254</v>
      </c>
      <c r="D50" s="2" t="s">
        <v>5255</v>
      </c>
      <c r="E50" s="3" t="str">
        <f ca="1">IFERROR(__xludf.DUMMYFUNCTION("GOOGLETRANSLATE(B50,""ja"",""vi"")"),"khung hình")</f>
        <v>khung hình</v>
      </c>
      <c r="F50" s="3" t="str">
        <f ca="1">IFERROR(__xludf.DUMMYFUNCTION("GOOGLETRANSLATE(C50,""ja"",""vi"")"),"Đấu giá&gt; Sở thích, văn hóa&gt; tác phẩm nghệ thuật&gt; khung hình")</f>
        <v>Đấu giá&gt; Sở thích, văn hóa&gt; tác phẩm nghệ thuật&gt; khung hình</v>
      </c>
      <c r="G50" s="229" t="str">
        <f t="shared" ca="1" si="0"/>
        <v>"2084006189" : "khung hình",</v>
      </c>
      <c r="H50" s="229" t="str">
        <f t="shared" si="1"/>
        <v>&lt;li class="col-md-3"&gt;&lt;a class="text-cut" href="javascript:;"(click)="categoryEvent(2084006189)"&gt;{{"2084006189" | translate}}&lt;/a&gt;&lt;/li&gt;</v>
      </c>
    </row>
    <row r="51" spans="1:8" ht="14.25" customHeight="1">
      <c r="A51" s="2">
        <v>2084006117</v>
      </c>
      <c r="B51" s="2" t="s">
        <v>5260</v>
      </c>
      <c r="C51" s="2" t="s">
        <v>5262</v>
      </c>
      <c r="D51" s="2" t="s">
        <v>5264</v>
      </c>
      <c r="E51" s="3" t="str">
        <f ca="1">IFERROR(__xludf.DUMMYFUNCTION("GOOGLETRANSLATE(B51,""ja"",""vi"")"),"Viết")</f>
        <v>Viết</v>
      </c>
      <c r="F51" s="3" t="str">
        <f ca="1">IFERROR(__xludf.DUMMYFUNCTION("GOOGLETRANSLATE(C51,""ja"",""vi"")"),"Đấu giá&gt; Sở thích, văn hóa&gt; tác phẩm nghệ thuật&gt; Bản Tuyên Bố")</f>
        <v>Đấu giá&gt; Sở thích, văn hóa&gt; tác phẩm nghệ thuật&gt; Bản Tuyên Bố</v>
      </c>
      <c r="G51" s="229" t="str">
        <f t="shared" ca="1" si="0"/>
        <v>"2084006117" : "Viết",</v>
      </c>
      <c r="H51" s="229" t="str">
        <f t="shared" si="1"/>
        <v>&lt;li class="col-md-3"&gt;&lt;a class="text-cut" href="javascript:;"(click)="categoryEvent(2084006117)"&gt;{{"2084006117" | translate}}&lt;/a&gt;&lt;/li&gt;</v>
      </c>
    </row>
    <row r="52" spans="1:8" ht="14.25" customHeight="1">
      <c r="A52" s="2">
        <v>20084</v>
      </c>
      <c r="B52" s="2" t="s">
        <v>5266</v>
      </c>
      <c r="C52" s="2" t="s">
        <v>5268</v>
      </c>
      <c r="D52" s="2" t="s">
        <v>5269</v>
      </c>
      <c r="E52" s="3" t="str">
        <f ca="1">IFERROR(__xludf.DUMMYFUNCTION("GOOGLETRANSLATE(B52,""ja"",""vi"")"),"nhiếp ảnh nghệ thuật")</f>
        <v>nhiếp ảnh nghệ thuật</v>
      </c>
      <c r="F52" s="3" t="str">
        <f ca="1">IFERROR(__xludf.DUMMYFUNCTION("GOOGLETRANSLATE(C52,""ja"",""vi"")"),"Đấu giá&gt; Sở thích, văn hóa&gt; tác phẩm nghệ thuật&gt; nhiếp ảnh nghệ thuật")</f>
        <v>Đấu giá&gt; Sở thích, văn hóa&gt; tác phẩm nghệ thuật&gt; nhiếp ảnh nghệ thuật</v>
      </c>
      <c r="G52" s="229" t="str">
        <f t="shared" ca="1" si="0"/>
        <v>"20084" : "nhiếp ảnh nghệ thuật",</v>
      </c>
      <c r="H52" s="229" t="str">
        <f t="shared" si="1"/>
        <v>&lt;li class="col-md-3"&gt;&lt;a class="text-cut" href="javascript:;"(click)="categoryEvent(20084)"&gt;{{"20084" | translate}}&lt;/a&gt;&lt;/li&gt;</v>
      </c>
    </row>
    <row r="53" spans="1:8" ht="14.25" customHeight="1">
      <c r="A53" s="2">
        <v>2084060415</v>
      </c>
      <c r="B53" s="2" t="s">
        <v>5274</v>
      </c>
      <c r="C53" s="2" t="s">
        <v>5276</v>
      </c>
      <c r="D53" s="2" t="s">
        <v>5277</v>
      </c>
      <c r="E53" s="3" t="str">
        <f ca="1">IFERROR(__xludf.DUMMYFUNCTION("GOOGLETRANSLATE(B53,""ja"",""vi"")"),"điều này")</f>
        <v>điều này</v>
      </c>
      <c r="F53" s="3" t="str">
        <f ca="1">IFERROR(__xludf.DUMMYFUNCTION("GOOGLETRANSLATE(C53,""ja"",""vi"")"),"Đấu giá&gt; Sở thích, văn hóa&gt; tác phẩm nghệ thuật&gt; Sách")</f>
        <v>Đấu giá&gt; Sở thích, văn hóa&gt; tác phẩm nghệ thuật&gt; Sách</v>
      </c>
      <c r="G53" s="229" t="str">
        <f t="shared" ca="1" si="0"/>
        <v>"2084060415" : "điều này",</v>
      </c>
      <c r="H53" s="229" t="str">
        <f t="shared" si="1"/>
        <v>&lt;li class="col-md-3"&gt;&lt;a class="text-cut" href="javascript:;"(click)="categoryEvent(2084060415)"&gt;{{"2084060415" | translate}}&lt;/a&gt;&lt;/li&gt;</v>
      </c>
    </row>
    <row r="54" spans="1:8" ht="14.25" customHeight="1">
      <c r="A54" s="2">
        <v>2084307788</v>
      </c>
      <c r="B54" s="2" t="s">
        <v>5211</v>
      </c>
      <c r="C54" s="2" t="s">
        <v>5282</v>
      </c>
      <c r="D54" s="2" t="s">
        <v>5284</v>
      </c>
      <c r="E54" s="3" t="str">
        <f ca="1">IFERROR(__xludf.DUMMYFUNCTION("GOOGLETRANSLATE(B54,""ja"",""vi"")"),"Tranh vẽ trên vải, hàng thủ công cho thuê")</f>
        <v>Tranh vẽ trên vải, hàng thủ công cho thuê</v>
      </c>
      <c r="F54" s="3" t="str">
        <f ca="1">IFERROR(__xludf.DUMMYFUNCTION("GOOGLETRANSLATE(C54,""ja"",""vi"")"),"Đấu giá&gt; Sở thích, văn hóa&gt; tác phẩm nghệ thuật&gt; Tranh, hàng thủ công cho thuê")</f>
        <v>Đấu giá&gt; Sở thích, văn hóa&gt; tác phẩm nghệ thuật&gt; Tranh, hàng thủ công cho thuê</v>
      </c>
      <c r="G54" s="229" t="str">
        <f t="shared" ca="1" si="0"/>
        <v>"2084307788" : "Tranh vẽ trên vải, hàng thủ công cho thuê",</v>
      </c>
      <c r="H54" s="229" t="str">
        <f t="shared" si="1"/>
        <v>&lt;li class="col-md-3"&gt;&lt;a class="text-cut" href="javascript:;"(click)="categoryEvent(2084307788)"&gt;{{"2084307788" | translate}}&lt;/a&gt;&lt;/li&gt;</v>
      </c>
    </row>
    <row r="55" spans="1:8" ht="14.25" customHeight="1">
      <c r="A55" s="2">
        <v>2084060423</v>
      </c>
      <c r="B55" s="2" t="s">
        <v>351</v>
      </c>
      <c r="C55" s="2" t="s">
        <v>5290</v>
      </c>
      <c r="D55" s="2" t="s">
        <v>5291</v>
      </c>
      <c r="E55" s="3" t="str">
        <f ca="1">IFERROR(__xludf.DUMMYFUNCTION("GOOGLETRANSLATE(B55,""ja"",""vi"")"),"tạp chí")</f>
        <v>tạp chí</v>
      </c>
      <c r="F55" s="3" t="str">
        <f ca="1">IFERROR(__xludf.DUMMYFUNCTION("GOOGLETRANSLATE(C55,""ja"",""vi"")"),"Đấu giá&gt; Sở thích, văn hóa&gt; tác phẩm nghệ thuật&gt; Tạp chí")</f>
        <v>Đấu giá&gt; Sở thích, văn hóa&gt; tác phẩm nghệ thuật&gt; Tạp chí</v>
      </c>
      <c r="G55" s="229" t="str">
        <f t="shared" ca="1" si="0"/>
        <v>"2084060423" : "tạp chí",</v>
      </c>
      <c r="H55" s="229" t="str">
        <f t="shared" si="1"/>
        <v>&lt;li class="col-md-3"&gt;&lt;a class="text-cut" href="javascript:;"(click)="categoryEvent(2084060423)"&gt;{{"2084060423" | translate}}&lt;/a&gt;&lt;/li&gt;</v>
      </c>
    </row>
    <row r="56" spans="1:8" ht="14.25" customHeight="1">
      <c r="A56" s="2">
        <v>20128</v>
      </c>
      <c r="B56" s="2" t="s">
        <v>16</v>
      </c>
      <c r="C56" s="2" t="s">
        <v>5298</v>
      </c>
      <c r="D56" s="2" t="s">
        <v>5299</v>
      </c>
      <c r="E56" s="3" t="str">
        <f ca="1">IFERROR(__xludf.DUMMYFUNCTION("GOOGLETRANSLATE(B56,""ja"",""vi"")"),"nếu không thì")</f>
        <v>nếu không thì</v>
      </c>
      <c r="F56" s="3" t="str">
        <f ca="1">IFERROR(__xludf.DUMMYFUNCTION("GOOGLETRANSLATE(C56,""ja"",""vi"")"),"Đấu giá&gt; Sở thích, văn hóa&gt; tác phẩm nghệ thuật&gt; Khác")</f>
        <v>Đấu giá&gt; Sở thích, văn hóa&gt; tác phẩm nghệ thuật&gt; Khác</v>
      </c>
      <c r="G56" s="229" t="str">
        <f t="shared" ca="1" si="0"/>
        <v>"20128" : "nếu không thì",</v>
      </c>
      <c r="H56" s="229" t="str">
        <f t="shared" si="1"/>
        <v>&lt;li class="col-md-3"&gt;&lt;a class="text-cut" href="javascript:;"(click)="categoryEvent(20128)"&gt;{{"20128" | translate}}&lt;/a&gt;&lt;/li&gt;</v>
      </c>
    </row>
    <row r="57" spans="1:8" ht="14.25" customHeight="1">
      <c r="E57" s="3"/>
      <c r="F57" s="3"/>
      <c r="G57" s="229"/>
      <c r="H57" s="229"/>
    </row>
    <row r="58" spans="1:8" ht="14.25" customHeight="1">
      <c r="A58" s="240">
        <v>20124</v>
      </c>
      <c r="B58" s="232"/>
      <c r="C58" s="232"/>
      <c r="D58" s="233"/>
      <c r="E58" s="3"/>
      <c r="F58" s="3"/>
      <c r="G58" s="229"/>
      <c r="H58" s="229"/>
    </row>
    <row r="59" spans="1:8" ht="14.25" customHeight="1">
      <c r="A59" s="2">
        <v>2084006188</v>
      </c>
      <c r="B59" s="2" t="s">
        <v>6853</v>
      </c>
      <c r="C59" s="2" t="s">
        <v>6854</v>
      </c>
      <c r="D59" s="2" t="s">
        <v>6855</v>
      </c>
      <c r="E59" s="3" t="str">
        <f ca="1">IFERROR(__xludf.DUMMYFUNCTION("GOOGLETRANSLATE(B59,""ja"",""vi"")"),"nguồn cung cấp nghệ thuật")</f>
        <v>nguồn cung cấp nghệ thuật</v>
      </c>
      <c r="F59" s="3" t="str">
        <f ca="1">IFERROR(__xludf.DUMMYFUNCTION("GOOGLETRANSLATE(C59,""ja"",""vi"")"),"Đấu giá&gt; Sở thích, văn hóa&gt; Art Supplies&gt; vật liệu sơn")</f>
        <v>Đấu giá&gt; Sở thích, văn hóa&gt; Art Supplies&gt; vật liệu sơn</v>
      </c>
      <c r="G59" s="229" t="str">
        <f t="shared" ca="1" si="0"/>
        <v>"2084006188" : "nguồn cung cấp nghệ thuật",</v>
      </c>
      <c r="H59" s="229" t="str">
        <f t="shared" si="1"/>
        <v>&lt;li class="col-md-3"&gt;&lt;a class="text-cut" href="javascript:;"(click)="categoryEvent(2084006188)"&gt;{{"2084006188" | translate}}&lt;/a&gt;&lt;/li&gt;</v>
      </c>
    </row>
    <row r="60" spans="1:8" ht="14.25" customHeight="1">
      <c r="A60" s="2">
        <v>2084006189</v>
      </c>
      <c r="B60" s="2" t="s">
        <v>5253</v>
      </c>
      <c r="C60" s="2" t="s">
        <v>6862</v>
      </c>
      <c r="D60" s="2" t="s">
        <v>6863</v>
      </c>
      <c r="E60" s="3" t="str">
        <f ca="1">IFERROR(__xludf.DUMMYFUNCTION("GOOGLETRANSLATE(B60,""ja"",""vi"")"),"khung hình")</f>
        <v>khung hình</v>
      </c>
      <c r="F60" s="3" t="str">
        <f ca="1">IFERROR(__xludf.DUMMYFUNCTION("GOOGLETRANSLATE(C60,""ja"",""vi"")"),"Đấu giá&gt; Sở thích, văn hóa&gt; Art Supplies&gt; khung hình")</f>
        <v>Đấu giá&gt; Sở thích, văn hóa&gt; Art Supplies&gt; khung hình</v>
      </c>
      <c r="G60" s="229" t="str">
        <f t="shared" ca="1" si="0"/>
        <v>"2084006189" : "khung hình",</v>
      </c>
      <c r="H60" s="229" t="str">
        <f t="shared" si="1"/>
        <v>&lt;li class="col-md-3"&gt;&lt;a class="text-cut" href="javascript:;"(click)="categoryEvent(2084006189)"&gt;{{"2084006189" | translate}}&lt;/a&gt;&lt;/li&gt;</v>
      </c>
    </row>
    <row r="61" spans="1:8" ht="14.25" customHeight="1">
      <c r="A61" s="2">
        <v>20056</v>
      </c>
      <c r="B61" s="2" t="s">
        <v>4993</v>
      </c>
      <c r="C61" s="2" t="s">
        <v>6871</v>
      </c>
      <c r="D61" s="2" t="s">
        <v>6873</v>
      </c>
      <c r="E61" s="3" t="str">
        <f ca="1">IFERROR(__xludf.DUMMYFUNCTION("GOOGLETRANSLATE(B61,""ja"",""vi"")"),"Tác phẩm nghệ thuật")</f>
        <v>Tác phẩm nghệ thuật</v>
      </c>
      <c r="F61" s="3" t="str">
        <f ca="1">IFERROR(__xludf.DUMMYFUNCTION("GOOGLETRANSLATE(C61,""ja"",""vi"")"),"Đấu giá&gt; Sở thích, văn hóa&gt; Art Supplies&gt; tác phẩm nghệ thuật")</f>
        <v>Đấu giá&gt; Sở thích, văn hóa&gt; Art Supplies&gt; tác phẩm nghệ thuật</v>
      </c>
      <c r="G61" s="229" t="str">
        <f t="shared" ca="1" si="0"/>
        <v>"20056" : "Tác phẩm nghệ thuật",</v>
      </c>
      <c r="H61" s="229" t="str">
        <f t="shared" si="1"/>
        <v>&lt;li class="col-md-3"&gt;&lt;a class="text-cut" href="javascript:;"(click)="categoryEvent(20056)"&gt;{{"20056" | translate}}&lt;/a&gt;&lt;/li&gt;</v>
      </c>
    </row>
    <row r="62" spans="1:8" ht="14.25" customHeight="1">
      <c r="A62" s="2">
        <v>2084006190</v>
      </c>
      <c r="B62" s="2" t="s">
        <v>16</v>
      </c>
      <c r="C62" s="2" t="s">
        <v>6884</v>
      </c>
      <c r="D62" s="2" t="s">
        <v>6885</v>
      </c>
      <c r="E62" s="3" t="str">
        <f ca="1">IFERROR(__xludf.DUMMYFUNCTION("GOOGLETRANSLATE(B62,""ja"",""vi"")"),"nếu không thì")</f>
        <v>nếu không thì</v>
      </c>
      <c r="F62" s="3" t="str">
        <f ca="1">IFERROR(__xludf.DUMMYFUNCTION("GOOGLETRANSLATE(C62,""ja"",""vi"")"),"Đấu giá&gt; Sở thích, văn hóa&gt; Art Supplies&gt; Khác")</f>
        <v>Đấu giá&gt; Sở thích, văn hóa&gt; Art Supplies&gt; Khác</v>
      </c>
      <c r="G62" s="229" t="str">
        <f t="shared" ca="1" si="0"/>
        <v>"2084006190" : "nếu không thì",</v>
      </c>
      <c r="H62" s="229" t="str">
        <f t="shared" si="1"/>
        <v>&lt;li class="col-md-3"&gt;&lt;a class="text-cut" href="javascript:;"(click)="categoryEvent(2084006190)"&gt;{{"2084006190" | translate}}&lt;/a&gt;&lt;/li&gt;</v>
      </c>
    </row>
    <row r="63" spans="1:8" ht="14.25" customHeight="1">
      <c r="E63" s="3"/>
      <c r="F63" s="3"/>
      <c r="G63" s="229"/>
      <c r="H63" s="229"/>
    </row>
    <row r="64" spans="1:8" ht="14.25" customHeight="1">
      <c r="A64" s="237">
        <v>20924</v>
      </c>
      <c r="B64" s="232"/>
      <c r="C64" s="232"/>
      <c r="D64" s="233"/>
      <c r="E64" s="3"/>
      <c r="F64" s="3"/>
      <c r="G64" s="229"/>
      <c r="H64" s="229"/>
    </row>
    <row r="65" spans="1:8" ht="14.25" customHeight="1">
      <c r="A65" s="2">
        <v>24414</v>
      </c>
      <c r="B65" s="2" t="s">
        <v>6900</v>
      </c>
      <c r="C65" s="2" t="s">
        <v>6901</v>
      </c>
      <c r="D65" s="2" t="s">
        <v>6902</v>
      </c>
      <c r="E65" s="3" t="str">
        <f ca="1">IFERROR(__xludf.DUMMYFUNCTION("GOOGLETRANSLATE(B65,""ja"",""vi"")"),"May, thêu ren")</f>
        <v>May, thêu ren</v>
      </c>
      <c r="F65" s="3" t="str">
        <f ca="1">IFERROR(__xludf.DUMMYFUNCTION("GOOGLETRANSLATE(C65,""ja"",""vi"")"),"Đấu giá&gt; Sở thích, văn hóa&gt; thủ công, thủ công mỹ nghệ&gt; may, thêu ren")</f>
        <v>Đấu giá&gt; Sở thích, văn hóa&gt; thủ công, thủ công mỹ nghệ&gt; may, thêu ren</v>
      </c>
      <c r="G65" s="229" t="str">
        <f t="shared" ca="1" si="0"/>
        <v>"24414" : "May, thêu ren",</v>
      </c>
      <c r="H65" s="229" t="str">
        <f t="shared" si="1"/>
        <v>&lt;li class="col-md-3"&gt;&lt;a class="text-cut" href="javascript:;"(click)="categoryEvent(24414)"&gt;{{"24414" | translate}}&lt;/a&gt;&lt;/li&gt;</v>
      </c>
    </row>
    <row r="66" spans="1:8" ht="14.25" customHeight="1">
      <c r="A66" s="2">
        <v>2084008354</v>
      </c>
      <c r="B66" s="2" t="s">
        <v>3166</v>
      </c>
      <c r="C66" s="2" t="s">
        <v>6912</v>
      </c>
      <c r="D66" s="2" t="s">
        <v>6914</v>
      </c>
      <c r="E66" s="3" t="str">
        <f ca="1">IFERROR(__xludf.DUMMYFUNCTION("GOOGLETRANSLATE(B66,""ja"",""vi"")"),"máy may")</f>
        <v>máy may</v>
      </c>
      <c r="F66" s="3" t="str">
        <f ca="1">IFERROR(__xludf.DUMMYFUNCTION("GOOGLETRANSLATE(C66,""ja"",""vi"")"),"Đấu giá&gt; Sở thích, văn hóa&gt; thủ công, thủ công mỹ nghệ&gt; máy may")</f>
        <v>Đấu giá&gt; Sở thích, văn hóa&gt; thủ công, thủ công mỹ nghệ&gt; máy may</v>
      </c>
      <c r="G66" s="229" t="str">
        <f t="shared" ca="1" si="0"/>
        <v>"2084008354" : "máy may",</v>
      </c>
      <c r="H66" s="229" t="str">
        <f t="shared" si="1"/>
        <v>&lt;li class="col-md-3"&gt;&lt;a class="text-cut" href="javascript:;"(click)="categoryEvent(2084008354)"&gt;{{"2084008354" | translate}}&lt;/a&gt;&lt;/li&gt;</v>
      </c>
    </row>
    <row r="67" spans="1:8" ht="14.25" customHeight="1">
      <c r="A67" s="2">
        <v>2084042445</v>
      </c>
      <c r="B67" s="2" t="s">
        <v>6922</v>
      </c>
      <c r="C67" s="2" t="s">
        <v>6925</v>
      </c>
      <c r="D67" s="2" t="s">
        <v>6926</v>
      </c>
      <c r="E67" s="3" t="str">
        <f ca="1">IFERROR(__xludf.DUMMYFUNCTION("GOOGLETRANSLATE(B67,""ja"",""vi"")"),"Chế tác hạt")</f>
        <v>Chế tác hạt</v>
      </c>
      <c r="F67" s="3" t="str">
        <f ca="1">IFERROR(__xludf.DUMMYFUNCTION("GOOGLETRANSLATE(C67,""ja"",""vi"")"),"Đấu giá&gt; Sở thích, văn hóa&gt; thủ công, thủ công mỹ nghệ&gt; nghệ thuật kết cườm")</f>
        <v>Đấu giá&gt; Sở thích, văn hóa&gt; thủ công, thủ công mỹ nghệ&gt; nghệ thuật kết cườm</v>
      </c>
      <c r="G67" s="229" t="str">
        <f t="shared" ref="G67:G130" ca="1" si="2">CONCATENATE(CHAR(34)&amp;"",A67,""&amp;CHAR(34)," : ", CHAR(34)&amp;"",E67,""&amp;CHAR(34),",")</f>
        <v>"2084042445" : "Chế tác hạt",</v>
      </c>
      <c r="H67" s="229" t="str">
        <f t="shared" ref="H67:H130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href="javascript:;"(click)="categoryEvent(2084042445)"&gt;{{"2084042445" | translate}}&lt;/a&gt;&lt;/li&gt;</v>
      </c>
    </row>
    <row r="68" spans="1:8" ht="14.25" customHeight="1">
      <c r="A68" s="2">
        <v>2084045848</v>
      </c>
      <c r="B68" s="2" t="s">
        <v>6930</v>
      </c>
      <c r="C68" s="2" t="s">
        <v>6934</v>
      </c>
      <c r="D68" s="2" t="s">
        <v>6935</v>
      </c>
      <c r="E68" s="3" t="str">
        <f ca="1">IFERROR(__xludf.DUMMYFUNCTION("GOOGLETRANSLATE(B68,""ja"",""vi"")"),"đan")</f>
        <v>đan</v>
      </c>
      <c r="F68" s="3" t="str">
        <f ca="1">IFERROR(__xludf.DUMMYFUNCTION("GOOGLETRANSLATE(C68,""ja"",""vi"")"),"Đấu giá&gt; Sở thích, văn hóa&gt; thủ công, thủ công mỹ nghệ&gt; đan")</f>
        <v>Đấu giá&gt; Sở thích, văn hóa&gt; thủ công, thủ công mỹ nghệ&gt; đan</v>
      </c>
      <c r="G68" s="229" t="str">
        <f t="shared" ca="1" si="2"/>
        <v>"2084045848" : "đan",</v>
      </c>
      <c r="H68" s="229" t="str">
        <f t="shared" si="3"/>
        <v>&lt;li class="col-md-3"&gt;&lt;a class="text-cut" href="javascript:;"(click)="categoryEvent(2084045848)"&gt;{{"2084045848" | translate}}&lt;/a&gt;&lt;/li&gt;</v>
      </c>
    </row>
    <row r="69" spans="1:8" ht="14.25" customHeight="1">
      <c r="A69" s="2">
        <v>2084042444</v>
      </c>
      <c r="B69" s="2" t="s">
        <v>6938</v>
      </c>
      <c r="C69" s="2" t="s">
        <v>6939</v>
      </c>
      <c r="D69" s="2" t="s">
        <v>6940</v>
      </c>
      <c r="E69" s="3" t="str">
        <f ca="1">IFERROR(__xludf.DUMMYFUNCTION("GOOGLETRANSLATE(B69,""ja"",""vi"")"),"hàng thủ công đất sét")</f>
        <v>hàng thủ công đất sét</v>
      </c>
      <c r="F69" s="3" t="str">
        <f ca="1">IFERROR(__xludf.DUMMYFUNCTION("GOOGLETRANSLATE(C69,""ja"",""vi"")"),"Đấu giá&gt; Sở thích, văn hóa&gt; thủ công, thủ công mỹ nghệ&gt; nghề sét")</f>
        <v>Đấu giá&gt; Sở thích, văn hóa&gt; thủ công, thủ công mỹ nghệ&gt; nghề sét</v>
      </c>
      <c r="G69" s="229" t="str">
        <f t="shared" ca="1" si="2"/>
        <v>"2084042444" : "hàng thủ công đất sét",</v>
      </c>
      <c r="H69" s="229" t="str">
        <f t="shared" si="3"/>
        <v>&lt;li class="col-md-3"&gt;&lt;a class="text-cut" href="javascript:;"(click)="categoryEvent(2084042444)"&gt;{{"2084042444" | translate}}&lt;/a&gt;&lt;/li&gt;</v>
      </c>
    </row>
    <row r="70" spans="1:8" ht="14.25" customHeight="1">
      <c r="A70" s="2">
        <v>2084063304</v>
      </c>
      <c r="B70" s="2" t="s">
        <v>6943</v>
      </c>
      <c r="C70" s="2" t="s">
        <v>6944</v>
      </c>
      <c r="D70" s="2" t="s">
        <v>6945</v>
      </c>
      <c r="E70" s="3" t="str">
        <f ca="1">IFERROR(__xludf.DUMMYFUNCTION("GOOGLETRANSLATE(B70,""ja"",""vi"")"),"da nghề")</f>
        <v>da nghề</v>
      </c>
      <c r="F70" s="3" t="str">
        <f ca="1">IFERROR(__xludf.DUMMYFUNCTION("GOOGLETRANSLATE(C70,""ja"",""vi"")"),"Đấu giá&gt; Sở thích, văn hóa&gt; thủ công, thủ công mỹ nghệ&gt; da nghề")</f>
        <v>Đấu giá&gt; Sở thích, văn hóa&gt; thủ công, thủ công mỹ nghệ&gt; da nghề</v>
      </c>
      <c r="G70" s="229" t="str">
        <f t="shared" ca="1" si="2"/>
        <v>"2084063304" : "da nghề",</v>
      </c>
      <c r="H70" s="229" t="str">
        <f t="shared" si="3"/>
        <v>&lt;li class="col-md-3"&gt;&lt;a class="text-cut" href="javascript:;"(click)="categoryEvent(2084063304)"&gt;{{"2084063304" | translate}}&lt;/a&gt;&lt;/li&gt;</v>
      </c>
    </row>
    <row r="71" spans="1:8" ht="14.25" customHeight="1">
      <c r="A71" s="2">
        <v>2084063305</v>
      </c>
      <c r="B71" s="2" t="s">
        <v>6946</v>
      </c>
      <c r="C71" s="2" t="s">
        <v>6947</v>
      </c>
      <c r="D71" s="2" t="s">
        <v>6949</v>
      </c>
      <c r="E71" s="3" t="str">
        <f ca="1">IFERROR(__xludf.DUMMYFUNCTION("GOOGLETRANSLATE(B71,""ja"",""vi"")"),"Craft giấy")</f>
        <v>Craft giấy</v>
      </c>
      <c r="F71" s="3" t="str">
        <f ca="1">IFERROR(__xludf.DUMMYFUNCTION("GOOGLETRANSLATE(C71,""ja"",""vi"")"),"Đấu giá&gt; Sở thích, văn hóa&gt; thủ công, thủ công mỹ nghệ&gt; nghề giấy")</f>
        <v>Đấu giá&gt; Sở thích, văn hóa&gt; thủ công, thủ công mỹ nghệ&gt; nghề giấy</v>
      </c>
      <c r="G71" s="229" t="str">
        <f t="shared" ca="1" si="2"/>
        <v>"2084063305" : "Craft giấy",</v>
      </c>
      <c r="H71" s="229" t="str">
        <f t="shared" si="3"/>
        <v>&lt;li class="col-md-3"&gt;&lt;a class="text-cut" href="javascript:;"(click)="categoryEvent(2084063305)"&gt;{{"2084063305" | translate}}&lt;/a&gt;&lt;/li&gt;</v>
      </c>
    </row>
    <row r="72" spans="1:8" ht="14.25" customHeight="1">
      <c r="A72" s="2">
        <v>2084006705</v>
      </c>
      <c r="B72" s="2" t="s">
        <v>6953</v>
      </c>
      <c r="C72" s="2" t="s">
        <v>6954</v>
      </c>
      <c r="D72" s="2" t="s">
        <v>6955</v>
      </c>
      <c r="E72" s="3" t="str">
        <f ca="1">IFERROR(__xludf.DUMMYFUNCTION("GOOGLETRANSLATE(B72,""ja"",""vi"")"),"Nghệ thuật hoa, hoa ép")</f>
        <v>Nghệ thuật hoa, hoa ép</v>
      </c>
      <c r="F72" s="3" t="str">
        <f ca="1">IFERROR(__xludf.DUMMYFUNCTION("GOOGLETRANSLATE(C72,""ja"",""vi"")"),"Đấu giá&gt; Sở thích, văn hóa&gt; thủ công, thủ công mỹ nghệ&gt; Nghệ thuật hoa, hoa ép")</f>
        <v>Đấu giá&gt; Sở thích, văn hóa&gt; thủ công, thủ công mỹ nghệ&gt; Nghệ thuật hoa, hoa ép</v>
      </c>
      <c r="G72" s="229" t="str">
        <f t="shared" ca="1" si="2"/>
        <v>"2084006705" : "Nghệ thuật hoa, hoa ép",</v>
      </c>
      <c r="H72" s="229" t="str">
        <f t="shared" si="3"/>
        <v>&lt;li class="col-md-3"&gt;&lt;a class="text-cut" href="javascript:;"(click)="categoryEvent(2084006705)"&gt;{{"2084006705" | translate}}&lt;/a&gt;&lt;/li&gt;</v>
      </c>
    </row>
    <row r="73" spans="1:8" ht="14.25" customHeight="1">
      <c r="A73" s="2">
        <v>2084042440</v>
      </c>
      <c r="B73" s="2" t="s">
        <v>6960</v>
      </c>
      <c r="C73" s="2" t="s">
        <v>6961</v>
      </c>
      <c r="D73" s="2" t="s">
        <v>6962</v>
      </c>
      <c r="E73" s="3" t="str">
        <f ca="1">IFERROR(__xludf.DUMMYFUNCTION("GOOGLETRANSLATE(B73,""ja"",""vi"")"),"Máy làm đồ gỗ, sơn")</f>
        <v>Máy làm đồ gỗ, sơn</v>
      </c>
      <c r="F73" s="3" t="str">
        <f ca="1">IFERROR(__xludf.DUMMYFUNCTION("GOOGLETRANSLATE(C73,""ja"",""vi"")"),"Đấu giá&gt; Sở thích, văn hóa&gt; thủ công, thủ công mỹ nghệ&gt; chế biến gỗ, sơn")</f>
        <v>Đấu giá&gt; Sở thích, văn hóa&gt; thủ công, thủ công mỹ nghệ&gt; chế biến gỗ, sơn</v>
      </c>
      <c r="G73" s="229" t="str">
        <f t="shared" ca="1" si="2"/>
        <v>"2084042440" : "Máy làm đồ gỗ, sơn",</v>
      </c>
      <c r="H73" s="229" t="str">
        <f t="shared" si="3"/>
        <v>&lt;li class="col-md-3"&gt;&lt;a class="text-cut" href="javascript:;"(click)="categoryEvent(2084042440)"&gt;{{"2084042440" | translate}}&lt;/a&gt;&lt;/li&gt;</v>
      </c>
    </row>
    <row r="74" spans="1:8" ht="14.25" customHeight="1">
      <c r="A74" s="2">
        <v>2084042442</v>
      </c>
      <c r="B74" s="2" t="s">
        <v>6965</v>
      </c>
      <c r="C74" s="2" t="s">
        <v>6966</v>
      </c>
      <c r="D74" s="2" t="s">
        <v>6967</v>
      </c>
      <c r="E74" s="3" t="str">
        <f ca="1">IFERROR(__xludf.DUMMYFUNCTION("GOOGLETRANSLATE(B74,""ja"",""vi"")"),"hàng thủ công kính")</f>
        <v>hàng thủ công kính</v>
      </c>
      <c r="F74" s="3" t="str">
        <f ca="1">IFERROR(__xludf.DUMMYFUNCTION("GOOGLETRANSLATE(C74,""ja"",""vi"")"),"Đấu giá&gt; Sở thích, văn hóa&gt; thủ công, thủ công mỹ nghệ&gt; thủ công kính")</f>
        <v>Đấu giá&gt; Sở thích, văn hóa&gt; thủ công, thủ công mỹ nghệ&gt; thủ công kính</v>
      </c>
      <c r="G74" s="229" t="str">
        <f t="shared" ca="1" si="2"/>
        <v>"2084042442" : "hàng thủ công kính",</v>
      </c>
      <c r="H74" s="229" t="str">
        <f t="shared" si="3"/>
        <v>&lt;li class="col-md-3"&gt;&lt;a class="text-cut" href="javascript:;"(click)="categoryEvent(2084042442)"&gt;{{"2084042442" | translate}}&lt;/a&gt;&lt;/li&gt;</v>
      </c>
    </row>
    <row r="75" spans="1:8" ht="14.25" customHeight="1">
      <c r="A75" s="2">
        <v>2084305345</v>
      </c>
      <c r="B75" s="2" t="s">
        <v>6970</v>
      </c>
      <c r="C75" s="2" t="s">
        <v>6974</v>
      </c>
      <c r="D75" s="2" t="s">
        <v>6976</v>
      </c>
      <c r="E75" s="3" t="str">
        <f ca="1">IFERROR(__xludf.DUMMYFUNCTION("GOOGLETRANSLATE(B75,""ja"",""vi"")"),"bạc Clay")</f>
        <v>bạc Clay</v>
      </c>
      <c r="F75" s="3" t="str">
        <f ca="1">IFERROR(__xludf.DUMMYFUNCTION("GOOGLETRANSLATE(C75,""ja"",""vi"")"),"Đấu giá&gt; Sở thích, văn hóa&gt; thủ công, thủ công mỹ nghệ&gt; Bạc Clay")</f>
        <v>Đấu giá&gt; Sở thích, văn hóa&gt; thủ công, thủ công mỹ nghệ&gt; Bạc Clay</v>
      </c>
      <c r="G75" s="229" t="str">
        <f t="shared" ca="1" si="2"/>
        <v>"2084305345" : "bạc Clay",</v>
      </c>
      <c r="H75" s="229" t="str">
        <f t="shared" si="3"/>
        <v>&lt;li class="col-md-3"&gt;&lt;a class="text-cut" href="javascript:;"(click)="categoryEvent(2084305345)"&gt;{{"2084305345" | translate}}&lt;/a&gt;&lt;/li&gt;</v>
      </c>
    </row>
    <row r="76" spans="1:8" ht="14.25" customHeight="1">
      <c r="A76" s="2">
        <v>2084042443</v>
      </c>
      <c r="B76" s="2" t="s">
        <v>6980</v>
      </c>
      <c r="C76" s="2" t="s">
        <v>6982</v>
      </c>
      <c r="D76" s="2" t="s">
        <v>6984</v>
      </c>
      <c r="E76" s="3" t="str">
        <f ca="1">IFERROR(__xludf.DUMMYFUNCTION("GOOGLETRANSLATE(B76,""ja"",""vi"")"),"chế biến kim loại, khắc")</f>
        <v>chế biến kim loại, khắc</v>
      </c>
      <c r="F76" s="3" t="str">
        <f ca="1">IFERROR(__xludf.DUMMYFUNCTION("GOOGLETRANSLATE(C76,""ja"",""vi"")"),"Đấu giá&gt; Sở thích, văn hóa&gt; thủ công, thủ công mỹ nghệ&gt; gia công kim loại, khắc")</f>
        <v>Đấu giá&gt; Sở thích, văn hóa&gt; thủ công, thủ công mỹ nghệ&gt; gia công kim loại, khắc</v>
      </c>
      <c r="G76" s="229" t="str">
        <f t="shared" ca="1" si="2"/>
        <v>"2084042443" : "chế biến kim loại, khắc",</v>
      </c>
      <c r="H76" s="229" t="str">
        <f t="shared" si="3"/>
        <v>&lt;li class="col-md-3"&gt;&lt;a class="text-cut" href="javascript:;"(click)="categoryEvent(2084042443)"&gt;{{"2084042443" | translate}}&lt;/a&gt;&lt;/li&gt;</v>
      </c>
    </row>
    <row r="77" spans="1:8" ht="14.25" customHeight="1">
      <c r="A77" s="2">
        <v>2084305332</v>
      </c>
      <c r="B77" s="2" t="s">
        <v>2295</v>
      </c>
      <c r="C77" s="2" t="s">
        <v>6992</v>
      </c>
      <c r="D77" s="2" t="s">
        <v>6993</v>
      </c>
      <c r="E77" s="3" t="str">
        <f ca="1">IFERROR(__xludf.DUMMYFUNCTION("GOOGLETRANSLATE(B77,""ja"",""vi"")"),"nến")</f>
        <v>nến</v>
      </c>
      <c r="F77" s="3" t="str">
        <f ca="1">IFERROR(__xludf.DUMMYFUNCTION("GOOGLETRANSLATE(C77,""ja"",""vi"")"),"Đấu giá&gt; Sở thích, văn hóa&gt; thủ công, thủ công mỹ nghệ&gt; nến")</f>
        <v>Đấu giá&gt; Sở thích, văn hóa&gt; thủ công, thủ công mỹ nghệ&gt; nến</v>
      </c>
      <c r="G77" s="229" t="str">
        <f t="shared" ca="1" si="2"/>
        <v>"2084305332" : "nến",</v>
      </c>
      <c r="H77" s="229" t="str">
        <f t="shared" si="3"/>
        <v>&lt;li class="col-md-3"&gt;&lt;a class="text-cut" href="javascript:;"(click)="categoryEvent(2084305332)"&gt;{{"2084305332" | translate}}&lt;/a&gt;&lt;/li&gt;</v>
      </c>
    </row>
    <row r="78" spans="1:8" ht="14.25" customHeight="1">
      <c r="A78" s="2">
        <v>2084063367</v>
      </c>
      <c r="B78" s="2" t="s">
        <v>6996</v>
      </c>
      <c r="C78" s="2" t="s">
        <v>6998</v>
      </c>
      <c r="D78" s="2" t="s">
        <v>7000</v>
      </c>
      <c r="E78" s="3" t="str">
        <f ca="1">IFERROR(__xludf.DUMMYFUNCTION("GOOGLETRANSLATE(B78,""ja"",""vi"")"),"Dekopatsu")</f>
        <v>Dekopatsu</v>
      </c>
      <c r="F78" s="3" t="str">
        <f ca="1">IFERROR(__xludf.DUMMYFUNCTION("GOOGLETRANSLATE(C78,""ja"",""vi"")"),"Đấu giá&gt; Sở thích, văn hóa&gt; thủ công, thủ công mỹ nghệ&gt; Dekopatsu")</f>
        <v>Đấu giá&gt; Sở thích, văn hóa&gt; thủ công, thủ công mỹ nghệ&gt; Dekopatsu</v>
      </c>
      <c r="G78" s="229" t="str">
        <f t="shared" ca="1" si="2"/>
        <v>"2084063367" : "Dekopatsu",</v>
      </c>
      <c r="H78" s="229" t="str">
        <f t="shared" si="3"/>
        <v>&lt;li class="col-md-3"&gt;&lt;a class="text-cut" href="javascript:;"(click)="categoryEvent(2084063367)"&gt;{{"2084063367" | translate}}&lt;/a&gt;&lt;/li&gt;</v>
      </c>
    </row>
    <row r="79" spans="1:8" ht="14.25" customHeight="1">
      <c r="A79" s="2">
        <v>25864</v>
      </c>
      <c r="B79" s="2" t="s">
        <v>7003</v>
      </c>
      <c r="C79" s="2" t="s">
        <v>7005</v>
      </c>
      <c r="D79" s="2" t="s">
        <v>7007</v>
      </c>
      <c r="E79" s="3" t="str">
        <f ca="1">IFERROR(__xludf.DUMMYFUNCTION("GOOGLETRANSLATE(B79,""ja"",""vi"")"),"tùy chỉnh búp bê")</f>
        <v>tùy chỉnh búp bê</v>
      </c>
      <c r="F79" s="3" t="str">
        <f ca="1">IFERROR(__xludf.DUMMYFUNCTION("GOOGLETRANSLATE(C79,""ja"",""vi"")"),"Đấu giá&gt; Sở thích, văn hóa&gt; thủ công, thủ công mỹ nghệ&gt; búp bê tùy chỉnh")</f>
        <v>Đấu giá&gt; Sở thích, văn hóa&gt; thủ công, thủ công mỹ nghệ&gt; búp bê tùy chỉnh</v>
      </c>
      <c r="G79" s="229" t="str">
        <f t="shared" ca="1" si="2"/>
        <v>"25864" : "tùy chỉnh búp bê",</v>
      </c>
      <c r="H79" s="229" t="str">
        <f t="shared" si="3"/>
        <v>&lt;li class="col-md-3"&gt;&lt;a class="text-cut" href="javascript:;"(click)="categoryEvent(25864)"&gt;{{"25864" | translate}}&lt;/a&gt;&lt;/li&gt;</v>
      </c>
    </row>
    <row r="80" spans="1:8" ht="14.25" customHeight="1">
      <c r="A80" s="2">
        <v>2084008951</v>
      </c>
      <c r="B80" s="2" t="s">
        <v>7011</v>
      </c>
      <c r="C80" s="2" t="s">
        <v>7012</v>
      </c>
      <c r="D80" s="2" t="s">
        <v>7013</v>
      </c>
      <c r="E80" s="3" t="str">
        <f ca="1">IFERROR(__xludf.DUMMYFUNCTION("GOOGLETRANSLATE(B80,""ja"",""vi"")"),"Thủ công mỹ nghệ Sách")</f>
        <v>Thủ công mỹ nghệ Sách</v>
      </c>
      <c r="F80" s="3" t="str">
        <f ca="1">IFERROR(__xludf.DUMMYFUNCTION("GOOGLETRANSLATE(C80,""ja"",""vi"")"),"Đấu giá&gt; Sở thích, văn hóa&gt; thủ công, thủ công mỹ nghệ&gt; Thủ công mỹ nghệ này")</f>
        <v>Đấu giá&gt; Sở thích, văn hóa&gt; thủ công, thủ công mỹ nghệ&gt; Thủ công mỹ nghệ này</v>
      </c>
      <c r="G80" s="229" t="str">
        <f t="shared" ca="1" si="2"/>
        <v>"2084008951" : "Thủ công mỹ nghệ Sách",</v>
      </c>
      <c r="H80" s="229" t="str">
        <f t="shared" si="3"/>
        <v>&lt;li class="col-md-3"&gt;&lt;a class="text-cut" href="javascript:;"(click)="categoryEvent(2084008951)"&gt;{{"2084008951" | translate}}&lt;/a&gt;&lt;/li&gt;</v>
      </c>
    </row>
    <row r="81" spans="1:8" ht="14.25" customHeight="1">
      <c r="A81" s="2">
        <v>20124</v>
      </c>
      <c r="B81" s="2" t="s">
        <v>2192</v>
      </c>
      <c r="C81" s="2" t="s">
        <v>7019</v>
      </c>
      <c r="D81" s="2" t="s">
        <v>7022</v>
      </c>
      <c r="E81" s="3" t="str">
        <f ca="1">IFERROR(__xludf.DUMMYFUNCTION("GOOGLETRANSLATE(B81,""ja"",""vi"")"),"Art Supplies")</f>
        <v>Art Supplies</v>
      </c>
      <c r="F81" s="3" t="str">
        <f ca="1">IFERROR(__xludf.DUMMYFUNCTION("GOOGLETRANSLATE(C81,""ja"",""vi"")"),"Đấu giá&gt; Sở thích, văn hóa&gt; thủ công, thủ công mỹ nghệ&gt; Art Supplies")</f>
        <v>Đấu giá&gt; Sở thích, văn hóa&gt; thủ công, thủ công mỹ nghệ&gt; Art Supplies</v>
      </c>
      <c r="G81" s="229" t="str">
        <f t="shared" ca="1" si="2"/>
        <v>"20124" : "Art Supplies",</v>
      </c>
      <c r="H81" s="229" t="str">
        <f t="shared" si="3"/>
        <v>&lt;li class="col-md-3"&gt;&lt;a class="text-cut" href="javascript:;"(click)="categoryEvent(20124)"&gt;{{"20124" | translate}}&lt;/a&gt;&lt;/li&gt;</v>
      </c>
    </row>
    <row r="82" spans="1:8" ht="14.25" customHeight="1">
      <c r="A82" s="2">
        <v>2084045790</v>
      </c>
      <c r="B82" s="2" t="s">
        <v>1702</v>
      </c>
      <c r="C82" s="2" t="s">
        <v>7026</v>
      </c>
      <c r="D82" s="2" t="s">
        <v>7028</v>
      </c>
      <c r="E82" s="3" t="str">
        <f ca="1">IFERROR(__xludf.DUMMYFUNCTION("GOOGLETRANSLATE(B82,""ja"",""vi"")"),"giống như người mẫu")</f>
        <v>giống như người mẫu</v>
      </c>
      <c r="F82" s="3" t="str">
        <f ca="1">IFERROR(__xludf.DUMMYFUNCTION("GOOGLETRANSLATE(C82,""ja"",""vi"")"),"Đấu giá&gt; Sở thích, văn hóa&gt; thủ công, thủ công mỹ nghệ&gt; nộm")</f>
        <v>Đấu giá&gt; Sở thích, văn hóa&gt; thủ công, thủ công mỹ nghệ&gt; nộm</v>
      </c>
      <c r="G82" s="229" t="str">
        <f t="shared" ca="1" si="2"/>
        <v>"2084045790" : "giống như người mẫu",</v>
      </c>
      <c r="H82" s="229" t="str">
        <f t="shared" si="3"/>
        <v>&lt;li class="col-md-3"&gt;&lt;a class="text-cut" href="javascript:;"(click)="categoryEvent(2084045790)"&gt;{{"2084045790" | translate}}&lt;/a&gt;&lt;/li&gt;</v>
      </c>
    </row>
    <row r="83" spans="1:8" ht="14.25" customHeight="1">
      <c r="A83" s="2">
        <v>2084220297</v>
      </c>
      <c r="B83" s="2" t="s">
        <v>1060</v>
      </c>
      <c r="C83" s="2" t="s">
        <v>7035</v>
      </c>
      <c r="D83" s="2" t="s">
        <v>7037</v>
      </c>
      <c r="E83" s="3" t="str">
        <f ca="1">IFERROR(__xludf.DUMMYFUNCTION("GOOGLETRANSLATE(B83,""ja"",""vi"")"),"thành phẩm")</f>
        <v>thành phẩm</v>
      </c>
      <c r="F83" s="3" t="str">
        <f ca="1">IFERROR(__xludf.DUMMYFUNCTION("GOOGLETRANSLATE(C83,""ja"",""vi"")"),"Đấu giá&gt; Sở thích, văn hóa&gt; thủ công, thủ công mỹ nghệ&gt; thành phẩm")</f>
        <v>Đấu giá&gt; Sở thích, văn hóa&gt; thủ công, thủ công mỹ nghệ&gt; thành phẩm</v>
      </c>
      <c r="G83" s="229" t="str">
        <f t="shared" ca="1" si="2"/>
        <v>"2084220297" : "thành phẩm",</v>
      </c>
      <c r="H83" s="229" t="str">
        <f t="shared" si="3"/>
        <v>&lt;li class="col-md-3"&gt;&lt;a class="text-cut" href="javascript:;"(click)="categoryEvent(2084220297)"&gt;{{"2084220297" | translate}}&lt;/a&gt;&lt;/li&gt;</v>
      </c>
    </row>
    <row r="84" spans="1:8" ht="14.25" customHeight="1">
      <c r="A84" s="2">
        <v>2084042439</v>
      </c>
      <c r="B84" s="2" t="s">
        <v>16</v>
      </c>
      <c r="C84" s="2" t="s">
        <v>7042</v>
      </c>
      <c r="D84" s="2" t="s">
        <v>7043</v>
      </c>
      <c r="E84" s="3" t="str">
        <f ca="1">IFERROR(__xludf.DUMMYFUNCTION("GOOGLETRANSLATE(B84,""ja"",""vi"")"),"nếu không thì")</f>
        <v>nếu không thì</v>
      </c>
      <c r="F84" s="3" t="str">
        <f ca="1">IFERROR(__xludf.DUMMYFUNCTION("GOOGLETRANSLATE(C84,""ja"",""vi"")"),"Đấu giá&gt; Sở thích, văn hóa&gt; thủ công, thủ công mỹ nghệ&gt; Khác")</f>
        <v>Đấu giá&gt; Sở thích, văn hóa&gt; thủ công, thủ công mỹ nghệ&gt; Khác</v>
      </c>
      <c r="G84" s="229" t="str">
        <f t="shared" ca="1" si="2"/>
        <v>"2084042439" : "nếu không thì",</v>
      </c>
      <c r="H84" s="229" t="str">
        <f t="shared" si="3"/>
        <v>&lt;li class="col-md-3"&gt;&lt;a class="text-cut" href="javascript:;"(click)="categoryEvent(2084042439)"&gt;{{"2084042439" | translate}}&lt;/a&gt;&lt;/li&gt;</v>
      </c>
    </row>
    <row r="85" spans="1:8" ht="14.25" customHeight="1">
      <c r="E85" s="3"/>
      <c r="F85" s="3"/>
      <c r="G85" s="229"/>
      <c r="H85" s="229"/>
    </row>
    <row r="86" spans="1:8" ht="25.5" customHeight="1">
      <c r="A86" s="241">
        <v>20428</v>
      </c>
      <c r="B86" s="232"/>
      <c r="C86" s="232"/>
      <c r="D86" s="233"/>
      <c r="E86" s="3"/>
      <c r="F86" s="3"/>
      <c r="G86" s="229"/>
      <c r="H86" s="229"/>
    </row>
    <row r="87" spans="1:8" ht="14.25" customHeight="1">
      <c r="A87" s="2">
        <v>2084005573</v>
      </c>
      <c r="B87" s="2" t="s">
        <v>6432</v>
      </c>
      <c r="C87" s="2" t="s">
        <v>6433</v>
      </c>
      <c r="D87" s="2" t="s">
        <v>6434</v>
      </c>
      <c r="E87" s="3" t="str">
        <f ca="1">IFERROR(__xludf.DUMMYFUNCTION("GOOGLETRANSLATE(B87,""ja"",""vi"")"),"súng đồ chơi")</f>
        <v>súng đồ chơi</v>
      </c>
      <c r="F87" s="3" t="str">
        <f ca="1">IFERROR(__xludf.DUMMYFUNCTION("GOOGLETRANSLATE(C87,""ja"",""vi"")"),"Đấu giá&gt; Sở thích, văn hóa&gt; quân sự&gt; súng đồ chơi")</f>
        <v>Đấu giá&gt; Sở thích, văn hóa&gt; quân sự&gt; súng đồ chơi</v>
      </c>
      <c r="G87" s="229" t="str">
        <f t="shared" ca="1" si="2"/>
        <v>"2084005573" : "súng đồ chơi",</v>
      </c>
      <c r="H87" s="229" t="str">
        <f t="shared" si="3"/>
        <v>&lt;li class="col-md-3"&gt;&lt;a class="text-cut" href="javascript:;"(click)="categoryEvent(2084005573)"&gt;{{"2084005573" | translate}}&lt;/a&gt;&lt;/li&gt;</v>
      </c>
    </row>
    <row r="88" spans="1:8" ht="14.25" customHeight="1">
      <c r="A88" s="2">
        <v>2084005555</v>
      </c>
      <c r="B88" s="2" t="s">
        <v>6437</v>
      </c>
      <c r="C88" s="2" t="s">
        <v>6439</v>
      </c>
      <c r="D88" s="2" t="s">
        <v>6440</v>
      </c>
      <c r="E88" s="3" t="str">
        <f ca="1">IFERROR(__xludf.DUMMYFUNCTION("GOOGLETRANSLATE(B88,""ja"",""vi"")"),"thiết bị cá nhân")</f>
        <v>thiết bị cá nhân</v>
      </c>
      <c r="F88" s="3" t="str">
        <f ca="1">IFERROR(__xludf.DUMMYFUNCTION("GOOGLETRANSLATE(C88,""ja"",""vi"")"),"Đấu giá&gt; Sở thích, văn hóa&gt; quân sự&gt; thiết bị cá nhân")</f>
        <v>Đấu giá&gt; Sở thích, văn hóa&gt; quân sự&gt; thiết bị cá nhân</v>
      </c>
      <c r="G88" s="229" t="str">
        <f t="shared" ca="1" si="2"/>
        <v>"2084005555" : "thiết bị cá nhân",</v>
      </c>
      <c r="H88" s="229" t="str">
        <f t="shared" si="3"/>
        <v>&lt;li class="col-md-3"&gt;&lt;a class="text-cut" href="javascript:;"(click)="categoryEvent(2084005555)"&gt;{{"2084005555" | translate}}&lt;/a&gt;&lt;/li&gt;</v>
      </c>
    </row>
    <row r="89" spans="1:8" ht="14.25" customHeight="1">
      <c r="A89" s="2">
        <v>2084005564</v>
      </c>
      <c r="B89" s="2" t="s">
        <v>6442</v>
      </c>
      <c r="C89" s="2" t="s">
        <v>6444</v>
      </c>
      <c r="D89" s="2" t="s">
        <v>6446</v>
      </c>
      <c r="E89" s="3" t="str">
        <f ca="1">IFERROR(__xludf.DUMMYFUNCTION("GOOGLETRANSLATE(B89,""ja"",""vi"")"),"Phụ kiện, phụ kiện")</f>
        <v>Phụ kiện, phụ kiện</v>
      </c>
      <c r="F89" s="3" t="str">
        <f ca="1">IFERROR(__xludf.DUMMYFUNCTION("GOOGLETRANSLATE(C89,""ja"",""vi"")"),"Đấu giá&gt; Sở thích, văn hóa&gt; Quân sự&gt; phụ kiện, phụ kiện")</f>
        <v>Đấu giá&gt; Sở thích, văn hóa&gt; Quân sự&gt; phụ kiện, phụ kiện</v>
      </c>
      <c r="G89" s="229" t="str">
        <f t="shared" ca="1" si="2"/>
        <v>"2084005564" : "Phụ kiện, phụ kiện",</v>
      </c>
      <c r="H89" s="229" t="str">
        <f t="shared" si="3"/>
        <v>&lt;li class="col-md-3"&gt;&lt;a class="text-cut" href="javascript:;"(click)="categoryEvent(2084005564)"&gt;{{"2084005564" | translate}}&lt;/a&gt;&lt;/li&gt;</v>
      </c>
    </row>
    <row r="90" spans="1:8" ht="14.25" customHeight="1">
      <c r="A90" s="2">
        <v>25890</v>
      </c>
      <c r="B90" s="2" t="s">
        <v>357</v>
      </c>
      <c r="C90" s="2" t="s">
        <v>6449</v>
      </c>
      <c r="D90" s="2" t="s">
        <v>6451</v>
      </c>
      <c r="E90" s="3" t="str">
        <f ca="1">IFERROR(__xludf.DUMMYFUNCTION("GOOGLETRANSLATE(B90,""ja"",""vi"")"),"nhân vật")</f>
        <v>nhân vật</v>
      </c>
      <c r="F90" s="3" t="str">
        <f ca="1">IFERROR(__xludf.DUMMYFUNCTION("GOOGLETRANSLATE(C90,""ja"",""vi"")"),"Đấu giá&gt; Sở thích, văn hóa&gt; Quân sự&gt; Hình")</f>
        <v>Đấu giá&gt; Sở thích, văn hóa&gt; Quân sự&gt; Hình</v>
      </c>
      <c r="G90" s="229" t="str">
        <f t="shared" ca="1" si="2"/>
        <v>"25890" : "nhân vật",</v>
      </c>
      <c r="H90" s="229" t="str">
        <f t="shared" si="3"/>
        <v>&lt;li class="col-md-3"&gt;&lt;a class="text-cut" href="javascript:;"(click)="categoryEvent(25890)"&gt;{{"25890" | translate}}&lt;/a&gt;&lt;/li&gt;</v>
      </c>
    </row>
    <row r="91" spans="1:8" ht="14.25" customHeight="1">
      <c r="A91" s="2">
        <v>2084047143</v>
      </c>
      <c r="B91" s="2" t="s">
        <v>380</v>
      </c>
      <c r="C91" s="2" t="s">
        <v>6455</v>
      </c>
      <c r="D91" s="2" t="s">
        <v>6456</v>
      </c>
      <c r="E91" s="3" t="str">
        <f ca="1">IFERROR(__xludf.DUMMYFUNCTION("GOOGLETRANSLATE(B91,""ja"",""vi"")"),"DVD")</f>
        <v>DVD</v>
      </c>
      <c r="F91" s="3" t="str">
        <f ca="1">IFERROR(__xludf.DUMMYFUNCTION("GOOGLETRANSLATE(C91,""ja"",""vi"")"),"Đấu giá&gt; Sở thích, văn hóa&gt; Quân sự&gt; DVD")</f>
        <v>Đấu giá&gt; Sở thích, văn hóa&gt; Quân sự&gt; DVD</v>
      </c>
      <c r="G91" s="229" t="str">
        <f t="shared" ca="1" si="2"/>
        <v>"2084047143" : "DVD",</v>
      </c>
      <c r="H91" s="229" t="str">
        <f t="shared" si="3"/>
        <v>&lt;li class="col-md-3"&gt;&lt;a class="text-cut" href="javascript:;"(click)="categoryEvent(2084047143)"&gt;{{"2084047143" | translate}}&lt;/a&gt;&lt;/li&gt;</v>
      </c>
    </row>
    <row r="92" spans="1:8" ht="14.25" customHeight="1">
      <c r="A92" s="2">
        <v>2084047018</v>
      </c>
      <c r="B92" s="2" t="s">
        <v>386</v>
      </c>
      <c r="C92" s="2" t="s">
        <v>6460</v>
      </c>
      <c r="D92" s="2" t="s">
        <v>6461</v>
      </c>
      <c r="E92" s="3" t="str">
        <f ca="1">IFERROR(__xludf.DUMMYFUNCTION("GOOGLETRANSLATE(B92,""ja"",""vi"")"),"video")</f>
        <v>video</v>
      </c>
      <c r="F92" s="3" t="str">
        <f ca="1">IFERROR(__xludf.DUMMYFUNCTION("GOOGLETRANSLATE(C92,""ja"",""vi"")"),"Đấu giá&gt; Sở thích, văn hóa&gt; Quân sự&gt; Video")</f>
        <v>Đấu giá&gt; Sở thích, văn hóa&gt; Quân sự&gt; Video</v>
      </c>
      <c r="G92" s="229" t="str">
        <f t="shared" ca="1" si="2"/>
        <v>"2084047018" : "video",</v>
      </c>
      <c r="H92" s="229" t="str">
        <f t="shared" si="3"/>
        <v>&lt;li class="col-md-3"&gt;&lt;a class="text-cut" href="javascript:;"(click)="categoryEvent(2084047018)"&gt;{{"2084047018" | translate}}&lt;/a&gt;&lt;/li&gt;</v>
      </c>
    </row>
    <row r="93" spans="1:8" ht="14.25" customHeight="1">
      <c r="A93" s="2">
        <v>2084057815</v>
      </c>
      <c r="B93" s="2" t="s">
        <v>6464</v>
      </c>
      <c r="C93" s="2" t="s">
        <v>6466</v>
      </c>
      <c r="D93" s="2" t="s">
        <v>6467</v>
      </c>
      <c r="E93" s="3" t="str">
        <f ca="1">IFERROR(__xludf.DUMMYFUNCTION("GOOGLETRANSLATE(B93,""ja"",""vi"")"),"vành nón")</f>
        <v>vành nón</v>
      </c>
      <c r="F93" s="3" t="str">
        <f ca="1">IFERROR(__xludf.DUMMYFUNCTION("GOOGLETRANSLATE(C93,""ja"",""vi"")"),"Đấu giá&gt; Sở thích, văn hóa&gt; Quân sự&gt; vành")</f>
        <v>Đấu giá&gt; Sở thích, văn hóa&gt; Quân sự&gt; vành</v>
      </c>
      <c r="G93" s="229" t="str">
        <f t="shared" ca="1" si="2"/>
        <v>"2084057815" : "vành nón",</v>
      </c>
      <c r="H93" s="229" t="str">
        <f t="shared" si="3"/>
        <v>&lt;li class="col-md-3"&gt;&lt;a class="text-cut" href="javascript:;"(click)="categoryEvent(2084057815)"&gt;{{"2084057815" | translate}}&lt;/a&gt;&lt;/li&gt;</v>
      </c>
    </row>
    <row r="94" spans="1:8" ht="14.25" customHeight="1">
      <c r="A94" s="2">
        <v>20448</v>
      </c>
      <c r="B94" s="2" t="s">
        <v>16</v>
      </c>
      <c r="C94" s="2" t="s">
        <v>6473</v>
      </c>
      <c r="D94" s="2" t="s">
        <v>6475</v>
      </c>
      <c r="E94" s="3" t="str">
        <f ca="1">IFERROR(__xludf.DUMMYFUNCTION("GOOGLETRANSLATE(B94,""ja"",""vi"")"),"nếu không thì")</f>
        <v>nếu không thì</v>
      </c>
      <c r="F94" s="3" t="str">
        <f ca="1">IFERROR(__xludf.DUMMYFUNCTION("GOOGLETRANSLATE(C94,""ja"",""vi"")"),"Đấu giá&gt; Sở thích, văn hóa&gt; Military&gt; Khác")</f>
        <v>Đấu giá&gt; Sở thích, văn hóa&gt; Military&gt; Khác</v>
      </c>
      <c r="G94" s="229" t="str">
        <f t="shared" ca="1" si="2"/>
        <v>"20448" : "nếu không thì",</v>
      </c>
      <c r="H94" s="229" t="str">
        <f t="shared" si="3"/>
        <v>&lt;li class="col-md-3"&gt;&lt;a class="text-cut" href="javascript:;"(click)="categoryEvent(20448)"&gt;{{"20448" | translate}}&lt;/a&gt;&lt;/li&gt;</v>
      </c>
    </row>
    <row r="95" spans="1:8" ht="14.25" customHeight="1">
      <c r="E95" s="3"/>
      <c r="F95" s="3"/>
      <c r="G95" s="229"/>
      <c r="H95" s="229"/>
    </row>
    <row r="96" spans="1:8" ht="14.25" customHeight="1">
      <c r="A96" s="242">
        <v>25888</v>
      </c>
      <c r="B96" s="232"/>
      <c r="C96" s="232"/>
      <c r="D96" s="233"/>
      <c r="E96" s="3"/>
      <c r="F96" s="3"/>
      <c r="G96" s="229"/>
      <c r="H96" s="229"/>
    </row>
    <row r="97" spans="1:8" ht="14.25" customHeight="1">
      <c r="A97" s="2">
        <v>2084023782</v>
      </c>
      <c r="B97" s="2" t="s">
        <v>770</v>
      </c>
      <c r="C97" s="2" t="s">
        <v>772</v>
      </c>
      <c r="D97" s="2" t="s">
        <v>773</v>
      </c>
      <c r="E97" s="3" t="str">
        <f ca="1">IFERROR(__xludf.DUMMYFUNCTION("GOOGLETRANSLATE(B97,""ja"",""vi"")"),"Truyện tranh, hoạt hình")</f>
        <v>Truyện tranh, hoạt hình</v>
      </c>
      <c r="F97" s="3" t="str">
        <f ca="1">IFERROR(__xludf.DUMMYFUNCTION("GOOGLETRANSLATE(C97,""ja"",""vi"")"),"Đấu giá&gt; đồ chơi, trò chơi&gt; hình&gt; truyện tranh, phim hoạt hình")</f>
        <v>Đấu giá&gt; đồ chơi, trò chơi&gt; hình&gt; truyện tranh, phim hoạt hình</v>
      </c>
      <c r="G97" s="229" t="str">
        <f t="shared" ca="1" si="2"/>
        <v>"2084023782" : "Truyện tranh, hoạt hình",</v>
      </c>
      <c r="H97" s="229" t="str">
        <f t="shared" si="3"/>
        <v>&lt;li class="col-md-3"&gt;&lt;a class="text-cut" href="javascript:;"(click)="categoryEvent(2084023782)"&gt;{{"2084023782" | translate}}&lt;/a&gt;&lt;/li&gt;</v>
      </c>
    </row>
    <row r="98" spans="1:8" ht="14.25" customHeight="1">
      <c r="A98" s="2">
        <v>2084023622</v>
      </c>
      <c r="B98" s="2" t="s">
        <v>776</v>
      </c>
      <c r="C98" s="2" t="s">
        <v>778</v>
      </c>
      <c r="D98" s="2" t="s">
        <v>779</v>
      </c>
      <c r="E98" s="3" t="str">
        <f ca="1">IFERROR(__xludf.DUMMYFUNCTION("GOOGLETRANSLATE(B98,""ja"",""vi"")"),"hiệu ứng đặc biệt")</f>
        <v>hiệu ứng đặc biệt</v>
      </c>
      <c r="F98" s="3" t="str">
        <f ca="1">IFERROR(__xludf.DUMMYFUNCTION("GOOGLETRANSLATE(C98,""ja"",""vi"")"),"Đấu giá&gt; đồ chơi, trò chơi&gt; hình&gt; hiệu ứng đặc biệt")</f>
        <v>Đấu giá&gt; đồ chơi, trò chơi&gt; hình&gt; hiệu ứng đặc biệt</v>
      </c>
      <c r="G98" s="229" t="str">
        <f t="shared" ca="1" si="2"/>
        <v>"2084023622" : "hiệu ứng đặc biệt",</v>
      </c>
      <c r="H98" s="229" t="str">
        <f t="shared" si="3"/>
        <v>&lt;li class="col-md-3"&gt;&lt;a class="text-cut" href="javascript:;"(click)="categoryEvent(2084023622)"&gt;{{"2084023622" | translate}}&lt;/a&gt;&lt;/li&gt;</v>
      </c>
    </row>
    <row r="99" spans="1:8" ht="14.25" customHeight="1">
      <c r="A99" s="2">
        <v>2084040564</v>
      </c>
      <c r="B99" s="2" t="s">
        <v>783</v>
      </c>
      <c r="C99" s="2" t="s">
        <v>784</v>
      </c>
      <c r="D99" s="2" t="s">
        <v>785</v>
      </c>
      <c r="E99" s="3" t="str">
        <f ca="1">IFERROR(__xludf.DUMMYFUNCTION("GOOGLETRANSLATE(B99,""ja"",""vi"")"),"nhân vật game")</f>
        <v>nhân vật game</v>
      </c>
      <c r="F99" s="3" t="str">
        <f ca="1">IFERROR(__xludf.DUMMYFUNCTION("GOOGLETRANSLATE(C99,""ja"",""vi"")"),"Đấu giá&gt; đồ chơi, trò chơi&gt; hình&gt; nhân vật game")</f>
        <v>Đấu giá&gt; đồ chơi, trò chơi&gt; hình&gt; nhân vật game</v>
      </c>
      <c r="G99" s="229" t="str">
        <f t="shared" ca="1" si="2"/>
        <v>"2084040564" : "nhân vật game",</v>
      </c>
      <c r="H99" s="229" t="str">
        <f t="shared" si="3"/>
        <v>&lt;li class="col-md-3"&gt;&lt;a class="text-cut" href="javascript:;"(click)="categoryEvent(2084040564)"&gt;{{"2084040564" | translate}}&lt;/a&gt;&lt;/li&gt;</v>
      </c>
    </row>
    <row r="100" spans="1:8" ht="14.25" customHeight="1">
      <c r="A100" s="2">
        <v>2084023799</v>
      </c>
      <c r="B100" s="2" t="s">
        <v>788</v>
      </c>
      <c r="C100" s="2" t="s">
        <v>790</v>
      </c>
      <c r="D100" s="2" t="s">
        <v>792</v>
      </c>
      <c r="E100" s="3" t="str">
        <f ca="1">IFERROR(__xludf.DUMMYFUNCTION("GOOGLETRANSLATE(B100,""ja"",""vi"")"),"SF, Fantasy, Horror")</f>
        <v>SF, Fantasy, Horror</v>
      </c>
      <c r="F100" s="3" t="str">
        <f ca="1">IFERROR(__xludf.DUMMYFUNCTION("GOOGLETRANSLATE(C100,""ja"",""vi"")"),"Đấu giá&gt; đồ chơi, trò chơi&gt; hình&gt; SF, Fantasy, Horror")</f>
        <v>Đấu giá&gt; đồ chơi, trò chơi&gt; hình&gt; SF, Fantasy, Horror</v>
      </c>
      <c r="G100" s="229" t="str">
        <f t="shared" ca="1" si="2"/>
        <v>"2084023799" : "SF, Fantasy, Horror",</v>
      </c>
      <c r="H100" s="229" t="str">
        <f t="shared" si="3"/>
        <v>&lt;li class="col-md-3"&gt;&lt;a class="text-cut" href="javascript:;"(click)="categoryEvent(2084023799)"&gt;{{"2084023799" | translate}}&lt;/a&gt;&lt;/li&gt;</v>
      </c>
    </row>
    <row r="101" spans="1:8" ht="14.25" customHeight="1">
      <c r="A101" s="2">
        <v>21688</v>
      </c>
      <c r="B101" s="2" t="s">
        <v>796</v>
      </c>
      <c r="C101" s="2" t="s">
        <v>797</v>
      </c>
      <c r="D101" s="2" t="s">
        <v>798</v>
      </c>
      <c r="E101" s="3" t="str">
        <f ca="1">IFERROR(__xludf.DUMMYFUNCTION("GOOGLETRANSLATE(B101,""ja"",""vi"")"),"truyện tranh Mỹ")</f>
        <v>truyện tranh Mỹ</v>
      </c>
      <c r="F101" s="3" t="str">
        <f ca="1">IFERROR(__xludf.DUMMYFUNCTION("GOOGLETRANSLATE(C101,""ja"",""vi"")"),"Đấu giá&gt; Đồ chơi, trò chơi&gt; Hình&gt; truyện tranh Mỹ")</f>
        <v>Đấu giá&gt; Đồ chơi, trò chơi&gt; Hình&gt; truyện tranh Mỹ</v>
      </c>
      <c r="G101" s="229" t="str">
        <f t="shared" ca="1" si="2"/>
        <v>"21688" : "truyện tranh Mỹ",</v>
      </c>
      <c r="H101" s="229" t="str">
        <f t="shared" si="3"/>
        <v>&lt;li class="col-md-3"&gt;&lt;a class="text-cut" href="javascript:;"(click)="categoryEvent(21688)"&gt;{{"21688" | translate}}&lt;/a&gt;&lt;/li&gt;</v>
      </c>
    </row>
    <row r="102" spans="1:8" ht="14.25" customHeight="1">
      <c r="A102" s="2">
        <v>25892</v>
      </c>
      <c r="B102" s="2" t="s">
        <v>262</v>
      </c>
      <c r="C102" s="2" t="s">
        <v>801</v>
      </c>
      <c r="D102" s="2" t="s">
        <v>802</v>
      </c>
      <c r="E102" s="3" t="str">
        <f ca="1">IFERROR(__xludf.DUMMYFUNCTION("GOOGLETRANSLATE(B102,""ja"",""vi"")"),"thể thao")</f>
        <v>thể thao</v>
      </c>
      <c r="F102" s="3" t="str">
        <f ca="1">IFERROR(__xludf.DUMMYFUNCTION("GOOGLETRANSLATE(C102,""ja"",""vi"")"),"Đấu giá&gt; Đồ chơi, trò chơi&gt; Hình&gt; Thể Thao")</f>
        <v>Đấu giá&gt; Đồ chơi, trò chơi&gt; Hình&gt; Thể Thao</v>
      </c>
      <c r="G102" s="229" t="str">
        <f t="shared" ca="1" si="2"/>
        <v>"25892" : "thể thao",</v>
      </c>
      <c r="H102" s="229" t="str">
        <f t="shared" si="3"/>
        <v>&lt;li class="col-md-3"&gt;&lt;a class="text-cut" href="javascript:;"(click)="categoryEvent(25892)"&gt;{{"25892" | translate}}&lt;/a&gt;&lt;/li&gt;</v>
      </c>
    </row>
    <row r="103" spans="1:8" ht="14.25" customHeight="1">
      <c r="A103" s="2">
        <v>25890</v>
      </c>
      <c r="B103" s="2" t="s">
        <v>805</v>
      </c>
      <c r="C103" s="2" t="s">
        <v>806</v>
      </c>
      <c r="D103" s="2" t="s">
        <v>807</v>
      </c>
      <c r="E103" s="3" t="str">
        <f ca="1">IFERROR(__xludf.DUMMYFUNCTION("GOOGLETRANSLATE(B103,""ja"",""vi"")"),"quân đội")</f>
        <v>quân đội</v>
      </c>
      <c r="F103" s="3" t="str">
        <f ca="1">IFERROR(__xludf.DUMMYFUNCTION("GOOGLETRANSLATE(C103,""ja"",""vi"")"),"Đấu giá&gt; Đồ chơi, trò chơi&gt; Hình&gt; Quân sự")</f>
        <v>Đấu giá&gt; Đồ chơi, trò chơi&gt; Hình&gt; Quân sự</v>
      </c>
      <c r="G103" s="229" t="str">
        <f t="shared" ca="1" si="2"/>
        <v>"25890" : "quân đội",</v>
      </c>
      <c r="H103" s="229" t="str">
        <f t="shared" si="3"/>
        <v>&lt;li class="col-md-3"&gt;&lt;a class="text-cut" href="javascript:;"(click)="categoryEvent(25890)"&gt;{{"25890" | translate}}&lt;/a&gt;&lt;/li&gt;</v>
      </c>
    </row>
    <row r="104" spans="1:8" ht="14.25" customHeight="1">
      <c r="A104" s="2">
        <v>2084063729</v>
      </c>
      <c r="B104" s="2" t="s">
        <v>812</v>
      </c>
      <c r="C104" s="2" t="s">
        <v>814</v>
      </c>
      <c r="D104" s="2" t="s">
        <v>816</v>
      </c>
      <c r="E104" s="3" t="str">
        <f ca="1">IFERROR(__xludf.DUMMYFUNCTION("GOOGLETRANSLATE(B104,""ja"",""vi"")"),"vật sống")</f>
        <v>vật sống</v>
      </c>
      <c r="F104" s="3" t="str">
        <f ca="1">IFERROR(__xludf.DUMMYFUNCTION("GOOGLETRANSLATE(C104,""ja"",""vi"")"),"Đấu giá&gt; Đồ chơi, trò chơi&gt; Hình&gt; sinh vật")</f>
        <v>Đấu giá&gt; Đồ chơi, trò chơi&gt; Hình&gt; sinh vật</v>
      </c>
      <c r="G104" s="229" t="str">
        <f t="shared" ca="1" si="2"/>
        <v>"2084063729" : "vật sống",</v>
      </c>
      <c r="H104" s="229" t="str">
        <f t="shared" si="3"/>
        <v>&lt;li class="col-md-3"&gt;&lt;a class="text-cut" href="javascript:;"(click)="categoryEvent(2084063729)"&gt;{{"2084063729" | translate}}&lt;/a&gt;&lt;/li&gt;</v>
      </c>
    </row>
    <row r="105" spans="1:8" ht="14.25" customHeight="1">
      <c r="A105" s="2">
        <v>2084023795</v>
      </c>
      <c r="B105" s="2" t="s">
        <v>819</v>
      </c>
      <c r="C105" s="2" t="s">
        <v>820</v>
      </c>
      <c r="D105" s="2" t="s">
        <v>822</v>
      </c>
      <c r="E105" s="3" t="str">
        <f ca="1">IFERROR(__xludf.DUMMYFUNCTION("GOOGLETRANSLATE(B105,""ja"",""vi"")"),"Giải trí, tài năng")</f>
        <v>Giải trí, tài năng</v>
      </c>
      <c r="F105" s="3" t="str">
        <f ca="1">IFERROR(__xludf.DUMMYFUNCTION("GOOGLETRANSLATE(C105,""ja"",""vi"")"),"Đấu giá&gt; Đồ chơi, trò chơi&gt; Hình&gt; giải trí, tài năng")</f>
        <v>Đấu giá&gt; Đồ chơi, trò chơi&gt; Hình&gt; giải trí, tài năng</v>
      </c>
      <c r="G105" s="229" t="str">
        <f t="shared" ca="1" si="2"/>
        <v>"2084023795" : "Giải trí, tài năng",</v>
      </c>
      <c r="H105" s="229" t="str">
        <f t="shared" si="3"/>
        <v>&lt;li class="col-md-3"&gt;&lt;a class="text-cut" href="javascript:;"(click)="categoryEvent(2084023795)"&gt;{{"2084023795" | translate}}&lt;/a&gt;&lt;/li&gt;</v>
      </c>
    </row>
    <row r="106" spans="1:8" ht="14.25" customHeight="1">
      <c r="A106" s="2">
        <v>2084042426</v>
      </c>
      <c r="B106" s="2" t="s">
        <v>827</v>
      </c>
      <c r="C106" s="2" t="s">
        <v>828</v>
      </c>
      <c r="D106" s="2" t="s">
        <v>830</v>
      </c>
      <c r="E106" s="3" t="str">
        <f ca="1">IFERROR(__xludf.DUMMYFUNCTION("GOOGLETRANSLATE(B106,""ja"",""vi"")"),"chơi lịch sử")</f>
        <v>chơi lịch sử</v>
      </c>
      <c r="F106" s="3" t="str">
        <f ca="1">IFERROR(__xludf.DUMMYFUNCTION("GOOGLETRANSLATE(C106,""ja"",""vi"")"),"Đấu giá&gt; Đồ chơi, trò chơi&gt; Hình&gt; phim kỷ nguyên")</f>
        <v>Đấu giá&gt; Đồ chơi, trò chơi&gt; Hình&gt; phim kỷ nguyên</v>
      </c>
      <c r="G106" s="229" t="str">
        <f t="shared" ca="1" si="2"/>
        <v>"2084042426" : "chơi lịch sử",</v>
      </c>
      <c r="H106" s="229" t="str">
        <f t="shared" si="3"/>
        <v>&lt;li class="col-md-3"&gt;&lt;a class="text-cut" href="javascript:;"(click)="categoryEvent(2084042426)"&gt;{{"2084042426" | translate}}&lt;/a&gt;&lt;/li&gt;</v>
      </c>
    </row>
    <row r="107" spans="1:8" ht="14.25" customHeight="1">
      <c r="A107" s="2">
        <v>2084023831</v>
      </c>
      <c r="B107" s="2" t="s">
        <v>836</v>
      </c>
      <c r="C107" s="2" t="s">
        <v>838</v>
      </c>
      <c r="D107" s="2" t="s">
        <v>841</v>
      </c>
      <c r="E107" s="3" t="str">
        <f ca="1">IFERROR(__xludf.DUMMYFUNCTION("GOOGLETRANSLATE(B107,""ja"",""vi"")"),"Sáng tạo, gốc")</f>
        <v>Sáng tạo, gốc</v>
      </c>
      <c r="F107" s="3" t="str">
        <f ca="1">IFERROR(__xludf.DUMMYFUNCTION("GOOGLETRANSLATE(C107,""ja"",""vi"")"),"Đấu giá&gt; Đồ chơi, trò chơi&gt; Hình&gt; sáng tạo, ban đầu")</f>
        <v>Đấu giá&gt; Đồ chơi, trò chơi&gt; Hình&gt; sáng tạo, ban đầu</v>
      </c>
      <c r="G107" s="229" t="str">
        <f t="shared" ca="1" si="2"/>
        <v>"2084023831" : "Sáng tạo, gốc",</v>
      </c>
      <c r="H107" s="229" t="str">
        <f t="shared" si="3"/>
        <v>&lt;li class="col-md-3"&gt;&lt;a class="text-cut" href="javascript:;"(click)="categoryEvent(2084023831)"&gt;{{"2084023831" | translate}}&lt;/a&gt;&lt;/li&gt;</v>
      </c>
    </row>
    <row r="108" spans="1:8" ht="14.25" customHeight="1">
      <c r="A108" s="2">
        <v>25870</v>
      </c>
      <c r="B108" s="2" t="s">
        <v>847</v>
      </c>
      <c r="C108" s="2" t="s">
        <v>850</v>
      </c>
      <c r="D108" s="2" t="s">
        <v>851</v>
      </c>
      <c r="E108" s="3" t="str">
        <f ca="1">IFERROR(__xludf.DUMMYFUNCTION("GOOGLETRANSLATE(B108,""ja"",""vi"")"),"nhân vật búp bê")</f>
        <v>nhân vật búp bê</v>
      </c>
      <c r="F108" s="3" t="str">
        <f ca="1">IFERROR(__xludf.DUMMYFUNCTION("GOOGLETRANSLATE(C108,""ja"",""vi"")"),"Đấu giá&gt; Đồ chơi, trò chơi&gt; Hình&gt; Character Doll")</f>
        <v>Đấu giá&gt; Đồ chơi, trò chơi&gt; Hình&gt; Character Doll</v>
      </c>
      <c r="G108" s="229" t="str">
        <f t="shared" ca="1" si="2"/>
        <v>"25870" : "nhân vật búp bê",</v>
      </c>
      <c r="H108" s="229" t="str">
        <f t="shared" si="3"/>
        <v>&lt;li class="col-md-3"&gt;&lt;a class="text-cut" href="javascript:;"(click)="categoryEvent(25870)"&gt;{{"25870" | translate}}&lt;/a&gt;&lt;/li&gt;</v>
      </c>
    </row>
    <row r="109" spans="1:8" ht="14.25" customHeight="1">
      <c r="A109" s="2">
        <v>2084309436</v>
      </c>
      <c r="B109" s="2" t="s">
        <v>16</v>
      </c>
      <c r="C109" s="2" t="s">
        <v>856</v>
      </c>
      <c r="D109" s="2" t="s">
        <v>857</v>
      </c>
      <c r="E109" s="3" t="str">
        <f ca="1">IFERROR(__xludf.DUMMYFUNCTION("GOOGLETRANSLATE(B109,""ja"",""vi"")"),"nếu không thì")</f>
        <v>nếu không thì</v>
      </c>
      <c r="F109" s="3" t="str">
        <f ca="1">IFERROR(__xludf.DUMMYFUNCTION("GOOGLETRANSLATE(C109,""ja"",""vi"")"),"Đấu giá&gt; đồ chơi, trò chơi&gt; con số&gt; Khác")</f>
        <v>Đấu giá&gt; đồ chơi, trò chơi&gt; con số&gt; Khác</v>
      </c>
      <c r="G109" s="229" t="str">
        <f t="shared" ca="1" si="2"/>
        <v>"2084309436" : "nếu không thì",</v>
      </c>
      <c r="H109" s="229" t="str">
        <f t="shared" si="3"/>
        <v>&lt;li class="col-md-3"&gt;&lt;a class="text-cut" href="javascript:;"(click)="categoryEvent(2084309436)"&gt;{{"2084309436" | translate}}&lt;/a&gt;&lt;/li&gt;</v>
      </c>
    </row>
    <row r="110" spans="1:8" ht="14.25" customHeight="1">
      <c r="E110" s="3"/>
      <c r="F110" s="3"/>
      <c r="G110" s="229"/>
      <c r="H110" s="229"/>
    </row>
    <row r="111" spans="1:8" ht="14.25" customHeight="1">
      <c r="A111" s="238">
        <v>2084251269</v>
      </c>
      <c r="B111" s="232"/>
      <c r="C111" s="232"/>
      <c r="D111" s="233"/>
      <c r="E111" s="3"/>
      <c r="F111" s="3"/>
      <c r="G111" s="229"/>
      <c r="H111" s="229"/>
    </row>
    <row r="112" spans="1:8" ht="14.25" customHeight="1">
      <c r="A112" s="2">
        <v>2084251274</v>
      </c>
      <c r="B112" s="2" t="s">
        <v>7170</v>
      </c>
      <c r="C112" s="2" t="s">
        <v>7171</v>
      </c>
      <c r="D112" s="2" t="s">
        <v>7173</v>
      </c>
      <c r="E112" s="3" t="str">
        <f ca="1">IFERROR(__xludf.DUMMYFUNCTION("GOOGLETRANSLATE(B112,""ja"",""vi"")"),"hành khách xe")</f>
        <v>hành khách xe</v>
      </c>
      <c r="F112" s="3" t="str">
        <f ca="1">IFERROR(__xludf.DUMMYFUNCTION("GOOGLETRANSLATE(C112,""ja"",""vi"")"),"Đấu giá&gt; Đồ chơi, trò chơi&gt; Đồ chơi RC&gt; xe khách")</f>
        <v>Đấu giá&gt; Đồ chơi, trò chơi&gt; Đồ chơi RC&gt; xe khách</v>
      </c>
      <c r="G112" s="229" t="str">
        <f t="shared" ca="1" si="2"/>
        <v>"2084251274" : "hành khách xe",</v>
      </c>
      <c r="H112" s="229" t="str">
        <f t="shared" si="3"/>
        <v>&lt;li class="col-md-3"&gt;&lt;a class="text-cut" href="javascript:;"(click)="categoryEvent(2084251274)"&gt;{{"2084251274" | translate}}&lt;/a&gt;&lt;/li&gt;</v>
      </c>
    </row>
    <row r="113" spans="1:8" ht="14.25" customHeight="1">
      <c r="A113" s="2">
        <v>2084251273</v>
      </c>
      <c r="B113" s="2" t="s">
        <v>7178</v>
      </c>
      <c r="C113" s="2" t="s">
        <v>7179</v>
      </c>
      <c r="D113" s="2" t="s">
        <v>7180</v>
      </c>
      <c r="E113" s="3" t="str">
        <f ca="1">IFERROR(__xludf.DUMMYFUNCTION("GOOGLETRANSLATE(B113,""ja"",""vi"")"),"đua xe")</f>
        <v>đua xe</v>
      </c>
      <c r="F113" s="3" t="str">
        <f ca="1">IFERROR(__xludf.DUMMYFUNCTION("GOOGLETRANSLATE(C113,""ja"",""vi"")"),"Đấu giá&gt; Đồ chơi, trò chơi&gt; Đồ chơi RC&gt; đua ô tô")</f>
        <v>Đấu giá&gt; Đồ chơi, trò chơi&gt; Đồ chơi RC&gt; đua ô tô</v>
      </c>
      <c r="G113" s="229" t="str">
        <f t="shared" ca="1" si="2"/>
        <v>"2084251273" : "đua xe",</v>
      </c>
      <c r="H113" s="229" t="str">
        <f t="shared" si="3"/>
        <v>&lt;li class="col-md-3"&gt;&lt;a class="text-cut" href="javascript:;"(click)="categoryEvent(2084251273)"&gt;{{"2084251273" | translate}}&lt;/a&gt;&lt;/li&gt;</v>
      </c>
    </row>
    <row r="114" spans="1:8" ht="14.25" customHeight="1">
      <c r="A114" s="2">
        <v>2084251272</v>
      </c>
      <c r="B114" s="2" t="s">
        <v>7186</v>
      </c>
      <c r="C114" s="2" t="s">
        <v>7189</v>
      </c>
      <c r="D114" s="2" t="s">
        <v>7192</v>
      </c>
      <c r="E114" s="3" t="str">
        <f ca="1">IFERROR(__xludf.DUMMYFUNCTION("GOOGLETRANSLATE(B114,""ja"",""vi"")"),"Xe tải, trailer")</f>
        <v>Xe tải, trailer</v>
      </c>
      <c r="F114" s="3" t="str">
        <f ca="1">IFERROR(__xludf.DUMMYFUNCTION("GOOGLETRANSLATE(C114,""ja"",""vi"")"),"Đấu giá&gt; Đồ chơi, trò chơi&gt; Đồ chơi RC&gt; xe tải, trailer")</f>
        <v>Đấu giá&gt; Đồ chơi, trò chơi&gt; Đồ chơi RC&gt; xe tải, trailer</v>
      </c>
      <c r="G114" s="229" t="str">
        <f t="shared" ca="1" si="2"/>
        <v>"2084251272" : "Xe tải, trailer",</v>
      </c>
      <c r="H114" s="229" t="str">
        <f t="shared" si="3"/>
        <v>&lt;li class="col-md-3"&gt;&lt;a class="text-cut" href="javascript:;"(click)="categoryEvent(2084251272)"&gt;{{"2084251272" | translate}}&lt;/a&gt;&lt;/li&gt;</v>
      </c>
    </row>
    <row r="115" spans="1:8" ht="14.25" customHeight="1">
      <c r="A115" s="2">
        <v>2084251271</v>
      </c>
      <c r="B115" s="2" t="s">
        <v>7196</v>
      </c>
      <c r="C115" s="2" t="s">
        <v>7197</v>
      </c>
      <c r="D115" s="2" t="s">
        <v>7198</v>
      </c>
      <c r="E115" s="3" t="str">
        <f ca="1">IFERROR(__xludf.DUMMYFUNCTION("GOOGLETRANSLATE(B115,""ja"",""vi"")"),"máy bay")</f>
        <v>máy bay</v>
      </c>
      <c r="F115" s="3" t="str">
        <f ca="1">IFERROR(__xludf.DUMMYFUNCTION("GOOGLETRANSLATE(C115,""ja"",""vi"")"),"Đấu giá&gt; Đồ chơi, trò chơi&gt; Đồ chơi RC&gt; máy bay")</f>
        <v>Đấu giá&gt; Đồ chơi, trò chơi&gt; Đồ chơi RC&gt; máy bay</v>
      </c>
      <c r="G115" s="229" t="str">
        <f t="shared" ca="1" si="2"/>
        <v>"2084251271" : "máy bay",</v>
      </c>
      <c r="H115" s="229" t="str">
        <f t="shared" si="3"/>
        <v>&lt;li class="col-md-3"&gt;&lt;a class="text-cut" href="javascript:;"(click)="categoryEvent(2084251271)"&gt;{{"2084251271" | translate}}&lt;/a&gt;&lt;/li&gt;</v>
      </c>
    </row>
    <row r="116" spans="1:8" ht="14.25" customHeight="1">
      <c r="A116" s="2">
        <v>2084251270</v>
      </c>
      <c r="B116" s="2" t="s">
        <v>7201</v>
      </c>
      <c r="C116" s="2" t="s">
        <v>7202</v>
      </c>
      <c r="D116" s="2" t="s">
        <v>7204</v>
      </c>
      <c r="E116" s="3" t="str">
        <f ca="1">IFERROR(__xludf.DUMMYFUNCTION("GOOGLETRANSLATE(B116,""ja"",""vi"")"),"Máy bay trực thăng")</f>
        <v>Máy bay trực thăng</v>
      </c>
      <c r="F116" s="3" t="str">
        <f ca="1">IFERROR(__xludf.DUMMYFUNCTION("GOOGLETRANSLATE(C116,""ja"",""vi"")"),"Đấu giá&gt; Đồ chơi, trò chơi&gt; Đồ chơi RC&gt; máy bay trực thăng")</f>
        <v>Đấu giá&gt; Đồ chơi, trò chơi&gt; Đồ chơi RC&gt; máy bay trực thăng</v>
      </c>
      <c r="G116" s="229" t="str">
        <f t="shared" ca="1" si="2"/>
        <v>"2084251270" : "Máy bay trực thăng",</v>
      </c>
      <c r="H116" s="229" t="str">
        <f t="shared" si="3"/>
        <v>&lt;li class="col-md-3"&gt;&lt;a class="text-cut" href="javascript:;"(click)="categoryEvent(2084251270)"&gt;{{"2084251270" | translate}}&lt;/a&gt;&lt;/li&gt;</v>
      </c>
    </row>
    <row r="117" spans="1:8" ht="14.25" customHeight="1">
      <c r="A117" s="2">
        <v>2084316145</v>
      </c>
      <c r="B117" s="2" t="s">
        <v>7210</v>
      </c>
      <c r="C117" s="2" t="s">
        <v>7211</v>
      </c>
      <c r="D117" s="2" t="s">
        <v>7212</v>
      </c>
      <c r="E117" s="3" t="str">
        <f ca="1">IFERROR(__xludf.DUMMYFUNCTION("GOOGLETRANSLATE(B117,""ja"",""vi"")"),"rút ra")</f>
        <v>rút ra</v>
      </c>
      <c r="F117" s="3" t="str">
        <f ca="1">IFERROR(__xludf.DUMMYFUNCTION("GOOGLETRANSLATE(C117,""ja"",""vi"")"),"Đấu giá&gt; Đồ chơi, trò chơi&gt; Đồ chơi RC&gt; bay không người lái")</f>
        <v>Đấu giá&gt; Đồ chơi, trò chơi&gt; Đồ chơi RC&gt; bay không người lái</v>
      </c>
      <c r="G117" s="229" t="str">
        <f t="shared" ca="1" si="2"/>
        <v>"2084316145" : "rút ra",</v>
      </c>
      <c r="H117" s="229" t="str">
        <f t="shared" si="3"/>
        <v>&lt;li class="col-md-3"&gt;&lt;a class="text-cut" href="javascript:;"(click)="categoryEvent(2084316145)"&gt;{{"2084316145" | translate}}&lt;/a&gt;&lt;/li&gt;</v>
      </c>
    </row>
    <row r="118" spans="1:8" ht="14.25" customHeight="1">
      <c r="A118" s="2">
        <v>2084251276</v>
      </c>
      <c r="B118" s="2" t="s">
        <v>7219</v>
      </c>
      <c r="C118" s="2" t="s">
        <v>7221</v>
      </c>
      <c r="D118" s="2" t="s">
        <v>7223</v>
      </c>
      <c r="E118" s="3" t="str">
        <f ca="1">IFERROR(__xludf.DUMMYFUNCTION("GOOGLETRANSLATE(B118,""ja"",""vi"")"),"Xe tăng, xe quân sự")</f>
        <v>Xe tăng, xe quân sự</v>
      </c>
      <c r="F118" s="3" t="str">
        <f ca="1">IFERROR(__xludf.DUMMYFUNCTION("GOOGLETRANSLATE(C118,""ja"",""vi"")"),"Đấu giá&gt; Đồ chơi, trò chơi&gt; Đồ chơi RC&gt; xe tăng, xe quân sự")</f>
        <v>Đấu giá&gt; Đồ chơi, trò chơi&gt; Đồ chơi RC&gt; xe tăng, xe quân sự</v>
      </c>
      <c r="G118" s="229" t="str">
        <f t="shared" ca="1" si="2"/>
        <v>"2084251276" : "Xe tăng, xe quân sự",</v>
      </c>
      <c r="H118" s="229" t="str">
        <f t="shared" si="3"/>
        <v>&lt;li class="col-md-3"&gt;&lt;a class="text-cut" href="javascript:;"(click)="categoryEvent(2084251276)"&gt;{{"2084251276" | translate}}&lt;/a&gt;&lt;/li&gt;</v>
      </c>
    </row>
    <row r="119" spans="1:8" ht="14.25" customHeight="1">
      <c r="A119" s="2">
        <v>2084251275</v>
      </c>
      <c r="B119" s="2" t="s">
        <v>6273</v>
      </c>
      <c r="C119" s="2" t="s">
        <v>7229</v>
      </c>
      <c r="D119" s="2" t="s">
        <v>7231</v>
      </c>
      <c r="E119" s="3" t="str">
        <f ca="1">IFERROR(__xludf.DUMMYFUNCTION("GOOGLETRANSLATE(B119,""ja"",""vi"")"),"Tàu, thuyền")</f>
        <v>Tàu, thuyền</v>
      </c>
      <c r="F119" s="3" t="str">
        <f ca="1">IFERROR(__xludf.DUMMYFUNCTION("GOOGLETRANSLATE(C119,""ja"",""vi"")"),"Đấu giá&gt; Đồ chơi, trò chơi&gt; Đồ chơi RC&gt; tàu, thuyền")</f>
        <v>Đấu giá&gt; Đồ chơi, trò chơi&gt; Đồ chơi RC&gt; tàu, thuyền</v>
      </c>
      <c r="G119" s="229" t="str">
        <f t="shared" ca="1" si="2"/>
        <v>"2084251275" : "Tàu, thuyền",</v>
      </c>
      <c r="H119" s="229" t="str">
        <f t="shared" si="3"/>
        <v>&lt;li class="col-md-3"&gt;&lt;a class="text-cut" href="javascript:;"(click)="categoryEvent(2084251275)"&gt;{{"2084251275" | translate}}&lt;/a&gt;&lt;/li&gt;</v>
      </c>
    </row>
    <row r="120" spans="1:8" ht="14.25" customHeight="1">
      <c r="A120" s="2">
        <v>2084251277</v>
      </c>
      <c r="B120" s="2" t="s">
        <v>16</v>
      </c>
      <c r="C120" s="2" t="s">
        <v>7234</v>
      </c>
      <c r="D120" s="2" t="s">
        <v>7237</v>
      </c>
      <c r="E120" s="3" t="str">
        <f ca="1">IFERROR(__xludf.DUMMYFUNCTION("GOOGLETRANSLATE(B120,""ja"",""vi"")"),"nếu không thì")</f>
        <v>nếu không thì</v>
      </c>
      <c r="F120" s="3" t="str">
        <f ca="1">IFERROR(__xludf.DUMMYFUNCTION("GOOGLETRANSLATE(C120,""ja"",""vi"")"),"Đấu giá&gt; Đồ chơi, trò chơi&gt; Đồ chơi RC&gt; Khác")</f>
        <v>Đấu giá&gt; Đồ chơi, trò chơi&gt; Đồ chơi RC&gt; Khác</v>
      </c>
      <c r="G120" s="229" t="str">
        <f t="shared" ca="1" si="2"/>
        <v>"2084251277" : "nếu không thì",</v>
      </c>
      <c r="H120" s="229" t="str">
        <f t="shared" si="3"/>
        <v>&lt;li class="col-md-3"&gt;&lt;a class="text-cut" href="javascript:;"(click)="categoryEvent(2084251277)"&gt;{{"2084251277" | translate}}&lt;/a&gt;&lt;/li&gt;</v>
      </c>
    </row>
    <row r="121" spans="1:8" ht="14.25" customHeight="1">
      <c r="E121" s="3"/>
      <c r="F121" s="3"/>
      <c r="G121" s="229"/>
      <c r="H121" s="229"/>
    </row>
    <row r="122" spans="1:8" ht="14.25" customHeight="1">
      <c r="A122" s="256">
        <v>2084250263</v>
      </c>
      <c r="B122" s="232"/>
      <c r="C122" s="232"/>
      <c r="D122" s="233"/>
      <c r="E122" s="3"/>
      <c r="F122" s="3"/>
      <c r="G122" s="229"/>
      <c r="H122" s="229"/>
    </row>
    <row r="123" spans="1:8" ht="14.25" customHeight="1">
      <c r="A123" s="2">
        <v>2084250334</v>
      </c>
      <c r="B123" s="2" t="s">
        <v>5688</v>
      </c>
      <c r="C123" s="2" t="s">
        <v>7249</v>
      </c>
      <c r="D123" s="2" t="s">
        <v>7251</v>
      </c>
      <c r="E123" s="3" t="str">
        <f ca="1">IFERROR(__xludf.DUMMYFUNCTION("GOOGLETRANSLATE(B123,""ja"",""vi"")"),"nhân vật")</f>
        <v>nhân vật</v>
      </c>
      <c r="F123" s="3" t="str">
        <f ca="1">IFERROR(__xludf.DUMMYFUNCTION("GOOGLETRANSLATE(C123,""ja"",""vi"")"),"Đấu giá&gt; đồ chơi, trò chơi&gt; mô hình nhựa&gt; Nhân vật")</f>
        <v>Đấu giá&gt; đồ chơi, trò chơi&gt; mô hình nhựa&gt; Nhân vật</v>
      </c>
      <c r="G123" s="229" t="str">
        <f t="shared" ca="1" si="2"/>
        <v>"2084250334" : "nhân vật",</v>
      </c>
      <c r="H123" s="229" t="str">
        <f t="shared" si="3"/>
        <v>&lt;li class="col-md-3"&gt;&lt;a class="text-cut" href="javascript:;"(click)="categoryEvent(2084250334)"&gt;{{"2084250334" | translate}}&lt;/a&gt;&lt;/li&gt;</v>
      </c>
    </row>
    <row r="124" spans="1:8" ht="14.25" customHeight="1">
      <c r="A124" s="2">
        <v>2084250264</v>
      </c>
      <c r="B124" s="2" t="s">
        <v>5924</v>
      </c>
      <c r="C124" s="2" t="s">
        <v>7257</v>
      </c>
      <c r="D124" s="2" t="s">
        <v>7258</v>
      </c>
      <c r="E124" s="3" t="str">
        <f ca="1">IFERROR(__xludf.DUMMYFUNCTION("GOOGLETRANSLATE(B124,""ja"",""vi"")"),"xe hơi")</f>
        <v>xe hơi</v>
      </c>
      <c r="F124" s="3" t="str">
        <f ca="1">IFERROR(__xludf.DUMMYFUNCTION("GOOGLETRANSLATE(C124,""ja"",""vi"")"),"Đấu giá&gt; đồ chơi, trò chơi&gt; mô hình nhựa&gt; ô tô")</f>
        <v>Đấu giá&gt; đồ chơi, trò chơi&gt; mô hình nhựa&gt; ô tô</v>
      </c>
      <c r="G124" s="229" t="str">
        <f t="shared" ca="1" si="2"/>
        <v>"2084250264" : "xe hơi",</v>
      </c>
      <c r="H124" s="229" t="str">
        <f t="shared" si="3"/>
        <v>&lt;li class="col-md-3"&gt;&lt;a class="text-cut" href="javascript:;"(click)="categoryEvent(2084250264)"&gt;{{"2084250264" | translate}}&lt;/a&gt;&lt;/li&gt;</v>
      </c>
    </row>
    <row r="125" spans="1:8" ht="14.25" customHeight="1">
      <c r="A125" s="2">
        <v>2084250307</v>
      </c>
      <c r="B125" s="2" t="s">
        <v>6333</v>
      </c>
      <c r="C125" s="2" t="s">
        <v>7261</v>
      </c>
      <c r="D125" s="2" t="s">
        <v>7263</v>
      </c>
      <c r="E125" s="3" t="str">
        <f ca="1">IFERROR(__xludf.DUMMYFUNCTION("GOOGLETRANSLATE(B125,""ja"",""vi"")"),"phi cơ")</f>
        <v>phi cơ</v>
      </c>
      <c r="F125" s="3" t="str">
        <f ca="1">IFERROR(__xludf.DUMMYFUNCTION("GOOGLETRANSLATE(C125,""ja"",""vi"")"),"Đấu giá&gt; đồ chơi, trò chơi&gt; mô hình nhựa&gt; máy bay")</f>
        <v>Đấu giá&gt; đồ chơi, trò chơi&gt; mô hình nhựa&gt; máy bay</v>
      </c>
      <c r="G125" s="229" t="str">
        <f t="shared" ca="1" si="2"/>
        <v>"2084250307" : "phi cơ",</v>
      </c>
      <c r="H125" s="229" t="str">
        <f t="shared" si="3"/>
        <v>&lt;li class="col-md-3"&gt;&lt;a class="text-cut" href="javascript:;"(click)="categoryEvent(2084250307)"&gt;{{"2084250307" | translate}}&lt;/a&gt;&lt;/li&gt;</v>
      </c>
    </row>
    <row r="126" spans="1:8" ht="14.25" customHeight="1">
      <c r="A126" s="2">
        <v>2084250299</v>
      </c>
      <c r="B126" s="2" t="s">
        <v>3868</v>
      </c>
      <c r="C126" s="2" t="s">
        <v>7269</v>
      </c>
      <c r="D126" s="2" t="s">
        <v>7270</v>
      </c>
      <c r="E126" s="3" t="str">
        <f ca="1">IFERROR(__xludf.DUMMYFUNCTION("GOOGLETRANSLATE(B126,""ja"",""vi"")"),"xe mô tô")</f>
        <v>xe mô tô</v>
      </c>
      <c r="F126" s="3" t="str">
        <f ca="1">IFERROR(__xludf.DUMMYFUNCTION("GOOGLETRANSLATE(C126,""ja"",""vi"")"),"Đấu giá&gt; đồ chơi, trò chơi&gt; mô hình nhựa&gt; xe máy")</f>
        <v>Đấu giá&gt; đồ chơi, trò chơi&gt; mô hình nhựa&gt; xe máy</v>
      </c>
      <c r="G126" s="229" t="str">
        <f t="shared" ca="1" si="2"/>
        <v>"2084250299" : "xe mô tô",</v>
      </c>
      <c r="H126" s="229" t="str">
        <f t="shared" si="3"/>
        <v>&lt;li class="col-md-3"&gt;&lt;a class="text-cut" href="javascript:;"(click)="categoryEvent(2084250299)"&gt;{{"2084250299" | translate}}&lt;/a&gt;&lt;/li&gt;</v>
      </c>
    </row>
    <row r="127" spans="1:8" ht="14.25" customHeight="1">
      <c r="A127" s="2">
        <v>2084250325</v>
      </c>
      <c r="B127" s="2" t="s">
        <v>7219</v>
      </c>
      <c r="C127" s="2" t="s">
        <v>7275</v>
      </c>
      <c r="D127" s="2" t="s">
        <v>7276</v>
      </c>
      <c r="E127" s="3" t="str">
        <f ca="1">IFERROR(__xludf.DUMMYFUNCTION("GOOGLETRANSLATE(B127,""ja"",""vi"")"),"Xe tăng, xe quân sự")</f>
        <v>Xe tăng, xe quân sự</v>
      </c>
      <c r="F127" s="3" t="str">
        <f ca="1">IFERROR(__xludf.DUMMYFUNCTION("GOOGLETRANSLATE(C127,""ja"",""vi"")"),"Đấu giá&gt; đồ chơi, trò chơi&gt; mô hình nhựa&gt; xe tăng, xe quân sự")</f>
        <v>Đấu giá&gt; đồ chơi, trò chơi&gt; mô hình nhựa&gt; xe tăng, xe quân sự</v>
      </c>
      <c r="G127" s="229" t="str">
        <f t="shared" ca="1" si="2"/>
        <v>"2084250325" : "Xe tăng, xe quân sự",</v>
      </c>
      <c r="H127" s="229" t="str">
        <f t="shared" si="3"/>
        <v>&lt;li class="col-md-3"&gt;&lt;a class="text-cut" href="javascript:;"(click)="categoryEvent(2084250325)"&gt;{{"2084250325" | translate}}&lt;/a&gt;&lt;/li&gt;</v>
      </c>
    </row>
    <row r="128" spans="1:8" ht="14.25" customHeight="1">
      <c r="A128" s="2">
        <v>2084250317</v>
      </c>
      <c r="B128" s="2" t="s">
        <v>6273</v>
      </c>
      <c r="C128" s="2" t="s">
        <v>7281</v>
      </c>
      <c r="D128" s="2" t="s">
        <v>7282</v>
      </c>
      <c r="E128" s="3" t="str">
        <f ca="1">IFERROR(__xludf.DUMMYFUNCTION("GOOGLETRANSLATE(B128,""ja"",""vi"")"),"Tàu, thuyền")</f>
        <v>Tàu, thuyền</v>
      </c>
      <c r="F128" s="3" t="str">
        <f ca="1">IFERROR(__xludf.DUMMYFUNCTION("GOOGLETRANSLATE(C128,""ja"",""vi"")"),"Đấu giá&gt; đồ chơi, trò chơi&gt; mô hình nhựa&gt; Ship, thuyền")</f>
        <v>Đấu giá&gt; đồ chơi, trò chơi&gt; mô hình nhựa&gt; Ship, thuyền</v>
      </c>
      <c r="G128" s="229" t="str">
        <f t="shared" ca="1" si="2"/>
        <v>"2084250317" : "Tàu, thuyền",</v>
      </c>
      <c r="H128" s="229" t="str">
        <f t="shared" si="3"/>
        <v>&lt;li class="col-md-3"&gt;&lt;a class="text-cut" href="javascript:;"(click)="categoryEvent(2084250317)"&gt;{{"2084250317" | translate}}&lt;/a&gt;&lt;/li&gt;</v>
      </c>
    </row>
    <row r="129" spans="1:8" ht="14.25" customHeight="1">
      <c r="A129" s="2">
        <v>2084250333</v>
      </c>
      <c r="B129" s="2" t="s">
        <v>1546</v>
      </c>
      <c r="C129" s="2" t="s">
        <v>7289</v>
      </c>
      <c r="D129" s="2" t="s">
        <v>7290</v>
      </c>
      <c r="E129" s="3" t="str">
        <f ca="1">IFERROR(__xludf.DUMMYFUNCTION("GOOGLETRANSLATE(B129,""ja"",""vi"")"),"đường sắt")</f>
        <v>đường sắt</v>
      </c>
      <c r="F129" s="3" t="str">
        <f ca="1">IFERROR(__xludf.DUMMYFUNCTION("GOOGLETRANSLATE(C129,""ja"",""vi"")"),"Đấu giá&gt; đồ chơi, trò chơi&gt; mô hình nhựa&gt; đường sắt")</f>
        <v>Đấu giá&gt; đồ chơi, trò chơi&gt; mô hình nhựa&gt; đường sắt</v>
      </c>
      <c r="G129" s="229" t="str">
        <f t="shared" ca="1" si="2"/>
        <v>"2084250333" : "đường sắt",</v>
      </c>
      <c r="H129" s="229" t="str">
        <f t="shared" si="3"/>
        <v>&lt;li class="col-md-3"&gt;&lt;a class="text-cut" href="javascript:;"(click)="categoryEvent(2084250333)"&gt;{{"2084250333" | translate}}&lt;/a&gt;&lt;/li&gt;</v>
      </c>
    </row>
    <row r="130" spans="1:8" ht="14.25" customHeight="1">
      <c r="A130" s="2">
        <v>2084250967</v>
      </c>
      <c r="B130" s="2" t="s">
        <v>7295</v>
      </c>
      <c r="C130" s="2" t="s">
        <v>7297</v>
      </c>
      <c r="D130" s="2" t="s">
        <v>7300</v>
      </c>
      <c r="E130" s="3" t="str">
        <f ca="1">IFERROR(__xludf.DUMMYFUNCTION("GOOGLETRANSLATE(B130,""ja"",""vi"")"),"tòa nhà")</f>
        <v>tòa nhà</v>
      </c>
      <c r="F130" s="3" t="str">
        <f ca="1">IFERROR(__xludf.DUMMYFUNCTION("GOOGLETRANSLATE(C130,""ja"",""vi"")"),"Đấu giá&gt; đồ chơi, trò chơi&gt; mô hình nhựa&gt; xây dựng")</f>
        <v>Đấu giá&gt; đồ chơi, trò chơi&gt; mô hình nhựa&gt; xây dựng</v>
      </c>
      <c r="G130" s="229" t="str">
        <f t="shared" ca="1" si="2"/>
        <v>"2084250967" : "tòa nhà",</v>
      </c>
      <c r="H130" s="229" t="str">
        <f t="shared" si="3"/>
        <v>&lt;li class="col-md-3"&gt;&lt;a class="text-cut" href="javascript:;"(click)="categoryEvent(2084250967)"&gt;{{"2084250967" | translate}}&lt;/a&gt;&lt;/li&gt;</v>
      </c>
    </row>
    <row r="131" spans="1:8" ht="14.25" customHeight="1">
      <c r="A131" s="2">
        <v>2084258738</v>
      </c>
      <c r="B131" s="2" t="s">
        <v>812</v>
      </c>
      <c r="C131" s="2" t="s">
        <v>7307</v>
      </c>
      <c r="D131" s="2" t="s">
        <v>7308</v>
      </c>
      <c r="E131" s="3" t="str">
        <f ca="1">IFERROR(__xludf.DUMMYFUNCTION("GOOGLETRANSLATE(B131,""ja"",""vi"")"),"vật sống")</f>
        <v>vật sống</v>
      </c>
      <c r="F131" s="3" t="str">
        <f ca="1">IFERROR(__xludf.DUMMYFUNCTION("GOOGLETRANSLATE(C131,""ja"",""vi"")"),"Đấu giá&gt; đồ chơi, trò chơi&gt; mô hình nhựa&gt; sinh vật")</f>
        <v>Đấu giá&gt; đồ chơi, trò chơi&gt; mô hình nhựa&gt; sinh vật</v>
      </c>
      <c r="G131" s="229" t="str">
        <f t="shared" ref="G131:G194" ca="1" si="4">CONCATENATE(CHAR(34)&amp;"",A131,""&amp;CHAR(34)," : ", CHAR(34)&amp;"",E131,""&amp;CHAR(34),",")</f>
        <v>"2084258738" : "vật sống",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href="javascript:;"(click)="categoryEvent(2084258738)"&gt;{{"2084258738" | translate}}&lt;/a&gt;&lt;/li&gt;</v>
      </c>
    </row>
    <row r="132" spans="1:8" ht="14.25" customHeight="1">
      <c r="A132" s="2">
        <v>2084250966</v>
      </c>
      <c r="B132" s="2" t="s">
        <v>7313</v>
      </c>
      <c r="C132" s="2" t="s">
        <v>7314</v>
      </c>
      <c r="D132" s="2" t="s">
        <v>7315</v>
      </c>
      <c r="E132" s="3" t="str">
        <f ca="1">IFERROR(__xludf.DUMMYFUNCTION("GOOGLETRANSLATE(B132,""ja"",""vi"")"),"Bốn nhỏ ổ bánh xe")</f>
        <v>Bốn nhỏ ổ bánh xe</v>
      </c>
      <c r="F132" s="3" t="str">
        <f ca="1">IFERROR(__xludf.DUMMYFUNCTION("GOOGLETRANSLATE(C132,""ja"",""vi"")"),"Đấu giá&gt; đồ chơi, trò chơi&gt; mô hình nhựa&gt; Mini xe leo núi")</f>
        <v>Đấu giá&gt; đồ chơi, trò chơi&gt; mô hình nhựa&gt; Mini xe leo núi</v>
      </c>
      <c r="G132" s="229" t="str">
        <f t="shared" ca="1" si="4"/>
        <v>"2084250966" : "Bốn nhỏ ổ bánh xe",</v>
      </c>
      <c r="H132" s="229" t="str">
        <f t="shared" si="5"/>
        <v>&lt;li class="col-md-3"&gt;&lt;a class="text-cut" href="javascript:;"(click)="categoryEvent(2084250966)"&gt;{{"2084250966" | translate}}&lt;/a&gt;&lt;/li&gt;</v>
      </c>
    </row>
    <row r="133" spans="1:8" ht="14.25" customHeight="1">
      <c r="A133" s="2">
        <v>2084063789</v>
      </c>
      <c r="B133" s="2" t="s">
        <v>6545</v>
      </c>
      <c r="C133" s="2" t="s">
        <v>7320</v>
      </c>
      <c r="D133" s="2" t="s">
        <v>7321</v>
      </c>
      <c r="E133" s="3" t="str">
        <f ca="1">IFERROR(__xludf.DUMMYFUNCTION("GOOGLETRANSLATE(B133,""ja"",""vi"")"),"Mô hình hóa Vật tư")</f>
        <v>Mô hình hóa Vật tư</v>
      </c>
      <c r="F133" s="3" t="str">
        <f ca="1">IFERROR(__xludf.DUMMYFUNCTION("GOOGLETRANSLATE(C133,""ja"",""vi"")"),"Đấu giá&gt; đồ chơi, trò chơi&gt; mô hình nhựa&gt; nguồn cung cấp mô hình sản xuất")</f>
        <v>Đấu giá&gt; đồ chơi, trò chơi&gt; mô hình nhựa&gt; nguồn cung cấp mô hình sản xuất</v>
      </c>
      <c r="G133" s="229" t="str">
        <f t="shared" ca="1" si="4"/>
        <v>"2084063789" : "Mô hình hóa Vật tư",</v>
      </c>
      <c r="H133" s="229" t="str">
        <f t="shared" si="5"/>
        <v>&lt;li class="col-md-3"&gt;&lt;a class="text-cut" href="javascript:;"(click)="categoryEvent(2084063789)"&gt;{{"2084063789" | translate}}&lt;/a&gt;&lt;/li&gt;</v>
      </c>
    </row>
    <row r="134" spans="1:8" ht="14.25" customHeight="1">
      <c r="A134" s="2">
        <v>2084250968</v>
      </c>
      <c r="B134" s="2" t="s">
        <v>16</v>
      </c>
      <c r="C134" s="2" t="s">
        <v>7324</v>
      </c>
      <c r="D134" s="2" t="s">
        <v>7327</v>
      </c>
      <c r="E134" s="3" t="str">
        <f ca="1">IFERROR(__xludf.DUMMYFUNCTION("GOOGLETRANSLATE(B134,""ja"",""vi"")"),"nếu không thì")</f>
        <v>nếu không thì</v>
      </c>
      <c r="F134" s="3" t="str">
        <f ca="1">IFERROR(__xludf.DUMMYFUNCTION("GOOGLETRANSLATE(C134,""ja"",""vi"")"),"Đấu giá&gt; đồ chơi, trò chơi&gt; mô hình nhựa&gt; Khác")</f>
        <v>Đấu giá&gt; đồ chơi, trò chơi&gt; mô hình nhựa&gt; Khác</v>
      </c>
      <c r="G134" s="229" t="str">
        <f t="shared" ca="1" si="4"/>
        <v>"2084250968" : "nếu không thì",</v>
      </c>
      <c r="H134" s="229" t="str">
        <f t="shared" si="5"/>
        <v>&lt;li class="col-md-3"&gt;&lt;a class="text-cut" href="javascript:;"(click)="categoryEvent(2084250968)"&gt;{{"2084250968" | translate}}&lt;/a&gt;&lt;/li&gt;</v>
      </c>
    </row>
    <row r="135" spans="1:8" ht="14.25" customHeight="1">
      <c r="E135" s="3"/>
      <c r="F135" s="3"/>
      <c r="G135" s="229"/>
      <c r="H135" s="229"/>
    </row>
    <row r="136" spans="1:8" ht="14.25" customHeight="1">
      <c r="A136" s="252">
        <v>2084251212</v>
      </c>
      <c r="B136" s="232"/>
      <c r="C136" s="232"/>
      <c r="D136" s="233"/>
      <c r="E136" s="3"/>
      <c r="F136" s="3"/>
      <c r="G136" s="229"/>
      <c r="H136" s="229"/>
    </row>
    <row r="137" spans="1:8" ht="14.25" customHeight="1">
      <c r="A137" s="2">
        <v>2084251213</v>
      </c>
      <c r="B137" s="2" t="s">
        <v>5924</v>
      </c>
      <c r="C137" s="2" t="s">
        <v>7338</v>
      </c>
      <c r="D137" s="2" t="s">
        <v>7342</v>
      </c>
      <c r="E137" s="3" t="str">
        <f ca="1">IFERROR(__xludf.DUMMYFUNCTION("GOOGLETRANSLATE(B137,""ja"",""vi"")"),"xe hơi")</f>
        <v>xe hơi</v>
      </c>
      <c r="F137" s="3" t="str">
        <f ca="1">IFERROR(__xludf.DUMMYFUNCTION("GOOGLETRANSLATE(C137,""ja"",""vi"")"),"Đấu giá&gt; đồ chơi, trò chơi&gt; sở thích điều khiển bằng radio&gt; Ô tô")</f>
        <v>Đấu giá&gt; đồ chơi, trò chơi&gt; sở thích điều khiển bằng radio&gt; Ô tô</v>
      </c>
      <c r="G137" s="229" t="str">
        <f t="shared" ca="1" si="4"/>
        <v>"2084251213" : "xe hơi",</v>
      </c>
      <c r="H137" s="229" t="str">
        <f t="shared" si="5"/>
        <v>&lt;li class="col-md-3"&gt;&lt;a class="text-cut" href="javascript:;"(click)="categoryEvent(2084251213)"&gt;{{"2084251213" | translate}}&lt;/a&gt;&lt;/li&gt;</v>
      </c>
    </row>
    <row r="138" spans="1:8" ht="14.25" customHeight="1">
      <c r="A138" s="2">
        <v>2084251245</v>
      </c>
      <c r="B138" s="2" t="s">
        <v>7196</v>
      </c>
      <c r="C138" s="2" t="s">
        <v>7347</v>
      </c>
      <c r="D138" s="2" t="s">
        <v>7349</v>
      </c>
      <c r="E138" s="3" t="str">
        <f ca="1">IFERROR(__xludf.DUMMYFUNCTION("GOOGLETRANSLATE(B138,""ja"",""vi"")"),"máy bay")</f>
        <v>máy bay</v>
      </c>
      <c r="F138" s="3" t="str">
        <f ca="1">IFERROR(__xludf.DUMMYFUNCTION("GOOGLETRANSLATE(C138,""ja"",""vi"")"),"Đấu giá&gt; đồ chơi, trò chơi&gt; sở thích điều khiển bằng radio&gt; máy bay")</f>
        <v>Đấu giá&gt; đồ chơi, trò chơi&gt; sở thích điều khiển bằng radio&gt; máy bay</v>
      </c>
      <c r="G138" s="229" t="str">
        <f t="shared" ca="1" si="4"/>
        <v>"2084251245" : "máy bay",</v>
      </c>
      <c r="H138" s="229" t="str">
        <f t="shared" si="5"/>
        <v>&lt;li class="col-md-3"&gt;&lt;a class="text-cut" href="javascript:;"(click)="categoryEvent(2084251245)"&gt;{{"2084251245" | translate}}&lt;/a&gt;&lt;/li&gt;</v>
      </c>
    </row>
    <row r="139" spans="1:8" ht="14.25" customHeight="1">
      <c r="A139" s="2">
        <v>2084251252</v>
      </c>
      <c r="B139" s="2" t="s">
        <v>7201</v>
      </c>
      <c r="C139" s="2" t="s">
        <v>7353</v>
      </c>
      <c r="D139" s="2" t="s">
        <v>7354</v>
      </c>
      <c r="E139" s="3" t="str">
        <f ca="1">IFERROR(__xludf.DUMMYFUNCTION("GOOGLETRANSLATE(B139,""ja"",""vi"")"),"Máy bay trực thăng")</f>
        <v>Máy bay trực thăng</v>
      </c>
      <c r="F139" s="3" t="str">
        <f ca="1">IFERROR(__xludf.DUMMYFUNCTION("GOOGLETRANSLATE(C139,""ja"",""vi"")"),"Đấu giá&gt; đồ chơi, trò chơi&gt; sở thích điều khiển bằng radio&gt; máy bay trực thăng")</f>
        <v>Đấu giá&gt; đồ chơi, trò chơi&gt; sở thích điều khiển bằng radio&gt; máy bay trực thăng</v>
      </c>
      <c r="G139" s="229" t="str">
        <f t="shared" ca="1" si="4"/>
        <v>"2084251252" : "Máy bay trực thăng",</v>
      </c>
      <c r="H139" s="229" t="str">
        <f t="shared" si="5"/>
        <v>&lt;li class="col-md-3"&gt;&lt;a class="text-cut" href="javascript:;"(click)="categoryEvent(2084251252)"&gt;{{"2084251252" | translate}}&lt;/a&gt;&lt;/li&gt;</v>
      </c>
    </row>
    <row r="140" spans="1:8" ht="14.25" customHeight="1">
      <c r="A140" s="2">
        <v>2084316145</v>
      </c>
      <c r="B140" s="2" t="s">
        <v>7210</v>
      </c>
      <c r="C140" s="2" t="s">
        <v>7356</v>
      </c>
      <c r="D140" s="2" t="s">
        <v>7357</v>
      </c>
      <c r="E140" s="3" t="str">
        <f ca="1">IFERROR(__xludf.DUMMYFUNCTION("GOOGLETRANSLATE(B140,""ja"",""vi"")"),"rút ra")</f>
        <v>rút ra</v>
      </c>
      <c r="F140" s="3" t="str">
        <f ca="1">IFERROR(__xludf.DUMMYFUNCTION("GOOGLETRANSLATE(C140,""ja"",""vi"")"),"Đấu giá&gt; đồ chơi, trò chơi&gt; sở thích điều khiển bằng radio&gt; bay không người lái")</f>
        <v>Đấu giá&gt; đồ chơi, trò chơi&gt; sở thích điều khiển bằng radio&gt; bay không người lái</v>
      </c>
      <c r="G140" s="229" t="str">
        <f t="shared" ca="1" si="4"/>
        <v>"2084316145" : "rút ra",</v>
      </c>
      <c r="H140" s="229" t="str">
        <f t="shared" si="5"/>
        <v>&lt;li class="col-md-3"&gt;&lt;a class="text-cut" href="javascript:;"(click)="categoryEvent(2084316145)"&gt;{{"2084316145" | translate}}&lt;/a&gt;&lt;/li&gt;</v>
      </c>
    </row>
    <row r="141" spans="1:8" ht="14.25" customHeight="1">
      <c r="A141" s="2">
        <v>2084251259</v>
      </c>
      <c r="B141" s="2" t="s">
        <v>6273</v>
      </c>
      <c r="C141" s="2" t="s">
        <v>7359</v>
      </c>
      <c r="D141" s="2" t="s">
        <v>7361</v>
      </c>
      <c r="E141" s="3" t="str">
        <f ca="1">IFERROR(__xludf.DUMMYFUNCTION("GOOGLETRANSLATE(B141,""ja"",""vi"")"),"Tàu, thuyền")</f>
        <v>Tàu, thuyền</v>
      </c>
      <c r="F141" s="3" t="str">
        <f ca="1">IFERROR(__xludf.DUMMYFUNCTION("GOOGLETRANSLATE(C141,""ja"",""vi"")"),"Đấu giá&gt; đồ chơi, trò chơi&gt; sở thích điều khiển bằng radio&gt; tàu, thuyền")</f>
        <v>Đấu giá&gt; đồ chơi, trò chơi&gt; sở thích điều khiển bằng radio&gt; tàu, thuyền</v>
      </c>
      <c r="G141" s="229" t="str">
        <f t="shared" ca="1" si="4"/>
        <v>"2084251259" : "Tàu, thuyền",</v>
      </c>
      <c r="H141" s="229" t="str">
        <f t="shared" si="5"/>
        <v>&lt;li class="col-md-3"&gt;&lt;a class="text-cut" href="javascript:;"(click)="categoryEvent(2084251259)"&gt;{{"2084251259" | translate}}&lt;/a&gt;&lt;/li&gt;</v>
      </c>
    </row>
    <row r="142" spans="1:8" ht="14.25" customHeight="1">
      <c r="A142" s="2">
        <v>2084251260</v>
      </c>
      <c r="B142" s="2" t="s">
        <v>7219</v>
      </c>
      <c r="C142" s="2" t="s">
        <v>7365</v>
      </c>
      <c r="D142" s="2" t="s">
        <v>7366</v>
      </c>
      <c r="E142" s="3" t="str">
        <f ca="1">IFERROR(__xludf.DUMMYFUNCTION("GOOGLETRANSLATE(B142,""ja"",""vi"")"),"Xe tăng, xe quân sự")</f>
        <v>Xe tăng, xe quân sự</v>
      </c>
      <c r="F142" s="3" t="str">
        <f ca="1">IFERROR(__xludf.DUMMYFUNCTION("GOOGLETRANSLATE(C142,""ja"",""vi"")"),"Đấu giá&gt; đồ chơi, trò chơi&gt; điều khiển radio sở thích&gt; xe tăng, xe quân sự")</f>
        <v>Đấu giá&gt; đồ chơi, trò chơi&gt; điều khiển radio sở thích&gt; xe tăng, xe quân sự</v>
      </c>
      <c r="G142" s="229" t="str">
        <f t="shared" ca="1" si="4"/>
        <v>"2084251260" : "Xe tăng, xe quân sự",</v>
      </c>
      <c r="H142" s="229" t="str">
        <f t="shared" si="5"/>
        <v>&lt;li class="col-md-3"&gt;&lt;a class="text-cut" href="javascript:;"(click)="categoryEvent(2084251260)"&gt;{{"2084251260" | translate}}&lt;/a&gt;&lt;/li&gt;</v>
      </c>
    </row>
    <row r="143" spans="1:8" ht="14.25" customHeight="1">
      <c r="A143" s="2">
        <v>2084251261</v>
      </c>
      <c r="B143" s="2" t="s">
        <v>7370</v>
      </c>
      <c r="C143" s="2" t="s">
        <v>7371</v>
      </c>
      <c r="D143" s="2" t="s">
        <v>7372</v>
      </c>
      <c r="E143" s="3" t="str">
        <f ca="1">IFERROR(__xludf.DUMMYFUNCTION("GOOGLETRANSLATE(B143,""ja"",""vi"")"),"Pin, sạc")</f>
        <v>Pin, sạc</v>
      </c>
      <c r="F143" s="3" t="str">
        <f ca="1">IFERROR(__xludf.DUMMYFUNCTION("GOOGLETRANSLATE(C143,""ja"",""vi"")"),"Đấu giá&gt; đồ chơi, trò chơi&gt; sở thích điều khiển bằng radio&gt; pin, sạc")</f>
        <v>Đấu giá&gt; đồ chơi, trò chơi&gt; sở thích điều khiển bằng radio&gt; pin, sạc</v>
      </c>
      <c r="G143" s="229" t="str">
        <f t="shared" ca="1" si="4"/>
        <v>"2084251261" : "Pin, sạc",</v>
      </c>
      <c r="H143" s="229" t="str">
        <f t="shared" si="5"/>
        <v>&lt;li class="col-md-3"&gt;&lt;a class="text-cut" href="javascript:;"(click)="categoryEvent(2084251261)"&gt;{{"2084251261" | translate}}&lt;/a&gt;&lt;/li&gt;</v>
      </c>
    </row>
    <row r="144" spans="1:8" ht="14.25" customHeight="1">
      <c r="A144" s="2">
        <v>2084251262</v>
      </c>
      <c r="B144" s="2" t="s">
        <v>7374</v>
      </c>
      <c r="C144" s="2" t="s">
        <v>7376</v>
      </c>
      <c r="D144" s="2" t="s">
        <v>7377</v>
      </c>
      <c r="E144" s="3" t="str">
        <f ca="1">IFERROR(__xludf.DUMMYFUNCTION("GOOGLETRANSLATE(B144,""ja"",""vi"")"),"Propoxycarbonyl")</f>
        <v>Propoxycarbonyl</v>
      </c>
      <c r="F144" s="3" t="str">
        <f ca="1">IFERROR(__xludf.DUMMYFUNCTION("GOOGLETRANSLATE(C144,""ja"",""vi"")"),"Đấu giá&gt; đồ chơi, trò chơi&gt; sở thích điều khiển bằng radio&gt; propoxycarbonyl")</f>
        <v>Đấu giá&gt; đồ chơi, trò chơi&gt; sở thích điều khiển bằng radio&gt; propoxycarbonyl</v>
      </c>
      <c r="G144" s="229" t="str">
        <f t="shared" ca="1" si="4"/>
        <v>"2084251262" : "Propoxycarbonyl",</v>
      </c>
      <c r="H144" s="229" t="str">
        <f t="shared" si="5"/>
        <v>&lt;li class="col-md-3"&gt;&lt;a class="text-cut" href="javascript:;"(click)="categoryEvent(2084251262)"&gt;{{"2084251262" | translate}}&lt;/a&gt;&lt;/li&gt;</v>
      </c>
    </row>
    <row r="145" spans="1:8" ht="14.25" customHeight="1">
      <c r="A145" s="2">
        <v>2084063789</v>
      </c>
      <c r="B145" s="2" t="s">
        <v>6545</v>
      </c>
      <c r="C145" s="2" t="s">
        <v>7379</v>
      </c>
      <c r="D145" s="2" t="s">
        <v>7381</v>
      </c>
      <c r="E145" s="3" t="str">
        <f ca="1">IFERROR(__xludf.DUMMYFUNCTION("GOOGLETRANSLATE(B145,""ja"",""vi"")"),"Mô hình hóa Vật tư")</f>
        <v>Mô hình hóa Vật tư</v>
      </c>
      <c r="F145" s="3" t="str">
        <f ca="1">IFERROR(__xludf.DUMMYFUNCTION("GOOGLETRANSLATE(C145,""ja"",""vi"")"),"Đấu giá&gt; đồ chơi, trò chơi&gt; sở thích điều khiển bằng radio&gt; nguồn cung cấp mô hình sản xuất")</f>
        <v>Đấu giá&gt; đồ chơi, trò chơi&gt; sở thích điều khiển bằng radio&gt; nguồn cung cấp mô hình sản xuất</v>
      </c>
      <c r="G145" s="229" t="str">
        <f t="shared" ca="1" si="4"/>
        <v>"2084063789" : "Mô hình hóa Vật tư",</v>
      </c>
      <c r="H145" s="229" t="str">
        <f t="shared" si="5"/>
        <v>&lt;li class="col-md-3"&gt;&lt;a class="text-cut" href="javascript:;"(click)="categoryEvent(2084063789)"&gt;{{"2084063789" | translate}}&lt;/a&gt;&lt;/li&gt;</v>
      </c>
    </row>
    <row r="146" spans="1:8" ht="14.25" customHeight="1">
      <c r="A146" s="2">
        <v>2084251268</v>
      </c>
      <c r="B146" s="2" t="s">
        <v>16</v>
      </c>
      <c r="C146" s="2" t="s">
        <v>7382</v>
      </c>
      <c r="D146" s="2" t="s">
        <v>7384</v>
      </c>
      <c r="E146" s="3" t="str">
        <f ca="1">IFERROR(__xludf.DUMMYFUNCTION("GOOGLETRANSLATE(B146,""ja"",""vi"")"),"nếu không thì")</f>
        <v>nếu không thì</v>
      </c>
      <c r="F146" s="3" t="str">
        <f ca="1">IFERROR(__xludf.DUMMYFUNCTION("GOOGLETRANSLATE(C146,""ja"",""vi"")"),"Đấu giá&gt; đồ chơi, trò chơi&gt; sở thích vô tuyến điều khiển&gt; Khác")</f>
        <v>Đấu giá&gt; đồ chơi, trò chơi&gt; sở thích vô tuyến điều khiển&gt; Khác</v>
      </c>
      <c r="G146" s="229" t="str">
        <f t="shared" ca="1" si="4"/>
        <v>"2084251268" : "nếu không thì",</v>
      </c>
      <c r="H146" s="229" t="str">
        <f t="shared" si="5"/>
        <v>&lt;li class="col-md-3"&gt;&lt;a class="text-cut" href="javascript:;"(click)="categoryEvent(2084251268)"&gt;{{"2084251268" | translate}}&lt;/a&gt;&lt;/li&gt;</v>
      </c>
    </row>
    <row r="147" spans="1:8" ht="14.25" customHeight="1">
      <c r="E147" s="3"/>
      <c r="F147" s="3"/>
      <c r="G147" s="229"/>
      <c r="H147" s="229"/>
    </row>
    <row r="148" spans="1:8" ht="14.25" customHeight="1">
      <c r="A148" s="261">
        <v>2084260113</v>
      </c>
      <c r="B148" s="232"/>
      <c r="C148" s="232"/>
      <c r="D148" s="233"/>
      <c r="E148" s="3"/>
      <c r="F148" s="3"/>
      <c r="G148" s="229"/>
      <c r="H148" s="229"/>
    </row>
    <row r="149" spans="1:8" ht="14.25" customHeight="1">
      <c r="A149" s="2">
        <v>2084260114</v>
      </c>
      <c r="B149" s="2" t="s">
        <v>5924</v>
      </c>
      <c r="C149" s="2" t="s">
        <v>7388</v>
      </c>
      <c r="D149" s="2" t="s">
        <v>7389</v>
      </c>
      <c r="E149" s="3" t="str">
        <f ca="1">IFERROR(__xludf.DUMMYFUNCTION("GOOGLETRANSLATE(B149,""ja"",""vi"")"),"xe hơi")</f>
        <v>xe hơi</v>
      </c>
      <c r="F149" s="3" t="str">
        <f ca="1">IFERROR(__xludf.DUMMYFUNCTION("GOOGLETRANSLATE(C149,""ja"",""vi"")"),"Đấu giá&gt; đồ chơi, trò chơi&gt; minicar&gt; ô tô")</f>
        <v>Đấu giá&gt; đồ chơi, trò chơi&gt; minicar&gt; ô tô</v>
      </c>
      <c r="G149" s="229" t="str">
        <f t="shared" ca="1" si="4"/>
        <v>"2084260114" : "xe hơi",</v>
      </c>
      <c r="H149" s="229" t="str">
        <f t="shared" si="5"/>
        <v>&lt;li class="col-md-3"&gt;&lt;a class="text-cut" href="javascript:;"(click)="categoryEvent(2084260114)"&gt;{{"2084260114" | translate}}&lt;/a&gt;&lt;/li&gt;</v>
      </c>
    </row>
    <row r="150" spans="1:8" ht="14.25" customHeight="1">
      <c r="A150" s="2">
        <v>2084260189</v>
      </c>
      <c r="B150" s="2" t="s">
        <v>3868</v>
      </c>
      <c r="C150" s="2" t="s">
        <v>7390</v>
      </c>
      <c r="D150" s="2" t="s">
        <v>7392</v>
      </c>
      <c r="E150" s="3" t="str">
        <f ca="1">IFERROR(__xludf.DUMMYFUNCTION("GOOGLETRANSLATE(B150,""ja"",""vi"")"),"xe mô tô")</f>
        <v>xe mô tô</v>
      </c>
      <c r="F150" s="3" t="str">
        <f ca="1">IFERROR(__xludf.DUMMYFUNCTION("GOOGLETRANSLATE(C150,""ja"",""vi"")"),"Đấu giá&gt; đồ chơi, trò chơi&gt; minicar&gt; xe máy")</f>
        <v>Đấu giá&gt; đồ chơi, trò chơi&gt; minicar&gt; xe máy</v>
      </c>
      <c r="G150" s="229" t="str">
        <f t="shared" ca="1" si="4"/>
        <v>"2084260189" : "xe mô tô",</v>
      </c>
      <c r="H150" s="229" t="str">
        <f t="shared" si="5"/>
        <v>&lt;li class="col-md-3"&gt;&lt;a class="text-cut" href="javascript:;"(click)="categoryEvent(2084260189)"&gt;{{"2084260189" | translate}}&lt;/a&gt;&lt;/li&gt;</v>
      </c>
    </row>
    <row r="151" spans="1:8" ht="14.25" customHeight="1">
      <c r="A151" s="2">
        <v>2084260185</v>
      </c>
      <c r="B151" s="2" t="s">
        <v>7394</v>
      </c>
      <c r="C151" s="2" t="s">
        <v>7395</v>
      </c>
      <c r="D151" s="2" t="s">
        <v>7396</v>
      </c>
      <c r="E151" s="3" t="str">
        <f ca="1">IFERROR(__xludf.DUMMYFUNCTION("GOOGLETRANSLATE(B151,""ja"",""vi"")"),"xe xây dựng, bảo trì xe")</f>
        <v>xe xây dựng, bảo trì xe</v>
      </c>
      <c r="F151" s="3" t="str">
        <f ca="1">IFERROR(__xludf.DUMMYFUNCTION("GOOGLETRANSLATE(C151,""ja"",""vi"")"),"Đấu giá&gt; đồ chơi, trò chơi&gt; minicar&gt; xe xây dựng, bảo trì xe")</f>
        <v>Đấu giá&gt; đồ chơi, trò chơi&gt; minicar&gt; xe xây dựng, bảo trì xe</v>
      </c>
      <c r="G151" s="229" t="str">
        <f t="shared" ca="1" si="4"/>
        <v>"2084260185" : "xe xây dựng, bảo trì xe",</v>
      </c>
      <c r="H151" s="229" t="str">
        <f t="shared" si="5"/>
        <v>&lt;li class="col-md-3"&gt;&lt;a class="text-cut" href="javascript:;"(click)="categoryEvent(2084260185)"&gt;{{"2084260185" | translate}}&lt;/a&gt;&lt;/li&gt;</v>
      </c>
    </row>
    <row r="152" spans="1:8" ht="14.25" customHeight="1">
      <c r="A152" s="2">
        <v>2084260186</v>
      </c>
      <c r="B152" s="2" t="s">
        <v>6333</v>
      </c>
      <c r="C152" s="2" t="s">
        <v>7399</v>
      </c>
      <c r="D152" s="2" t="s">
        <v>7400</v>
      </c>
      <c r="E152" s="3" t="str">
        <f ca="1">IFERROR(__xludf.DUMMYFUNCTION("GOOGLETRANSLATE(B152,""ja"",""vi"")"),"phi cơ")</f>
        <v>phi cơ</v>
      </c>
      <c r="F152" s="3" t="str">
        <f ca="1">IFERROR(__xludf.DUMMYFUNCTION("GOOGLETRANSLATE(C152,""ja"",""vi"")"),"Đấu giá&gt; đồ chơi, trò chơi&gt; minicar&gt; máy bay")</f>
        <v>Đấu giá&gt; đồ chơi, trò chơi&gt; minicar&gt; máy bay</v>
      </c>
      <c r="G152" s="229" t="str">
        <f t="shared" ca="1" si="4"/>
        <v>"2084260186" : "phi cơ",</v>
      </c>
      <c r="H152" s="229" t="str">
        <f t="shared" si="5"/>
        <v>&lt;li class="col-md-3"&gt;&lt;a class="text-cut" href="javascript:;"(click)="categoryEvent(2084260186)"&gt;{{"2084260186" | translate}}&lt;/a&gt;&lt;/li&gt;</v>
      </c>
    </row>
    <row r="153" spans="1:8" ht="14.25" customHeight="1">
      <c r="A153" s="2">
        <v>2084260191</v>
      </c>
      <c r="B153" s="2" t="s">
        <v>7219</v>
      </c>
      <c r="C153" s="2" t="s">
        <v>7404</v>
      </c>
      <c r="D153" s="2" t="s">
        <v>7405</v>
      </c>
      <c r="E153" s="3" t="str">
        <f ca="1">IFERROR(__xludf.DUMMYFUNCTION("GOOGLETRANSLATE(B153,""ja"",""vi"")"),"Xe tăng, xe quân sự")</f>
        <v>Xe tăng, xe quân sự</v>
      </c>
      <c r="F153" s="3" t="str">
        <f ca="1">IFERROR(__xludf.DUMMYFUNCTION("GOOGLETRANSLATE(C153,""ja"",""vi"")"),"Đấu giá&gt; đồ chơi, trò chơi&gt; minicar&gt; xe tăng, xe quân sự")</f>
        <v>Đấu giá&gt; đồ chơi, trò chơi&gt; minicar&gt; xe tăng, xe quân sự</v>
      </c>
      <c r="G153" s="229" t="str">
        <f t="shared" ca="1" si="4"/>
        <v>"2084260191" : "Xe tăng, xe quân sự",</v>
      </c>
      <c r="H153" s="229" t="str">
        <f t="shared" si="5"/>
        <v>&lt;li class="col-md-3"&gt;&lt;a class="text-cut" href="javascript:;"(click)="categoryEvent(2084260191)"&gt;{{"2084260191" | translate}}&lt;/a&gt;&lt;/li&gt;</v>
      </c>
    </row>
    <row r="154" spans="1:8" ht="14.25" customHeight="1">
      <c r="A154" s="2">
        <v>2084260190</v>
      </c>
      <c r="B154" s="2" t="s">
        <v>6273</v>
      </c>
      <c r="C154" s="2" t="s">
        <v>7406</v>
      </c>
      <c r="D154" s="2" t="s">
        <v>7407</v>
      </c>
      <c r="E154" s="3" t="str">
        <f ca="1">IFERROR(__xludf.DUMMYFUNCTION("GOOGLETRANSLATE(B154,""ja"",""vi"")"),"Tàu, thuyền")</f>
        <v>Tàu, thuyền</v>
      </c>
      <c r="F154" s="3" t="str">
        <f ca="1">IFERROR(__xludf.DUMMYFUNCTION("GOOGLETRANSLATE(C154,""ja"",""vi"")"),"Đấu giá&gt; đồ chơi, trò chơi&gt; minicar&gt; tàu, thuyền")</f>
        <v>Đấu giá&gt; đồ chơi, trò chơi&gt; minicar&gt; tàu, thuyền</v>
      </c>
      <c r="G154" s="229" t="str">
        <f t="shared" ca="1" si="4"/>
        <v>"2084260190" : "Tàu, thuyền",</v>
      </c>
      <c r="H154" s="229" t="str">
        <f t="shared" si="5"/>
        <v>&lt;li class="col-md-3"&gt;&lt;a class="text-cut" href="javascript:;"(click)="categoryEvent(2084260190)"&gt;{{"2084260190" | translate}}&lt;/a&gt;&lt;/li&gt;</v>
      </c>
    </row>
    <row r="155" spans="1:8" ht="14.25" customHeight="1">
      <c r="E155" s="3"/>
      <c r="F155" s="3"/>
      <c r="G155" s="229"/>
      <c r="H155" s="229"/>
    </row>
    <row r="156" spans="1:8" ht="14.25" customHeight="1">
      <c r="A156" s="253">
        <v>2084259579</v>
      </c>
      <c r="B156" s="232"/>
      <c r="C156" s="232"/>
      <c r="D156" s="233"/>
      <c r="E156" s="3"/>
      <c r="F156" s="3"/>
      <c r="G156" s="229"/>
      <c r="H156" s="229"/>
    </row>
    <row r="157" spans="1:8" ht="14.25" customHeight="1">
      <c r="A157" s="2">
        <v>2084259580</v>
      </c>
      <c r="B157" s="2" t="s">
        <v>7410</v>
      </c>
      <c r="C157" s="2" t="s">
        <v>7411</v>
      </c>
      <c r="D157" s="2" t="s">
        <v>7412</v>
      </c>
      <c r="E157" s="3" t="str">
        <f ca="1">IFERROR(__xludf.DUMMYFUNCTION("GOOGLETRANSLATE(B157,""ja"",""vi"")"),"gauge HỒ")</f>
        <v>gauge HỒ</v>
      </c>
      <c r="F157" s="3" t="str">
        <f ca="1">IFERROR(__xludf.DUMMYFUNCTION("GOOGLETRANSLATE(C157,""ja"",""vi"")"),"Đấu giá&gt; đồ chơi, trò chơi&gt; mô hình đường sắt&gt; gauge HỒ")</f>
        <v>Đấu giá&gt; đồ chơi, trò chơi&gt; mô hình đường sắt&gt; gauge HỒ</v>
      </c>
      <c r="G157" s="229" t="str">
        <f t="shared" ca="1" si="4"/>
        <v>"2084259580" : "gauge HỒ",</v>
      </c>
      <c r="H157" s="229" t="str">
        <f t="shared" si="5"/>
        <v>&lt;li class="col-md-3"&gt;&lt;a class="text-cut" href="javascript:;"(click)="categoryEvent(2084259580)"&gt;{{"2084259580" | translate}}&lt;/a&gt;&lt;/li&gt;</v>
      </c>
    </row>
    <row r="158" spans="1:8" ht="14.25" customHeight="1">
      <c r="A158" s="2">
        <v>2084259591</v>
      </c>
      <c r="B158" s="2" t="s">
        <v>7413</v>
      </c>
      <c r="C158" s="2" t="s">
        <v>7414</v>
      </c>
      <c r="D158" s="2" t="s">
        <v>7416</v>
      </c>
      <c r="E158" s="3" t="str">
        <f ca="1">IFERROR(__xludf.DUMMYFUNCTION("GOOGLETRANSLATE(B158,""ja"",""vi"")"),"N gauge")</f>
        <v>N gauge</v>
      </c>
      <c r="F158" s="3" t="str">
        <f ca="1">IFERROR(__xludf.DUMMYFUNCTION("GOOGLETRANSLATE(C158,""ja"",""vi"")"),"Đấu giá&gt; đồ chơi, trò chơi&gt; mô hình đường sắt&gt; gauge N")</f>
        <v>Đấu giá&gt; đồ chơi, trò chơi&gt; mô hình đường sắt&gt; gauge N</v>
      </c>
      <c r="G158" s="229" t="str">
        <f t="shared" ca="1" si="4"/>
        <v>"2084259591" : "N gauge",</v>
      </c>
      <c r="H158" s="229" t="str">
        <f t="shared" si="5"/>
        <v>&lt;li class="col-md-3"&gt;&lt;a class="text-cut" href="javascript:;"(click)="categoryEvent(2084259591)"&gt;{{"2084259591" | translate}}&lt;/a&gt;&lt;/li&gt;</v>
      </c>
    </row>
    <row r="159" spans="1:8" ht="14.25" customHeight="1">
      <c r="A159" s="2">
        <v>2084259619</v>
      </c>
      <c r="B159" s="2" t="s">
        <v>7418</v>
      </c>
      <c r="C159" s="2" t="s">
        <v>7419</v>
      </c>
      <c r="D159" s="2" t="s">
        <v>7420</v>
      </c>
      <c r="E159" s="3" t="str">
        <f ca="1">IFERROR(__xludf.DUMMYFUNCTION("GOOGLETRANSLATE(B159,""ja"",""vi"")"),"Z gauge")</f>
        <v>Z gauge</v>
      </c>
      <c r="F159" s="3" t="str">
        <f ca="1">IFERROR(__xludf.DUMMYFUNCTION("GOOGLETRANSLATE(C159,""ja"",""vi"")"),"Đấu giá&gt; đồ chơi, trò chơi&gt; mô hình đường sắt&gt; Z-gauge")</f>
        <v>Đấu giá&gt; đồ chơi, trò chơi&gt; mô hình đường sắt&gt; Z-gauge</v>
      </c>
      <c r="G159" s="229" t="str">
        <f t="shared" ca="1" si="4"/>
        <v>"2084259619" : "Z gauge",</v>
      </c>
      <c r="H159" s="229" t="str">
        <f t="shared" si="5"/>
        <v>&lt;li class="col-md-3"&gt;&lt;a class="text-cut" href="javascript:;"(click)="categoryEvent(2084259619)"&gt;{{"2084259619" | translate}}&lt;/a&gt;&lt;/li&gt;</v>
      </c>
    </row>
    <row r="160" spans="1:8" ht="14.25" customHeight="1">
      <c r="A160" s="2">
        <v>2084259752</v>
      </c>
      <c r="B160" s="2" t="s">
        <v>7424</v>
      </c>
      <c r="C160" s="2" t="s">
        <v>7425</v>
      </c>
      <c r="D160" s="2" t="s">
        <v>7426</v>
      </c>
      <c r="E160" s="3" t="str">
        <f ca="1">IFERROR(__xludf.DUMMYFUNCTION("GOOGLETRANSLATE(B160,""ja"",""vi"")"),"G gauge")</f>
        <v>G gauge</v>
      </c>
      <c r="F160" s="3" t="str">
        <f ca="1">IFERROR(__xludf.DUMMYFUNCTION("GOOGLETRANSLATE(C160,""ja"",""vi"")"),"Đấu giá&gt; đồ chơi, trò chơi&gt; mô hình đường sắt&gt; G gauge")</f>
        <v>Đấu giá&gt; đồ chơi, trò chơi&gt; mô hình đường sắt&gt; G gauge</v>
      </c>
      <c r="G160" s="229" t="str">
        <f t="shared" ca="1" si="4"/>
        <v>"2084259752" : "G gauge",</v>
      </c>
      <c r="H160" s="229" t="str">
        <f t="shared" si="5"/>
        <v>&lt;li class="col-md-3"&gt;&lt;a class="text-cut" href="javascript:;"(click)="categoryEvent(2084259752)"&gt;{{"2084259752" | translate}}&lt;/a&gt;&lt;/li&gt;</v>
      </c>
    </row>
    <row r="161" spans="1:8" ht="14.25" customHeight="1">
      <c r="A161" s="2">
        <v>2084259751</v>
      </c>
      <c r="B161" s="2" t="s">
        <v>7430</v>
      </c>
      <c r="C161" s="2" t="s">
        <v>7431</v>
      </c>
      <c r="D161" s="2" t="s">
        <v>7432</v>
      </c>
      <c r="E161" s="3" t="str">
        <f ca="1">IFERROR(__xludf.DUMMYFUNCTION("GOOGLETRANSLATE(B161,""ja"",""vi"")"),"O gauge")</f>
        <v>O gauge</v>
      </c>
      <c r="F161" s="3" t="str">
        <f ca="1">IFERROR(__xludf.DUMMYFUNCTION("GOOGLETRANSLATE(C161,""ja"",""vi"")"),"Đấu giá&gt; đồ chơi, trò chơi&gt; mô hình đường sắt&gt; O gauge")</f>
        <v>Đấu giá&gt; đồ chơi, trò chơi&gt; mô hình đường sắt&gt; O gauge</v>
      </c>
      <c r="G161" s="229" t="str">
        <f t="shared" ca="1" si="4"/>
        <v>"2084259751" : "O gauge",</v>
      </c>
      <c r="H161" s="229" t="str">
        <f t="shared" si="5"/>
        <v>&lt;li class="col-md-3"&gt;&lt;a class="text-cut" href="javascript:;"(click)="categoryEvent(2084259751)"&gt;{{"2084259751" | translate}}&lt;/a&gt;&lt;/li&gt;</v>
      </c>
    </row>
    <row r="162" spans="1:8" ht="14.25" customHeight="1">
      <c r="A162" s="2">
        <v>2084259620</v>
      </c>
      <c r="B162" s="2" t="s">
        <v>7436</v>
      </c>
      <c r="C162" s="2" t="s">
        <v>7437</v>
      </c>
      <c r="D162" s="2" t="s">
        <v>7438</v>
      </c>
      <c r="E162" s="3" t="str">
        <f ca="1">IFERROR(__xludf.DUMMYFUNCTION("GOOGLETRANSLATE(B162,""ja"",""vi"")"),"B Train Shorty")</f>
        <v>B Train Shorty</v>
      </c>
      <c r="F162" s="3" t="str">
        <f ca="1">IFERROR(__xludf.DUMMYFUNCTION("GOOGLETRANSLATE(C162,""ja"",""vi"")"),"Đấu giá&gt; đồ chơi, trò chơi&gt; mô hình đường sắt&gt; B Train Shorty")</f>
        <v>Đấu giá&gt; đồ chơi, trò chơi&gt; mô hình đường sắt&gt; B Train Shorty</v>
      </c>
      <c r="G162" s="229" t="str">
        <f t="shared" ca="1" si="4"/>
        <v>"2084259620" : "B Train Shorty",</v>
      </c>
      <c r="H162" s="229" t="str">
        <f t="shared" si="5"/>
        <v>&lt;li class="col-md-3"&gt;&lt;a class="text-cut" href="javascript:;"(click)="categoryEvent(2084259620)"&gt;{{"2084259620" | translate}}&lt;/a&gt;&lt;/li&gt;</v>
      </c>
    </row>
    <row r="163" spans="1:8" ht="14.25" customHeight="1">
      <c r="A163" s="2">
        <v>2084259621</v>
      </c>
      <c r="B163" s="2" t="s">
        <v>16</v>
      </c>
      <c r="C163" s="2" t="s">
        <v>7440</v>
      </c>
      <c r="D163" s="2" t="s">
        <v>7442</v>
      </c>
      <c r="E163" s="3" t="str">
        <f ca="1">IFERROR(__xludf.DUMMYFUNCTION("GOOGLETRANSLATE(B163,""ja"",""vi"")"),"nếu không thì")</f>
        <v>nếu không thì</v>
      </c>
      <c r="F163" s="3" t="str">
        <f ca="1">IFERROR(__xludf.DUMMYFUNCTION("GOOGLETRANSLATE(C163,""ja"",""vi"")"),"Đấu giá&gt; đồ chơi, trò chơi&gt; mô hình đường sắt&gt; Khác")</f>
        <v>Đấu giá&gt; đồ chơi, trò chơi&gt; mô hình đường sắt&gt; Khác</v>
      </c>
      <c r="G163" s="229" t="str">
        <f t="shared" ca="1" si="4"/>
        <v>"2084259621" : "nếu không thì",</v>
      </c>
      <c r="H163" s="229" t="str">
        <f t="shared" si="5"/>
        <v>&lt;li class="col-md-3"&gt;&lt;a class="text-cut" href="javascript:;"(click)="categoryEvent(2084259621)"&gt;{{"2084259621" | translate}}&lt;/a&gt;&lt;/li&gt;</v>
      </c>
    </row>
    <row r="164" spans="1:8" ht="14.25" customHeight="1">
      <c r="E164" s="3"/>
      <c r="F164" s="3"/>
      <c r="G164" s="229"/>
      <c r="H164" s="229"/>
    </row>
    <row r="165" spans="1:8" ht="14.25" customHeight="1">
      <c r="A165" s="264">
        <v>2084063789</v>
      </c>
      <c r="B165" s="232"/>
      <c r="C165" s="232"/>
      <c r="D165" s="233"/>
      <c r="E165" s="3"/>
      <c r="F165" s="3"/>
      <c r="G165" s="229"/>
      <c r="H165" s="229"/>
    </row>
    <row r="166" spans="1:8" ht="14.25" customHeight="1">
      <c r="A166" s="2">
        <v>2084063790</v>
      </c>
      <c r="B166" s="2" t="s">
        <v>3998</v>
      </c>
      <c r="C166" s="2" t="s">
        <v>7447</v>
      </c>
      <c r="D166" s="2" t="s">
        <v>7448</v>
      </c>
      <c r="E166" s="3" t="str">
        <f ca="1">IFERROR(__xludf.DUMMYFUNCTION("GOOGLETRANSLATE(B166,""ja"",""vi"")"),"dụng cụ")</f>
        <v>dụng cụ</v>
      </c>
      <c r="F166" s="3" t="str">
        <f ca="1">IFERROR(__xludf.DUMMYFUNCTION("GOOGLETRANSLATE(C166,""ja"",""vi"")"),"Đấu giá&gt; Sở thích, văn hóa&gt; Modeling Vật tư&gt; Công cụ")</f>
        <v>Đấu giá&gt; Sở thích, văn hóa&gt; Modeling Vật tư&gt; Công cụ</v>
      </c>
      <c r="G166" s="229" t="str">
        <f t="shared" ca="1" si="4"/>
        <v>"2084063790" : "dụng cụ",</v>
      </c>
      <c r="H166" s="229" t="str">
        <f t="shared" si="5"/>
        <v>&lt;li class="col-md-3"&gt;&lt;a class="text-cut" href="javascript:;"(click)="categoryEvent(2084063790)"&gt;{{"2084063790" | translate}}&lt;/a&gt;&lt;/li&gt;</v>
      </c>
    </row>
    <row r="167" spans="1:8" ht="14.25" customHeight="1">
      <c r="A167" s="2">
        <v>2084063791</v>
      </c>
      <c r="B167" s="2" t="s">
        <v>7451</v>
      </c>
      <c r="C167" s="2" t="s">
        <v>7452</v>
      </c>
      <c r="D167" s="2" t="s">
        <v>7453</v>
      </c>
      <c r="E167" s="3" t="str">
        <f ca="1">IFERROR(__xludf.DUMMYFUNCTION("GOOGLETRANSLATE(B167,""ja"",""vi"")"),"vẽ cung cấp")</f>
        <v>vẽ cung cấp</v>
      </c>
      <c r="F167" s="3" t="str">
        <f ca="1">IFERROR(__xludf.DUMMYFUNCTION("GOOGLETRANSLATE(C167,""ja"",""vi"")"),"Đấu giá&gt; Sở thích, văn hóa&gt; Modeling Vật tư&gt; nguồn cung cấp sơn")</f>
        <v>Đấu giá&gt; Sở thích, văn hóa&gt; Modeling Vật tư&gt; nguồn cung cấp sơn</v>
      </c>
      <c r="G167" s="229" t="str">
        <f t="shared" ca="1" si="4"/>
        <v>"2084063791" : "vẽ cung cấp",</v>
      </c>
      <c r="H167" s="229" t="str">
        <f t="shared" si="5"/>
        <v>&lt;li class="col-md-3"&gt;&lt;a class="text-cut" href="javascript:;"(click)="categoryEvent(2084063791)"&gt;{{"2084063791" | translate}}&lt;/a&gt;&lt;/li&gt;</v>
      </c>
    </row>
    <row r="168" spans="1:8" ht="14.25" customHeight="1">
      <c r="A168" s="2">
        <v>2084063795</v>
      </c>
      <c r="B168" s="2" t="s">
        <v>2076</v>
      </c>
      <c r="C168" s="2" t="s">
        <v>7456</v>
      </c>
      <c r="D168" s="2" t="s">
        <v>7457</v>
      </c>
      <c r="E168" s="3" t="str">
        <f ca="1">IFERROR(__xludf.DUMMYFUNCTION("GOOGLETRANSLATE(B168,""ja"",""vi"")"),"nguồn cung cấp chất kết dính")</f>
        <v>nguồn cung cấp chất kết dính</v>
      </c>
      <c r="F168" s="3" t="str">
        <f ca="1">IFERROR(__xludf.DUMMYFUNCTION("GOOGLETRANSLATE(C168,""ja"",""vi"")"),"Đấu giá&gt; Sở thích, văn hóa&gt; Mô hình hóa Vật tư&gt; nguồn cung cấp chất kết dính")</f>
        <v>Đấu giá&gt; Sở thích, văn hóa&gt; Mô hình hóa Vật tư&gt; nguồn cung cấp chất kết dính</v>
      </c>
      <c r="G168" s="229" t="str">
        <f t="shared" ca="1" si="4"/>
        <v>"2084063795" : "nguồn cung cấp chất kết dính",</v>
      </c>
      <c r="H168" s="229" t="str">
        <f t="shared" si="5"/>
        <v>&lt;li class="col-md-3"&gt;&lt;a class="text-cut" href="javascript:;"(click)="categoryEvent(2084063795)"&gt;{{"2084063795" | translate}}&lt;/a&gt;&lt;/li&gt;</v>
      </c>
    </row>
    <row r="169" spans="1:8" ht="14.25" customHeight="1">
      <c r="E169" s="3"/>
      <c r="F169" s="3"/>
      <c r="G169" s="229"/>
      <c r="H169" s="229"/>
    </row>
    <row r="170" spans="1:8" ht="14.25" customHeight="1">
      <c r="A170" s="254">
        <v>27753</v>
      </c>
      <c r="B170" s="232"/>
      <c r="C170" s="232"/>
      <c r="D170" s="233"/>
      <c r="E170" s="3"/>
      <c r="F170" s="3"/>
      <c r="G170" s="229"/>
      <c r="H170" s="229"/>
    </row>
    <row r="171" spans="1:8" ht="14.25" customHeight="1">
      <c r="A171" s="2">
        <v>2084007709</v>
      </c>
      <c r="B171" s="2" t="s">
        <v>5664</v>
      </c>
      <c r="C171" s="2" t="s">
        <v>7462</v>
      </c>
      <c r="D171" s="2" t="s">
        <v>7464</v>
      </c>
      <c r="E171" s="3" t="str">
        <f ca="1">IFERROR(__xludf.DUMMYFUNCTION("GOOGLETRANSLATE(B171,""ja"",""vi"")"),"Catalogue, brochure")</f>
        <v>Catalogue, brochure</v>
      </c>
      <c r="F171" s="3" t="str">
        <f ca="1">IFERROR(__xludf.DUMMYFUNCTION("GOOGLETRANSLATE(C171,""ja"",""vi"")"),"Đấu giá&gt; Sở thích, văn hóa&gt; đường sắt&gt; Catalogue, brochure")</f>
        <v>Đấu giá&gt; Sở thích, văn hóa&gt; đường sắt&gt; Catalogue, brochure</v>
      </c>
      <c r="G171" s="229" t="str">
        <f t="shared" ca="1" si="4"/>
        <v>"2084007709" : "Catalogue, brochure",</v>
      </c>
      <c r="H171" s="229" t="str">
        <f t="shared" si="5"/>
        <v>&lt;li class="col-md-3"&gt;&lt;a class="text-cut" href="javascript:;"(click)="categoryEvent(2084007709)"&gt;{{"2084007709" | translate}}&lt;/a&gt;&lt;/li&gt;</v>
      </c>
    </row>
    <row r="172" spans="1:8" ht="14.25" customHeight="1">
      <c r="A172" s="2">
        <v>2084019972</v>
      </c>
      <c r="B172" s="2" t="s">
        <v>7466</v>
      </c>
      <c r="C172" s="2" t="s">
        <v>7468</v>
      </c>
      <c r="D172" s="2" t="s">
        <v>7469</v>
      </c>
      <c r="E172" s="3" t="str">
        <f ca="1">IFERROR(__xludf.DUMMYFUNCTION("GOOGLETRANSLATE(B172,""ja"",""vi"")"),"Sound")</f>
        <v>Sound</v>
      </c>
      <c r="F172" s="3" t="str">
        <f ca="1">IFERROR(__xludf.DUMMYFUNCTION("GOOGLETRANSLATE(C172,""ja"",""vi"")"),"Đấu giá&gt; Sở thích, văn hóa&gt; đường sắt&gt; Sound")</f>
        <v>Đấu giá&gt; Sở thích, văn hóa&gt; đường sắt&gt; Sound</v>
      </c>
      <c r="G172" s="229" t="str">
        <f t="shared" ca="1" si="4"/>
        <v>"2084019972" : "Sound",</v>
      </c>
      <c r="H172" s="229" t="str">
        <f t="shared" si="5"/>
        <v>&lt;li class="col-md-3"&gt;&lt;a class="text-cut" href="javascript:;"(click)="categoryEvent(2084019972)"&gt;{{"2084019972" | translate}}&lt;/a&gt;&lt;/li&gt;</v>
      </c>
    </row>
    <row r="173" spans="1:8" ht="14.25" customHeight="1">
      <c r="A173" s="2">
        <v>2084019973</v>
      </c>
      <c r="B173" s="2" t="s">
        <v>386</v>
      </c>
      <c r="C173" s="2" t="s">
        <v>7473</v>
      </c>
      <c r="D173" s="2" t="s">
        <v>7474</v>
      </c>
      <c r="E173" s="3" t="str">
        <f ca="1">IFERROR(__xludf.DUMMYFUNCTION("GOOGLETRANSLATE(B173,""ja"",""vi"")"),"video")</f>
        <v>video</v>
      </c>
      <c r="F173" s="3" t="str">
        <f ca="1">IFERROR(__xludf.DUMMYFUNCTION("GOOGLETRANSLATE(C173,""ja"",""vi"")"),"Đấu giá&gt; Sở thích, văn hóa&gt; đường sắt&gt; Video")</f>
        <v>Đấu giá&gt; Sở thích, văn hóa&gt; đường sắt&gt; Video</v>
      </c>
      <c r="G173" s="229" t="str">
        <f t="shared" ca="1" si="4"/>
        <v>"2084019973" : "video",</v>
      </c>
      <c r="H173" s="229" t="str">
        <f t="shared" si="5"/>
        <v>&lt;li class="col-md-3"&gt;&lt;a class="text-cut" href="javascript:;"(click)="categoryEvent(2084019973)"&gt;{{"2084019973" | translate}}&lt;/a&gt;&lt;/li&gt;</v>
      </c>
    </row>
    <row r="174" spans="1:8" ht="14.25" customHeight="1">
      <c r="A174" s="2">
        <v>2084007687</v>
      </c>
      <c r="B174" s="2" t="s">
        <v>355</v>
      </c>
      <c r="C174" s="2" t="s">
        <v>7477</v>
      </c>
      <c r="D174" s="2" t="s">
        <v>7479</v>
      </c>
      <c r="E174" s="3" t="str">
        <f ca="1">IFERROR(__xludf.DUMMYFUNCTION("GOOGLETRANSLATE(B174,""ja"",""vi"")"),"ảnh")</f>
        <v>ảnh</v>
      </c>
      <c r="F174" s="3" t="str">
        <f ca="1">IFERROR(__xludf.DUMMYFUNCTION("GOOGLETRANSLATE(C174,""ja"",""vi"")"),"Đấu giá&gt; Sở thích, văn hóa&gt; đường sắt&gt; Hình ảnh")</f>
        <v>Đấu giá&gt; Sở thích, văn hóa&gt; đường sắt&gt; Hình ảnh</v>
      </c>
      <c r="G174" s="229" t="str">
        <f t="shared" ca="1" si="4"/>
        <v>"2084007687" : "ảnh",</v>
      </c>
      <c r="H174" s="229" t="str">
        <f t="shared" si="5"/>
        <v>&lt;li class="col-md-3"&gt;&lt;a class="text-cut" href="javascript:;"(click)="categoryEvent(2084007687)"&gt;{{"2084007687" | translate}}&lt;/a&gt;&lt;/li&gt;</v>
      </c>
    </row>
    <row r="175" spans="1:8" ht="14.25" customHeight="1">
      <c r="A175" s="2">
        <v>2084007953</v>
      </c>
      <c r="B175" s="2" t="s">
        <v>7481</v>
      </c>
      <c r="C175" s="2" t="s">
        <v>7482</v>
      </c>
      <c r="D175" s="2" t="s">
        <v>7483</v>
      </c>
      <c r="E175" s="3" t="str">
        <f ca="1">IFERROR(__xludf.DUMMYFUNCTION("GOOGLETRANSLATE(B175,""ja"",""vi"")"),"vé")</f>
        <v>vé</v>
      </c>
      <c r="F175" s="3" t="str">
        <f ca="1">IFERROR(__xludf.DUMMYFUNCTION("GOOGLETRANSLATE(C175,""ja"",""vi"")"),"Đấu giá&gt; Sở thích, văn hóa&gt; đường sắt&gt; vé")</f>
        <v>Đấu giá&gt; Sở thích, văn hóa&gt; đường sắt&gt; vé</v>
      </c>
      <c r="G175" s="229" t="str">
        <f t="shared" ca="1" si="4"/>
        <v>"2084007953" : "vé",</v>
      </c>
      <c r="H175" s="229" t="str">
        <f t="shared" si="5"/>
        <v>&lt;li class="col-md-3"&gt;&lt;a class="text-cut" href="javascript:;"(click)="categoryEvent(2084007953)"&gt;{{"2084007953" | translate}}&lt;/a&gt;&lt;/li&gt;</v>
      </c>
    </row>
    <row r="176" spans="1:8" ht="14.25" customHeight="1">
      <c r="A176" s="2">
        <v>2084007697</v>
      </c>
      <c r="B176" s="2" t="s">
        <v>7484</v>
      </c>
      <c r="C176" s="2" t="s">
        <v>7485</v>
      </c>
      <c r="D176" s="2" t="s">
        <v>7486</v>
      </c>
      <c r="E176" s="3" t="str">
        <f ca="1">IFERROR(__xludf.DUMMYFUNCTION("GOOGLETRANSLATE(B176,""ja"",""vi"")"),"Đường sắt hiện hành thẻ id")</f>
        <v>Đường sắt hiện hành thẻ id</v>
      </c>
      <c r="F176" s="3" t="str">
        <f ca="1">IFERROR(__xludf.DUMMYFUNCTION("GOOGLETRANSLATE(C176,""ja"",""vi"")"),"Đấu giá&gt; Sở thích, văn hóa&gt; đường sắt&gt; đường sắt hiện hành thẻ Ido")</f>
        <v>Đấu giá&gt; Sở thích, văn hóa&gt; đường sắt&gt; đường sắt hiện hành thẻ Ido</v>
      </c>
      <c r="G176" s="229" t="str">
        <f t="shared" ca="1" si="4"/>
        <v>"2084007697" : "Đường sắt hiện hành thẻ id",</v>
      </c>
      <c r="H176" s="229" t="str">
        <f t="shared" si="5"/>
        <v>&lt;li class="col-md-3"&gt;&lt;a class="text-cut" href="javascript:;"(click)="categoryEvent(2084007697)"&gt;{{"2084007697" | translate}}&lt;/a&gt;&lt;/li&gt;</v>
      </c>
    </row>
    <row r="177" spans="1:8" ht="14.25" customHeight="1">
      <c r="A177" s="2">
        <v>2084007710</v>
      </c>
      <c r="B177" s="2" t="s">
        <v>5659</v>
      </c>
      <c r="C177" s="2" t="s">
        <v>7487</v>
      </c>
      <c r="D177" s="2" t="s">
        <v>7488</v>
      </c>
      <c r="E177" s="3" t="str">
        <f ca="1">IFERROR(__xludf.DUMMYFUNCTION("GOOGLETRANSLATE(B177,""ja"",""vi"")"),"Xử lý chất thải, hàng xả")</f>
        <v>Xử lý chất thải, hàng xả</v>
      </c>
      <c r="F177" s="3" t="str">
        <f ca="1">IFERROR(__xludf.DUMMYFUNCTION("GOOGLETRANSLATE(C177,""ja"",""vi"")"),"Đấu giá&gt; Sở thích, văn hóa&gt; đường sắt&gt; Bài viết vô dụng, hàng xả")</f>
        <v>Đấu giá&gt; Sở thích, văn hóa&gt; đường sắt&gt; Bài viết vô dụng, hàng xả</v>
      </c>
      <c r="G177" s="229" t="str">
        <f t="shared" ca="1" si="4"/>
        <v>"2084007710" : "Xử lý chất thải, hàng xả",</v>
      </c>
      <c r="H177" s="229" t="str">
        <f t="shared" si="5"/>
        <v>&lt;li class="col-md-3"&gt;&lt;a class="text-cut" href="javascript:;"(click)="categoryEvent(2084007710)"&gt;{{"2084007710" | translate}}&lt;/a&gt;&lt;/li&gt;</v>
      </c>
    </row>
    <row r="178" spans="1:8" ht="14.25" customHeight="1">
      <c r="A178" s="2">
        <v>2084023873</v>
      </c>
      <c r="B178" s="2" t="s">
        <v>162</v>
      </c>
      <c r="C178" s="2" t="s">
        <v>7489</v>
      </c>
      <c r="D178" s="2" t="s">
        <v>7490</v>
      </c>
      <c r="E178" s="3" t="str">
        <f ca="1">IFERROR(__xludf.DUMMYFUNCTION("GOOGLETRANSLATE(B178,""ja"",""vi"")"),"Sách, tạp chí")</f>
        <v>Sách, tạp chí</v>
      </c>
      <c r="F178" s="3" t="str">
        <f ca="1">IFERROR(__xludf.DUMMYFUNCTION("GOOGLETRANSLATE(C178,""ja"",""vi"")"),"Đấu giá&gt; Sở thích, văn hóa&gt; đường sắt&gt; Sách, tạp chí")</f>
        <v>Đấu giá&gt; Sở thích, văn hóa&gt; đường sắt&gt; Sách, tạp chí</v>
      </c>
      <c r="G178" s="229" t="str">
        <f t="shared" ca="1" si="4"/>
        <v>"2084023873" : "Sách, tạp chí",</v>
      </c>
      <c r="H178" s="229" t="str">
        <f t="shared" si="5"/>
        <v>&lt;li class="col-md-3"&gt;&lt;a class="text-cut" href="javascript:;"(click)="categoryEvent(2084023873)"&gt;{{"2084023873" | translate}}&lt;/a&gt;&lt;/li&gt;</v>
      </c>
    </row>
    <row r="179" spans="1:8" ht="14.25" customHeight="1">
      <c r="A179" s="2">
        <v>2084007714</v>
      </c>
      <c r="B179" s="2" t="s">
        <v>7491</v>
      </c>
      <c r="C179" s="2" t="s">
        <v>7492</v>
      </c>
      <c r="D179" s="2" t="s">
        <v>7493</v>
      </c>
      <c r="E179" s="3" t="str">
        <f ca="1">IFERROR(__xludf.DUMMYFUNCTION("GOOGLETRANSLATE(B179,""ja"",""vi"")"),"hàng hóa đường sắt liên quan")</f>
        <v>hàng hóa đường sắt liên quan</v>
      </c>
      <c r="F179" s="3" t="str">
        <f ca="1">IFERROR(__xludf.DUMMYFUNCTION("GOOGLETRANSLATE(C179,""ja"",""vi"")"),"Đấu giá&gt; Sở thích, văn hóa&gt; đường sắt&gt; hàng hóa đường sắt liên quan đến")</f>
        <v>Đấu giá&gt; Sở thích, văn hóa&gt; đường sắt&gt; hàng hóa đường sắt liên quan đến</v>
      </c>
      <c r="G179" s="229" t="str">
        <f t="shared" ca="1" si="4"/>
        <v>"2084007714" : "hàng hóa đường sắt liên quan",</v>
      </c>
      <c r="H179" s="229" t="str">
        <f t="shared" si="5"/>
        <v>&lt;li class="col-md-3"&gt;&lt;a class="text-cut" href="javascript:;"(click)="categoryEvent(2084007714)"&gt;{{"2084007714" | translate}}&lt;/a&gt;&lt;/li&gt;</v>
      </c>
    </row>
    <row r="180" spans="1:8" ht="14.25" customHeight="1">
      <c r="E180" s="3"/>
      <c r="F180" s="3"/>
      <c r="G180" s="229"/>
      <c r="H180" s="229"/>
    </row>
    <row r="181" spans="1:8" ht="14.25" customHeight="1">
      <c r="A181" s="249">
        <v>26186</v>
      </c>
      <c r="B181" s="232"/>
      <c r="C181" s="232"/>
      <c r="D181" s="233"/>
      <c r="E181" s="3"/>
      <c r="F181" s="3"/>
      <c r="G181" s="229"/>
      <c r="H181" s="229"/>
    </row>
    <row r="182" spans="1:8" ht="14.25" customHeight="1">
      <c r="A182" s="2">
        <v>26188</v>
      </c>
      <c r="B182" s="2" t="s">
        <v>5664</v>
      </c>
      <c r="C182" s="2" t="s">
        <v>7494</v>
      </c>
      <c r="D182" s="88" t="s">
        <v>7495</v>
      </c>
      <c r="E182" s="3" t="str">
        <f ca="1">IFERROR(__xludf.DUMMYFUNCTION("GOOGLETRANSLATE(B182,""ja"",""vi"")"),"Catalogue, brochure")</f>
        <v>Catalogue, brochure</v>
      </c>
      <c r="F182" s="3" t="str">
        <f ca="1">IFERROR(__xludf.DUMMYFUNCTION("GOOGLETRANSLATE(C182,""ja"",""vi"")"),"Đấu giá&gt; Sở thích, văn hóa&gt; máy bay&gt; Catalogue, brochure")</f>
        <v>Đấu giá&gt; Sở thích, văn hóa&gt; máy bay&gt; Catalogue, brochure</v>
      </c>
      <c r="G182" s="229" t="str">
        <f t="shared" ca="1" si="4"/>
        <v>"26188" : "Catalogue, brochure",</v>
      </c>
      <c r="H182" s="229" t="str">
        <f t="shared" si="5"/>
        <v>&lt;li class="col-md-3"&gt;&lt;a class="text-cut" href="javascript:;"(click)="categoryEvent(26188)"&gt;{{"26188" | translate}}&lt;/a&gt;&lt;/li&gt;</v>
      </c>
    </row>
    <row r="183" spans="1:8" ht="14.25" customHeight="1">
      <c r="A183" s="2">
        <v>2084047011</v>
      </c>
      <c r="B183" s="2" t="s">
        <v>386</v>
      </c>
      <c r="C183" s="2" t="s">
        <v>7496</v>
      </c>
      <c r="D183" s="88" t="s">
        <v>7497</v>
      </c>
      <c r="E183" s="3" t="str">
        <f ca="1">IFERROR(__xludf.DUMMYFUNCTION("GOOGLETRANSLATE(B183,""ja"",""vi"")"),"video")</f>
        <v>video</v>
      </c>
      <c r="F183" s="3" t="str">
        <f ca="1">IFERROR(__xludf.DUMMYFUNCTION("GOOGLETRANSLATE(C183,""ja"",""vi"")"),"Đấu giá&gt; Sở thích, văn hóa&gt; máy bay&gt; Video")</f>
        <v>Đấu giá&gt; Sở thích, văn hóa&gt; máy bay&gt; Video</v>
      </c>
      <c r="G183" s="229" t="str">
        <f t="shared" ca="1" si="4"/>
        <v>"2084047011" : "video",</v>
      </c>
      <c r="H183" s="229" t="str">
        <f t="shared" si="5"/>
        <v>&lt;li class="col-md-3"&gt;&lt;a class="text-cut" href="javascript:;"(click)="categoryEvent(2084047011)"&gt;{{"2084047011" | translate}}&lt;/a&gt;&lt;/li&gt;</v>
      </c>
    </row>
    <row r="184" spans="1:8" ht="14.25" customHeight="1">
      <c r="A184" s="2">
        <v>26180</v>
      </c>
      <c r="B184" s="2" t="s">
        <v>1444</v>
      </c>
      <c r="C184" s="2" t="s">
        <v>7498</v>
      </c>
      <c r="D184" s="88" t="s">
        <v>7499</v>
      </c>
      <c r="E184" s="3" t="str">
        <f ca="1">IFERROR(__xludf.DUMMYFUNCTION("GOOGLETRANSLATE(B184,""ja"",""vi"")"),"bán vé máy bay")</f>
        <v>bán vé máy bay</v>
      </c>
      <c r="F184" s="3" t="str">
        <f ca="1">IFERROR(__xludf.DUMMYFUNCTION("GOOGLETRANSLATE(C184,""ja"",""vi"")"),"Đấu giá&gt; Sở thích, văn hóa&gt; máy bay&gt; Chuyến bay")</f>
        <v>Đấu giá&gt; Sở thích, văn hóa&gt; máy bay&gt; Chuyến bay</v>
      </c>
      <c r="G184" s="229" t="str">
        <f t="shared" ca="1" si="4"/>
        <v>"26180" : "bán vé máy bay",</v>
      </c>
      <c r="H184" s="229" t="str">
        <f t="shared" si="5"/>
        <v>&lt;li class="col-md-3"&gt;&lt;a class="text-cut" href="javascript:;"(click)="categoryEvent(26180)"&gt;{{"26180" | translate}}&lt;/a&gt;&lt;/li&gt;</v>
      </c>
    </row>
    <row r="185" spans="1:8" ht="14.25" customHeight="1">
      <c r="A185" s="2">
        <v>26190</v>
      </c>
      <c r="B185" s="2" t="s">
        <v>5659</v>
      </c>
      <c r="C185" s="2" t="s">
        <v>7500</v>
      </c>
      <c r="D185" s="88" t="s">
        <v>7501</v>
      </c>
      <c r="E185" s="3" t="str">
        <f ca="1">IFERROR(__xludf.DUMMYFUNCTION("GOOGLETRANSLATE(B185,""ja"",""vi"")"),"Xử lý chất thải, hàng xả")</f>
        <v>Xử lý chất thải, hàng xả</v>
      </c>
      <c r="F185" s="3" t="str">
        <f ca="1">IFERROR(__xludf.DUMMYFUNCTION("GOOGLETRANSLATE(C185,""ja"",""vi"")"),"Đấu giá&gt; Sở thích, văn hóa&gt; máy bay&gt; lãng phí, hàng xả")</f>
        <v>Đấu giá&gt; Sở thích, văn hóa&gt; máy bay&gt; lãng phí, hàng xả</v>
      </c>
      <c r="G185" s="229" t="str">
        <f t="shared" ca="1" si="4"/>
        <v>"26190" : "Xử lý chất thải, hàng xả",</v>
      </c>
      <c r="H185" s="229" t="str">
        <f t="shared" si="5"/>
        <v>&lt;li class="col-md-3"&gt;&lt;a class="text-cut" href="javascript:;"(click)="categoryEvent(26190)"&gt;{{"26190" | translate}}&lt;/a&gt;&lt;/li&gt;</v>
      </c>
    </row>
    <row r="186" spans="1:8" ht="14.25" customHeight="1">
      <c r="A186" s="2">
        <v>2084023870</v>
      </c>
      <c r="B186" s="2" t="s">
        <v>162</v>
      </c>
      <c r="C186" s="2" t="s">
        <v>7502</v>
      </c>
      <c r="D186" s="88" t="s">
        <v>7503</v>
      </c>
      <c r="E186" s="3" t="str">
        <f ca="1">IFERROR(__xludf.DUMMYFUNCTION("GOOGLETRANSLATE(B186,""ja"",""vi"")"),"Sách, tạp chí")</f>
        <v>Sách, tạp chí</v>
      </c>
      <c r="F186" s="3" t="str">
        <f ca="1">IFERROR(__xludf.DUMMYFUNCTION("GOOGLETRANSLATE(C186,""ja"",""vi"")"),"Đấu giá&gt; Hobby, văn hóa&gt; máy bay&gt; Sách, tạp chí")</f>
        <v>Đấu giá&gt; Hobby, văn hóa&gt; máy bay&gt; Sách, tạp chí</v>
      </c>
      <c r="G186" s="229" t="str">
        <f t="shared" ca="1" si="4"/>
        <v>"2084023870" : "Sách, tạp chí",</v>
      </c>
      <c r="H186" s="229" t="str">
        <f t="shared" si="5"/>
        <v>&lt;li class="col-md-3"&gt;&lt;a class="text-cut" href="javascript:;"(click)="categoryEvent(2084023870)"&gt;{{"2084023870" | translate}}&lt;/a&gt;&lt;/li&gt;</v>
      </c>
    </row>
    <row r="187" spans="1:8" ht="14.25" customHeight="1">
      <c r="A187" s="2">
        <v>27770</v>
      </c>
      <c r="B187" s="2" t="s">
        <v>7504</v>
      </c>
      <c r="C187" s="2" t="s">
        <v>7505</v>
      </c>
      <c r="D187" s="88" t="s">
        <v>7506</v>
      </c>
      <c r="E187" s="3" t="str">
        <f ca="1">IFERROR(__xludf.DUMMYFUNCTION("GOOGLETRANSLATE(B187,""ja"",""vi"")"),"hàng hóa hàng không liên quan đến")</f>
        <v>hàng hóa hàng không liên quan đến</v>
      </c>
      <c r="F187" s="3" t="str">
        <f ca="1">IFERROR(__xludf.DUMMYFUNCTION("GOOGLETRANSLATE(C187,""ja"",""vi"")"),"Đấu giá&gt; Sở thích, văn hóa&gt; máy bay&gt; hàng hóa hàng không liên quan đến")</f>
        <v>Đấu giá&gt; Sở thích, văn hóa&gt; máy bay&gt; hàng hóa hàng không liên quan đến</v>
      </c>
      <c r="G187" s="229" t="str">
        <f t="shared" ca="1" si="4"/>
        <v>"27770" : "hàng hóa hàng không liên quan đến",</v>
      </c>
      <c r="H187" s="229" t="str">
        <f t="shared" si="5"/>
        <v>&lt;li class="col-md-3"&gt;&lt;a class="text-cut" href="javascript:;"(click)="categoryEvent(27770)"&gt;{{"27770" | translate}}&lt;/a&gt;&lt;/li&gt;</v>
      </c>
    </row>
    <row r="188" spans="1:8" ht="14.25" customHeight="1">
      <c r="A188" s="2">
        <v>2084007966</v>
      </c>
      <c r="B188" s="2" t="s">
        <v>16</v>
      </c>
      <c r="C188" s="2" t="s">
        <v>7507</v>
      </c>
      <c r="D188" s="88" t="s">
        <v>7508</v>
      </c>
      <c r="E188" s="3" t="str">
        <f ca="1">IFERROR(__xludf.DUMMYFUNCTION("GOOGLETRANSLATE(B188,""ja"",""vi"")"),"nếu không thì")</f>
        <v>nếu không thì</v>
      </c>
      <c r="F188" s="3" t="str">
        <f ca="1">IFERROR(__xludf.DUMMYFUNCTION("GOOGLETRANSLATE(C188,""ja"",""vi"")"),"Đấu giá&gt; Sở thích, văn hóa&gt; máy bay&gt; Khác")</f>
        <v>Đấu giá&gt; Sở thích, văn hóa&gt; máy bay&gt; Khác</v>
      </c>
      <c r="G188" s="229" t="str">
        <f t="shared" ca="1" si="4"/>
        <v>"2084007966" : "nếu không thì",</v>
      </c>
      <c r="H188" s="229" t="str">
        <f t="shared" si="5"/>
        <v>&lt;li class="col-md-3"&gt;&lt;a class="text-cut" href="javascript:;"(click)="categoryEvent(2084007966)"&gt;{{"2084007966" | translate}}&lt;/a&gt;&lt;/li&gt;</v>
      </c>
    </row>
    <row r="189" spans="1:8" ht="14.25" customHeight="1">
      <c r="D189" s="170"/>
      <c r="E189" s="3"/>
      <c r="F189" s="3"/>
      <c r="G189" s="229"/>
      <c r="H189" s="229"/>
    </row>
    <row r="190" spans="1:8" ht="14.25" customHeight="1">
      <c r="A190" s="250">
        <v>23761</v>
      </c>
      <c r="B190" s="232"/>
      <c r="C190" s="232"/>
      <c r="D190" s="233"/>
      <c r="E190" s="3"/>
      <c r="F190" s="3"/>
      <c r="G190" s="229"/>
      <c r="H190" s="229"/>
    </row>
    <row r="191" spans="1:8" ht="14.25" customHeight="1">
      <c r="A191" s="2">
        <v>2084036890</v>
      </c>
      <c r="B191" s="2" t="s">
        <v>7511</v>
      </c>
      <c r="C191" s="2" t="s">
        <v>7514</v>
      </c>
      <c r="D191" s="2" t="s">
        <v>7515</v>
      </c>
      <c r="E191" s="3" t="str">
        <f ca="1">IFERROR(__xludf.DUMMYFUNCTION("GOOGLETRANSLATE(B191,""ja"",""vi"")"),"phụ kiện")</f>
        <v>phụ kiện</v>
      </c>
      <c r="F191" s="3" t="str">
        <f ca="1">IFERROR(__xludf.DUMMYFUNCTION("GOOGLETRANSLATE(C191,""ja"",""vi"")"),"Đấu giá&gt; Sở thích, văn hóa&gt; radio nghiệp dư&gt; Accessories")</f>
        <v>Đấu giá&gt; Sở thích, văn hóa&gt; radio nghiệp dư&gt; Accessories</v>
      </c>
      <c r="G191" s="229" t="str">
        <f t="shared" ca="1" si="4"/>
        <v>"2084036890" : "phụ kiện",</v>
      </c>
      <c r="H191" s="229" t="str">
        <f t="shared" si="5"/>
        <v>&lt;li class="col-md-3"&gt;&lt;a class="text-cut" href="javascript:;"(click)="categoryEvent(2084036890)"&gt;{{"2084036890" | translate}}&lt;/a&gt;&lt;/li&gt;</v>
      </c>
    </row>
    <row r="192" spans="1:8" ht="14.25" customHeight="1">
      <c r="A192" s="2">
        <v>23762</v>
      </c>
      <c r="B192" s="2" t="s">
        <v>5012</v>
      </c>
      <c r="C192" s="2" t="s">
        <v>7517</v>
      </c>
      <c r="D192" s="2" t="s">
        <v>7518</v>
      </c>
      <c r="E192" s="3" t="str">
        <f ca="1">IFERROR(__xludf.DUMMYFUNCTION("GOOGLETRANSLATE(B192,""ja"",""vi"")"),"Antenna")</f>
        <v>Antenna</v>
      </c>
      <c r="F192" s="3" t="str">
        <f ca="1">IFERROR(__xludf.DUMMYFUNCTION("GOOGLETRANSLATE(C192,""ja"",""vi"")"),"Đấu giá&gt; Sở thích, văn hóa&gt; radio nghiệp dư&gt; ăng ten")</f>
        <v>Đấu giá&gt; Sở thích, văn hóa&gt; radio nghiệp dư&gt; ăng ten</v>
      </c>
      <c r="G192" s="229" t="str">
        <f t="shared" ca="1" si="4"/>
        <v>"23762" : "Antenna",</v>
      </c>
      <c r="H192" s="229" t="str">
        <f t="shared" si="5"/>
        <v>&lt;li class="col-md-3"&gt;&lt;a class="text-cut" href="javascript:;"(click)="categoryEvent(23762)"&gt;{{"23762" | translate}}&lt;/a&gt;&lt;/li&gt;</v>
      </c>
    </row>
    <row r="193" spans="1:8" ht="14.25" customHeight="1">
      <c r="A193" s="2">
        <v>23763</v>
      </c>
      <c r="B193" s="2" t="s">
        <v>7519</v>
      </c>
      <c r="C193" s="2" t="s">
        <v>7520</v>
      </c>
      <c r="D193" s="2" t="s">
        <v>7521</v>
      </c>
      <c r="E193" s="3" t="str">
        <f ca="1">IFERROR(__xludf.DUMMYFUNCTION("GOOGLETRANSLATE(B193,""ja"",""vi"")"),"thu phát")</f>
        <v>thu phát</v>
      </c>
      <c r="F193" s="3" t="str">
        <f ca="1">IFERROR(__xludf.DUMMYFUNCTION("GOOGLETRANSLATE(C193,""ja"",""vi"")"),"Đấu giá&gt; Sở thích, văn hóa&gt; radio nghiệp dư&gt; thu phát")</f>
        <v>Đấu giá&gt; Sở thích, văn hóa&gt; radio nghiệp dư&gt; thu phát</v>
      </c>
      <c r="G193" s="229" t="str">
        <f t="shared" ca="1" si="4"/>
        <v>"23763" : "thu phát",</v>
      </c>
      <c r="H193" s="229" t="str">
        <f t="shared" si="5"/>
        <v>&lt;li class="col-md-3"&gt;&lt;a class="text-cut" href="javascript:;"(click)="categoryEvent(23763)"&gt;{{"23763" | translate}}&lt;/a&gt;&lt;/li&gt;</v>
      </c>
    </row>
    <row r="194" spans="1:8" ht="14.25" customHeight="1">
      <c r="A194" s="2">
        <v>2084036891</v>
      </c>
      <c r="B194" s="2" t="s">
        <v>7522</v>
      </c>
      <c r="C194" s="2" t="s">
        <v>7523</v>
      </c>
      <c r="D194" s="2" t="s">
        <v>7524</v>
      </c>
      <c r="E194" s="3" t="str">
        <f ca="1">IFERROR(__xludf.DUMMYFUNCTION("GOOGLETRANSLATE(B194,""ja"",""vi"")"),"Một máy thu")</f>
        <v>Một máy thu</v>
      </c>
      <c r="F194" s="3" t="str">
        <f ca="1">IFERROR(__xludf.DUMMYFUNCTION("GOOGLETRANSLATE(C194,""ja"",""vi"")"),"Đấu giá&gt; Hobby, văn hóa&gt; radio nghiệp dư&gt; receiver")</f>
        <v>Đấu giá&gt; Hobby, văn hóa&gt; radio nghiệp dư&gt; receiver</v>
      </c>
      <c r="G194" s="229" t="str">
        <f t="shared" ca="1" si="4"/>
        <v>"2084036891" : "Một máy thu",</v>
      </c>
      <c r="H194" s="229" t="str">
        <f t="shared" si="5"/>
        <v>&lt;li class="col-md-3"&gt;&lt;a class="text-cut" href="javascript:;"(click)="categoryEvent(2084036891)"&gt;{{"2084036891" | translate}}&lt;/a&gt;&lt;/li&gt;</v>
      </c>
    </row>
    <row r="195" spans="1:8" ht="14.25" customHeight="1">
      <c r="A195" s="2">
        <v>2084263358</v>
      </c>
      <c r="B195" s="2" t="s">
        <v>7525</v>
      </c>
      <c r="C195" s="2" t="s">
        <v>7526</v>
      </c>
      <c r="D195" s="2" t="s">
        <v>7527</v>
      </c>
      <c r="E195" s="3" t="str">
        <f ca="1">IFERROR(__xludf.DUMMYFUNCTION("GOOGLETRANSLATE(B195,""ja"",""vi"")"),"linh kiện điện tử")</f>
        <v>linh kiện điện tử</v>
      </c>
      <c r="F195" s="3" t="str">
        <f ca="1">IFERROR(__xludf.DUMMYFUNCTION("GOOGLETRANSLATE(C195,""ja"",""vi"")"),"Đấu giá&gt; Sở thích, văn hóa&gt; radio nghiệp dư&gt; Linh kiện điện tử")</f>
        <v>Đấu giá&gt; Sở thích, văn hóa&gt; radio nghiệp dư&gt; Linh kiện điện tử</v>
      </c>
      <c r="G195" s="229" t="str">
        <f t="shared" ref="G195:G205" ca="1" si="6">CONCATENATE(CHAR(34)&amp;"",A195,""&amp;CHAR(34)," : ", CHAR(34)&amp;"",E195,""&amp;CHAR(34),",")</f>
        <v>"2084263358" : "linh kiện điện tử",</v>
      </c>
      <c r="H195" s="229" t="str">
        <f t="shared" ref="H195:H205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href="javascript:;"(click)="categoryEvent(2084263358)"&gt;{{"2084263358" | translate}}&lt;/a&gt;&lt;/li&gt;</v>
      </c>
    </row>
    <row r="196" spans="1:8" ht="14.25" customHeight="1">
      <c r="A196" s="2">
        <v>23765</v>
      </c>
      <c r="B196" s="2" t="s">
        <v>16</v>
      </c>
      <c r="C196" s="2" t="s">
        <v>7528</v>
      </c>
      <c r="D196" s="2" t="s">
        <v>7529</v>
      </c>
      <c r="E196" s="3" t="str">
        <f ca="1">IFERROR(__xludf.DUMMYFUNCTION("GOOGLETRANSLATE(B196,""ja"",""vi"")"),"nếu không thì")</f>
        <v>nếu không thì</v>
      </c>
      <c r="F196" s="3" t="str">
        <f ca="1">IFERROR(__xludf.DUMMYFUNCTION("GOOGLETRANSLATE(C196,""ja"",""vi"")"),"Đấu giá&gt; Sở thích, văn hóa&gt; radio nghiệp dư&gt; Khác")</f>
        <v>Đấu giá&gt; Sở thích, văn hóa&gt; radio nghiệp dư&gt; Khác</v>
      </c>
      <c r="G196" s="229" t="str">
        <f t="shared" ca="1" si="6"/>
        <v>"23765" : "nếu không thì",</v>
      </c>
      <c r="H196" s="229" t="str">
        <f t="shared" si="7"/>
        <v>&lt;li class="col-md-3"&gt;&lt;a class="text-cut" href="javascript:;"(click)="categoryEvent(23765)"&gt;{{"23765" | translate}}&lt;/a&gt;&lt;/li&gt;</v>
      </c>
    </row>
    <row r="197" spans="1:8" ht="14.25" customHeight="1">
      <c r="E197" s="3"/>
      <c r="F197" s="3"/>
      <c r="G197" s="229"/>
      <c r="H197" s="229"/>
    </row>
    <row r="198" spans="1:8" ht="14.25" customHeight="1">
      <c r="A198" s="251">
        <v>2084046936</v>
      </c>
      <c r="B198" s="232"/>
      <c r="C198" s="232"/>
      <c r="D198" s="233"/>
      <c r="E198" s="3"/>
      <c r="F198" s="3"/>
      <c r="G198" s="229"/>
      <c r="H198" s="229"/>
    </row>
    <row r="199" spans="1:8" ht="14.25" customHeight="1">
      <c r="A199" s="2">
        <v>2084048398</v>
      </c>
      <c r="B199" s="2" t="s">
        <v>6761</v>
      </c>
      <c r="C199" s="2" t="s">
        <v>7358</v>
      </c>
      <c r="D199" s="2" t="s">
        <v>7360</v>
      </c>
      <c r="E199" s="3" t="str">
        <f ca="1">IFERROR(__xludf.DUMMYFUNCTION("GOOGLETRANSLATE(B199,""ja"",""vi"")"),"trò chơi")</f>
        <v>trò chơi</v>
      </c>
      <c r="F199" s="3" t="str">
        <f ca="1">IFERROR(__xludf.DUMMYFUNCTION("GOOGLETRANSLATE(C199,""ja"",""vi"")"),"Đấu giá&gt; Sở thích, văn hóa&gt; pachinko, pachislot&gt; Games")</f>
        <v>Đấu giá&gt; Sở thích, văn hóa&gt; pachinko, pachislot&gt; Games</v>
      </c>
      <c r="G199" s="229" t="str">
        <f t="shared" ca="1" si="6"/>
        <v>"2084048398" : "trò chơi",</v>
      </c>
      <c r="H199" s="229" t="str">
        <f t="shared" si="7"/>
        <v>&lt;li class="col-md-3"&gt;&lt;a class="text-cut" href="javascript:;"(click)="categoryEvent(2084048398)"&gt;{{"2084048398" | translate}}&lt;/a&gt;&lt;/li&gt;</v>
      </c>
    </row>
    <row r="200" spans="1:8" ht="14.25" customHeight="1">
      <c r="A200" s="2">
        <v>2084046952</v>
      </c>
      <c r="B200" s="2" t="s">
        <v>7362</v>
      </c>
      <c r="C200" s="2" t="s">
        <v>7363</v>
      </c>
      <c r="D200" s="2" t="s">
        <v>7364</v>
      </c>
      <c r="E200" s="3" t="str">
        <f ca="1">IFERROR(__xludf.DUMMYFUNCTION("GOOGLETRANSLATE(B200,""ja"",""vi"")"),"Pachi thực tế")</f>
        <v>Pachi thực tế</v>
      </c>
      <c r="F200" s="3" t="str">
        <f ca="1">IFERROR(__xludf.DUMMYFUNCTION("GOOGLETRANSLATE(C200,""ja"",""vi"")"),"Đấu giá&gt; Sở thích, văn hóa&gt; pachinko, pachislot&gt; Pachi thực tế")</f>
        <v>Đấu giá&gt; Sở thích, văn hóa&gt; pachinko, pachislot&gt; Pachi thực tế</v>
      </c>
      <c r="G200" s="229" t="str">
        <f t="shared" ca="1" si="6"/>
        <v>"2084046952" : "Pachi thực tế",</v>
      </c>
      <c r="H200" s="229" t="str">
        <f t="shared" si="7"/>
        <v>&lt;li class="col-md-3"&gt;&lt;a class="text-cut" href="javascript:;"(click)="categoryEvent(2084046952)"&gt;{{"2084046952" | translate}}&lt;/a&gt;&lt;/li&gt;</v>
      </c>
    </row>
    <row r="201" spans="1:8" ht="14.25" customHeight="1">
      <c r="A201" s="2">
        <v>2084046951</v>
      </c>
      <c r="B201" s="2" t="s">
        <v>7367</v>
      </c>
      <c r="C201" s="2" t="s">
        <v>7368</v>
      </c>
      <c r="D201" s="2" t="s">
        <v>7369</v>
      </c>
      <c r="E201" s="3" t="str">
        <f ca="1">IFERROR(__xludf.DUMMYFUNCTION("GOOGLETRANSLATE(B201,""ja"",""vi"")"),"pachinko thực tế")</f>
        <v>pachinko thực tế</v>
      </c>
      <c r="F201" s="3" t="str">
        <f ca="1">IFERROR(__xludf.DUMMYFUNCTION("GOOGLETRANSLATE(C201,""ja"",""vi"")"),"Đấu giá&gt; Sở thích, văn hóa&gt; pachinko, pachislot&gt; pachinko thực tế")</f>
        <v>Đấu giá&gt; Sở thích, văn hóa&gt; pachinko, pachislot&gt; pachinko thực tế</v>
      </c>
      <c r="G201" s="229" t="str">
        <f t="shared" ca="1" si="6"/>
        <v>"2084046951" : "pachinko thực tế",</v>
      </c>
      <c r="H201" s="229" t="str">
        <f t="shared" si="7"/>
        <v>&lt;li class="col-md-3"&gt;&lt;a class="text-cut" href="javascript:;"(click)="categoryEvent(2084046951)"&gt;{{"2084046951" | translate}}&lt;/a&gt;&lt;/li&gt;</v>
      </c>
    </row>
    <row r="202" spans="1:8" ht="14.25" customHeight="1">
      <c r="A202" s="2">
        <v>2084047014</v>
      </c>
      <c r="B202" s="2" t="s">
        <v>386</v>
      </c>
      <c r="C202" s="2" t="s">
        <v>7373</v>
      </c>
      <c r="D202" s="2" t="s">
        <v>7375</v>
      </c>
      <c r="E202" s="3" t="str">
        <f ca="1">IFERROR(__xludf.DUMMYFUNCTION("GOOGLETRANSLATE(B202,""ja"",""vi"")"),"video")</f>
        <v>video</v>
      </c>
      <c r="F202" s="3" t="str">
        <f ca="1">IFERROR(__xludf.DUMMYFUNCTION("GOOGLETRANSLATE(C202,""ja"",""vi"")"),"Đấu giá&gt; Sở thích, văn hóa&gt; pachinko, pachislot&gt; Video")</f>
        <v>Đấu giá&gt; Sở thích, văn hóa&gt; pachinko, pachislot&gt; Video</v>
      </c>
      <c r="G202" s="229" t="str">
        <f t="shared" ca="1" si="6"/>
        <v>"2084047014" : "video",</v>
      </c>
      <c r="H202" s="229" t="str">
        <f t="shared" si="7"/>
        <v>&lt;li class="col-md-3"&gt;&lt;a class="text-cut" href="javascript:;"(click)="categoryEvent(2084047014)"&gt;{{"2084047014" | translate}}&lt;/a&gt;&lt;/li&gt;</v>
      </c>
    </row>
    <row r="203" spans="1:8" ht="14.25" customHeight="1">
      <c r="A203" s="2">
        <v>2084046944</v>
      </c>
      <c r="B203" s="2" t="s">
        <v>351</v>
      </c>
      <c r="C203" s="2" t="s">
        <v>7378</v>
      </c>
      <c r="D203" s="2" t="s">
        <v>7380</v>
      </c>
      <c r="E203" s="3" t="str">
        <f ca="1">IFERROR(__xludf.DUMMYFUNCTION("GOOGLETRANSLATE(B203,""ja"",""vi"")"),"tạp chí")</f>
        <v>tạp chí</v>
      </c>
      <c r="F203" s="3" t="str">
        <f ca="1">IFERROR(__xludf.DUMMYFUNCTION("GOOGLETRANSLATE(C203,""ja"",""vi"")"),"Đấu giá&gt; Sở thích, văn hóa&gt; pachinko, pachislot&gt; Tạp chí")</f>
        <v>Đấu giá&gt; Sở thích, văn hóa&gt; pachinko, pachislot&gt; Tạp chí</v>
      </c>
      <c r="G203" s="229" t="str">
        <f t="shared" ca="1" si="6"/>
        <v>"2084046944" : "tạp chí",</v>
      </c>
      <c r="H203" s="229" t="str">
        <f t="shared" si="7"/>
        <v>&lt;li class="col-md-3"&gt;&lt;a class="text-cut" href="javascript:;"(click)="categoryEvent(2084046944)"&gt;{{"2084046944" | translate}}&lt;/a&gt;&lt;/li&gt;</v>
      </c>
    </row>
    <row r="204" spans="1:8" ht="14.25" customHeight="1">
      <c r="A204" s="2">
        <v>2084046940</v>
      </c>
      <c r="B204" s="2" t="s">
        <v>5274</v>
      </c>
      <c r="C204" s="2" t="s">
        <v>7383</v>
      </c>
      <c r="D204" s="2" t="s">
        <v>7385</v>
      </c>
      <c r="E204" s="3" t="str">
        <f ca="1">IFERROR(__xludf.DUMMYFUNCTION("GOOGLETRANSLATE(B204,""ja"",""vi"")"),"điều này")</f>
        <v>điều này</v>
      </c>
      <c r="F204" s="3" t="str">
        <f ca="1">IFERROR(__xludf.DUMMYFUNCTION("GOOGLETRANSLATE(C204,""ja"",""vi"")"),"Đấu giá&gt; Sở thích, văn hóa&gt; pachinko, pachislot&gt; Sách")</f>
        <v>Đấu giá&gt; Sở thích, văn hóa&gt; pachinko, pachislot&gt; Sách</v>
      </c>
      <c r="G204" s="229" t="str">
        <f t="shared" ca="1" si="6"/>
        <v>"2084046940" : "điều này",</v>
      </c>
      <c r="H204" s="229" t="str">
        <f t="shared" si="7"/>
        <v>&lt;li class="col-md-3"&gt;&lt;a class="text-cut" href="javascript:;"(click)="categoryEvent(2084046940)"&gt;{{"2084046940" | translate}}&lt;/a&gt;&lt;/li&gt;</v>
      </c>
    </row>
    <row r="205" spans="1:8" ht="14.25" customHeight="1">
      <c r="A205" s="2">
        <v>2084047539</v>
      </c>
      <c r="B205" s="2" t="s">
        <v>16</v>
      </c>
      <c r="C205" s="2" t="s">
        <v>7386</v>
      </c>
      <c r="D205" s="2" t="s">
        <v>7387</v>
      </c>
      <c r="E205" s="3" t="str">
        <f ca="1">IFERROR(__xludf.DUMMYFUNCTION("GOOGLETRANSLATE(B205,""ja"",""vi"")"),"nếu không thì")</f>
        <v>nếu không thì</v>
      </c>
      <c r="F205" s="3" t="str">
        <f ca="1">IFERROR(__xludf.DUMMYFUNCTION("GOOGLETRANSLATE(C205,""ja"",""vi"")"),"Đấu giá&gt; Sở thích, văn hóa&gt; pachinko, pachislot&gt; Khác")</f>
        <v>Đấu giá&gt; Sở thích, văn hóa&gt; pachinko, pachislot&gt; Khác</v>
      </c>
      <c r="G205" s="229" t="str">
        <f t="shared" ca="1" si="6"/>
        <v>"2084047539" : "nếu không thì",</v>
      </c>
      <c r="H205" s="229" t="str">
        <f t="shared" si="7"/>
        <v>&lt;li class="col-md-3"&gt;&lt;a class="text-cut" href="javascript:;"(click)="categoryEvent(2084047539)"&gt;{{"2084047539" | translate}}&lt;/a&gt;&lt;/li&gt;</v>
      </c>
    </row>
    <row r="206" spans="1:8" ht="14.25" customHeight="1"/>
    <row r="207" spans="1:8" ht="14.25" customHeight="1"/>
    <row r="208" spans="1: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198:D198"/>
    <mergeCell ref="A165:D165"/>
    <mergeCell ref="A148:D148"/>
    <mergeCell ref="A136:D136"/>
    <mergeCell ref="A156:D156"/>
    <mergeCell ref="A170:D170"/>
    <mergeCell ref="A181:D181"/>
    <mergeCell ref="A190:D190"/>
    <mergeCell ref="A22:D22"/>
    <mergeCell ref="A45:D45"/>
    <mergeCell ref="A58:D58"/>
    <mergeCell ref="A64:D64"/>
    <mergeCell ref="A122:D122"/>
    <mergeCell ref="A96:D96"/>
    <mergeCell ref="A86:D86"/>
    <mergeCell ref="A111:D111"/>
  </mergeCells>
  <pageMargins left="0.7" right="0.7" top="0.75" bottom="0.75" header="0" footer="0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4.5" customWidth="1"/>
    <col min="2" max="2" width="15.19921875" customWidth="1"/>
    <col min="3" max="3" width="20" customWidth="1"/>
    <col min="4" max="4" width="32.09765625" customWidth="1"/>
    <col min="5" max="5" width="7.59765625" customWidth="1"/>
    <col min="6" max="6" width="48.8984375" customWidth="1"/>
    <col min="7" max="7" width="29.69921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22844</v>
      </c>
      <c r="B2" s="2" t="s">
        <v>5628</v>
      </c>
      <c r="C2" s="2" t="s">
        <v>6538</v>
      </c>
      <c r="D2" s="116" t="str">
        <f t="shared" ref="D2:D39" si="0">CONCATENATE("0,","25464,",A2)</f>
        <v>0,25464,22844</v>
      </c>
      <c r="E2" s="3" t="str">
        <f ca="1">IFERROR(__xludf.DUMMYFUNCTION("GOOGLETRANSLATE(B2,""ja"",""vi"")"),"Mã số trò chơi")</f>
        <v>Mã số trò chơi</v>
      </c>
      <c r="F2" s="3" t="str">
        <f ca="1">IFERROR(__xludf.DUMMYFUNCTION("GOOGLETRANSLATE(C2,""ja"",""vi"")"),"Đấu giá&gt; Đồ chơi, trò chơi&gt; Video Games")</f>
        <v>Đấu giá&gt; Đồ chơi, trò chơi&gt; Video Games</v>
      </c>
      <c r="G2" s="229" t="str">
        <f ca="1">CONCATENATE(CHAR(34)&amp;"",A2,""&amp;CHAR(34)," : ", CHAR(34)&amp;"",E2,""&amp;CHAR(34),",")</f>
        <v>"22844" : "Mã số trò chơi",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href="javascript:;"(click)="categoryEvent(22844)"&gt;{{"22844" | translate}}&lt;/a&gt;&lt;/li&gt;</v>
      </c>
    </row>
    <row r="3" spans="1:8" ht="14.25" customHeight="1">
      <c r="A3" s="4">
        <v>25826</v>
      </c>
      <c r="B3" s="4" t="s">
        <v>5605</v>
      </c>
      <c r="C3" s="4" t="s">
        <v>6551</v>
      </c>
      <c r="D3" s="118" t="str">
        <f t="shared" si="0"/>
        <v>0,25464,25826</v>
      </c>
      <c r="E3" s="3" t="str">
        <f ca="1">IFERROR(__xludf.DUMMYFUNCTION("GOOGLETRANSLATE(B3,""ja"",""vi"")"),"Trading Card Game")</f>
        <v>Trading Card Game</v>
      </c>
      <c r="F3" s="3" t="str">
        <f ca="1">IFERROR(__xludf.DUMMYFUNCTION("GOOGLETRANSLATE(C3,""ja"",""vi"")"),"Đấu giá&gt; Đồ chơi, trò chơi&gt; Card Game Thương mại")</f>
        <v>Đấu giá&gt; Đồ chơi, trò chơi&gt; Card Game Thương mại</v>
      </c>
      <c r="G3" s="229" t="str">
        <f t="shared" ref="G3:G66" ca="1" si="1">CONCATENATE(CHAR(34)&amp;"",A3,""&amp;CHAR(34)," : ", CHAR(34)&amp;"",E3,""&amp;CHAR(34),",")</f>
        <v>"25826" : "Trading Card Game",</v>
      </c>
      <c r="H3" s="229" t="str">
        <f t="shared" ref="H3:H66" si="2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href="javascript:;"(click)="categoryEvent(25826)"&gt;{{"25826" | translate}}&lt;/a&gt;&lt;/li&gt;</v>
      </c>
    </row>
    <row r="4" spans="1:8" ht="14.25" customHeight="1">
      <c r="A4" s="5">
        <v>25888</v>
      </c>
      <c r="B4" s="5" t="s">
        <v>357</v>
      </c>
      <c r="C4" s="5" t="s">
        <v>6564</v>
      </c>
      <c r="D4" s="119" t="str">
        <f t="shared" si="0"/>
        <v>0,25464,25888</v>
      </c>
      <c r="E4" s="3" t="str">
        <f ca="1">IFERROR(__xludf.DUMMYFUNCTION("GOOGLETRANSLATE(B4,""ja"",""vi"")"),"nhân vật")</f>
        <v>nhân vật</v>
      </c>
      <c r="F4" s="3" t="str">
        <f ca="1">IFERROR(__xludf.DUMMYFUNCTION("GOOGLETRANSLATE(C4,""ja"",""vi"")"),"Đấu giá&gt; đồ chơi, trò chơi&gt; Hình")</f>
        <v>Đấu giá&gt; đồ chơi, trò chơi&gt; Hình</v>
      </c>
      <c r="G4" s="229" t="str">
        <f t="shared" ca="1" si="1"/>
        <v>"25888" : "nhân vật",</v>
      </c>
      <c r="H4" s="229" t="str">
        <f t="shared" si="2"/>
        <v>&lt;li class="col-md-3"&gt;&lt;a class="text-cut" href="javascript:;"(click)="categoryEvent(25888)"&gt;{{"25888" | translate}}&lt;/a&gt;&lt;/li&gt;</v>
      </c>
    </row>
    <row r="5" spans="1:8" ht="14.25" customHeight="1">
      <c r="A5" s="8">
        <v>2084250263</v>
      </c>
      <c r="B5" s="8" t="s">
        <v>364</v>
      </c>
      <c r="C5" s="8" t="s">
        <v>6575</v>
      </c>
      <c r="D5" s="120" t="str">
        <f t="shared" si="0"/>
        <v>0,25464,2084250263</v>
      </c>
      <c r="E5" s="3" t="str">
        <f ca="1">IFERROR(__xludf.DUMMYFUNCTION("GOOGLETRANSLATE(B5,""ja"",""vi"")"),"nhựa")</f>
        <v>nhựa</v>
      </c>
      <c r="F5" s="3" t="str">
        <f ca="1">IFERROR(__xludf.DUMMYFUNCTION("GOOGLETRANSLATE(C5,""ja"",""vi"")"),"Đấu giá&gt; đồ chơi, trò chơi&gt; mô hình nhựa")</f>
        <v>Đấu giá&gt; đồ chơi, trò chơi&gt; mô hình nhựa</v>
      </c>
      <c r="G5" s="229" t="str">
        <f t="shared" ca="1" si="1"/>
        <v>"2084250263" : "nhựa",</v>
      </c>
      <c r="H5" s="229" t="str">
        <f t="shared" si="2"/>
        <v>&lt;li class="col-md-3"&gt;&lt;a class="text-cut" href="javascript:;"(click)="categoryEvent(2084250263)"&gt;{{"2084250263" | translate}}&lt;/a&gt;&lt;/li&gt;</v>
      </c>
    </row>
    <row r="6" spans="1:8" ht="14.25" customHeight="1">
      <c r="A6" s="6">
        <v>2084251269</v>
      </c>
      <c r="B6" s="6" t="s">
        <v>6511</v>
      </c>
      <c r="C6" s="6" t="s">
        <v>6583</v>
      </c>
      <c r="D6" s="121" t="str">
        <f t="shared" si="0"/>
        <v>0,25464,2084251269</v>
      </c>
      <c r="E6" s="3" t="str">
        <f ca="1">IFERROR(__xludf.DUMMYFUNCTION("GOOGLETRANSLATE(B6,""ja"",""vi"")"),"Toy RC")</f>
        <v>Toy RC</v>
      </c>
      <c r="F6" s="3" t="str">
        <f ca="1">IFERROR(__xludf.DUMMYFUNCTION("GOOGLETRANSLATE(C6,""ja"",""vi"")"),"Đấu giá&gt; Đồ chơi, trò chơi&gt; Đồ chơi RC")</f>
        <v>Đấu giá&gt; Đồ chơi, trò chơi&gt; Đồ chơi RC</v>
      </c>
      <c r="G6" s="229" t="str">
        <f t="shared" ca="1" si="1"/>
        <v>"2084251269" : "Toy RC",</v>
      </c>
      <c r="H6" s="229" t="str">
        <f t="shared" si="2"/>
        <v>&lt;li class="col-md-3"&gt;&lt;a class="text-cut" href="javascript:;"(click)="categoryEvent(2084251269)"&gt;{{"2084251269" | translate}}&lt;/a&gt;&lt;/li&gt;</v>
      </c>
    </row>
    <row r="7" spans="1:8" ht="14.25" customHeight="1">
      <c r="A7" s="9">
        <v>2084251212</v>
      </c>
      <c r="B7" s="9" t="s">
        <v>6526</v>
      </c>
      <c r="C7" s="9" t="s">
        <v>6593</v>
      </c>
      <c r="D7" s="122" t="str">
        <f t="shared" si="0"/>
        <v>0,25464,2084251212</v>
      </c>
      <c r="E7" s="3" t="str">
        <f ca="1">IFERROR(__xludf.DUMMYFUNCTION("GOOGLETRANSLATE(B7,""ja"",""vi"")"),"Sở thích RC")</f>
        <v>Sở thích RC</v>
      </c>
      <c r="F7" s="3" t="str">
        <f ca="1">IFERROR(__xludf.DUMMYFUNCTION("GOOGLETRANSLATE(C7,""ja"",""vi"")"),"Đấu giá&gt; đồ chơi, trò chơi&gt; sở thích điều khiển bằng radio")</f>
        <v>Đấu giá&gt; đồ chơi, trò chơi&gt; sở thích điều khiển bằng radio</v>
      </c>
      <c r="G7" s="229" t="str">
        <f t="shared" ca="1" si="1"/>
        <v>"2084251212" : "Sở thích RC",</v>
      </c>
      <c r="H7" s="229" t="str">
        <f t="shared" si="2"/>
        <v>&lt;li class="col-md-3"&gt;&lt;a class="text-cut" href="javascript:;"(click)="categoryEvent(2084251212)"&gt;{{"2084251212" | translate}}&lt;/a&gt;&lt;/li&gt;</v>
      </c>
    </row>
    <row r="8" spans="1:8" ht="14.25" customHeight="1">
      <c r="A8" s="7">
        <v>2084260113</v>
      </c>
      <c r="B8" s="7" t="s">
        <v>6533</v>
      </c>
      <c r="C8" s="7" t="s">
        <v>6600</v>
      </c>
      <c r="D8" s="124" t="str">
        <f t="shared" si="0"/>
        <v>0,25464,2084260113</v>
      </c>
      <c r="E8" s="3" t="str">
        <f ca="1">IFERROR(__xludf.DUMMYFUNCTION("GOOGLETRANSLATE(B8,""ja"",""vi"")"),"minicar")</f>
        <v>minicar</v>
      </c>
      <c r="F8" s="3" t="str">
        <f ca="1">IFERROR(__xludf.DUMMYFUNCTION("GOOGLETRANSLATE(C8,""ja"",""vi"")"),"Đấu giá&gt; đồ chơi, trò chơi&gt; minicar")</f>
        <v>Đấu giá&gt; đồ chơi, trò chơi&gt; minicar</v>
      </c>
      <c r="G8" s="229" t="str">
        <f t="shared" ca="1" si="1"/>
        <v>"2084260113" : "minicar",</v>
      </c>
      <c r="H8" s="229" t="str">
        <f t="shared" si="2"/>
        <v>&lt;li class="col-md-3"&gt;&lt;a class="text-cut" href="javascript:;"(click)="categoryEvent(2084260113)"&gt;{{"2084260113" | translate}}&lt;/a&gt;&lt;/li&gt;</v>
      </c>
    </row>
    <row r="9" spans="1:8" ht="14.25" customHeight="1">
      <c r="A9" s="41">
        <v>2084259630</v>
      </c>
      <c r="B9" s="41" t="s">
        <v>6607</v>
      </c>
      <c r="C9" s="41" t="s">
        <v>6609</v>
      </c>
      <c r="D9" s="125" t="str">
        <f t="shared" si="0"/>
        <v>0,25464,2084259630</v>
      </c>
      <c r="E9" s="3" t="str">
        <f ca="1">IFERROR(__xludf.DUMMYFUNCTION("GOOGLETRANSLATE(B9,""ja"",""vi"")"),"khe cắm xe")</f>
        <v>khe cắm xe</v>
      </c>
      <c r="F9" s="3" t="str">
        <f ca="1">IFERROR(__xludf.DUMMYFUNCTION("GOOGLETRANSLATE(C9,""ja"",""vi"")"),"Đấu giá&gt; đồ chơi, trò chơi&gt; khe xe")</f>
        <v>Đấu giá&gt; đồ chơi, trò chơi&gt; khe xe</v>
      </c>
      <c r="G9" s="229" t="str">
        <f t="shared" ca="1" si="1"/>
        <v>"2084259630" : "khe cắm xe",</v>
      </c>
      <c r="H9" s="229" t="str">
        <f t="shared" si="2"/>
        <v>&lt;li class="col-md-3"&gt;&lt;a class="text-cut" href="javascript:;"(click)="categoryEvent(2084259630)"&gt;{{"2084259630" | translate}}&lt;/a&gt;&lt;/li&gt;</v>
      </c>
    </row>
    <row r="10" spans="1:8" ht="14.25" customHeight="1">
      <c r="A10" s="16">
        <v>2084259579</v>
      </c>
      <c r="B10" s="16" t="s">
        <v>6540</v>
      </c>
      <c r="C10" s="16" t="s">
        <v>6615</v>
      </c>
      <c r="D10" s="126" t="str">
        <f t="shared" si="0"/>
        <v>0,25464,2084259579</v>
      </c>
      <c r="E10" s="3" t="str">
        <f ca="1">IFERROR(__xludf.DUMMYFUNCTION("GOOGLETRANSLATE(B10,""ja"",""vi"")"),"mô hình tàu")</f>
        <v>mô hình tàu</v>
      </c>
      <c r="F10" s="3" t="str">
        <f ca="1">IFERROR(__xludf.DUMMYFUNCTION("GOOGLETRANSLATE(C10,""ja"",""vi"")"),"Đấu giá&gt; đồ chơi, trò chơi&gt; mô hình đường sắt")</f>
        <v>Đấu giá&gt; đồ chơi, trò chơi&gt; mô hình đường sắt</v>
      </c>
      <c r="G10" s="229" t="str">
        <f t="shared" ca="1" si="1"/>
        <v>"2084259579" : "mô hình tàu",</v>
      </c>
      <c r="H10" s="229" t="str">
        <f t="shared" si="2"/>
        <v>&lt;li class="col-md-3"&gt;&lt;a class="text-cut" href="javascript:;"(click)="categoryEvent(2084259579)"&gt;{{"2084259579" | translate}}&lt;/a&gt;&lt;/li&gt;</v>
      </c>
    </row>
    <row r="11" spans="1:8" ht="14.25" customHeight="1">
      <c r="A11" s="127">
        <v>2084259623</v>
      </c>
      <c r="B11" s="127" t="s">
        <v>6631</v>
      </c>
      <c r="C11" s="127" t="s">
        <v>6633</v>
      </c>
      <c r="D11" s="128" t="str">
        <f t="shared" si="0"/>
        <v>0,25464,2084259623</v>
      </c>
      <c r="E11" s="3" t="str">
        <f ca="1">IFERROR(__xludf.DUMMYFUNCTION("GOOGLETRANSLATE(B11,""ja"",""vi"")"),"Plarail")</f>
        <v>Plarail</v>
      </c>
      <c r="F11" s="3" t="str">
        <f ca="1">IFERROR(__xludf.DUMMYFUNCTION("GOOGLETRANSLATE(C11,""ja"",""vi"")"),"Đấu giá&gt; Đồ chơi, trò chơi&gt; Plarail")</f>
        <v>Đấu giá&gt; Đồ chơi, trò chơi&gt; Plarail</v>
      </c>
      <c r="G11" s="229" t="str">
        <f t="shared" ca="1" si="1"/>
        <v>"2084259623" : "Plarail",</v>
      </c>
      <c r="H11" s="229" t="str">
        <f t="shared" si="2"/>
        <v>&lt;li class="col-md-3"&gt;&lt;a class="text-cut" href="javascript:;"(click)="categoryEvent(2084259623)"&gt;{{"2084259623" | translate}}&lt;/a&gt;&lt;/li&gt;</v>
      </c>
    </row>
    <row r="12" spans="1:8" ht="14.25" customHeight="1">
      <c r="A12" s="129">
        <v>2084005573</v>
      </c>
      <c r="B12" s="129" t="s">
        <v>6432</v>
      </c>
      <c r="C12" s="129" t="s">
        <v>6644</v>
      </c>
      <c r="D12" s="130" t="str">
        <f t="shared" si="0"/>
        <v>0,25464,2084005573</v>
      </c>
      <c r="E12" s="3" t="str">
        <f ca="1">IFERROR(__xludf.DUMMYFUNCTION("GOOGLETRANSLATE(B12,""ja"",""vi"")"),"súng đồ chơi")</f>
        <v>súng đồ chơi</v>
      </c>
      <c r="F12" s="3" t="str">
        <f ca="1">IFERROR(__xludf.DUMMYFUNCTION("GOOGLETRANSLATE(C12,""ja"",""vi"")"),"Đấu giá&gt; đồ chơi, trò chơi&gt; súng đồ chơi")</f>
        <v>Đấu giá&gt; đồ chơi, trò chơi&gt; súng đồ chơi</v>
      </c>
      <c r="G12" s="229" t="str">
        <f t="shared" ca="1" si="1"/>
        <v>"2084005573" : "súng đồ chơi",</v>
      </c>
      <c r="H12" s="229" t="str">
        <f t="shared" si="2"/>
        <v>&lt;li class="col-md-3"&gt;&lt;a class="text-cut" href="javascript:;"(click)="categoryEvent(2084005573)"&gt;{{"2084005573" | translate}}&lt;/a&gt;&lt;/li&gt;</v>
      </c>
    </row>
    <row r="13" spans="1:8" ht="14.25" customHeight="1">
      <c r="A13" s="72">
        <v>27673</v>
      </c>
      <c r="B13" s="72" t="s">
        <v>6651</v>
      </c>
      <c r="C13" s="72" t="s">
        <v>6652</v>
      </c>
      <c r="D13" s="131" t="str">
        <f t="shared" si="0"/>
        <v>0,25464,27673</v>
      </c>
      <c r="E13" s="3" t="str">
        <f ca="1">IFERROR(__xludf.DUMMYFUNCTION("GOOGLETRANSLATE(B13,""ja"",""vi"")"),"mùa hái nho")</f>
        <v>mùa hái nho</v>
      </c>
      <c r="F13" s="3" t="str">
        <f ca="1">IFERROR(__xludf.DUMMYFUNCTION("GOOGLETRANSLATE(C13,""ja"",""vi"")"),"Đấu giá&gt; đồ chơi, trò chơi&gt; Vintage")</f>
        <v>Đấu giá&gt; đồ chơi, trò chơi&gt; Vintage</v>
      </c>
      <c r="G13" s="229" t="str">
        <f t="shared" ca="1" si="1"/>
        <v>"27673" : "mùa hái nho",</v>
      </c>
      <c r="H13" s="229" t="str">
        <f t="shared" si="2"/>
        <v>&lt;li class="col-md-3"&gt;&lt;a class="text-cut" href="javascript:;"(click)="categoryEvent(27673)"&gt;{{"27673" | translate}}&lt;/a&gt;&lt;/li&gt;</v>
      </c>
    </row>
    <row r="14" spans="1:8" ht="14.25" customHeight="1">
      <c r="A14" s="132">
        <v>2084044370</v>
      </c>
      <c r="B14" s="132" t="s">
        <v>6664</v>
      </c>
      <c r="C14" s="132" t="s">
        <v>6666</v>
      </c>
      <c r="D14" s="133" t="str">
        <f t="shared" si="0"/>
        <v>0,25464,2084044370</v>
      </c>
      <c r="E14" s="3" t="str">
        <f ca="1">IFERROR(__xludf.DUMMYFUNCTION("GOOGLETRANSLATE(B14,""ja"",""vi"")"),"Anh hùng Play, chiến đấu")</f>
        <v>Anh hùng Play, chiến đấu</v>
      </c>
      <c r="F14" s="3" t="str">
        <f ca="1">IFERROR(__xludf.DUMMYFUNCTION("GOOGLETRANSLATE(C14,""ja"",""vi"")"),"Đấu giá&gt; Đồ chơi, trò chơi&gt; Anh hùng Play, chiến đấu")</f>
        <v>Đấu giá&gt; Đồ chơi, trò chơi&gt; Anh hùng Play, chiến đấu</v>
      </c>
      <c r="G14" s="229" t="str">
        <f t="shared" ca="1" si="1"/>
        <v>"2084044370" : "Anh hùng Play, chiến đấu",</v>
      </c>
      <c r="H14" s="229" t="str">
        <f t="shared" si="2"/>
        <v>&lt;li class="col-md-3"&gt;&lt;a class="text-cut" href="javascript:;"(click)="categoryEvent(2084044370)"&gt;{{"2084044370" | translate}}&lt;/a&gt;&lt;/li&gt;</v>
      </c>
    </row>
    <row r="15" spans="1:8" ht="14.25" customHeight="1">
      <c r="A15" s="79">
        <v>2084044371</v>
      </c>
      <c r="B15" s="79" t="s">
        <v>6677</v>
      </c>
      <c r="C15" s="79" t="s">
        <v>6679</v>
      </c>
      <c r="D15" s="134" t="str">
        <f t="shared" si="0"/>
        <v>0,25464,2084044371</v>
      </c>
      <c r="E15" s="3" t="str">
        <f ca="1">IFERROR(__xludf.DUMMYFUNCTION("GOOGLETRANSLATE(B15,""ja"",""vi"")"),"Nữ anh hùng, chơi sành điệu")</f>
        <v>Nữ anh hùng, chơi sành điệu</v>
      </c>
      <c r="F15" s="3" t="str">
        <f ca="1">IFERROR(__xludf.DUMMYFUNCTION("GOOGLETRANSLATE(C15,""ja"",""vi"")"),"Đấu giá&gt; đồ chơi, trò chơi&gt; nữ anh hùng, chơi thời trang")</f>
        <v>Đấu giá&gt; đồ chơi, trò chơi&gt; nữ anh hùng, chơi thời trang</v>
      </c>
      <c r="G15" s="229" t="str">
        <f t="shared" ca="1" si="1"/>
        <v>"2084044371" : "Nữ anh hùng, chơi sành điệu",</v>
      </c>
      <c r="H15" s="229" t="str">
        <f t="shared" si="2"/>
        <v>&lt;li class="col-md-3"&gt;&lt;a class="text-cut" href="javascript:;"(click)="categoryEvent(2084044371)"&gt;{{"2084044371" | translate}}&lt;/a&gt;&lt;/li&gt;</v>
      </c>
    </row>
    <row r="16" spans="1:8" ht="14.25" customHeight="1">
      <c r="A16" s="78">
        <v>25864</v>
      </c>
      <c r="B16" s="78" t="s">
        <v>6689</v>
      </c>
      <c r="C16" s="78" t="s">
        <v>6692</v>
      </c>
      <c r="D16" s="135" t="str">
        <f t="shared" si="0"/>
        <v>0,25464,25864</v>
      </c>
      <c r="E16" s="3" t="str">
        <f ca="1">IFERROR(__xludf.DUMMYFUNCTION("GOOGLETRANSLATE(B16,""ja"",""vi"")"),"Búp bê, búp bê nhân vật")</f>
        <v>Búp bê, búp bê nhân vật</v>
      </c>
      <c r="F16" s="3" t="str">
        <f ca="1">IFERROR(__xludf.DUMMYFUNCTION("GOOGLETRANSLATE(C16,""ja"",""vi"")"),"Đấu giá&gt; đồ chơi, trò chơi&gt; búp bê, búp bê nhân vật")</f>
        <v>Đấu giá&gt; đồ chơi, trò chơi&gt; búp bê, búp bê nhân vật</v>
      </c>
      <c r="G16" s="229" t="str">
        <f t="shared" ca="1" si="1"/>
        <v>"25864" : "Búp bê, búp bê nhân vật",</v>
      </c>
      <c r="H16" s="229" t="str">
        <f t="shared" si="2"/>
        <v>&lt;li class="col-md-3"&gt;&lt;a class="text-cut" href="javascript:;"(click)="categoryEvent(25864)"&gt;{{"25864" | translate}}&lt;/a&gt;&lt;/li&gt;</v>
      </c>
    </row>
    <row r="17" spans="1:8" ht="14.25" customHeight="1">
      <c r="A17" s="77">
        <v>40494</v>
      </c>
      <c r="B17" s="77" t="s">
        <v>5949</v>
      </c>
      <c r="C17" s="77" t="s">
        <v>6700</v>
      </c>
      <c r="D17" s="136" t="str">
        <f t="shared" si="0"/>
        <v>0,25464,40494</v>
      </c>
      <c r="E17" s="3" t="str">
        <f ca="1">IFERROR(__xludf.DUMMYFUNCTION("GOOGLETRANSLATE(B17,""ja"",""vi"")"),"Thú nhồi bông")</f>
        <v>Thú nhồi bông</v>
      </c>
      <c r="F17" s="3" t="str">
        <f ca="1">IFERROR(__xludf.DUMMYFUNCTION("GOOGLETRANSLATE(C17,""ja"",""vi"")"),"Đấu giá&gt; Đồ chơi, trò chơi&gt; thú nhồi bông")</f>
        <v>Đấu giá&gt; Đồ chơi, trò chơi&gt; thú nhồi bông</v>
      </c>
      <c r="G17" s="229" t="str">
        <f t="shared" ca="1" si="1"/>
        <v>"40494" : "Thú nhồi bông",</v>
      </c>
      <c r="H17" s="229" t="str">
        <f t="shared" si="2"/>
        <v>&lt;li class="col-md-3"&gt;&lt;a class="text-cut" href="javascript:;"(click)="categoryEvent(40494)"&gt;{{"40494" | translate}}&lt;/a&gt;&lt;/li&gt;</v>
      </c>
    </row>
    <row r="18" spans="1:8" ht="14.25" customHeight="1">
      <c r="A18" s="65">
        <v>2084024235</v>
      </c>
      <c r="B18" s="65" t="s">
        <v>6709</v>
      </c>
      <c r="C18" s="65" t="s">
        <v>6711</v>
      </c>
      <c r="D18" s="137" t="str">
        <f t="shared" si="0"/>
        <v>0,25464,2084024235</v>
      </c>
      <c r="E18" s="3" t="str">
        <f ca="1">IFERROR(__xludf.DUMMYFUNCTION("GOOGLETRANSLATE(B18,""ja"",""vi"")"),"nhà chơi")</f>
        <v>nhà chơi</v>
      </c>
      <c r="F18" s="3" t="str">
        <f ca="1">IFERROR(__xludf.DUMMYFUNCTION("GOOGLETRANSLATE(C18,""ja"",""vi"")"),"Đấu giá&gt; đồ chơi, trò chơi&gt; chơi nhà")</f>
        <v>Đấu giá&gt; đồ chơi, trò chơi&gt; chơi nhà</v>
      </c>
      <c r="G18" s="229" t="str">
        <f t="shared" ca="1" si="1"/>
        <v>"2084024235" : "nhà chơi",</v>
      </c>
      <c r="H18" s="229" t="str">
        <f t="shared" si="2"/>
        <v>&lt;li class="col-md-3"&gt;&lt;a class="text-cut" href="javascript:;"(click)="categoryEvent(2084024235)"&gt;{{"2084024235" | translate}}&lt;/a&gt;&lt;/li&gt;</v>
      </c>
    </row>
    <row r="19" spans="1:8" ht="14.25" customHeight="1">
      <c r="A19" s="138">
        <v>26077</v>
      </c>
      <c r="B19" s="138" t="s">
        <v>6723</v>
      </c>
      <c r="C19" s="138" t="s">
        <v>6726</v>
      </c>
      <c r="D19" s="139" t="str">
        <f t="shared" si="0"/>
        <v>0,25464,26077</v>
      </c>
      <c r="E19" s="3" t="str">
        <f ca="1">IFERROR(__xludf.DUMMYFUNCTION("GOOGLETRANSLATE(B19,""ja"",""vi"")"),"đồ chơi nhân vật")</f>
        <v>đồ chơi nhân vật</v>
      </c>
      <c r="F19" s="3" t="str">
        <f ca="1">IFERROR(__xludf.DUMMYFUNCTION("GOOGLETRANSLATE(C19,""ja"",""vi"")"),"Đấu giá&gt; đồ chơi, trò chơi&gt; Đồ chơi nhân vật")</f>
        <v>Đấu giá&gt; đồ chơi, trò chơi&gt; Đồ chơi nhân vật</v>
      </c>
      <c r="G19" s="229" t="str">
        <f t="shared" ca="1" si="1"/>
        <v>"26077" : "đồ chơi nhân vật",</v>
      </c>
      <c r="H19" s="229" t="str">
        <f t="shared" si="2"/>
        <v>&lt;li class="col-md-3"&gt;&lt;a class="text-cut" href="javascript:;"(click)="categoryEvent(26077)"&gt;{{"26077" | translate}}&lt;/a&gt;&lt;/li&gt;</v>
      </c>
    </row>
    <row r="20" spans="1:8" ht="14.25" customHeight="1">
      <c r="A20" s="86">
        <v>2084312318</v>
      </c>
      <c r="B20" s="86" t="s">
        <v>6732</v>
      </c>
      <c r="C20" s="86" t="s">
        <v>6736</v>
      </c>
      <c r="D20" s="140" t="str">
        <f t="shared" si="0"/>
        <v>0,25464,2084312318</v>
      </c>
      <c r="E20" s="3" t="str">
        <f ca="1">IFERROR(__xludf.DUMMYFUNCTION("GOOGLETRANSLATE(B20,""ja"",""vi"")"),"Kẹo Đồ chơi, tiền thưởng")</f>
        <v>Kẹo Đồ chơi, tiền thưởng</v>
      </c>
      <c r="F20" s="3" t="str">
        <f ca="1">IFERROR(__xludf.DUMMYFUNCTION("GOOGLETRANSLATE(C20,""ja"",""vi"")"),"Đấu giá&gt; Đồ chơi, trò chơi&gt; Candy, tiền thưởng")</f>
        <v>Đấu giá&gt; Đồ chơi, trò chơi&gt; Candy, tiền thưởng</v>
      </c>
      <c r="G20" s="229" t="str">
        <f t="shared" ca="1" si="1"/>
        <v>"2084312318" : "Kẹo Đồ chơi, tiền thưởng",</v>
      </c>
      <c r="H20" s="229" t="str">
        <f t="shared" si="2"/>
        <v>&lt;li class="col-md-3"&gt;&lt;a class="text-cut" href="javascript:;"(click)="categoryEvent(2084312318)"&gt;{{"2084312318" | translate}}&lt;/a&gt;&lt;/li&gt;</v>
      </c>
    </row>
    <row r="21" spans="1:8" ht="14.25" customHeight="1">
      <c r="A21" s="76">
        <v>26018</v>
      </c>
      <c r="B21" s="76" t="s">
        <v>6745</v>
      </c>
      <c r="C21" s="76" t="s">
        <v>6749</v>
      </c>
      <c r="D21" s="141" t="str">
        <f t="shared" si="0"/>
        <v>0,25464,26018</v>
      </c>
      <c r="E21" s="3" t="str">
        <f ca="1">IFERROR(__xludf.DUMMYFUNCTION("GOOGLETRANSLATE(B21,""ja"",""vi"")"),"Puzzle")</f>
        <v>Puzzle</v>
      </c>
      <c r="F21" s="3" t="str">
        <f ca="1">IFERROR(__xludf.DUMMYFUNCTION("GOOGLETRANSLATE(C21,""ja"",""vi"")"),"Đấu giá&gt; đồ chơi, trò chơi&gt; đố")</f>
        <v>Đấu giá&gt; đồ chơi, trò chơi&gt; đố</v>
      </c>
      <c r="G21" s="229" t="str">
        <f t="shared" ca="1" si="1"/>
        <v>"26018" : "Puzzle",</v>
      </c>
      <c r="H21" s="229" t="str">
        <f t="shared" si="2"/>
        <v>&lt;li class="col-md-3"&gt;&lt;a class="text-cut" href="javascript:;"(click)="categoryEvent(26018)"&gt;{{"26018" | translate}}&lt;/a&gt;&lt;/li&gt;</v>
      </c>
    </row>
    <row r="22" spans="1:8" ht="14.25" customHeight="1">
      <c r="A22" s="142">
        <v>27727</v>
      </c>
      <c r="B22" s="142" t="s">
        <v>6761</v>
      </c>
      <c r="C22" s="142" t="s">
        <v>6764</v>
      </c>
      <c r="D22" s="143" t="str">
        <f t="shared" si="0"/>
        <v>0,25464,27727</v>
      </c>
      <c r="E22" s="3" t="str">
        <f ca="1">IFERROR(__xludf.DUMMYFUNCTION("GOOGLETRANSLATE(B22,""ja"",""vi"")"),"trò chơi")</f>
        <v>trò chơi</v>
      </c>
      <c r="F22" s="3" t="str">
        <f ca="1">IFERROR(__xludf.DUMMYFUNCTION("GOOGLETRANSLATE(C22,""ja"",""vi"")"),"Đấu giá&gt; đồ chơi, trò chơi&gt; trò chơi")</f>
        <v>Đấu giá&gt; đồ chơi, trò chơi&gt; trò chơi</v>
      </c>
      <c r="G22" s="229" t="str">
        <f t="shared" ca="1" si="1"/>
        <v>"27727" : "trò chơi",</v>
      </c>
      <c r="H22" s="229" t="str">
        <f t="shared" si="2"/>
        <v>&lt;li class="col-md-3"&gt;&lt;a class="text-cut" href="javascript:;"(click)="categoryEvent(27727)"&gt;{{"27727" | translate}}&lt;/a&gt;&lt;/li&gt;</v>
      </c>
    </row>
    <row r="23" spans="1:8" ht="14.25" customHeight="1">
      <c r="A23" s="144">
        <v>24382</v>
      </c>
      <c r="B23" s="144" t="s">
        <v>6779</v>
      </c>
      <c r="C23" s="144" t="s">
        <v>6781</v>
      </c>
      <c r="D23" s="145" t="str">
        <f t="shared" si="0"/>
        <v>0,25464,24382</v>
      </c>
      <c r="E23" s="3" t="str">
        <f ca="1">IFERROR(__xludf.DUMMYFUNCTION("GOOGLETRANSLATE(B23,""ja"",""vi"")"),"Magic, hàng hóa bên")</f>
        <v>Magic, hàng hóa bên</v>
      </c>
      <c r="F23" s="3" t="str">
        <f ca="1">IFERROR(__xludf.DUMMYFUNCTION("GOOGLETRANSLATE(C23,""ja"",""vi"")"),"Đấu giá&gt; Đồ chơi, trò chơi&gt; thủ đoạn ma thuật, hàng hóa bên")</f>
        <v>Đấu giá&gt; Đồ chơi, trò chơi&gt; thủ đoạn ma thuật, hàng hóa bên</v>
      </c>
      <c r="G23" s="229" t="str">
        <f t="shared" ca="1" si="1"/>
        <v>"24382" : "Magic, hàng hóa bên",</v>
      </c>
      <c r="H23" s="229" t="str">
        <f t="shared" si="2"/>
        <v>&lt;li class="col-md-3"&gt;&lt;a class="text-cut" href="javascript:;"(click)="categoryEvent(24382)"&gt;{{"24382" | translate}}&lt;/a&gt;&lt;/li&gt;</v>
      </c>
    </row>
    <row r="24" spans="1:8" ht="14.25" customHeight="1">
      <c r="A24" s="62">
        <v>40510</v>
      </c>
      <c r="B24" s="62" t="s">
        <v>6787</v>
      </c>
      <c r="C24" s="62" t="s">
        <v>6789</v>
      </c>
      <c r="D24" s="146" t="str">
        <f t="shared" si="0"/>
        <v>0,25464,40510</v>
      </c>
      <c r="E24" s="3" t="str">
        <f ca="1">IFERROR(__xludf.DUMMYFUNCTION("GOOGLETRANSLATE(B24,""ja"",""vi"")"),"Khối, các khối xây dựng")</f>
        <v>Khối, các khối xây dựng</v>
      </c>
      <c r="F24" s="3" t="str">
        <f ca="1">IFERROR(__xludf.DUMMYFUNCTION("GOOGLETRANSLATE(C24,""ja"",""vi"")"),"Đấu giá&gt; đồ chơi, trò chơi&gt; khối, các khối xây dựng")</f>
        <v>Đấu giá&gt; đồ chơi, trò chơi&gt; khối, các khối xây dựng</v>
      </c>
      <c r="G24" s="229" t="str">
        <f t="shared" ca="1" si="1"/>
        <v>"40510" : "Khối, các khối xây dựng",</v>
      </c>
      <c r="H24" s="229" t="str">
        <f t="shared" si="2"/>
        <v>&lt;li class="col-md-3"&gt;&lt;a class="text-cut" href="javascript:;"(click)="categoryEvent(40510)"&gt;{{"40510" | translate}}&lt;/a&gt;&lt;/li&gt;</v>
      </c>
    </row>
    <row r="25" spans="1:8" ht="14.25" customHeight="1">
      <c r="A25" s="147">
        <v>2084041892</v>
      </c>
      <c r="B25" s="147" t="s">
        <v>6797</v>
      </c>
      <c r="C25" s="147" t="s">
        <v>6799</v>
      </c>
      <c r="D25" s="148" t="str">
        <f t="shared" si="0"/>
        <v>0,25464,2084041892</v>
      </c>
      <c r="E25" s="3" t="str">
        <f ca="1">IFERROR(__xludf.DUMMYFUNCTION("GOOGLETRANSLATE(B25,""ja"",""vi"")"),"Koma")</f>
        <v>Koma</v>
      </c>
      <c r="F25" s="3" t="str">
        <f ca="1">IFERROR(__xludf.DUMMYFUNCTION("GOOGLETRANSLATE(C25,""ja"",""vi"")"),"Đấu giá&gt; Đồ chơi, trò chơi&gt; khung")</f>
        <v>Đấu giá&gt; Đồ chơi, trò chơi&gt; khung</v>
      </c>
      <c r="G25" s="229" t="str">
        <f t="shared" ca="1" si="1"/>
        <v>"2084041892" : "Koma",</v>
      </c>
      <c r="H25" s="229" t="str">
        <f t="shared" si="2"/>
        <v>&lt;li class="col-md-3"&gt;&lt;a class="text-cut" href="javascript:;"(click)="categoryEvent(2084041892)"&gt;{{"2084041892" | translate}}&lt;/a&gt;&lt;/li&gt;</v>
      </c>
    </row>
    <row r="26" spans="1:8" ht="14.25" customHeight="1">
      <c r="A26" s="149">
        <v>2084007247</v>
      </c>
      <c r="B26" s="149" t="s">
        <v>5929</v>
      </c>
      <c r="C26" s="149" t="s">
        <v>6807</v>
      </c>
      <c r="D26" s="150" t="str">
        <f t="shared" si="0"/>
        <v>0,25464,2084007247</v>
      </c>
      <c r="E26" s="3" t="str">
        <f ca="1">IFERROR(__xludf.DUMMYFUNCTION("GOOGLETRANSLATE(B26,""ja"",""vi"")"),"đứa bé")</f>
        <v>đứa bé</v>
      </c>
      <c r="F26" s="3" t="str">
        <f ca="1">IFERROR(__xludf.DUMMYFUNCTION("GOOGLETRANSLATE(C26,""ja"",""vi"")"),"Đấu giá&gt; Đồ chơi, trò chơi&gt; Baby")</f>
        <v>Đấu giá&gt; Đồ chơi, trò chơi&gt; Baby</v>
      </c>
      <c r="G26" s="229" t="str">
        <f t="shared" ca="1" si="1"/>
        <v>"2084007247" : "đứa bé",</v>
      </c>
      <c r="H26" s="229" t="str">
        <f t="shared" si="2"/>
        <v>&lt;li class="col-md-3"&gt;&lt;a class="text-cut" href="javascript:;"(click)="categoryEvent(2084007247)"&gt;{{"2084007247" | translate}}&lt;/a&gt;&lt;/li&gt;</v>
      </c>
    </row>
    <row r="27" spans="1:8" ht="14.25" customHeight="1">
      <c r="A27" s="151">
        <v>2084024191</v>
      </c>
      <c r="B27" s="151" t="s">
        <v>6716</v>
      </c>
      <c r="C27" s="151" t="s">
        <v>6813</v>
      </c>
      <c r="D27" s="152" t="str">
        <f t="shared" si="0"/>
        <v>0,25464,2084024191</v>
      </c>
      <c r="E27" s="3" t="str">
        <f ca="1">IFERROR(__xludf.DUMMYFUNCTION("GOOGLETRANSLATE(B27,""ja"",""vi"")"),"đồ chơi âm nhạc")</f>
        <v>đồ chơi âm nhạc</v>
      </c>
      <c r="F27" s="3" t="str">
        <f ca="1">IFERROR(__xludf.DUMMYFUNCTION("GOOGLETRANSLATE(C27,""ja"",""vi"")"),"Đấu giá&gt; Đồ chơi, trò chơi&gt; Đồ chơi âm nhạc")</f>
        <v>Đấu giá&gt; Đồ chơi, trò chơi&gt; Đồ chơi âm nhạc</v>
      </c>
      <c r="G27" s="229" t="str">
        <f t="shared" ca="1" si="1"/>
        <v>"2084024191" : "đồ chơi âm nhạc",</v>
      </c>
      <c r="H27" s="229" t="str">
        <f t="shared" si="2"/>
        <v>&lt;li class="col-md-3"&gt;&lt;a class="text-cut" href="javascript:;"(click)="categoryEvent(2084024191)"&gt;{{"2084024191" | translate}}&lt;/a&gt;&lt;/li&gt;</v>
      </c>
    </row>
    <row r="28" spans="1:8" ht="14.25" customHeight="1">
      <c r="A28" s="153">
        <v>2084024190</v>
      </c>
      <c r="B28" s="153" t="s">
        <v>630</v>
      </c>
      <c r="C28" s="153" t="s">
        <v>6826</v>
      </c>
      <c r="D28" s="154" t="str">
        <f t="shared" si="0"/>
        <v>0,25464,2084024190</v>
      </c>
      <c r="E28" s="3" t="str">
        <f ca="1">IFERROR(__xludf.DUMMYFUNCTION("GOOGLETRANSLATE(B28,""ja"",""vi"")"),"đồ chơi cưỡi")</f>
        <v>đồ chơi cưỡi</v>
      </c>
      <c r="F28" s="3" t="str">
        <f ca="1">IFERROR(__xludf.DUMMYFUNCTION("GOOGLETRANSLATE(C28,""ja"",""vi"")"),"Đấu giá&gt; Đồ chơi, trò chơi&gt; đồ chơi cưỡi")</f>
        <v>Đấu giá&gt; Đồ chơi, trò chơi&gt; đồ chơi cưỡi</v>
      </c>
      <c r="G28" s="229" t="str">
        <f t="shared" ca="1" si="1"/>
        <v>"2084024190" : "đồ chơi cưỡi",</v>
      </c>
      <c r="H28" s="229" t="str">
        <f t="shared" si="2"/>
        <v>&lt;li class="col-md-3"&gt;&lt;a class="text-cut" href="javascript:;"(click)="categoryEvent(2084024190)"&gt;{{"2084024190" | translate}}&lt;/a&gt;&lt;/li&gt;</v>
      </c>
    </row>
    <row r="29" spans="1:8" ht="14.25" customHeight="1">
      <c r="A29" s="155">
        <v>2084024146</v>
      </c>
      <c r="B29" s="155" t="s">
        <v>637</v>
      </c>
      <c r="C29" s="155" t="s">
        <v>6838</v>
      </c>
      <c r="D29" s="156" t="str">
        <f t="shared" si="0"/>
        <v>0,25464,2084024146</v>
      </c>
      <c r="E29" s="3" t="str">
        <f ca="1">IFERROR(__xludf.DUMMYFUNCTION("GOOGLETRANSLATE(B29,""ja"",""vi"")"),"đồ chơi giáo dục")</f>
        <v>đồ chơi giáo dục</v>
      </c>
      <c r="F29" s="3" t="str">
        <f ca="1">IFERROR(__xludf.DUMMYFUNCTION("GOOGLETRANSLATE(C29,""ja"",""vi"")"),"Đấu giá&gt; Đồ chơi, trò chơi&gt; Đồ chơi giáo dục")</f>
        <v>Đấu giá&gt; Đồ chơi, trò chơi&gt; Đồ chơi giáo dục</v>
      </c>
      <c r="G29" s="229" t="str">
        <f t="shared" ca="1" si="1"/>
        <v>"2084024146" : "đồ chơi giáo dục",</v>
      </c>
      <c r="H29" s="229" t="str">
        <f t="shared" si="2"/>
        <v>&lt;li class="col-md-3"&gt;&lt;a class="text-cut" href="javascript:;"(click)="categoryEvent(2084024146)"&gt;{{"2084024146" | translate}}&lt;/a&gt;&lt;/li&gt;</v>
      </c>
    </row>
    <row r="30" spans="1:8" ht="14.25" customHeight="1">
      <c r="A30" s="157">
        <v>2084024164</v>
      </c>
      <c r="B30" s="157" t="s">
        <v>6851</v>
      </c>
      <c r="C30" s="157" t="s">
        <v>6852</v>
      </c>
      <c r="D30" s="158" t="str">
        <f t="shared" si="0"/>
        <v>0,25464,2084024164</v>
      </c>
      <c r="E30" s="3" t="str">
        <f ca="1">IFERROR(__xludf.DUMMYFUNCTION("GOOGLETRANSLATE(B30,""ja"",""vi"")"),"đồ chơi điện tử")</f>
        <v>đồ chơi điện tử</v>
      </c>
      <c r="F30" s="3" t="str">
        <f ca="1">IFERROR(__xludf.DUMMYFUNCTION("GOOGLETRANSLATE(C30,""ja"",""vi"")"),"Đấu giá&gt; đồ chơi, trò chơi&gt; đồ chơi điện tử")</f>
        <v>Đấu giá&gt; đồ chơi, trò chơi&gt; đồ chơi điện tử</v>
      </c>
      <c r="G30" s="229" t="str">
        <f t="shared" ca="1" si="1"/>
        <v>"2084024164" : "đồ chơi điện tử",</v>
      </c>
      <c r="H30" s="229" t="str">
        <f t="shared" si="2"/>
        <v>&lt;li class="col-md-3"&gt;&lt;a class="text-cut" href="javascript:;"(click)="categoryEvent(2084024164)"&gt;{{"2084024164" | translate}}&lt;/a&gt;&lt;/li&gt;</v>
      </c>
    </row>
    <row r="31" spans="1:8" ht="14.25" customHeight="1">
      <c r="A31" s="159">
        <v>2084041664</v>
      </c>
      <c r="B31" s="159" t="s">
        <v>6865</v>
      </c>
      <c r="C31" s="159" t="s">
        <v>6866</v>
      </c>
      <c r="D31" s="160" t="str">
        <f t="shared" si="0"/>
        <v>0,25464,2084041664</v>
      </c>
      <c r="E31" s="3" t="str">
        <f ca="1">IFERROR(__xludf.DUMMYFUNCTION("GOOGLETRANSLATE(B31,""ja"",""vi"")"),"thiết bị sân chơi")</f>
        <v>thiết bị sân chơi</v>
      </c>
      <c r="F31" s="3" t="str">
        <f ca="1">IFERROR(__xludf.DUMMYFUNCTION("GOOGLETRANSLATE(C31,""ja"",""vi"")"),"Đấu giá&gt; đồ chơi, trò chơi&gt; sân chơi thiết bị")</f>
        <v>Đấu giá&gt; đồ chơi, trò chơi&gt; sân chơi thiết bị</v>
      </c>
      <c r="G31" s="229" t="str">
        <f t="shared" ca="1" si="1"/>
        <v>"2084041664" : "thiết bị sân chơi",</v>
      </c>
      <c r="H31" s="229" t="str">
        <f t="shared" si="2"/>
        <v>&lt;li class="col-md-3"&gt;&lt;a class="text-cut" href="javascript:;"(click)="categoryEvent(2084041664)"&gt;{{"2084041664" | translate}}&lt;/a&gt;&lt;/li&gt;</v>
      </c>
    </row>
    <row r="32" spans="1:8" ht="14.25" customHeight="1">
      <c r="A32" s="68">
        <v>26080</v>
      </c>
      <c r="B32" s="68" t="s">
        <v>6876</v>
      </c>
      <c r="C32" s="68" t="s">
        <v>6877</v>
      </c>
      <c r="D32" s="161" t="str">
        <f t="shared" si="0"/>
        <v>0,25464,26080</v>
      </c>
      <c r="E32" s="3" t="str">
        <f ca="1">IFERROR(__xludf.DUMMYFUNCTION("GOOGLETRANSLATE(B32,""ja"",""vi"")"),"bộ máy đồng hồ")</f>
        <v>bộ máy đồng hồ</v>
      </c>
      <c r="F32" s="3" t="str">
        <f ca="1">IFERROR(__xludf.DUMMYFUNCTION("GOOGLETRANSLATE(C32,""ja"",""vi"")"),"Đấu giá&gt; Đồ chơi, trò chơi&gt; clockwork")</f>
        <v>Đấu giá&gt; Đồ chơi, trò chơi&gt; clockwork</v>
      </c>
      <c r="G32" s="229" t="str">
        <f t="shared" ca="1" si="1"/>
        <v>"26080" : "bộ máy đồng hồ",</v>
      </c>
      <c r="H32" s="229" t="str">
        <f t="shared" si="2"/>
        <v>&lt;li class="col-md-3"&gt;&lt;a class="text-cut" href="javascript:;"(click)="categoryEvent(26080)"&gt;{{"26080" | translate}}&lt;/a&gt;&lt;/li&gt;</v>
      </c>
    </row>
    <row r="33" spans="1:8" ht="14.25" customHeight="1">
      <c r="A33" s="63">
        <v>26038</v>
      </c>
      <c r="B33" s="63" t="s">
        <v>5144</v>
      </c>
      <c r="C33" s="63" t="s">
        <v>6888</v>
      </c>
      <c r="D33" s="162" t="str">
        <f t="shared" si="0"/>
        <v>0,25464,26038</v>
      </c>
      <c r="E33" s="3" t="str">
        <f ca="1">IFERROR(__xludf.DUMMYFUNCTION("GOOGLETRANSLATE(B33,""ja"",""vi"")"),"SF")</f>
        <v>SF</v>
      </c>
      <c r="F33" s="3" t="str">
        <f ca="1">IFERROR(__xludf.DUMMYFUNCTION("GOOGLETRANSLATE(C33,""ja"",""vi"")"),"Đấu giá&gt; đồ chơi, trò chơi&gt; SF")</f>
        <v>Đấu giá&gt; đồ chơi, trò chơi&gt; SF</v>
      </c>
      <c r="G33" s="229" t="str">
        <f t="shared" ca="1" si="1"/>
        <v>"26038" : "SF",</v>
      </c>
      <c r="H33" s="229" t="str">
        <f t="shared" si="2"/>
        <v>&lt;li class="col-md-3"&gt;&lt;a class="text-cut" href="javascript:;"(click)="categoryEvent(26038)"&gt;{{"26038" | translate}}&lt;/a&gt;&lt;/li&gt;</v>
      </c>
    </row>
    <row r="34" spans="1:8" ht="14.25" customHeight="1">
      <c r="A34" s="59">
        <v>25872</v>
      </c>
      <c r="B34" s="59" t="s">
        <v>5975</v>
      </c>
      <c r="C34" s="59" t="s">
        <v>6894</v>
      </c>
      <c r="D34" s="163" t="str">
        <f t="shared" si="0"/>
        <v>0,25464,25872</v>
      </c>
      <c r="E34" s="3" t="str">
        <f ca="1">IFERROR(__xludf.DUMMYFUNCTION("GOOGLETRANSLATE(B34,""ja"",""vi"")"),"Thức ăn nhanh Toy")</f>
        <v>Thức ăn nhanh Toy</v>
      </c>
      <c r="F34" s="3" t="str">
        <f ca="1">IFERROR(__xludf.DUMMYFUNCTION("GOOGLETRANSLATE(C34,""ja"",""vi"")"),"Đấu giá&gt; đồ chơi, trò chơi&gt; fast-food đồ chơi")</f>
        <v>Đấu giá&gt; đồ chơi, trò chơi&gt; fast-food đồ chơi</v>
      </c>
      <c r="G34" s="229" t="str">
        <f t="shared" ca="1" si="1"/>
        <v>"25872" : "Thức ăn nhanh Toy",</v>
      </c>
      <c r="H34" s="229" t="str">
        <f t="shared" si="2"/>
        <v>&lt;li class="col-md-3"&gt;&lt;a class="text-cut" href="javascript:;"(click)="categoryEvent(25872)"&gt;{{"25872" | translate}}&lt;/a&gt;&lt;/li&gt;</v>
      </c>
    </row>
    <row r="35" spans="1:8" ht="14.25" customHeight="1">
      <c r="A35" s="53">
        <v>2084042420</v>
      </c>
      <c r="B35" s="53" t="s">
        <v>6291</v>
      </c>
      <c r="C35" s="53" t="s">
        <v>6904</v>
      </c>
      <c r="D35" s="164" t="str">
        <f t="shared" si="0"/>
        <v>0,25464,2084042420</v>
      </c>
      <c r="E35" s="3" t="str">
        <f ca="1">IFERROR(__xludf.DUMMYFUNCTION("GOOGLETRANSLATE(B35,""ja"",""vi"")"),"Chơi trong nước")</f>
        <v>Chơi trong nước</v>
      </c>
      <c r="F35" s="3" t="str">
        <f ca="1">IFERROR(__xludf.DUMMYFUNCTION("GOOGLETRANSLATE(C35,""ja"",""vi"")"),"Đấu giá&gt; đồ chơi, trò chơi&gt; chơi trong nước")</f>
        <v>Đấu giá&gt; đồ chơi, trò chơi&gt; chơi trong nước</v>
      </c>
      <c r="G35" s="229" t="str">
        <f t="shared" ca="1" si="1"/>
        <v>"2084042420" : "Chơi trong nước",</v>
      </c>
      <c r="H35" s="229" t="str">
        <f t="shared" si="2"/>
        <v>&lt;li class="col-md-3"&gt;&lt;a class="text-cut" href="javascript:;"(click)="categoryEvent(2084042420)"&gt;{{"2084042420" | translate}}&lt;/a&gt;&lt;/li&gt;</v>
      </c>
    </row>
    <row r="36" spans="1:8" ht="14.25" customHeight="1">
      <c r="A36" s="50">
        <v>2084315353</v>
      </c>
      <c r="B36" s="50" t="s">
        <v>6909</v>
      </c>
      <c r="C36" s="50" t="s">
        <v>6910</v>
      </c>
      <c r="D36" s="165" t="str">
        <f t="shared" si="0"/>
        <v>0,25464,2084315353</v>
      </c>
      <c r="E36" s="3" t="str">
        <f ca="1">IFERROR(__xludf.DUMMYFUNCTION("GOOGLETRANSLATE(B36,""ja"",""vi"")"),"pháo bông")</f>
        <v>pháo bông</v>
      </c>
      <c r="F36" s="3" t="str">
        <f ca="1">IFERROR(__xludf.DUMMYFUNCTION("GOOGLETRANSLATE(C36,""ja"",""vi"")"),"Đấu giá&gt; Đồ chơi, trò chơi&gt; pháo hoa")</f>
        <v>Đấu giá&gt; Đồ chơi, trò chơi&gt; pháo hoa</v>
      </c>
      <c r="G36" s="229" t="str">
        <f t="shared" ca="1" si="1"/>
        <v>"2084315353" : "pháo bông",</v>
      </c>
      <c r="H36" s="229" t="str">
        <f t="shared" si="2"/>
        <v>&lt;li class="col-md-3"&gt;&lt;a class="text-cut" href="javascript:;"(click)="categoryEvent(2084315353)"&gt;{{"2084315353" | translate}}&lt;/a&gt;&lt;/li&gt;</v>
      </c>
    </row>
    <row r="37" spans="1:8" ht="14.25" customHeight="1">
      <c r="A37" s="48">
        <v>2084307786</v>
      </c>
      <c r="B37" s="48" t="s">
        <v>6915</v>
      </c>
      <c r="C37" s="48" t="s">
        <v>6917</v>
      </c>
      <c r="D37" s="166" t="str">
        <f t="shared" si="0"/>
        <v>0,25464,2084307786</v>
      </c>
      <c r="E37" s="3" t="str">
        <f ca="1">IFERROR(__xludf.DUMMYFUNCTION("GOOGLETRANSLATE(B37,""ja"",""vi"")"),"cho thuê đồ chơi")</f>
        <v>cho thuê đồ chơi</v>
      </c>
      <c r="F37" s="3" t="str">
        <f ca="1">IFERROR(__xludf.DUMMYFUNCTION("GOOGLETRANSLATE(C37,""ja"",""vi"")"),"Đấu giá&gt; Đồ chơi, trò chơi&gt; Đồ chơi cho thuê")</f>
        <v>Đấu giá&gt; Đồ chơi, trò chơi&gt; Đồ chơi cho thuê</v>
      </c>
      <c r="G37" s="229" t="str">
        <f t="shared" ca="1" si="1"/>
        <v>"2084307786" : "cho thuê đồ chơi",</v>
      </c>
      <c r="H37" s="229" t="str">
        <f t="shared" si="2"/>
        <v>&lt;li class="col-md-3"&gt;&lt;a class="text-cut" href="javascript:;"(click)="categoryEvent(2084307786)"&gt;{{"2084307786" | translate}}&lt;/a&gt;&lt;/li&gt;</v>
      </c>
    </row>
    <row r="38" spans="1:8" ht="14.25" customHeight="1">
      <c r="A38" s="45">
        <v>2084307787</v>
      </c>
      <c r="B38" s="45" t="s">
        <v>6923</v>
      </c>
      <c r="C38" s="45" t="s">
        <v>6924</v>
      </c>
      <c r="D38" s="167" t="str">
        <f t="shared" si="0"/>
        <v>0,25464,2084307787</v>
      </c>
      <c r="E38" s="3" t="str">
        <f ca="1">IFERROR(__xludf.DUMMYFUNCTION("GOOGLETRANSLATE(B38,""ja"",""vi"")"),"cho thuê trò chơi")</f>
        <v>cho thuê trò chơi</v>
      </c>
      <c r="F38" s="3" t="str">
        <f ca="1">IFERROR(__xludf.DUMMYFUNCTION("GOOGLETRANSLATE(C38,""ja"",""vi"")"),"Đấu giá&gt; đồ chơi, trò chơi&gt; thuê trò chơi")</f>
        <v>Đấu giá&gt; đồ chơi, trò chơi&gt; thuê trò chơi</v>
      </c>
      <c r="G38" s="229" t="str">
        <f t="shared" ca="1" si="1"/>
        <v>"2084307787" : "cho thuê trò chơi",</v>
      </c>
      <c r="H38" s="229" t="str">
        <f t="shared" si="2"/>
        <v>&lt;li class="col-md-3"&gt;&lt;a class="text-cut" href="javascript:;"(click)="categoryEvent(2084307787)"&gt;{{"2084307787" | translate}}&lt;/a&gt;&lt;/li&gt;</v>
      </c>
    </row>
    <row r="39" spans="1:8" ht="14.25" customHeight="1">
      <c r="A39" s="43">
        <v>26082</v>
      </c>
      <c r="B39" s="43" t="s">
        <v>16</v>
      </c>
      <c r="C39" s="43" t="s">
        <v>6932</v>
      </c>
      <c r="D39" s="168" t="str">
        <f t="shared" si="0"/>
        <v>0,25464,26082</v>
      </c>
      <c r="E39" s="3" t="str">
        <f ca="1">IFERROR(__xludf.DUMMYFUNCTION("GOOGLETRANSLATE(B39,""ja"",""vi"")"),"nếu không thì")</f>
        <v>nếu không thì</v>
      </c>
      <c r="F39" s="3" t="str">
        <f ca="1">IFERROR(__xludf.DUMMYFUNCTION("GOOGLETRANSLATE(C39,""ja"",""vi"")"),"Đấu giá&gt; Đồ chơi, trò chơi&gt; Khác")</f>
        <v>Đấu giá&gt; Đồ chơi, trò chơi&gt; Khác</v>
      </c>
      <c r="G39" s="229" t="str">
        <f t="shared" ca="1" si="1"/>
        <v>"26082" : "nếu không thì",</v>
      </c>
      <c r="H39" s="229" t="str">
        <f t="shared" si="2"/>
        <v>&lt;li class="col-md-3"&gt;&lt;a class="text-cut" href="javascript:;"(click)="categoryEvent(26082)"&gt;{{"26082" | translate}}&lt;/a&gt;&lt;/li&gt;</v>
      </c>
    </row>
    <row r="40" spans="1:8" ht="14.25" customHeight="1">
      <c r="E40" s="3"/>
      <c r="F40" s="3"/>
      <c r="G40" s="229"/>
      <c r="H40" s="229"/>
    </row>
    <row r="41" spans="1:8" ht="14.25" customHeight="1">
      <c r="A41" s="231">
        <v>22844</v>
      </c>
      <c r="B41" s="232"/>
      <c r="C41" s="232"/>
      <c r="D41" s="233"/>
      <c r="E41" s="3"/>
      <c r="F41" s="3"/>
      <c r="G41" s="229"/>
      <c r="H41" s="229"/>
    </row>
    <row r="42" spans="1:8" ht="14.25" customHeight="1">
      <c r="A42" s="2">
        <v>2084315793</v>
      </c>
      <c r="B42" s="2" t="s">
        <v>6941</v>
      </c>
      <c r="C42" s="2" t="s">
        <v>6942</v>
      </c>
      <c r="D42" s="169" t="str">
        <f t="shared" ref="D42:D74" si="3">CONCATENATE("0,","25464,27727,22844,",A42)</f>
        <v>0,25464,27727,22844,2084315793</v>
      </c>
      <c r="E42" s="3" t="str">
        <f ca="1">IFERROR(__xludf.DUMMYFUNCTION("GOOGLETRANSLATE(B42,""ja"",""vi"")"),"Nintendo công tắc")</f>
        <v>Nintendo công tắc</v>
      </c>
      <c r="F42" s="3" t="str">
        <f ca="1">IFERROR(__xludf.DUMMYFUNCTION("GOOGLETRANSLATE(C42,""ja"",""vi"")"),"Đấu giá&gt; Đồ chơi, Trò chơi&gt; Trò chơi&gt; TV Trò chơi&gt; Nintendo switch")</f>
        <v>Đấu giá&gt; Đồ chơi, Trò chơi&gt; Trò chơi&gt; TV Trò chơi&gt; Nintendo switch</v>
      </c>
      <c r="G42" s="229" t="str">
        <f t="shared" ca="1" si="1"/>
        <v>"2084315793" : "Nintendo công tắc",</v>
      </c>
      <c r="H42" s="229" t="str">
        <f t="shared" si="2"/>
        <v>&lt;li class="col-md-3"&gt;&lt;a class="text-cut" href="javascript:;"(click)="categoryEvent(2084315793)"&gt;{{"2084315793" | translate}}&lt;/a&gt;&lt;/li&gt;</v>
      </c>
    </row>
    <row r="43" spans="1:8" ht="14.25" customHeight="1">
      <c r="A43" s="2">
        <v>2084315791</v>
      </c>
      <c r="B43" s="2" t="s">
        <v>6948</v>
      </c>
      <c r="C43" s="2" t="s">
        <v>6950</v>
      </c>
      <c r="D43" s="169" t="str">
        <f t="shared" si="3"/>
        <v>0,25464,27727,22844,2084315791</v>
      </c>
      <c r="E43" s="3" t="str">
        <f ca="1">IFERROR(__xludf.DUMMYFUNCTION("GOOGLETRANSLATE(B43,""ja"",""vi"")"),"Nintendo cổ điển Mini")</f>
        <v>Nintendo cổ điển Mini</v>
      </c>
      <c r="F43" s="3" t="str">
        <f ca="1">IFERROR(__xludf.DUMMYFUNCTION("GOOGLETRANSLATE(C43,""ja"",""vi"")"),"Đấu giá&gt; Đồ chơi, Trò chơi&gt; Trò chơi&gt; TV Trò chơi&gt; Nintendo cổ điển Mini")</f>
        <v>Đấu giá&gt; Đồ chơi, Trò chơi&gt; Trò chơi&gt; TV Trò chơi&gt; Nintendo cổ điển Mini</v>
      </c>
      <c r="G43" s="229" t="str">
        <f t="shared" ca="1" si="1"/>
        <v>"2084315791" : "Nintendo cổ điển Mini",</v>
      </c>
      <c r="H43" s="229" t="str">
        <f t="shared" si="2"/>
        <v>&lt;li class="col-md-3"&gt;&lt;a class="text-cut" href="javascript:;"(click)="categoryEvent(2084315791)"&gt;{{"2084315791" | translate}}&lt;/a&gt;&lt;/li&gt;</v>
      </c>
    </row>
    <row r="44" spans="1:8" ht="14.25" customHeight="1">
      <c r="A44" s="2">
        <v>2084290226</v>
      </c>
      <c r="B44" s="2" t="s">
        <v>6951</v>
      </c>
      <c r="C44" s="2" t="s">
        <v>6952</v>
      </c>
      <c r="D44" s="169" t="str">
        <f t="shared" si="3"/>
        <v>0,25464,27727,22844,2084290226</v>
      </c>
      <c r="E44" s="3" t="str">
        <f ca="1">IFERROR(__xludf.DUMMYFUNCTION("GOOGLETRANSLATE(B44,""ja"",""vi"")"),"Nintendo 3DS")</f>
        <v>Nintendo 3DS</v>
      </c>
      <c r="F44" s="3" t="str">
        <f ca="1">IFERROR(__xludf.DUMMYFUNCTION("GOOGLETRANSLATE(C44,""ja"",""vi"")"),"Đấu giá&gt; Đồ chơi, Trò chơi&gt; Trò chơi&gt; TV Trò chơi&gt; Nintendo 3DS")</f>
        <v>Đấu giá&gt; Đồ chơi, Trò chơi&gt; Trò chơi&gt; TV Trò chơi&gt; Nintendo 3DS</v>
      </c>
      <c r="G44" s="229" t="str">
        <f t="shared" ca="1" si="1"/>
        <v>"2084290226" : "Nintendo 3DS",</v>
      </c>
      <c r="H44" s="229" t="str">
        <f t="shared" si="2"/>
        <v>&lt;li class="col-md-3"&gt;&lt;a class="text-cut" href="javascript:;"(click)="categoryEvent(2084290226)"&gt;{{"2084290226" | translate}}&lt;/a&gt;&lt;/li&gt;</v>
      </c>
    </row>
    <row r="45" spans="1:8" ht="14.25" customHeight="1">
      <c r="A45" s="2">
        <v>2084056539</v>
      </c>
      <c r="B45" s="2" t="s">
        <v>6956</v>
      </c>
      <c r="C45" s="2" t="s">
        <v>6957</v>
      </c>
      <c r="D45" s="169" t="str">
        <f t="shared" si="3"/>
        <v>0,25464,27727,22844,2084056539</v>
      </c>
      <c r="E45" s="3" t="str">
        <f ca="1">IFERROR(__xludf.DUMMYFUNCTION("GOOGLETRANSLATE(B45,""ja"",""vi"")"),"Nintendo DS")</f>
        <v>Nintendo DS</v>
      </c>
      <c r="F45" s="3" t="str">
        <f ca="1">IFERROR(__xludf.DUMMYFUNCTION("GOOGLETRANSLATE(C45,""ja"",""vi"")"),"Đấu giá&gt; Đồ chơi, Trò chơi&gt; Trò chơi&gt; TV Trò chơi&gt; Nintendo DS")</f>
        <v>Đấu giá&gt; Đồ chơi, Trò chơi&gt; Trò chơi&gt; TV Trò chơi&gt; Nintendo DS</v>
      </c>
      <c r="G45" s="229" t="str">
        <f t="shared" ca="1" si="1"/>
        <v>"2084056539" : "Nintendo DS",</v>
      </c>
      <c r="H45" s="229" t="str">
        <f t="shared" si="2"/>
        <v>&lt;li class="col-md-3"&gt;&lt;a class="text-cut" href="javascript:;"(click)="categoryEvent(2084056539)"&gt;{{"2084056539" | translate}}&lt;/a&gt;&lt;/li&gt;</v>
      </c>
    </row>
    <row r="46" spans="1:8" ht="14.25" customHeight="1">
      <c r="A46" s="2">
        <v>2084310052</v>
      </c>
      <c r="B46" s="2" t="s">
        <v>6958</v>
      </c>
      <c r="C46" s="2" t="s">
        <v>6959</v>
      </c>
      <c r="D46" s="169" t="str">
        <f t="shared" si="3"/>
        <v>0,25464,27727,22844,2084310052</v>
      </c>
      <c r="E46" s="3" t="str">
        <f ca="1">IFERROR(__xludf.DUMMYFUNCTION("GOOGLETRANSLATE(B46,""ja"",""vi"")"),"Wii U")</f>
        <v>Wii U</v>
      </c>
      <c r="F46" s="3" t="str">
        <f ca="1">IFERROR(__xludf.DUMMYFUNCTION("GOOGLETRANSLATE(C46,""ja"",""vi"")"),"Đấu giá&gt; Đồ chơi, Trò chơi&gt; Trò chơi&gt; Video Games&gt; Wii U")</f>
        <v>Đấu giá&gt; Đồ chơi, Trò chơi&gt; Trò chơi&gt; Video Games&gt; Wii U</v>
      </c>
      <c r="G46" s="229" t="str">
        <f t="shared" ca="1" si="1"/>
        <v>"2084310052" : "Wii U",</v>
      </c>
      <c r="H46" s="229" t="str">
        <f t="shared" si="2"/>
        <v>&lt;li class="col-md-3"&gt;&lt;a class="text-cut" href="javascript:;"(click)="categoryEvent(2084310052)"&gt;{{"2084310052" | translate}}&lt;/a&gt;&lt;/li&gt;</v>
      </c>
    </row>
    <row r="47" spans="1:8" ht="14.25" customHeight="1">
      <c r="A47" s="2">
        <v>2084217064</v>
      </c>
      <c r="B47" s="2" t="s">
        <v>6963</v>
      </c>
      <c r="C47" s="2" t="s">
        <v>6964</v>
      </c>
      <c r="D47" s="169" t="str">
        <f t="shared" si="3"/>
        <v>0,25464,27727,22844,2084217064</v>
      </c>
      <c r="E47" s="3" t="str">
        <f ca="1">IFERROR(__xludf.DUMMYFUNCTION("GOOGLETRANSLATE(B47,""ja"",""vi"")"),"Wii")</f>
        <v>Wii</v>
      </c>
      <c r="F47" s="3" t="str">
        <f ca="1">IFERROR(__xludf.DUMMYFUNCTION("GOOGLETRANSLATE(C47,""ja"",""vi"")"),"Đấu giá&gt; Đồ chơi, Trò chơi&gt; Trò chơi&gt; Video Games&gt; Wii")</f>
        <v>Đấu giá&gt; Đồ chơi, Trò chơi&gt; Trò chơi&gt; Video Games&gt; Wii</v>
      </c>
      <c r="G47" s="229" t="str">
        <f t="shared" ca="1" si="1"/>
        <v>"2084217064" : "Wii",</v>
      </c>
      <c r="H47" s="229" t="str">
        <f t="shared" si="2"/>
        <v>&lt;li class="col-md-3"&gt;&lt;a class="text-cut" href="javascript:;"(click)="categoryEvent(2084217064)"&gt;{{"2084217064" | translate}}&lt;/a&gt;&lt;/li&gt;</v>
      </c>
    </row>
    <row r="48" spans="1:8" ht="14.25" customHeight="1">
      <c r="A48" s="2">
        <v>2084301277</v>
      </c>
      <c r="B48" s="2" t="s">
        <v>6968</v>
      </c>
      <c r="C48" s="2" t="s">
        <v>6969</v>
      </c>
      <c r="D48" s="169" t="str">
        <f t="shared" si="3"/>
        <v>0,25464,27727,22844,2084301277</v>
      </c>
      <c r="E48" s="3" t="str">
        <f ca="1">IFERROR(__xludf.DUMMYFUNCTION("GOOGLETRANSLATE(B48,""ja"",""vi"")"),"PS Vita")</f>
        <v>PS Vita</v>
      </c>
      <c r="F48" s="3" t="str">
        <f ca="1">IFERROR(__xludf.DUMMYFUNCTION("GOOGLETRANSLATE(C48,""ja"",""vi"")"),"Đấu giá&gt; Đồ chơi, Trò chơi&gt; Trò chơi&gt; Video Games&gt; PS Vita")</f>
        <v>Đấu giá&gt; Đồ chơi, Trò chơi&gt; Trò chơi&gt; Video Games&gt; PS Vita</v>
      </c>
      <c r="G48" s="229" t="str">
        <f t="shared" ca="1" si="1"/>
        <v>"2084301277" : "PS Vita",</v>
      </c>
      <c r="H48" s="229" t="str">
        <f t="shared" si="2"/>
        <v>&lt;li class="col-md-3"&gt;&lt;a class="text-cut" href="javascript:;"(click)="categoryEvent(2084301277)"&gt;{{"2084301277" | translate}}&lt;/a&gt;&lt;/li&gt;</v>
      </c>
    </row>
    <row r="49" spans="1:8" ht="14.25" customHeight="1">
      <c r="A49" s="2">
        <v>2084057109</v>
      </c>
      <c r="B49" s="2" t="s">
        <v>6971</v>
      </c>
      <c r="C49" s="2" t="s">
        <v>6973</v>
      </c>
      <c r="D49" s="169" t="str">
        <f t="shared" si="3"/>
        <v>0,25464,27727,22844,2084057109</v>
      </c>
      <c r="E49" s="3" t="str">
        <f ca="1">IFERROR(__xludf.DUMMYFUNCTION("GOOGLETRANSLATE(B49,""ja"",""vi"")"),"PSP (PlayStation Portable)")</f>
        <v>PSP (PlayStation Portable)</v>
      </c>
      <c r="F49" s="3" t="str">
        <f ca="1">IFERROR(__xludf.DUMMYFUNCTION("GOOGLETRANSLATE(C49,""ja"",""vi"")"),"Đấu giá&gt; Đồ chơi, Trò chơi&gt; Trò chơi&gt; Video Games&gt; PSP (PlayStation Portable)")</f>
        <v>Đấu giá&gt; Đồ chơi, Trò chơi&gt; Trò chơi&gt; Video Games&gt; PSP (PlayStation Portable)</v>
      </c>
      <c r="G49" s="229" t="str">
        <f t="shared" ca="1" si="1"/>
        <v>"2084057109" : "PSP (PlayStation Portable)",</v>
      </c>
      <c r="H49" s="229" t="str">
        <f t="shared" si="2"/>
        <v>&lt;li class="col-md-3"&gt;&lt;a class="text-cut" href="javascript:;"(click)="categoryEvent(2084057109)"&gt;{{"2084057109" | translate}}&lt;/a&gt;&lt;/li&gt;</v>
      </c>
    </row>
    <row r="50" spans="1:8" ht="14.25" customHeight="1">
      <c r="A50" s="2">
        <v>2084313826</v>
      </c>
      <c r="B50" s="2" t="s">
        <v>6978</v>
      </c>
      <c r="C50" s="2" t="s">
        <v>6979</v>
      </c>
      <c r="D50" s="169" t="str">
        <f t="shared" si="3"/>
        <v>0,25464,27727,22844,2084313826</v>
      </c>
      <c r="E50" s="3" t="str">
        <f ca="1">IFERROR(__xludf.DUMMYFUNCTION("GOOGLETRANSLATE(B50,""ja"",""vi"")"),"PlayStation 4")</f>
        <v>PlayStation 4</v>
      </c>
      <c r="F50" s="3" t="str">
        <f ca="1">IFERROR(__xludf.DUMMYFUNCTION("GOOGLETRANSLATE(C50,""ja"",""vi"")"),"Đấu giá&gt; Đồ chơi, Trò chơi&gt; Trò chơi&gt; TV Trò chơi&gt; PlayStation 4")</f>
        <v>Đấu giá&gt; Đồ chơi, Trò chơi&gt; Trò chơi&gt; TV Trò chơi&gt; PlayStation 4</v>
      </c>
      <c r="G50" s="229" t="str">
        <f t="shared" ca="1" si="1"/>
        <v>"2084313826" : "PlayStation 4",</v>
      </c>
      <c r="H50" s="229" t="str">
        <f t="shared" si="2"/>
        <v>&lt;li class="col-md-3"&gt;&lt;a class="text-cut" href="javascript:;"(click)="categoryEvent(2084313826)"&gt;{{"2084313826" | translate}}&lt;/a&gt;&lt;/li&gt;</v>
      </c>
    </row>
    <row r="51" spans="1:8" ht="14.25" customHeight="1">
      <c r="A51" s="2">
        <v>2084216435</v>
      </c>
      <c r="B51" s="2" t="s">
        <v>6985</v>
      </c>
      <c r="C51" s="2" t="s">
        <v>6986</v>
      </c>
      <c r="D51" s="169" t="str">
        <f t="shared" si="3"/>
        <v>0,25464,27727,22844,2084216435</v>
      </c>
      <c r="E51" s="3" t="str">
        <f ca="1">IFERROR(__xludf.DUMMYFUNCTION("GOOGLETRANSLATE(B51,""ja"",""vi"")"),"PlayStation 3")</f>
        <v>PlayStation 3</v>
      </c>
      <c r="F51" s="3" t="str">
        <f ca="1">IFERROR(__xludf.DUMMYFUNCTION("GOOGLETRANSLATE(C51,""ja"",""vi"")"),"Đấu giá&gt; Đồ chơi, Trò chơi&gt; Trò chơi&gt; TV Trò chơi&gt; PlayStation 3")</f>
        <v>Đấu giá&gt; Đồ chơi, Trò chơi&gt; Trò chơi&gt; TV Trò chơi&gt; PlayStation 3</v>
      </c>
      <c r="G51" s="229" t="str">
        <f t="shared" ca="1" si="1"/>
        <v>"2084216435" : "PlayStation 3",</v>
      </c>
      <c r="H51" s="229" t="str">
        <f t="shared" si="2"/>
        <v>&lt;li class="col-md-3"&gt;&lt;a class="text-cut" href="javascript:;"(click)="categoryEvent(2084216435)"&gt;{{"2084216435" | translate}}&lt;/a&gt;&lt;/li&gt;</v>
      </c>
    </row>
    <row r="52" spans="1:8" ht="14.25" customHeight="1">
      <c r="A52" s="2">
        <v>2084006668</v>
      </c>
      <c r="B52" s="2" t="s">
        <v>6988</v>
      </c>
      <c r="C52" s="2" t="s">
        <v>6990</v>
      </c>
      <c r="D52" s="169" t="str">
        <f t="shared" si="3"/>
        <v>0,25464,27727,22844,2084006668</v>
      </c>
      <c r="E52" s="3" t="str">
        <f ca="1">IFERROR(__xludf.DUMMYFUNCTION("GOOGLETRANSLATE(B52,""ja"",""vi"")"),"PlayStation 2")</f>
        <v>PlayStation 2</v>
      </c>
      <c r="F52" s="3" t="str">
        <f ca="1">IFERROR(__xludf.DUMMYFUNCTION("GOOGLETRANSLATE(C52,""ja"",""vi"")"),"Đấu giá&gt; Đồ chơi, Trò chơi&gt; Trò chơi&gt; TV Trò chơi&gt; PlayStation 2")</f>
        <v>Đấu giá&gt; Đồ chơi, Trò chơi&gt; Trò chơi&gt; TV Trò chơi&gt; PlayStation 2</v>
      </c>
      <c r="G52" s="229" t="str">
        <f t="shared" ca="1" si="1"/>
        <v>"2084006668" : "PlayStation 2",</v>
      </c>
      <c r="H52" s="229" t="str">
        <f t="shared" si="2"/>
        <v>&lt;li class="col-md-3"&gt;&lt;a class="text-cut" href="javascript:;"(click)="categoryEvent(2084006668)"&gt;{{"2084006668" | translate}}&lt;/a&gt;&lt;/li&gt;</v>
      </c>
    </row>
    <row r="53" spans="1:8" ht="14.25" customHeight="1">
      <c r="A53" s="2">
        <v>2084314664</v>
      </c>
      <c r="B53" s="2" t="s">
        <v>6994</v>
      </c>
      <c r="C53" s="2" t="s">
        <v>6995</v>
      </c>
      <c r="D53" s="169" t="str">
        <f t="shared" si="3"/>
        <v>0,25464,27727,22844,2084314664</v>
      </c>
      <c r="E53" s="3" t="str">
        <f ca="1">IFERROR(__xludf.DUMMYFUNCTION("GOOGLETRANSLATE(B53,""ja"",""vi"")"),"Xbox One")</f>
        <v>Xbox One</v>
      </c>
      <c r="F53" s="3" t="str">
        <f ca="1">IFERROR(__xludf.DUMMYFUNCTION("GOOGLETRANSLATE(C53,""ja"",""vi"")"),"Đấu giá&gt; Đồ chơi, Trò chơi&gt; Trò chơi&gt; Video Games&gt; Xbox One")</f>
        <v>Đấu giá&gt; Đồ chơi, Trò chơi&gt; Trò chơi&gt; Video Games&gt; Xbox One</v>
      </c>
      <c r="G53" s="229" t="str">
        <f t="shared" ca="1" si="1"/>
        <v>"2084314664" : "Xbox One",</v>
      </c>
      <c r="H53" s="229" t="str">
        <f t="shared" si="2"/>
        <v>&lt;li class="col-md-3"&gt;&lt;a class="text-cut" href="javascript:;"(click)="categoryEvent(2084314664)"&gt;{{"2084314664" | translate}}&lt;/a&gt;&lt;/li&gt;</v>
      </c>
    </row>
    <row r="54" spans="1:8" ht="14.25" customHeight="1">
      <c r="A54" s="2">
        <v>2084235546</v>
      </c>
      <c r="B54" s="2" t="s">
        <v>7001</v>
      </c>
      <c r="C54" s="2" t="s">
        <v>7002</v>
      </c>
      <c r="D54" s="169" t="str">
        <f t="shared" si="3"/>
        <v>0,25464,27727,22844,2084235546</v>
      </c>
      <c r="E54" s="3" t="str">
        <f ca="1">IFERROR(__xludf.DUMMYFUNCTION("GOOGLETRANSLATE(B54,""ja"",""vi"")"),"Xbox 360")</f>
        <v>Xbox 360</v>
      </c>
      <c r="F54" s="3" t="str">
        <f ca="1">IFERROR(__xludf.DUMMYFUNCTION("GOOGLETRANSLATE(C54,""ja"",""vi"")"),"Đấu giá&gt; Đồ chơi, Trò chơi&gt; Trò chơi&gt; Video Games&gt; Xbox 360")</f>
        <v>Đấu giá&gt; Đồ chơi, Trò chơi&gt; Trò chơi&gt; Video Games&gt; Xbox 360</v>
      </c>
      <c r="G54" s="229" t="str">
        <f t="shared" ca="1" si="1"/>
        <v>"2084235546" : "Xbox 360",</v>
      </c>
      <c r="H54" s="229" t="str">
        <f t="shared" si="2"/>
        <v>&lt;li class="col-md-3"&gt;&lt;a class="text-cut" href="javascript:;"(click)="categoryEvent(2084235546)"&gt;{{"2084235546" | translate}}&lt;/a&gt;&lt;/li&gt;</v>
      </c>
    </row>
    <row r="55" spans="1:8" ht="14.25" customHeight="1">
      <c r="A55" s="2">
        <v>22860</v>
      </c>
      <c r="B55" s="2" t="s">
        <v>7009</v>
      </c>
      <c r="C55" s="2" t="s">
        <v>7010</v>
      </c>
      <c r="D55" s="169" t="str">
        <f t="shared" si="3"/>
        <v>0,25464,27727,22844,22860</v>
      </c>
      <c r="E55" s="3" t="str">
        <f ca="1">IFERROR(__xludf.DUMMYFUNCTION("GOOGLETRANSLATE(B55,""ja"",""vi"")"),"Playstation")</f>
        <v>Playstation</v>
      </c>
      <c r="F55" s="3" t="str">
        <f ca="1">IFERROR(__xludf.DUMMYFUNCTION("GOOGLETRANSLATE(C55,""ja"",""vi"")"),"Đấu giá&gt; Đồ chơi, Trò chơi&gt; Trò chơi&gt; TV Trò chơi&gt; PlayStation")</f>
        <v>Đấu giá&gt; Đồ chơi, Trò chơi&gt; Trò chơi&gt; TV Trò chơi&gt; PlayStation</v>
      </c>
      <c r="G55" s="229" t="str">
        <f t="shared" ca="1" si="1"/>
        <v>"22860" : "Playstation",</v>
      </c>
      <c r="H55" s="229" t="str">
        <f t="shared" si="2"/>
        <v>&lt;li class="col-md-3"&gt;&lt;a class="text-cut" href="javascript:;"(click)="categoryEvent(22860)"&gt;{{"22860" | translate}}&lt;/a&gt;&lt;/li&gt;</v>
      </c>
    </row>
    <row r="56" spans="1:8" ht="14.25" customHeight="1">
      <c r="A56" s="2">
        <v>2084041580</v>
      </c>
      <c r="B56" s="2" t="s">
        <v>7015</v>
      </c>
      <c r="C56" s="2" t="s">
        <v>7017</v>
      </c>
      <c r="D56" s="169" t="str">
        <f t="shared" si="3"/>
        <v>0,25464,27727,22844,2084041580</v>
      </c>
      <c r="E56" s="3" t="str">
        <f ca="1">IFERROR(__xludf.DUMMYFUNCTION("GOOGLETRANSLATE(B56,""ja"",""vi"")"),"Game Boy Advance")</f>
        <v>Game Boy Advance</v>
      </c>
      <c r="F56" s="3" t="str">
        <f ca="1">IFERROR(__xludf.DUMMYFUNCTION("GOOGLETRANSLATE(C56,""ja"",""vi"")"),"Đấu giá&gt; Đồ chơi, Trò chơi&gt; Trò chơi&gt; TV Trò chơi&gt; Game Boy Advance")</f>
        <v>Đấu giá&gt; Đồ chơi, Trò chơi&gt; Trò chơi&gt; TV Trò chơi&gt; Game Boy Advance</v>
      </c>
      <c r="G56" s="229" t="str">
        <f t="shared" ca="1" si="1"/>
        <v>"2084041580" : "Game Boy Advance",</v>
      </c>
      <c r="H56" s="229" t="str">
        <f t="shared" si="2"/>
        <v>&lt;li class="col-md-3"&gt;&lt;a class="text-cut" href="javascript:;"(click)="categoryEvent(2084041580)"&gt;{{"2084041580" | translate}}&lt;/a&gt;&lt;/li&gt;</v>
      </c>
    </row>
    <row r="57" spans="1:8" ht="14.25" customHeight="1">
      <c r="A57" s="2">
        <v>2084063616</v>
      </c>
      <c r="B57" s="2" t="s">
        <v>7020</v>
      </c>
      <c r="C57" s="2" t="s">
        <v>7023</v>
      </c>
      <c r="D57" s="169" t="str">
        <f t="shared" si="3"/>
        <v>0,25464,27727,22844,2084063616</v>
      </c>
      <c r="E57" s="3" t="str">
        <f ca="1">IFERROR(__xludf.DUMMYFUNCTION("GOOGLETRANSLATE(B57,""ja"",""vi"")"),"Game Boy Micro")</f>
        <v>Game Boy Micro</v>
      </c>
      <c r="F57" s="3" t="str">
        <f ca="1">IFERROR(__xludf.DUMMYFUNCTION("GOOGLETRANSLATE(C57,""ja"",""vi"")"),"Đấu giá&gt; Đồ chơi, Trò chơi&gt; Trò chơi&gt; TV Trò chơi&gt; Game Boy Micro")</f>
        <v>Đấu giá&gt; Đồ chơi, Trò chơi&gt; Trò chơi&gt; TV Trò chơi&gt; Game Boy Micro</v>
      </c>
      <c r="G57" s="229" t="str">
        <f t="shared" ca="1" si="1"/>
        <v>"2084063616" : "Game Boy Micro",</v>
      </c>
      <c r="H57" s="229" t="str">
        <f t="shared" si="2"/>
        <v>&lt;li class="col-md-3"&gt;&lt;a class="text-cut" href="javascript:;"(click)="categoryEvent(2084063616)"&gt;{{"2084063616" | translate}}&lt;/a&gt;&lt;/li&gt;</v>
      </c>
    </row>
    <row r="58" spans="1:8" ht="14.25" customHeight="1">
      <c r="A58" s="2">
        <v>27812</v>
      </c>
      <c r="B58" s="2" t="s">
        <v>7025</v>
      </c>
      <c r="C58" s="2" t="s">
        <v>7027</v>
      </c>
      <c r="D58" s="169" t="str">
        <f t="shared" si="3"/>
        <v>0,25464,27727,22844,27812</v>
      </c>
      <c r="E58" s="3" t="str">
        <f ca="1">IFERROR(__xludf.DUMMYFUNCTION("GOOGLETRANSLATE(B58,""ja"",""vi"")"),"game Boy")</f>
        <v>game Boy</v>
      </c>
      <c r="F58" s="3" t="str">
        <f ca="1">IFERROR(__xludf.DUMMYFUNCTION("GOOGLETRANSLATE(C58,""ja"",""vi"")"),"Đấu giá&gt; Đồ chơi, Trò chơi&gt; Trò chơi&gt; TV Trò chơi&gt; Game Boy")</f>
        <v>Đấu giá&gt; Đồ chơi, Trò chơi&gt; Trò chơi&gt; TV Trò chơi&gt; Game Boy</v>
      </c>
      <c r="G58" s="229" t="str">
        <f t="shared" ca="1" si="1"/>
        <v>"27812" : "game Boy",</v>
      </c>
      <c r="H58" s="229" t="str">
        <f t="shared" si="2"/>
        <v>&lt;li class="col-md-3"&gt;&lt;a class="text-cut" href="javascript:;"(click)="categoryEvent(27812)"&gt;{{"27812" | translate}}&lt;/a&gt;&lt;/li&gt;</v>
      </c>
    </row>
    <row r="59" spans="1:8" ht="14.25" customHeight="1">
      <c r="A59" s="2">
        <v>2084045784</v>
      </c>
      <c r="B59" s="2" t="s">
        <v>7031</v>
      </c>
      <c r="C59" s="2" t="s">
        <v>7033</v>
      </c>
      <c r="D59" s="169" t="str">
        <f t="shared" si="3"/>
        <v>0,25464,27727,22844,2084045784</v>
      </c>
      <c r="E59" s="3" t="str">
        <f ca="1">IFERROR(__xludf.DUMMYFUNCTION("GOOGLETRANSLATE(B59,""ja"",""vi"")"),"GameCube")</f>
        <v>GameCube</v>
      </c>
      <c r="F59" s="3" t="str">
        <f ca="1">IFERROR(__xludf.DUMMYFUNCTION("GOOGLETRANSLATE(C59,""ja"",""vi"")"),"Đấu giá&gt; Đồ chơi, Trò chơi&gt; Trò chơi&gt; TV Trò chơi&gt; GameCube")</f>
        <v>Đấu giá&gt; Đồ chơi, Trò chơi&gt; Trò chơi&gt; TV Trò chơi&gt; GameCube</v>
      </c>
      <c r="G59" s="229" t="str">
        <f t="shared" ca="1" si="1"/>
        <v>"2084045784" : "GameCube",</v>
      </c>
      <c r="H59" s="229" t="str">
        <f t="shared" si="2"/>
        <v>&lt;li class="col-md-3"&gt;&lt;a class="text-cut" href="javascript:;"(click)="categoryEvent(2084045784)"&gt;{{"2084045784" | translate}}&lt;/a&gt;&lt;/li&gt;</v>
      </c>
    </row>
    <row r="60" spans="1:8" ht="14.25" customHeight="1">
      <c r="A60" s="2">
        <v>22850</v>
      </c>
      <c r="B60" s="2" t="s">
        <v>7038</v>
      </c>
      <c r="C60" s="2" t="s">
        <v>7039</v>
      </c>
      <c r="D60" s="169" t="str">
        <f t="shared" si="3"/>
        <v>0,25464,27727,22844,22850</v>
      </c>
      <c r="E60" s="3" t="str">
        <f ca="1">IFERROR(__xludf.DUMMYFUNCTION("GOOGLETRANSLATE(B60,""ja"",""vi"")"),"NINTENDO 64")</f>
        <v>NINTENDO 64</v>
      </c>
      <c r="F60" s="3" t="str">
        <f ca="1">IFERROR(__xludf.DUMMYFUNCTION("GOOGLETRANSLATE(C60,""ja"",""vi"")"),"Đấu giá&gt; Đồ chơi, Trò chơi&gt; Trò chơi&gt; Video Games&gt; NINTENDO 64")</f>
        <v>Đấu giá&gt; Đồ chơi, Trò chơi&gt; Trò chơi&gt; Video Games&gt; NINTENDO 64</v>
      </c>
      <c r="G60" s="229" t="str">
        <f t="shared" ca="1" si="1"/>
        <v>"22850" : "NINTENDO 64",</v>
      </c>
      <c r="H60" s="229" t="str">
        <f t="shared" si="2"/>
        <v>&lt;li class="col-md-3"&gt;&lt;a class="text-cut" href="javascript:;"(click)="categoryEvent(22850)"&gt;{{"22850" | translate}}&lt;/a&gt;&lt;/li&gt;</v>
      </c>
    </row>
    <row r="61" spans="1:8" ht="14.25" customHeight="1">
      <c r="A61" s="2">
        <v>22852</v>
      </c>
      <c r="B61" s="2" t="s">
        <v>7044</v>
      </c>
      <c r="C61" s="2" t="s">
        <v>7046</v>
      </c>
      <c r="D61" s="169" t="str">
        <f t="shared" si="3"/>
        <v>0,25464,27727,22844,22852</v>
      </c>
      <c r="E61" s="3" t="str">
        <f ca="1">IFERROR(__xludf.DUMMYFUNCTION("GOOGLETRANSLATE(B61,""ja"",""vi"")"),"Hệ thống Super Nintendo Entertainment")</f>
        <v>Hệ thống Super Nintendo Entertainment</v>
      </c>
      <c r="F61" s="3" t="str">
        <f ca="1">IFERROR(__xludf.DUMMYFUNCTION("GOOGLETRANSLATE(C61,""ja"",""vi"")"),"Đấu giá&gt; Đồ chơi, Trò chơi&gt; Trò chơi&gt; TV Trò chơi&gt; Hệ thống Super Nintendo Entertainment")</f>
        <v>Đấu giá&gt; Đồ chơi, Trò chơi&gt; Trò chơi&gt; TV Trò chơi&gt; Hệ thống Super Nintendo Entertainment</v>
      </c>
      <c r="G61" s="229" t="str">
        <f t="shared" ca="1" si="1"/>
        <v>"22852" : "Hệ thống Super Nintendo Entertainment",</v>
      </c>
      <c r="H61" s="229" t="str">
        <f t="shared" si="2"/>
        <v>&lt;li class="col-md-3"&gt;&lt;a class="text-cut" href="javascript:;"(click)="categoryEvent(22852)"&gt;{{"22852" | translate}}&lt;/a&gt;&lt;/li&gt;</v>
      </c>
    </row>
    <row r="62" spans="1:8" ht="14.25" customHeight="1">
      <c r="A62" s="2">
        <v>22853</v>
      </c>
      <c r="B62" s="2" t="s">
        <v>7049</v>
      </c>
      <c r="C62" s="2" t="s">
        <v>7051</v>
      </c>
      <c r="D62" s="169" t="str">
        <f t="shared" si="3"/>
        <v>0,25464,27727,22844,22853</v>
      </c>
      <c r="E62" s="3" t="str">
        <f ca="1">IFERROR(__xludf.DUMMYFUNCTION("GOOGLETRANSLATE(B62,""ja"",""vi"")"),"NES")</f>
        <v>NES</v>
      </c>
      <c r="F62" s="3" t="str">
        <f ca="1">IFERROR(__xludf.DUMMYFUNCTION("GOOGLETRANSLATE(C62,""ja"",""vi"")"),"Đấu giá&gt; Đồ chơi, Trò chơi&gt; Trò chơi&gt; TV Trò chơi&gt; NES")</f>
        <v>Đấu giá&gt; Đồ chơi, Trò chơi&gt; Trò chơi&gt; TV Trò chơi&gt; NES</v>
      </c>
      <c r="G62" s="229" t="str">
        <f t="shared" ca="1" si="1"/>
        <v>"22853" : "NES",</v>
      </c>
      <c r="H62" s="229" t="str">
        <f t="shared" si="2"/>
        <v>&lt;li class="col-md-3"&gt;&lt;a class="text-cut" href="javascript:;"(click)="categoryEvent(22853)"&gt;{{"22853" | translate}}&lt;/a&gt;&lt;/li&gt;</v>
      </c>
    </row>
    <row r="63" spans="1:8" ht="14.25" customHeight="1">
      <c r="A63" s="2">
        <v>2084047852</v>
      </c>
      <c r="B63" s="2" t="s">
        <v>7054</v>
      </c>
      <c r="C63" s="2" t="s">
        <v>7055</v>
      </c>
      <c r="D63" s="169" t="str">
        <f t="shared" si="3"/>
        <v>0,25464,27727,22844,2084047852</v>
      </c>
      <c r="E63" s="3" t="str">
        <f ca="1">IFERROR(__xludf.DUMMYFUNCTION("GOOGLETRANSLATE(B63,""ja"",""vi"")"),"Xbox")</f>
        <v>Xbox</v>
      </c>
      <c r="F63" s="3" t="str">
        <f ca="1">IFERROR(__xludf.DUMMYFUNCTION("GOOGLETRANSLATE(C63,""ja"",""vi"")"),"Đấu giá&gt; Đồ chơi, Trò chơi&gt; Trò chơi&gt; Video Games&gt; Xbox")</f>
        <v>Đấu giá&gt; Đồ chơi, Trò chơi&gt; Trò chơi&gt; Video Games&gt; Xbox</v>
      </c>
      <c r="G63" s="229" t="str">
        <f t="shared" ca="1" si="1"/>
        <v>"2084047852" : "Xbox",</v>
      </c>
      <c r="H63" s="229" t="str">
        <f t="shared" si="2"/>
        <v>&lt;li class="col-md-3"&gt;&lt;a class="text-cut" href="javascript:;"(click)="categoryEvent(2084047852)"&gt;{{"2084047852" | translate}}&lt;/a&gt;&lt;/li&gt;</v>
      </c>
    </row>
    <row r="64" spans="1:8" ht="14.25" customHeight="1">
      <c r="A64" s="2">
        <v>40505</v>
      </c>
      <c r="B64" s="2" t="s">
        <v>7058</v>
      </c>
      <c r="C64" s="2" t="s">
        <v>7059</v>
      </c>
      <c r="D64" s="169" t="str">
        <f t="shared" si="3"/>
        <v>0,25464,27727,22844,40505</v>
      </c>
      <c r="E64" s="3" t="str">
        <f ca="1">IFERROR(__xludf.DUMMYFUNCTION("GOOGLETRANSLATE(B64,""ja"",""vi"")"),"Sega")</f>
        <v>Sega</v>
      </c>
      <c r="F64" s="3" t="str">
        <f ca="1">IFERROR(__xludf.DUMMYFUNCTION("GOOGLETRANSLATE(C64,""ja"",""vi"")"),"Đấu giá&gt; Đồ chơi, Trò chơi&gt; Trò chơi&gt; TV Trò chơi&gt; Sega")</f>
        <v>Đấu giá&gt; Đồ chơi, Trò chơi&gt; Trò chơi&gt; TV Trò chơi&gt; Sega</v>
      </c>
      <c r="G64" s="229" t="str">
        <f t="shared" ca="1" si="1"/>
        <v>"40505" : "Sega",</v>
      </c>
      <c r="H64" s="229" t="str">
        <f t="shared" si="2"/>
        <v>&lt;li class="col-md-3"&gt;&lt;a class="text-cut" href="javascript:;"(click)="categoryEvent(40505)"&gt;{{"40505" | translate}}&lt;/a&gt;&lt;/li&gt;</v>
      </c>
    </row>
    <row r="65" spans="1:8" ht="14.25" customHeight="1">
      <c r="A65" s="2">
        <v>2084005537</v>
      </c>
      <c r="B65" s="2" t="s">
        <v>7060</v>
      </c>
      <c r="C65" s="2" t="s">
        <v>7061</v>
      </c>
      <c r="D65" s="169" t="str">
        <f t="shared" si="3"/>
        <v>0,25464,27727,22844,2084005537</v>
      </c>
      <c r="E65" s="3" t="str">
        <f ca="1">IFERROR(__xludf.DUMMYFUNCTION("GOOGLETRANSLATE(B65,""ja"",""vi"")"),"NeoGeo")</f>
        <v>NeoGeo</v>
      </c>
      <c r="F65" s="3" t="str">
        <f ca="1">IFERROR(__xludf.DUMMYFUNCTION("GOOGLETRANSLATE(C65,""ja"",""vi"")"),"Đấu giá&gt; Đồ chơi, Trò chơi&gt; Trò chơi&gt; TV Trò chơi&gt; NeoGeo")</f>
        <v>Đấu giá&gt; Đồ chơi, Trò chơi&gt; Trò chơi&gt; TV Trò chơi&gt; NeoGeo</v>
      </c>
      <c r="G65" s="229" t="str">
        <f t="shared" ca="1" si="1"/>
        <v>"2084005537" : "NeoGeo",</v>
      </c>
      <c r="H65" s="229" t="str">
        <f t="shared" si="2"/>
        <v>&lt;li class="col-md-3"&gt;&lt;a class="text-cut" href="javascript:;"(click)="categoryEvent(2084005537)"&gt;{{"2084005537" | translate}}&lt;/a&gt;&lt;/li&gt;</v>
      </c>
    </row>
    <row r="66" spans="1:8" ht="14.25" customHeight="1">
      <c r="A66" s="2">
        <v>2084005532</v>
      </c>
      <c r="B66" s="2" t="s">
        <v>7064</v>
      </c>
      <c r="C66" s="2" t="s">
        <v>7066</v>
      </c>
      <c r="D66" s="169" t="str">
        <f t="shared" si="3"/>
        <v>0,25464,27727,22844,2084005532</v>
      </c>
      <c r="E66" s="3" t="str">
        <f ca="1">IFERROR(__xludf.DUMMYFUNCTION("GOOGLETRANSLATE(B66,""ja"",""vi"")"),"3DO")</f>
        <v>3DO</v>
      </c>
      <c r="F66" s="3" t="str">
        <f ca="1">IFERROR(__xludf.DUMMYFUNCTION("GOOGLETRANSLATE(C66,""ja"",""vi"")"),"Đấu giá&gt; Đồ chơi, Trò chơi&gt; Trò chơi&gt; Video Games&gt; 3DO")</f>
        <v>Đấu giá&gt; Đồ chơi, Trò chơi&gt; Trò chơi&gt; Video Games&gt; 3DO</v>
      </c>
      <c r="G66" s="229" t="str">
        <f t="shared" ca="1" si="1"/>
        <v>"2084005532" : "3DO",</v>
      </c>
      <c r="H66" s="229" t="str">
        <f t="shared" si="2"/>
        <v>&lt;li class="col-md-3"&gt;&lt;a class="text-cut" href="javascript:;"(click)="categoryEvent(2084005532)"&gt;{{"2084005532" | translate}}&lt;/a&gt;&lt;/li&gt;</v>
      </c>
    </row>
    <row r="67" spans="1:8" ht="14.25" customHeight="1">
      <c r="A67" s="2">
        <v>2084006676</v>
      </c>
      <c r="B67" s="2" t="s">
        <v>7067</v>
      </c>
      <c r="C67" s="2" t="s">
        <v>7069</v>
      </c>
      <c r="D67" s="169" t="str">
        <f t="shared" si="3"/>
        <v>0,25464,27727,22844,2084006676</v>
      </c>
      <c r="E67" s="3" t="str">
        <f ca="1">IFERROR(__xludf.DUMMYFUNCTION("GOOGLETRANSLATE(B67,""ja"",""vi"")"),"NEC")</f>
        <v>NEC</v>
      </c>
      <c r="F67" s="3" t="str">
        <f ca="1">IFERROR(__xludf.DUMMYFUNCTION("GOOGLETRANSLATE(C67,""ja"",""vi"")"),"Đấu giá&gt; Đồ chơi, Trò chơi&gt; Trò chơi&gt; video game&gt; NEC")</f>
        <v>Đấu giá&gt; Đồ chơi, Trò chơi&gt; Trò chơi&gt; video game&gt; NEC</v>
      </c>
      <c r="G67" s="229" t="str">
        <f t="shared" ref="G67:G130" ca="1" si="4">CONCATENATE(CHAR(34)&amp;"",A67,""&amp;CHAR(34)," : ", CHAR(34)&amp;"",E67,""&amp;CHAR(34),",")</f>
        <v>"2084006676" : "NEC",</v>
      </c>
      <c r="H67" s="229" t="str">
        <f t="shared" ref="H67:H130" si="5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href="javascript:;"(click)="categoryEvent(2084006676)"&gt;{{"2084006676" | translate}}&lt;/a&gt;&lt;/li&gt;</v>
      </c>
    </row>
    <row r="68" spans="1:8" ht="14.25" customHeight="1">
      <c r="A68" s="2">
        <v>22864</v>
      </c>
      <c r="B68" s="2" t="s">
        <v>7071</v>
      </c>
      <c r="C68" s="2" t="s">
        <v>7073</v>
      </c>
      <c r="D68" s="169" t="str">
        <f t="shared" si="3"/>
        <v>0,25464,27727,22844,22864</v>
      </c>
      <c r="E68" s="3" t="str">
        <f ca="1">IFERROR(__xludf.DUMMYFUNCTION("GOOGLETRANSLATE(B68,""ja"",""vi"")"),"di động")</f>
        <v>di động</v>
      </c>
      <c r="F68" s="3" t="str">
        <f ca="1">IFERROR(__xludf.DUMMYFUNCTION("GOOGLETRANSLATE(C68,""ja"",""vi"")"),"Đấu giá&gt; Đồ chơi, Trò chơi&gt; Trò chơi&gt; TV Trò chơi&gt; xách tay")</f>
        <v>Đấu giá&gt; Đồ chơi, Trò chơi&gt; Trò chơi&gt; TV Trò chơi&gt; xách tay</v>
      </c>
      <c r="G68" s="229" t="str">
        <f t="shared" ca="1" si="4"/>
        <v>"22864" : "di động",</v>
      </c>
      <c r="H68" s="229" t="str">
        <f t="shared" si="5"/>
        <v>&lt;li class="col-md-3"&gt;&lt;a class="text-cut" href="javascript:;"(click)="categoryEvent(22864)"&gt;{{"22864" | translate}}&lt;/a&gt;&lt;/li&gt;</v>
      </c>
    </row>
    <row r="69" spans="1:8" ht="14.25" customHeight="1">
      <c r="A69" s="2">
        <v>2084047781</v>
      </c>
      <c r="B69" s="2" t="s">
        <v>7074</v>
      </c>
      <c r="C69" s="2" t="s">
        <v>7076</v>
      </c>
      <c r="D69" s="169" t="str">
        <f t="shared" si="3"/>
        <v>0,25464,27727,22844,2084047781</v>
      </c>
      <c r="E69" s="3" t="str">
        <f ca="1">IFERROR(__xludf.DUMMYFUNCTION("GOOGLETRANSLATE(B69,""ja"",""vi"")"),"Arcade trò chơi")</f>
        <v>Arcade trò chơi</v>
      </c>
      <c r="F69" s="3" t="str">
        <f ca="1">IFERROR(__xludf.DUMMYFUNCTION("GOOGLETRANSLATE(C69,""ja"",""vi"")"),"Đấu giá&gt; Đồ chơi, Trò chơi&gt; Trò chơi&gt; TV Trò chơi&gt; Trò chơi")</f>
        <v>Đấu giá&gt; Đồ chơi, Trò chơi&gt; Trò chơi&gt; TV Trò chơi&gt; Trò chơi</v>
      </c>
      <c r="G69" s="229" t="str">
        <f t="shared" ca="1" si="4"/>
        <v>"2084047781" : "Arcade trò chơi",</v>
      </c>
      <c r="H69" s="229" t="str">
        <f t="shared" si="5"/>
        <v>&lt;li class="col-md-3"&gt;&lt;a class="text-cut" href="javascript:;"(click)="categoryEvent(2084047781)"&gt;{{"2084047781" | translate}}&lt;/a&gt;&lt;/li&gt;</v>
      </c>
    </row>
    <row r="70" spans="1:8" ht="14.25" customHeight="1">
      <c r="A70" s="2">
        <v>2084005147</v>
      </c>
      <c r="B70" s="2" t="s">
        <v>7079</v>
      </c>
      <c r="C70" s="2" t="s">
        <v>7080</v>
      </c>
      <c r="D70" s="169" t="str">
        <f t="shared" si="3"/>
        <v>0,25464,27727,22844,2084005147</v>
      </c>
      <c r="E70" s="3" t="str">
        <f ca="1">IFERROR(__xludf.DUMMYFUNCTION("GOOGLETRANSLATE(B70,""ja"",""vi"")"),"CD nhạc trò chơi")</f>
        <v>CD nhạc trò chơi</v>
      </c>
      <c r="F70" s="3" t="str">
        <f ca="1">IFERROR(__xludf.DUMMYFUNCTION("GOOGLETRANSLATE(C70,""ja"",""vi"")"),"Đấu giá&gt; Đồ chơi, Trò chơi&gt; Trò chơi&gt; TV Trò chơi&gt; CD trò chơi âm nhạc")</f>
        <v>Đấu giá&gt; Đồ chơi, Trò chơi&gt; Trò chơi&gt; TV Trò chơi&gt; CD trò chơi âm nhạc</v>
      </c>
      <c r="G70" s="229" t="str">
        <f t="shared" ca="1" si="4"/>
        <v>"2084005147" : "CD nhạc trò chơi",</v>
      </c>
      <c r="H70" s="229" t="str">
        <f t="shared" si="5"/>
        <v>&lt;li class="col-md-3"&gt;&lt;a class="text-cut" href="javascript:;"(click)="categoryEvent(2084005147)"&gt;{{"2084005147" | translate}}&lt;/a&gt;&lt;/li&gt;</v>
      </c>
    </row>
    <row r="71" spans="1:8" ht="14.25" customHeight="1">
      <c r="A71" s="2">
        <v>2084009067</v>
      </c>
      <c r="B71" s="2" t="s">
        <v>7084</v>
      </c>
      <c r="C71" s="2" t="s">
        <v>7085</v>
      </c>
      <c r="D71" s="169" t="str">
        <f t="shared" si="3"/>
        <v>0,25464,27727,22844,2084009067</v>
      </c>
      <c r="E71" s="3" t="str">
        <f ca="1">IFERROR(__xludf.DUMMYFUNCTION("GOOGLETRANSLATE(B71,""ja"",""vi"")"),"Chiến lược trò chơi")</f>
        <v>Chiến lược trò chơi</v>
      </c>
      <c r="F71" s="3" t="str">
        <f ca="1">IFERROR(__xludf.DUMMYFUNCTION("GOOGLETRANSLATE(C71,""ja"",""vi"")"),"Đấu giá&gt; Đồ chơi, Trò chơi&gt; Trò chơi&gt; TV Trò chơi&gt; Chiến lược Game")</f>
        <v>Đấu giá&gt; Đồ chơi, Trò chơi&gt; Trò chơi&gt; TV Trò chơi&gt; Chiến lược Game</v>
      </c>
      <c r="G71" s="229" t="str">
        <f t="shared" ca="1" si="4"/>
        <v>"2084009067" : "Chiến lược trò chơi",</v>
      </c>
      <c r="H71" s="229" t="str">
        <f t="shared" si="5"/>
        <v>&lt;li class="col-md-3"&gt;&lt;a class="text-cut" href="javascript:;"(click)="categoryEvent(2084009067)"&gt;{{"2084009067" | translate}}&lt;/a&gt;&lt;/li&gt;</v>
      </c>
    </row>
    <row r="72" spans="1:8" ht="14.25" customHeight="1">
      <c r="A72" s="2">
        <v>2084047654</v>
      </c>
      <c r="B72" s="2" t="s">
        <v>7089</v>
      </c>
      <c r="C72" s="2" t="s">
        <v>7090</v>
      </c>
      <c r="D72" s="169" t="str">
        <f t="shared" si="3"/>
        <v>0,25464,27727,22844,2084047654</v>
      </c>
      <c r="E72" s="3" t="str">
        <f ca="1">IFERROR(__xludf.DUMMYFUNCTION("GOOGLETRANSLATE(B72,""ja"",""vi"")"),"tạp chí game")</f>
        <v>tạp chí game</v>
      </c>
      <c r="F72" s="3" t="str">
        <f ca="1">IFERROR(__xludf.DUMMYFUNCTION("GOOGLETRANSLATE(C72,""ja"",""vi"")"),"Đấu giá&gt; Đồ chơi, Trò chơi&gt; Trò chơi&gt; TV Trò chơi&gt; Trò chơi tạp chí")</f>
        <v>Đấu giá&gt; Đồ chơi, Trò chơi&gt; Trò chơi&gt; TV Trò chơi&gt; Trò chơi tạp chí</v>
      </c>
      <c r="G72" s="229" t="str">
        <f t="shared" ca="1" si="4"/>
        <v>"2084047654" : "tạp chí game",</v>
      </c>
      <c r="H72" s="229" t="str">
        <f t="shared" si="5"/>
        <v>&lt;li class="col-md-3"&gt;&lt;a class="text-cut" href="javascript:;"(click)="categoryEvent(2084047654)"&gt;{{"2084047654" | translate}}&lt;/a&gt;&lt;/li&gt;</v>
      </c>
    </row>
    <row r="73" spans="1:8" ht="14.25" customHeight="1">
      <c r="A73" s="2">
        <v>2084005119</v>
      </c>
      <c r="B73" s="2" t="s">
        <v>389</v>
      </c>
      <c r="C73" s="2" t="s">
        <v>7095</v>
      </c>
      <c r="D73" s="169" t="str">
        <f t="shared" si="3"/>
        <v>0,25464,27727,22844,2084005119</v>
      </c>
      <c r="E73" s="3" t="str">
        <f ca="1">IFERROR(__xludf.DUMMYFUNCTION("GOOGLETRANSLATE(B73,""ja"",""vi"")"),"thẻ điện thoại")</f>
        <v>thẻ điện thoại</v>
      </c>
      <c r="F73" s="3" t="str">
        <f ca="1">IFERROR(__xludf.DUMMYFUNCTION("GOOGLETRANSLATE(C73,""ja"",""vi"")"),"Đấu giá&gt; Đồ chơi, Trò chơi&gt; Trò chơi&gt; TV Games&gt; Thẻ điện thoại")</f>
        <v>Đấu giá&gt; Đồ chơi, Trò chơi&gt; Trò chơi&gt; TV Games&gt; Thẻ điện thoại</v>
      </c>
      <c r="G73" s="229" t="str">
        <f t="shared" ca="1" si="4"/>
        <v>"2084005119" : "thẻ điện thoại",</v>
      </c>
      <c r="H73" s="229" t="str">
        <f t="shared" si="5"/>
        <v>&lt;li class="col-md-3"&gt;&lt;a class="text-cut" href="javascript:;"(click)="categoryEvent(2084005119)"&gt;{{"2084005119" | translate}}&lt;/a&gt;&lt;/li&gt;</v>
      </c>
    </row>
    <row r="74" spans="1:8" ht="14.25" customHeight="1">
      <c r="A74" s="2">
        <v>22892</v>
      </c>
      <c r="B74" s="2" t="s">
        <v>16</v>
      </c>
      <c r="C74" s="2" t="s">
        <v>7098</v>
      </c>
      <c r="D74" s="169" t="str">
        <f t="shared" si="3"/>
        <v>0,25464,27727,22844,22892</v>
      </c>
      <c r="E74" s="3" t="str">
        <f ca="1">IFERROR(__xludf.DUMMYFUNCTION("GOOGLETRANSLATE(B74,""ja"",""vi"")"),"nếu không thì")</f>
        <v>nếu không thì</v>
      </c>
      <c r="F74" s="3" t="str">
        <f ca="1">IFERROR(__xludf.DUMMYFUNCTION("GOOGLETRANSLATE(C74,""ja"",""vi"")"),"Đấu giá&gt; Đồ chơi, Trò chơi&gt; Trò chơi&gt; TV Trò chơi&gt; Khác")</f>
        <v>Đấu giá&gt; Đồ chơi, Trò chơi&gt; Trò chơi&gt; TV Trò chơi&gt; Khác</v>
      </c>
      <c r="G74" s="229" t="str">
        <f t="shared" ca="1" si="4"/>
        <v>"22892" : "nếu không thì",</v>
      </c>
      <c r="H74" s="229" t="str">
        <f t="shared" si="5"/>
        <v>&lt;li class="col-md-3"&gt;&lt;a class="text-cut" href="javascript:;"(click)="categoryEvent(22892)"&gt;{{"22892" | translate}}&lt;/a&gt;&lt;/li&gt;</v>
      </c>
    </row>
    <row r="75" spans="1:8" ht="14.25" customHeight="1">
      <c r="E75" s="3"/>
      <c r="F75" s="3"/>
      <c r="G75" s="229"/>
      <c r="H75" s="229"/>
    </row>
    <row r="76" spans="1:8" ht="14.25" customHeight="1">
      <c r="A76" s="239">
        <v>25826</v>
      </c>
      <c r="B76" s="232"/>
      <c r="C76" s="232"/>
      <c r="D76" s="233"/>
      <c r="E76" s="3"/>
      <c r="F76" s="3"/>
      <c r="G76" s="229"/>
      <c r="H76" s="229"/>
    </row>
    <row r="77" spans="1:8" ht="14.25" customHeight="1">
      <c r="A77" s="2">
        <v>2084310653</v>
      </c>
      <c r="B77" s="2" t="s">
        <v>7105</v>
      </c>
      <c r="C77" s="2" t="s">
        <v>7106</v>
      </c>
      <c r="D77" s="169" t="str">
        <f t="shared" ref="D77:D122" si="6">CONCATENATE("0,","25464,27727,25826,",A77)</f>
        <v>0,25464,27727,25826,2084310653</v>
      </c>
      <c r="E77" s="3" t="str">
        <f ca="1">IFERROR(__xludf.DUMMYFUNCTION("GOOGLETRANSLATE(B77,""ja"",""vi"")"),"Aikatsu")</f>
        <v>Aikatsu</v>
      </c>
      <c r="F77" s="3" t="str">
        <f ca="1">IFERROR(__xludf.DUMMYFUNCTION("GOOGLETRANSLATE(C77,""ja"",""vi"")"),"Đấu giá&gt; Đồ chơi, Trò chơi&gt; Trò chơi&gt; Trading Card Games&gt; Aikatsu")</f>
        <v>Đấu giá&gt; Đồ chơi, Trò chơi&gt; Trò chơi&gt; Trading Card Games&gt; Aikatsu</v>
      </c>
      <c r="G77" s="229" t="str">
        <f t="shared" ca="1" si="4"/>
        <v>"2084310653" : "Aikatsu",</v>
      </c>
      <c r="H77" s="229" t="str">
        <f t="shared" si="5"/>
        <v>&lt;li class="col-md-3"&gt;&lt;a class="text-cut" href="javascript:;"(click)="categoryEvent(2084310653)"&gt;{{"2084310653" | translate}}&lt;/a&gt;&lt;/li&gt;</v>
      </c>
    </row>
    <row r="78" spans="1:8" ht="14.25" customHeight="1">
      <c r="A78" s="2">
        <v>2084309046</v>
      </c>
      <c r="B78" s="2" t="s">
        <v>7113</v>
      </c>
      <c r="C78" s="2" t="s">
        <v>7114</v>
      </c>
      <c r="D78" s="169" t="str">
        <f t="shared" si="6"/>
        <v>0,25464,27727,25826,2084309046</v>
      </c>
      <c r="E78" s="3" t="str">
        <f ca="1">IFERROR(__xludf.DUMMYFUNCTION("GOOGLETRANSLATE(B78,""ja"",""vi"")"),"ống của chủ sở hữu")</f>
        <v>ống của chủ sở hữu</v>
      </c>
      <c r="F78" s="3" t="str">
        <f ca="1">IFERROR(__xludf.DUMMYFUNCTION("GOOGLETRANSLATE(C78,""ja"",""vi"")"),"Đấu giá&gt; Đồ chơi, Trò chơi&gt; Trò chơi&gt; Trading Card Games&gt; ống của chủ sở hữu")</f>
        <v>Đấu giá&gt; Đồ chơi, Trò chơi&gt; Trò chơi&gt; Trading Card Games&gt; ống của chủ sở hữu</v>
      </c>
      <c r="G78" s="229" t="str">
        <f t="shared" ca="1" si="4"/>
        <v>"2084309046" : "ống của chủ sở hữu",</v>
      </c>
      <c r="H78" s="229" t="str">
        <f t="shared" si="5"/>
        <v>&lt;li class="col-md-3"&gt;&lt;a class="text-cut" href="javascript:;"(click)="categoryEvent(2084309046)"&gt;{{"2084309046" | translate}}&lt;/a&gt;&lt;/li&gt;</v>
      </c>
    </row>
    <row r="79" spans="1:8" ht="14.25" customHeight="1">
      <c r="A79" s="2">
        <v>2084226772</v>
      </c>
      <c r="B79" s="2" t="s">
        <v>7118</v>
      </c>
      <c r="C79" s="2" t="s">
        <v>7120</v>
      </c>
      <c r="D79" s="169" t="str">
        <f t="shared" si="6"/>
        <v>0,25464,27727,25826,2084226772</v>
      </c>
      <c r="E79" s="3" t="str">
        <f ca="1">IFERROR(__xludf.DUMMYFUNCTION("GOOGLETRANSLATE(B79,""ja"",""vi"")"),"Kirarin Revolution")</f>
        <v>Kirarin Revolution</v>
      </c>
      <c r="F79" s="3" t="str">
        <f ca="1">IFERROR(__xludf.DUMMYFUNCTION("GOOGLETRANSLATE(C79,""ja"",""vi"")"),"Đấu giá&gt; Đồ chơi, Trò chơi&gt; Trò chơi&gt; Trading Card Games&gt; Kirarin Revolution")</f>
        <v>Đấu giá&gt; Đồ chơi, Trò chơi&gt; Trò chơi&gt; Trading Card Games&gt; Kirarin Revolution</v>
      </c>
      <c r="G79" s="229" t="str">
        <f t="shared" ca="1" si="4"/>
        <v>"2084226772" : "Kirarin Revolution",</v>
      </c>
      <c r="H79" s="229" t="str">
        <f t="shared" si="5"/>
        <v>&lt;li class="col-md-3"&gt;&lt;a class="text-cut" href="javascript:;"(click)="categoryEvent(2084226772)"&gt;{{"2084226772" | translate}}&lt;/a&gt;&lt;/li&gt;</v>
      </c>
    </row>
    <row r="80" spans="1:8" ht="14.25" customHeight="1">
      <c r="A80" s="2">
        <v>2084301203</v>
      </c>
      <c r="B80" s="2" t="s">
        <v>7125</v>
      </c>
      <c r="C80" s="2" t="s">
        <v>7127</v>
      </c>
      <c r="D80" s="169" t="str">
        <f t="shared" si="6"/>
        <v>0,25464,27727,25826,2084301203</v>
      </c>
      <c r="E80" s="3" t="str">
        <f ca="1">IFERROR(__xludf.DUMMYFUNCTION("GOOGLETRANSLATE(B80,""ja"",""vi"")"),"Thẻ Fight !! Vanguard")</f>
        <v>Thẻ Fight !! Vanguard</v>
      </c>
      <c r="F80" s="3" t="str">
        <f ca="1">IFERROR(__xludf.DUMMYFUNCTION("GOOGLETRANSLATE(C80,""ja"",""vi"")"),"Đấu giá&gt; Đồ chơi, Trò chơi&gt; Trò chơi&gt; Trading Card Games&gt; Thẻ Fight !! Vanguard")</f>
        <v>Đấu giá&gt; Đồ chơi, Trò chơi&gt; Trò chơi&gt; Trading Card Games&gt; Thẻ Fight !! Vanguard</v>
      </c>
      <c r="G80" s="229" t="str">
        <f t="shared" ca="1" si="4"/>
        <v>"2084301203" : "Thẻ Fight !! Vanguard",</v>
      </c>
      <c r="H80" s="229" t="str">
        <f t="shared" si="5"/>
        <v>&lt;li class="col-md-3"&gt;&lt;a class="text-cut" href="javascript:;"(click)="categoryEvent(2084301203)"&gt;{{"2084301203" | translate}}&lt;/a&gt;&lt;/li&gt;</v>
      </c>
    </row>
    <row r="81" spans="1:8" ht="14.25" customHeight="1">
      <c r="A81" s="2">
        <v>2084006019</v>
      </c>
      <c r="B81" s="2" t="s">
        <v>7131</v>
      </c>
      <c r="C81" s="2" t="s">
        <v>7132</v>
      </c>
      <c r="D81" s="169" t="str">
        <f t="shared" si="6"/>
        <v>0,25464,27727,25826,2084006019</v>
      </c>
      <c r="E81" s="3" t="str">
        <f ca="1">IFERROR(__xludf.DUMMYFUNCTION("GOOGLETRANSLATE(B81,""ja"",""vi"")"),"Gundam War")</f>
        <v>Gundam War</v>
      </c>
      <c r="F81" s="3" t="str">
        <f ca="1">IFERROR(__xludf.DUMMYFUNCTION("GOOGLETRANSLATE(C81,""ja"",""vi"")"),"Đấu giá&gt; Đồ chơi, Trò chơi&gt; Trò chơi&gt; Kinh doanh trò chơi thẻ&gt; Gundam War")</f>
        <v>Đấu giá&gt; Đồ chơi, Trò chơi&gt; Trò chơi&gt; Kinh doanh trò chơi thẻ&gt; Gundam War</v>
      </c>
      <c r="G81" s="229" t="str">
        <f t="shared" ca="1" si="4"/>
        <v>"2084006019" : "Gundam War",</v>
      </c>
      <c r="H81" s="229" t="str">
        <f t="shared" si="5"/>
        <v>&lt;li class="col-md-3"&gt;&lt;a class="text-cut" href="javascript:;"(click)="categoryEvent(2084006019)"&gt;{{"2084006019" | translate}}&lt;/a&gt;&lt;/li&gt;</v>
      </c>
    </row>
    <row r="82" spans="1:8" ht="14.25" customHeight="1">
      <c r="A82" s="2">
        <v>2084305402</v>
      </c>
      <c r="B82" s="2" t="s">
        <v>7135</v>
      </c>
      <c r="C82" s="2" t="s">
        <v>7136</v>
      </c>
      <c r="D82" s="169" t="str">
        <f t="shared" si="6"/>
        <v>0,25464,27727,25826,2084305402</v>
      </c>
      <c r="E82" s="3" t="str">
        <f ca="1">IFERROR(__xludf.DUMMYFUNCTION("GOOGLETRANSLATE(B82,""ja"",""vi"")"),"Gundam Tri Tuổi")</f>
        <v>Gundam Tri Tuổi</v>
      </c>
      <c r="F82" s="3" t="str">
        <f ca="1">IFERROR(__xludf.DUMMYFUNCTION("GOOGLETRANSLATE(C82,""ja"",""vi"")"),"Đấu giá&gt; Đồ chơi, Trò chơi&gt; Trò chơi&gt; Trading Card Games&gt; Gundam Tri Tuổi")</f>
        <v>Đấu giá&gt; Đồ chơi, Trò chơi&gt; Trò chơi&gt; Trading Card Games&gt; Gundam Tri Tuổi</v>
      </c>
      <c r="G82" s="229" t="str">
        <f t="shared" ca="1" si="4"/>
        <v>"2084305402" : "Gundam Tri Tuổi",</v>
      </c>
      <c r="H82" s="229" t="str">
        <f t="shared" si="5"/>
        <v>&lt;li class="col-md-3"&gt;&lt;a class="text-cut" href="javascript:;"(click)="categoryEvent(2084305402)"&gt;{{"2084305402" | translate}}&lt;/a&gt;&lt;/li&gt;</v>
      </c>
    </row>
    <row r="83" spans="1:8" ht="14.25" customHeight="1">
      <c r="A83" s="2">
        <v>2084310654</v>
      </c>
      <c r="B83" s="2" t="s">
        <v>7140</v>
      </c>
      <c r="C83" s="2" t="s">
        <v>7141</v>
      </c>
      <c r="D83" s="169" t="str">
        <f t="shared" si="6"/>
        <v>0,25464,27727,25826,2084310654</v>
      </c>
      <c r="E83" s="3" t="str">
        <f ca="1">IFERROR(__xludf.DUMMYFUNCTION("GOOGLETRANSLATE(B83,""ja"",""vi"")"),"Vua Pro Wrestling")</f>
        <v>Vua Pro Wrestling</v>
      </c>
      <c r="F83" s="3" t="str">
        <f ca="1">IFERROR(__xludf.DUMMYFUNCTION("GOOGLETRANSLATE(C83,""ja"",""vi"")"),"Đấu giá&gt; Đồ chơi, Trò chơi&gt; Trò chơi&gt; Trading Card Games&gt; Vua Pro Wrestling")</f>
        <v>Đấu giá&gt; Đồ chơi, Trò chơi&gt; Trò chơi&gt; Trading Card Games&gt; Vua Pro Wrestling</v>
      </c>
      <c r="G83" s="229" t="str">
        <f t="shared" ca="1" si="4"/>
        <v>"2084310654" : "Vua Pro Wrestling",</v>
      </c>
      <c r="H83" s="229" t="str">
        <f t="shared" si="5"/>
        <v>&lt;li class="col-md-3"&gt;&lt;a class="text-cut" href="javascript:;"(click)="categoryEvent(2084310654)"&gt;{{"2084310654" | translate}}&lt;/a&gt;&lt;/li&gt;</v>
      </c>
    </row>
    <row r="84" spans="1:8" ht="14.25" customHeight="1">
      <c r="A84" s="2">
        <v>2084258752</v>
      </c>
      <c r="B84" s="2" t="s">
        <v>7144</v>
      </c>
      <c r="C84" s="2" t="s">
        <v>7145</v>
      </c>
      <c r="D84" s="169" t="str">
        <f t="shared" si="6"/>
        <v>0,25464,27727,25826,2084258752</v>
      </c>
      <c r="E84" s="3" t="str">
        <f ca="1">IFERROR(__xludf.DUMMYFUNCTION("GOOGLETRANSLATE(B84,""ja"",""vi"")"),"cuộc vận động")</f>
        <v>cuộc vận động</v>
      </c>
      <c r="F84" s="3" t="str">
        <f ca="1">IFERROR(__xludf.DUMMYFUNCTION("GOOGLETRANSLATE(C84,""ja"",""vi"")"),"Đấu giá&gt; Đồ chơi, Trò chơi&gt; Trò chơi&gt; Trading Card Games&gt; Crusade")</f>
        <v>Đấu giá&gt; Đồ chơi, Trò chơi&gt; Trò chơi&gt; Trading Card Games&gt; Crusade</v>
      </c>
      <c r="G84" s="229" t="str">
        <f t="shared" ca="1" si="4"/>
        <v>"2084258752" : "cuộc vận động",</v>
      </c>
      <c r="H84" s="229" t="str">
        <f t="shared" si="5"/>
        <v>&lt;li class="col-md-3"&gt;&lt;a class="text-cut" href="javascript:;"(click)="categoryEvent(2084258752)"&gt;{{"2084258752" | translate}}&lt;/a&gt;&lt;/li&gt;</v>
      </c>
    </row>
    <row r="85" spans="1:8" ht="14.25" customHeight="1">
      <c r="A85" s="2">
        <v>2084239873</v>
      </c>
      <c r="B85" s="2" t="s">
        <v>7149</v>
      </c>
      <c r="C85" s="2" t="s">
        <v>7150</v>
      </c>
      <c r="D85" s="169" t="str">
        <f t="shared" si="6"/>
        <v>0,25464,27727,25826,2084239873</v>
      </c>
      <c r="E85" s="3" t="str">
        <f ca="1">IFERROR(__xludf.DUMMYFUNCTION("GOOGLETRANSLATE(B85,""ja"",""vi"")"),"Rider trận Gamba Ride")</f>
        <v>Rider trận Gamba Ride</v>
      </c>
      <c r="F85" s="3" t="str">
        <f ca="1">IFERROR(__xludf.DUMMYFUNCTION("GOOGLETRANSLATE(C85,""ja"",""vi"")"),"Đấu giá&gt; Đồ chơi, Trò chơi&gt; Trò chơi&gt; Kinh doanh trò chơi thẻ&gt; Kamen Rider trận Gamba Ride")</f>
        <v>Đấu giá&gt; Đồ chơi, Trò chơi&gt; Trò chơi&gt; Kinh doanh trò chơi thẻ&gt; Kamen Rider trận Gamba Ride</v>
      </c>
      <c r="G85" s="229" t="str">
        <f t="shared" ca="1" si="4"/>
        <v>"2084239873" : "Rider trận Gamba Ride",</v>
      </c>
      <c r="H85" s="229" t="str">
        <f t="shared" si="5"/>
        <v>&lt;li class="col-md-3"&gt;&lt;a class="text-cut" href="javascript:;"(click)="categoryEvent(2084239873)"&gt;{{"2084239873" | translate}}&lt;/a&gt;&lt;/li&gt;</v>
      </c>
    </row>
    <row r="86" spans="1:8" ht="14.25" customHeight="1">
      <c r="A86" s="2">
        <v>2084309073</v>
      </c>
      <c r="B86" s="2" t="s">
        <v>7154</v>
      </c>
      <c r="C86" s="2" t="s">
        <v>7155</v>
      </c>
      <c r="D86" s="169" t="str">
        <f t="shared" si="6"/>
        <v>0,25464,27727,25826,2084309073</v>
      </c>
      <c r="E86" s="3" t="str">
        <f ca="1">IFERROR(__xludf.DUMMYFUNCTION("GOOGLETRANSLATE(B86,""ja"",""vi"")"),"Z / X ZX")</f>
        <v>Z / X ZX</v>
      </c>
      <c r="F86" s="3" t="str">
        <f ca="1">IFERROR(__xludf.DUMMYFUNCTION("GOOGLETRANSLATE(C86,""ja"",""vi"")"),"Đấu giá&gt; Đồ chơi, Trò chơi&gt; Trò chơi&gt; Trading Card Games&gt; Z / X ZX")</f>
        <v>Đấu giá&gt; Đồ chơi, Trò chơi&gt; Trò chơi&gt; Trading Card Games&gt; Z / X ZX</v>
      </c>
      <c r="G86" s="229" t="str">
        <f t="shared" ca="1" si="4"/>
        <v>"2084309073" : "Z / X ZX",</v>
      </c>
      <c r="H86" s="229" t="str">
        <f t="shared" si="5"/>
        <v>&lt;li class="col-md-3"&gt;&lt;a class="text-cut" href="javascript:;"(click)="categoryEvent(2084309073)"&gt;{{"2084309073" | translate}}&lt;/a&gt;&lt;/li&gt;</v>
      </c>
    </row>
    <row r="87" spans="1:8" ht="14.25" customHeight="1">
      <c r="A87" s="2">
        <v>2084255968</v>
      </c>
      <c r="B87" s="2" t="s">
        <v>7158</v>
      </c>
      <c r="C87" s="2" t="s">
        <v>7159</v>
      </c>
      <c r="D87" s="169" t="str">
        <f t="shared" si="6"/>
        <v>0,25464,27727,25826,2084255968</v>
      </c>
      <c r="E87" s="3" t="str">
        <f ca="1">IFERROR(__xludf.DUMMYFUNCTION("GOOGLETRANSLATE(B87,""ja"",""vi"")"),"Super Sentai Trận Daisuo")</f>
        <v>Super Sentai Trận Daisuo</v>
      </c>
      <c r="F87" s="3" t="str">
        <f ca="1">IFERROR(__xludf.DUMMYFUNCTION("GOOGLETRANSLATE(C87,""ja"",""vi"")"),"Đấu giá&gt; Đồ chơi, Trò chơi&gt; Trò chơi&gt; Trading Card Games&gt; Super Sentai Trận Daisuo")</f>
        <v>Đấu giá&gt; Đồ chơi, Trò chơi&gt; Trò chơi&gt; Trading Card Games&gt; Super Sentai Trận Daisuo</v>
      </c>
      <c r="G87" s="229" t="str">
        <f t="shared" ca="1" si="4"/>
        <v>"2084255968" : "Super Sentai Trận Daisuo",</v>
      </c>
      <c r="H87" s="229" t="str">
        <f t="shared" si="5"/>
        <v>&lt;li class="col-md-3"&gt;&lt;a class="text-cut" href="javascript:;"(click)="categoryEvent(2084255968)"&gt;{{"2084255968" | translate}}&lt;/a&gt;&lt;/li&gt;</v>
      </c>
    </row>
    <row r="88" spans="1:8" ht="14.25" customHeight="1">
      <c r="A88" s="2">
        <v>2084060487</v>
      </c>
      <c r="B88" s="2" t="s">
        <v>7163</v>
      </c>
      <c r="C88" s="2" t="s">
        <v>7164</v>
      </c>
      <c r="D88" s="169" t="str">
        <f t="shared" si="6"/>
        <v>0,25464,27727,25826,2084060487</v>
      </c>
      <c r="E88" s="3" t="str">
        <f ca="1">IFERROR(__xludf.DUMMYFUNCTION("GOOGLETRANSLATE(B88,""ja"",""vi"")"),"Chiến tranh Tam Quốc")</f>
        <v>Chiến tranh Tam Quốc</v>
      </c>
      <c r="F88" s="3" t="str">
        <f ca="1">IFERROR(__xludf.DUMMYFUNCTION("GOOGLETRANSLATE(C88,""ja"",""vi"")"),"Đấu giá&gt; Đồ chơi, Trò chơi&gt; Trò chơi&gt; Trading Card Games&gt; Tam Quốc Chiến tranh")</f>
        <v>Đấu giá&gt; Đồ chơi, Trò chơi&gt; Trò chơi&gt; Trading Card Games&gt; Tam Quốc Chiến tranh</v>
      </c>
      <c r="G88" s="229" t="str">
        <f t="shared" ca="1" si="4"/>
        <v>"2084060487" : "Chiến tranh Tam Quốc",</v>
      </c>
      <c r="H88" s="229" t="str">
        <f t="shared" si="5"/>
        <v>&lt;li class="col-md-3"&gt;&lt;a class="text-cut" href="javascript:;"(click)="categoryEvent(2084060487)"&gt;{{"2084060487" | translate}}&lt;/a&gt;&lt;/li&gt;</v>
      </c>
    </row>
    <row r="89" spans="1:8" ht="14.25" customHeight="1">
      <c r="A89" s="2">
        <v>2084309075</v>
      </c>
      <c r="B89" s="2" t="s">
        <v>7168</v>
      </c>
      <c r="C89" s="2" t="s">
        <v>7169</v>
      </c>
      <c r="D89" s="169" t="str">
        <f t="shared" si="6"/>
        <v>0,25464,27727,25826,2084309075</v>
      </c>
      <c r="E89" s="3" t="str">
        <f ca="1">IFERROR(__xludf.DUMMYFUNCTION("GOOGLETRANSLATE(B89,""ja"",""vi"")"),"Shinra tất cả các host đầy sao")</f>
        <v>Shinra tất cả các host đầy sao</v>
      </c>
      <c r="F89" s="3" t="str">
        <f ca="1">IFERROR(__xludf.DUMMYFUNCTION("GOOGLETRANSLATE(C89,""ja"",""vi"")"),"Đấu giá&gt; Đồ chơi, Trò chơi&gt; Trò chơi&gt; Trading Card Games&gt; Shinra tất cả các host đầy sao")</f>
        <v>Đấu giá&gt; Đồ chơi, Trò chơi&gt; Trò chơi&gt; Trading Card Games&gt; Shinra tất cả các host đầy sao</v>
      </c>
      <c r="G89" s="229" t="str">
        <f t="shared" ca="1" si="4"/>
        <v>"2084309075" : "Shinra tất cả các host đầy sao",</v>
      </c>
      <c r="H89" s="229" t="str">
        <f t="shared" si="5"/>
        <v>&lt;li class="col-md-3"&gt;&lt;a class="text-cut" href="javascript:;"(click)="categoryEvent(2084309075)"&gt;{{"2084309075" | translate}}&lt;/a&gt;&lt;/li&gt;</v>
      </c>
    </row>
    <row r="90" spans="1:8" ht="14.25" customHeight="1">
      <c r="A90" s="2">
        <v>2084305403</v>
      </c>
      <c r="B90" s="2" t="s">
        <v>7176</v>
      </c>
      <c r="C90" s="2" t="s">
        <v>7177</v>
      </c>
      <c r="D90" s="169" t="str">
        <f t="shared" si="6"/>
        <v>0,25464,27727,25826,2084305403</v>
      </c>
      <c r="E90" s="3" t="str">
        <f ca="1">IFERROR(__xludf.DUMMYFUNCTION("GOOGLETRANSLATE(B90,""ja"",""vi"")"),"Sengoku chiến")</f>
        <v>Sengoku chiến</v>
      </c>
      <c r="F90" s="3" t="str">
        <f ca="1">IFERROR(__xludf.DUMMYFUNCTION("GOOGLETRANSLATE(C90,""ja"",""vi"")"),"Đấu giá&gt; Đồ chơi, Trò chơi&gt; Trò chơi&gt; Trading Card Game&gt; Chiến tranh Sengoku")</f>
        <v>Đấu giá&gt; Đồ chơi, Trò chơi&gt; Trò chơi&gt; Trading Card Game&gt; Chiến tranh Sengoku</v>
      </c>
      <c r="G90" s="229" t="str">
        <f t="shared" ca="1" si="4"/>
        <v>"2084305403" : "Sengoku chiến",</v>
      </c>
      <c r="H90" s="229" t="str">
        <f t="shared" si="5"/>
        <v>&lt;li class="col-md-3"&gt;&lt;a class="text-cut" href="javascript:;"(click)="categoryEvent(2084305403)"&gt;{{"2084305403" | translate}}&lt;/a&gt;&lt;/li&gt;</v>
      </c>
    </row>
    <row r="91" spans="1:8" ht="14.25" customHeight="1">
      <c r="A91" s="2">
        <v>2084050457</v>
      </c>
      <c r="B91" s="2" t="s">
        <v>7181</v>
      </c>
      <c r="C91" s="2" t="s">
        <v>7182</v>
      </c>
      <c r="D91" s="169" t="str">
        <f t="shared" si="6"/>
        <v>0,25464,27727,25826,2084050457</v>
      </c>
      <c r="E91" s="3" t="str">
        <f ca="1">IFERROR(__xludf.DUMMYFUNCTION("GOOGLETRANSLATE(B91,""ja"",""vi"")"),"WCCF")</f>
        <v>WCCF</v>
      </c>
      <c r="F91" s="3" t="str">
        <f ca="1">IFERROR(__xludf.DUMMYFUNCTION("GOOGLETRANSLATE(C91,""ja"",""vi"")"),"Đấu giá&gt; Đồ chơi, Trò chơi&gt; Trò chơi&gt; Trading Card Games&gt; WCCF")</f>
        <v>Đấu giá&gt; Đồ chơi, Trò chơi&gt; Trò chơi&gt; Trading Card Games&gt; WCCF</v>
      </c>
      <c r="G91" s="229" t="str">
        <f t="shared" ca="1" si="4"/>
        <v>"2084050457" : "WCCF",</v>
      </c>
      <c r="H91" s="229" t="str">
        <f t="shared" si="5"/>
        <v>&lt;li class="col-md-3"&gt;&lt;a class="text-cut" href="javascript:;"(click)="categoryEvent(2084050457)"&gt;{{"2084050457" | translate}}&lt;/a&gt;&lt;/li&gt;</v>
      </c>
    </row>
    <row r="92" spans="1:8" ht="14.25" customHeight="1">
      <c r="A92" s="2">
        <v>2084033665</v>
      </c>
      <c r="B92" s="2" t="s">
        <v>7184</v>
      </c>
      <c r="C92" s="2" t="s">
        <v>7188</v>
      </c>
      <c r="D92" s="169" t="str">
        <f t="shared" si="6"/>
        <v>0,25464,27727,25826,2084033665</v>
      </c>
      <c r="E92" s="3" t="str">
        <f ca="1">IFERROR(__xludf.DUMMYFUNCTION("GOOGLETRANSLATE(B92,""ja"",""vi"")"),"quái vật kỹ thuật số")</f>
        <v>quái vật kỹ thuật số</v>
      </c>
      <c r="F92" s="3" t="str">
        <f ca="1">IFERROR(__xludf.DUMMYFUNCTION("GOOGLETRANSLATE(C92,""ja"",""vi"")"),"Đấu giá&gt; Đồ chơi, Trò chơi&gt; Trò chơi&gt; Trading Card Game&gt; Monsters kỹ thuật số")</f>
        <v>Đấu giá&gt; Đồ chơi, Trò chơi&gt; Trò chơi&gt; Trading Card Game&gt; Monsters kỹ thuật số</v>
      </c>
      <c r="G92" s="229" t="str">
        <f t="shared" ca="1" si="4"/>
        <v>"2084033665" : "quái vật kỹ thuật số",</v>
      </c>
      <c r="H92" s="229" t="str">
        <f t="shared" si="5"/>
        <v>&lt;li class="col-md-3"&gt;&lt;a class="text-cut" href="javascript:;"(click)="categoryEvent(2084033665)"&gt;{{"2084033665" | translate}}&lt;/a&gt;&lt;/li&gt;</v>
      </c>
    </row>
    <row r="93" spans="1:8" ht="14.25" customHeight="1">
      <c r="A93" s="2">
        <v>2084049869</v>
      </c>
      <c r="B93" s="2" t="s">
        <v>7194</v>
      </c>
      <c r="C93" s="2" t="s">
        <v>7195</v>
      </c>
      <c r="D93" s="169" t="str">
        <f t="shared" si="6"/>
        <v>0,25464,27727,25826,2084049869</v>
      </c>
      <c r="E93" s="3" t="str">
        <f ca="1">IFERROR(__xludf.DUMMYFUNCTION("GOOGLETRANSLATE(B93,""ja"",""vi"")"),"Duel Masters")</f>
        <v>Duel Masters</v>
      </c>
      <c r="F93" s="3" t="str">
        <f ca="1">IFERROR(__xludf.DUMMYFUNCTION("GOOGLETRANSLATE(C93,""ja"",""vi"")"),"Đấu giá&gt; Đồ chơi, Trò chơi&gt; Trò chơi&gt; Trading Card Games&gt; Duel Masters")</f>
        <v>Đấu giá&gt; Đồ chơi, Trò chơi&gt; Trò chơi&gt; Trading Card Games&gt; Duel Masters</v>
      </c>
      <c r="G93" s="229" t="str">
        <f t="shared" ca="1" si="4"/>
        <v>"2084049869" : "Duel Masters",</v>
      </c>
      <c r="H93" s="229" t="str">
        <f t="shared" si="5"/>
        <v>&lt;li class="col-md-3"&gt;&lt;a class="text-cut" href="javascript:;"(click)="categoryEvent(2084049869)"&gt;{{"2084049869" | translate}}&lt;/a&gt;&lt;/li&gt;</v>
      </c>
    </row>
    <row r="94" spans="1:8" ht="14.25" customHeight="1">
      <c r="A94" s="2">
        <v>2084305406</v>
      </c>
      <c r="B94" s="2" t="s">
        <v>7199</v>
      </c>
      <c r="C94" s="2" t="s">
        <v>7200</v>
      </c>
      <c r="D94" s="169" t="str">
        <f t="shared" si="6"/>
        <v>0,25464,27727,25826,2084305406</v>
      </c>
      <c r="E94" s="3" t="str">
        <f ca="1">IFERROR(__xludf.DUMMYFUNCTION("GOOGLETRANSLATE(B94,""ja"",""vi"")"),"Trico")</f>
        <v>Trico</v>
      </c>
      <c r="F94" s="3" t="str">
        <f ca="1">IFERROR(__xludf.DUMMYFUNCTION("GOOGLETRANSLATE(C94,""ja"",""vi"")"),"Đấu giá&gt; Đồ chơi, Trò chơi&gt; Trò chơi&gt; Trading Card Games&gt; Trico")</f>
        <v>Đấu giá&gt; Đồ chơi, Trò chơi&gt; Trò chơi&gt; Trading Card Games&gt; Trico</v>
      </c>
      <c r="G94" s="229" t="str">
        <f t="shared" ca="1" si="4"/>
        <v>"2084305406" : "Trico",</v>
      </c>
      <c r="H94" s="229" t="str">
        <f t="shared" si="5"/>
        <v>&lt;li class="col-md-3"&gt;&lt;a class="text-cut" href="javascript:;"(click)="categoryEvent(2084305406)"&gt;{{"2084305406" | translate}}&lt;/a&gt;&lt;/li&gt;</v>
      </c>
    </row>
    <row r="95" spans="1:8" ht="14.25" customHeight="1">
      <c r="A95" s="2">
        <v>2084019347</v>
      </c>
      <c r="B95" s="2" t="s">
        <v>7203</v>
      </c>
      <c r="C95" s="2" t="s">
        <v>7205</v>
      </c>
      <c r="D95" s="169" t="str">
        <f t="shared" si="6"/>
        <v>0,25464,27727,25826,2084019347</v>
      </c>
      <c r="E95" s="3" t="str">
        <f ca="1">IFERROR(__xludf.DUMMYFUNCTION("GOOGLETRANSLATE(B95,""ja"",""vi"")"),"dragon Quest")</f>
        <v>dragon Quest</v>
      </c>
      <c r="F95" s="3" t="str">
        <f ca="1">IFERROR(__xludf.DUMMYFUNCTION("GOOGLETRANSLATE(C95,""ja"",""vi"")"),"Đấu giá&gt; Đồ chơi, Trò chơi&gt; Trò chơi&gt; Trading Card Games&gt; Dragon Quest")</f>
        <v>Đấu giá&gt; Đồ chơi, Trò chơi&gt; Trò chơi&gt; Trading Card Games&gt; Dragon Quest</v>
      </c>
      <c r="G95" s="229" t="str">
        <f t="shared" ca="1" si="4"/>
        <v>"2084019347" : "dragon Quest",</v>
      </c>
      <c r="H95" s="229" t="str">
        <f t="shared" si="5"/>
        <v>&lt;li class="col-md-3"&gt;&lt;a class="text-cut" href="javascript:;"(click)="categoryEvent(2084019347)"&gt;{{"2084019347" | translate}}&lt;/a&gt;&lt;/li&gt;</v>
      </c>
    </row>
    <row r="96" spans="1:8" ht="14.25" customHeight="1">
      <c r="A96" s="2">
        <v>2084064426</v>
      </c>
      <c r="B96" s="2" t="s">
        <v>7208</v>
      </c>
      <c r="C96" s="2" t="s">
        <v>7209</v>
      </c>
      <c r="D96" s="169" t="str">
        <f t="shared" si="6"/>
        <v>0,25464,27727,25826,2084064426</v>
      </c>
      <c r="E96" s="3" t="str">
        <f ca="1">IFERROR(__xludf.DUMMYFUNCTION("GOOGLETRANSLATE(B96,""ja"",""vi"")"),"dragon ball")</f>
        <v>dragon ball</v>
      </c>
      <c r="F96" s="3" t="str">
        <f ca="1">IFERROR(__xludf.DUMMYFUNCTION("GOOGLETRANSLATE(C96,""ja"",""vi"")"),"Đấu giá&gt; Đồ chơi, Trò chơi&gt; Trò chơi&gt; Trading Card Games&gt; Dragon Ball")</f>
        <v>Đấu giá&gt; Đồ chơi, Trò chơi&gt; Trò chơi&gt; Trading Card Games&gt; Dragon Ball</v>
      </c>
      <c r="G96" s="229" t="str">
        <f t="shared" ca="1" si="4"/>
        <v>"2084064426" : "dragon ball",</v>
      </c>
      <c r="H96" s="229" t="str">
        <f t="shared" si="5"/>
        <v>&lt;li class="col-md-3"&gt;&lt;a class="text-cut" href="javascript:;"(click)="categoryEvent(2084064426)"&gt;{{"2084064426" | translate}}&lt;/a&gt;&lt;/li&gt;</v>
      </c>
    </row>
    <row r="97" spans="1:8" ht="14.25" customHeight="1">
      <c r="A97" s="2">
        <v>2084310652</v>
      </c>
      <c r="B97" s="2" t="s">
        <v>7215</v>
      </c>
      <c r="C97" s="2" t="s">
        <v>7216</v>
      </c>
      <c r="D97" s="169" t="str">
        <f t="shared" si="6"/>
        <v>0,25464,27727,25826,2084310652</v>
      </c>
      <c r="E97" s="3" t="str">
        <f ca="1">IFERROR(__xludf.DUMMYFUNCTION("GOOGLETRANSLATE(B97,""ja"",""vi"")"),"Chōsoku Henkei Gyrozetter")</f>
        <v>Chōsoku Henkei Gyrozetter</v>
      </c>
      <c r="F97" s="3" t="str">
        <f ca="1">IFERROR(__xludf.DUMMYFUNCTION("GOOGLETRANSLATE(C97,""ja"",""vi"")"),"Đấu giá&gt; Đồ chơi, Trò chơi&gt; Trò chơi&gt; Trading Card Games&gt; Chōsoku Henkei Gyrozetter")</f>
        <v>Đấu giá&gt; Đồ chơi, Trò chơi&gt; Trò chơi&gt; Trading Card Games&gt; Chōsoku Henkei Gyrozetter</v>
      </c>
      <c r="G97" s="229" t="str">
        <f t="shared" ca="1" si="4"/>
        <v>"2084310652" : "Chōsoku Henkei Gyrozetter",</v>
      </c>
      <c r="H97" s="229" t="str">
        <f t="shared" si="5"/>
        <v>&lt;li class="col-md-3"&gt;&lt;a class="text-cut" href="javascript:;"(click)="categoryEvent(2084310652)"&gt;{{"2084310652" | translate}}&lt;/a&gt;&lt;/li&gt;</v>
      </c>
    </row>
    <row r="98" spans="1:8" ht="14.25" customHeight="1">
      <c r="A98" s="2">
        <v>2084064427</v>
      </c>
      <c r="B98" s="2" t="s">
        <v>7222</v>
      </c>
      <c r="C98" s="2" t="s">
        <v>7224</v>
      </c>
      <c r="D98" s="169" t="str">
        <f t="shared" si="6"/>
        <v>0,25464,27727,25826,2084064427</v>
      </c>
      <c r="E98" s="3" t="str">
        <f ca="1">IFERROR(__xludf.DUMMYFUNCTION("GOOGLETRANSLATE(B98,""ja"",""vi"")"),"NARUTO")</f>
        <v>NARUTO</v>
      </c>
      <c r="F98" s="3" t="str">
        <f ca="1">IFERROR(__xludf.DUMMYFUNCTION("GOOGLETRANSLATE(C98,""ja"",""vi"")"),"Đấu giá&gt; Đồ chơi, Trò chơi&gt; Trò chơi&gt; Trading Card Games&gt; NARUTO")</f>
        <v>Đấu giá&gt; Đồ chơi, Trò chơi&gt; Trò chơi&gt; Trading Card Games&gt; NARUTO</v>
      </c>
      <c r="G98" s="229" t="str">
        <f t="shared" ca="1" si="4"/>
        <v>"2084064427" : "NARUTO",</v>
      </c>
      <c r="H98" s="229" t="str">
        <f t="shared" si="5"/>
        <v>&lt;li class="col-md-3"&gt;&lt;a class="text-cut" href="javascript:;"(click)="categoryEvent(2084064427)"&gt;{{"2084064427" | translate}}&lt;/a&gt;&lt;/li&gt;</v>
      </c>
    </row>
    <row r="99" spans="1:8" ht="14.25" customHeight="1">
      <c r="A99" s="2">
        <v>2084239872</v>
      </c>
      <c r="B99" s="2" t="s">
        <v>7226</v>
      </c>
      <c r="C99" s="2" t="s">
        <v>7228</v>
      </c>
      <c r="D99" s="169" t="str">
        <f t="shared" si="6"/>
        <v>0,25464,27727,25826,2084239872</v>
      </c>
      <c r="E99" s="3" t="str">
        <f ca="1">IFERROR(__xludf.DUMMYFUNCTION("GOOGLETRANSLATE(B99,""ja"",""vi"")"),"Trận Spirits")</f>
        <v>Trận Spirits</v>
      </c>
      <c r="F99" s="3" t="str">
        <f ca="1">IFERROR(__xludf.DUMMYFUNCTION("GOOGLETRANSLATE(C99,""ja"",""vi"")"),"Đấu giá&gt; Đồ chơi, Trò chơi&gt; Trò chơi&gt; Trading Card Games&gt; Trận Spirits")</f>
        <v>Đấu giá&gt; Đồ chơi, Trò chơi&gt; Trò chơi&gt; Trading Card Games&gt; Trận Spirits</v>
      </c>
      <c r="G99" s="229" t="str">
        <f t="shared" ca="1" si="4"/>
        <v>"2084239872" : "Trận Spirits",</v>
      </c>
      <c r="H99" s="229" t="str">
        <f t="shared" si="5"/>
        <v>&lt;li class="col-md-3"&gt;&lt;a class="text-cut" href="javascript:;"(click)="categoryEvent(2084239872)"&gt;{{"2084239872" | translate}}&lt;/a&gt;&lt;/li&gt;</v>
      </c>
    </row>
    <row r="100" spans="1:8" ht="14.25" customHeight="1">
      <c r="A100" s="2">
        <v>2084314542</v>
      </c>
      <c r="B100" s="2" t="s">
        <v>7232</v>
      </c>
      <c r="C100" s="2" t="s">
        <v>7233</v>
      </c>
      <c r="D100" s="169" t="str">
        <f t="shared" si="6"/>
        <v>0,25464,27727,25826,2084314542</v>
      </c>
      <c r="E100" s="3" t="str">
        <f ca="1">IFERROR(__xludf.DUMMYFUNCTION("GOOGLETRANSLATE(B100,""ja"",""vi"")"),"Panini Football League")</f>
        <v>Panini Football League</v>
      </c>
      <c r="F100" s="3" t="str">
        <f ca="1">IFERROR(__xludf.DUMMYFUNCTION("GOOGLETRANSLATE(C100,""ja"",""vi"")"),"Đấu giá&gt; Đồ chơi, Trò chơi&gt; Trò chơi&gt; Trading Card Games&gt; Panini Football League")</f>
        <v>Đấu giá&gt; Đồ chơi, Trò chơi&gt; Trò chơi&gt; Trading Card Games&gt; Panini Football League</v>
      </c>
      <c r="G100" s="229" t="str">
        <f t="shared" ca="1" si="4"/>
        <v>"2084314542" : "Panini Football League",</v>
      </c>
      <c r="H100" s="229" t="str">
        <f t="shared" si="5"/>
        <v>&lt;li class="col-md-3"&gt;&lt;a class="text-cut" href="javascript:;"(click)="categoryEvent(2084314542)"&gt;{{"2084314542" | translate}}&lt;/a&gt;&lt;/li&gt;</v>
      </c>
    </row>
    <row r="101" spans="1:8" ht="14.25" customHeight="1">
      <c r="A101" s="2">
        <v>2084309076</v>
      </c>
      <c r="B101" s="2" t="s">
        <v>7235</v>
      </c>
      <c r="C101" s="2" t="s">
        <v>7238</v>
      </c>
      <c r="D101" s="169" t="str">
        <f t="shared" si="6"/>
        <v>0,25464,27727,25826,2084309076</v>
      </c>
      <c r="E101" s="3" t="str">
        <f ca="1">IFERROR(__xludf.DUMMYFUNCTION("GOOGLETRANSLATE(B101,""ja"",""vi"")"),"Final Fantasy TCG")</f>
        <v>Final Fantasy TCG</v>
      </c>
      <c r="F101" s="3" t="str">
        <f ca="1">IFERROR(__xludf.DUMMYFUNCTION("GOOGLETRANSLATE(C101,""ja"",""vi"")"),"Đấu giá&gt; Đồ chơi, Trò chơi&gt; Trò chơi&gt; Trading Card Games&gt; Final Fantasy TCG")</f>
        <v>Đấu giá&gt; Đồ chơi, Trò chơi&gt; Trò chơi&gt; Trading Card Games&gt; Final Fantasy TCG</v>
      </c>
      <c r="G101" s="229" t="str">
        <f t="shared" ca="1" si="4"/>
        <v>"2084309076" : "Final Fantasy TCG",</v>
      </c>
      <c r="H101" s="229" t="str">
        <f t="shared" si="5"/>
        <v>&lt;li class="col-md-3"&gt;&lt;a class="text-cut" href="javascript:;"(click)="categoryEvent(2084309076)"&gt;{{"2084309076" | translate}}&lt;/a&gt;&lt;/li&gt;</v>
      </c>
    </row>
    <row r="102" spans="1:8" ht="14.25" customHeight="1">
      <c r="A102" s="2">
        <v>2084305401</v>
      </c>
      <c r="B102" s="2" t="s">
        <v>7240</v>
      </c>
      <c r="C102" s="2" t="s">
        <v>7241</v>
      </c>
      <c r="D102" s="169" t="str">
        <f t="shared" si="6"/>
        <v>0,25464,27727,25826,2084305401</v>
      </c>
      <c r="E102" s="3" t="str">
        <f ca="1">IFERROR(__xludf.DUMMYFUNCTION("GOOGLETRANSLATE(B102,""ja"",""vi"")"),"Bóng đá All Stars")</f>
        <v>Bóng đá All Stars</v>
      </c>
      <c r="F102" s="3" t="str">
        <f ca="1">IFERROR(__xludf.DUMMYFUNCTION("GOOGLETRANSLATE(C102,""ja"",""vi"")"),"Đấu giá&gt; Đồ chơi, Trò chơi&gt; Trò chơi&gt; Trading Card Games&gt; Football All Stars")</f>
        <v>Đấu giá&gt; Đồ chơi, Trò chơi&gt; Trò chơi&gt; Trading Card Games&gt; Football All Stars</v>
      </c>
      <c r="G102" s="229" t="str">
        <f t="shared" ca="1" si="4"/>
        <v>"2084305401" : "Bóng đá All Stars",</v>
      </c>
      <c r="H102" s="229" t="str">
        <f t="shared" si="5"/>
        <v>&lt;li class="col-md-3"&gt;&lt;a class="text-cut" href="javascript:;"(click)="categoryEvent(2084305401)"&gt;{{"2084305401" | translate}}&lt;/a&gt;&lt;/li&gt;</v>
      </c>
    </row>
    <row r="103" spans="1:8" ht="14.25" customHeight="1">
      <c r="A103" s="2">
        <v>2084259102</v>
      </c>
      <c r="B103" s="2" t="s">
        <v>7244</v>
      </c>
      <c r="C103" s="2" t="s">
        <v>7245</v>
      </c>
      <c r="D103" s="169" t="str">
        <f t="shared" si="6"/>
        <v>0,25464,27727,25826,2084259102</v>
      </c>
      <c r="E103" s="3" t="str">
        <f ca="1">IFERROR(__xludf.DUMMYFUNCTION("GOOGLETRANSLATE(B103,""ja"",""vi"")"),"Pretty Cure")</f>
        <v>Pretty Cure</v>
      </c>
      <c r="F103" s="3" t="str">
        <f ca="1">IFERROR(__xludf.DUMMYFUNCTION("GOOGLETRANSLATE(C103,""ja"",""vi"")"),"Đấu giá&gt; Đồ chơi, Trò chơi&gt; Trò chơi&gt; Trading Card Games&gt; Pretty Cure")</f>
        <v>Đấu giá&gt; Đồ chơi, Trò chơi&gt; Trò chơi&gt; Trading Card Games&gt; Pretty Cure</v>
      </c>
      <c r="G103" s="229" t="str">
        <f t="shared" ca="1" si="4"/>
        <v>"2084259102" : "Pretty Cure",</v>
      </c>
      <c r="H103" s="229" t="str">
        <f t="shared" si="5"/>
        <v>&lt;li class="col-md-3"&gt;&lt;a class="text-cut" href="javascript:;"(click)="categoryEvent(2084259102)"&gt;{{"2084259102" | translate}}&lt;/a&gt;&lt;/li&gt;</v>
      </c>
    </row>
    <row r="104" spans="1:8" ht="14.25" customHeight="1">
      <c r="A104" s="2">
        <v>2084305404</v>
      </c>
      <c r="B104" s="2" t="s">
        <v>7248</v>
      </c>
      <c r="C104" s="2" t="s">
        <v>7250</v>
      </c>
      <c r="D104" s="169" t="str">
        <f t="shared" si="6"/>
        <v>0,25464,27727,25826,2084305404</v>
      </c>
      <c r="E104" s="3" t="str">
        <f ca="1">IFERROR(__xludf.DUMMYFUNCTION("GOOGLETRANSLATE(B104,""ja"",""vi"")"),"Prism đá")</f>
        <v>Prism đá</v>
      </c>
      <c r="F104" s="3" t="str">
        <f ca="1">IFERROR(__xludf.DUMMYFUNCTION("GOOGLETRANSLATE(C104,""ja"",""vi"")"),"Đấu giá&gt; Đồ chơi, Trò chơi&gt; Trò chơi&gt; Trading Card Games&gt; Đá lăng kính")</f>
        <v>Đấu giá&gt; Đồ chơi, Trò chơi&gt; Trò chơi&gt; Trading Card Games&gt; Đá lăng kính</v>
      </c>
      <c r="G104" s="229" t="str">
        <f t="shared" ca="1" si="4"/>
        <v>"2084305404" : "Prism đá",</v>
      </c>
      <c r="H104" s="229" t="str">
        <f t="shared" si="5"/>
        <v>&lt;li class="col-md-3"&gt;&lt;a class="text-cut" href="javascript:;"(click)="categoryEvent(2084305404)"&gt;{{"2084305404" | translate}}&lt;/a&gt;&lt;/li&gt;</v>
      </c>
    </row>
    <row r="105" spans="1:8" ht="14.25" customHeight="1">
      <c r="A105" s="2">
        <v>2084305400</v>
      </c>
      <c r="B105" s="2" t="s">
        <v>7255</v>
      </c>
      <c r="C105" s="2" t="s">
        <v>7256</v>
      </c>
      <c r="D105" s="169" t="str">
        <f t="shared" si="6"/>
        <v>0,25464,27727,25826,2084305400</v>
      </c>
      <c r="E105" s="3" t="str">
        <f ca="1">IFERROR(__xludf.DUMMYFUNCTION("GOOGLETRANSLATE(B105,""ja"",""vi"")"),"Precious Memories")</f>
        <v>Precious Memories</v>
      </c>
      <c r="F105" s="3" t="str">
        <f ca="1">IFERROR(__xludf.DUMMYFUNCTION("GOOGLETRANSLATE(C105,""ja"",""vi"")"),"Đấu giá&gt; Đồ chơi, Trò chơi&gt; Trò chơi&gt; Trading Card Games&gt; Precious Memories")</f>
        <v>Đấu giá&gt; Đồ chơi, Trò chơi&gt; Trò chơi&gt; Trading Card Games&gt; Precious Memories</v>
      </c>
      <c r="G105" s="229" t="str">
        <f t="shared" ca="1" si="4"/>
        <v>"2084305400" : "Precious Memories",</v>
      </c>
      <c r="H105" s="229" t="str">
        <f t="shared" si="5"/>
        <v>&lt;li class="col-md-3"&gt;&lt;a class="text-cut" href="javascript:;"(click)="categoryEvent(2084305400)"&gt;{{"2084305400" | translate}}&lt;/a&gt;&lt;/li&gt;</v>
      </c>
    </row>
    <row r="106" spans="1:8" ht="14.25" customHeight="1">
      <c r="A106" s="2">
        <v>2084258749</v>
      </c>
      <c r="B106" s="2" t="s">
        <v>7259</v>
      </c>
      <c r="C106" s="2" t="s">
        <v>7260</v>
      </c>
      <c r="D106" s="169" t="str">
        <f t="shared" si="6"/>
        <v>0,25464,27727,25826,2084258749</v>
      </c>
      <c r="E106" s="3" t="str">
        <f ca="1">IFERROR(__xludf.DUMMYFUNCTION("GOOGLETRANSLATE(B106,""ja"",""vi"")"),"Professional Baseball Chủ sở hữu giải")</f>
        <v>Professional Baseball Chủ sở hữu giải</v>
      </c>
      <c r="F106" s="3" t="str">
        <f ca="1">IFERROR(__xludf.DUMMYFUNCTION("GOOGLETRANSLATE(C106,""ja"",""vi"")"),"Đấu giá&gt; Đồ chơi, Trò chơi&gt; Trò chơi&gt; Trading Card Game&gt; Professional Baseball Chủ sở hữu giải")</f>
        <v>Đấu giá&gt; Đồ chơi, Trò chơi&gt; Trò chơi&gt; Trading Card Game&gt; Professional Baseball Chủ sở hữu giải</v>
      </c>
      <c r="G106" s="229" t="str">
        <f t="shared" ca="1" si="4"/>
        <v>"2084258749" : "Professional Baseball Chủ sở hữu giải",</v>
      </c>
      <c r="H106" s="229" t="str">
        <f t="shared" si="5"/>
        <v>&lt;li class="col-md-3"&gt;&lt;a class="text-cut" href="javascript:;"(click)="categoryEvent(2084258749)"&gt;{{"2084258749" | translate}}&lt;/a&gt;&lt;/li&gt;</v>
      </c>
    </row>
    <row r="107" spans="1:8" ht="14.25" customHeight="1">
      <c r="A107" s="2">
        <v>2084199078</v>
      </c>
      <c r="B107" s="2" t="s">
        <v>7265</v>
      </c>
      <c r="C107" s="2" t="s">
        <v>7266</v>
      </c>
      <c r="D107" s="169" t="str">
        <f t="shared" si="6"/>
        <v>0,25464,27727,25826,2084199078</v>
      </c>
      <c r="E107" s="3" t="str">
        <f ca="1">IFERROR(__xludf.DUMMYFUNCTION("GOOGLETRANSLATE(B107,""ja"",""vi"")"),"Baseball Heroes")</f>
        <v>Baseball Heroes</v>
      </c>
      <c r="F107" s="3" t="str">
        <f ca="1">IFERROR(__xludf.DUMMYFUNCTION("GOOGLETRANSLATE(C107,""ja"",""vi"")"),"Đấu giá&gt; Đồ chơi, Trò chơi&gt; Trò chơi&gt; Trading Card Games&gt; Baseball Heroes")</f>
        <v>Đấu giá&gt; Đồ chơi, Trò chơi&gt; Trò chơi&gt; Trading Card Games&gt; Baseball Heroes</v>
      </c>
      <c r="G107" s="229" t="str">
        <f t="shared" ca="1" si="4"/>
        <v>"2084199078" : "Baseball Heroes",</v>
      </c>
      <c r="H107" s="229" t="str">
        <f t="shared" si="5"/>
        <v>&lt;li class="col-md-3"&gt;&lt;a class="text-cut" href="javascript:;"(click)="categoryEvent(2084199078)"&gt;{{"2084199078" | translate}}&lt;/a&gt;&lt;/li&gt;</v>
      </c>
    </row>
    <row r="108" spans="1:8" ht="14.25" customHeight="1">
      <c r="A108" s="2">
        <v>2084241343</v>
      </c>
      <c r="B108" s="2" t="s">
        <v>7272</v>
      </c>
      <c r="C108" s="2" t="s">
        <v>7274</v>
      </c>
      <c r="D108" s="169" t="str">
        <f t="shared" si="6"/>
        <v>0,25464,27727,25826,2084241343</v>
      </c>
      <c r="E108" s="3" t="str">
        <f ca="1">IFERROR(__xludf.DUMMYFUNCTION("GOOGLETRANSLATE(B108,""ja"",""vi"")"),"trò chơi thẻ Pokemon")</f>
        <v>trò chơi thẻ Pokemon</v>
      </c>
      <c r="F108" s="3" t="str">
        <f ca="1">IFERROR(__xludf.DUMMYFUNCTION("GOOGLETRANSLATE(C108,""ja"",""vi"")"),"Đấu giá&gt; Đồ chơi, Trò chơi&gt; Trò chơi&gt; Trading Card Games&gt; Pokemon Card Game")</f>
        <v>Đấu giá&gt; Đồ chơi, Trò chơi&gt; Trò chơi&gt; Trading Card Games&gt; Pokemon Card Game</v>
      </c>
      <c r="G108" s="229" t="str">
        <f t="shared" ca="1" si="4"/>
        <v>"2084241343" : "trò chơi thẻ Pokemon",</v>
      </c>
      <c r="H108" s="229" t="str">
        <f t="shared" si="5"/>
        <v>&lt;li class="col-md-3"&gt;&lt;a class="text-cut" href="javascript:;"(click)="categoryEvent(2084241343)"&gt;{{"2084241343" | translate}}&lt;/a&gt;&lt;/li&gt;</v>
      </c>
    </row>
    <row r="109" spans="1:8" ht="14.25" customHeight="1">
      <c r="A109" s="2">
        <v>2084309055</v>
      </c>
      <c r="B109" s="2" t="s">
        <v>7279</v>
      </c>
      <c r="C109" s="2" t="s">
        <v>7280</v>
      </c>
      <c r="D109" s="169" t="str">
        <f t="shared" si="6"/>
        <v>0,25464,27727,25826,2084309055</v>
      </c>
      <c r="E109" s="3" t="str">
        <f ca="1">IFERROR(__xludf.DUMMYFUNCTION("GOOGLETRANSLATE(B109,""ja"",""vi"")"),"Pokemon Torretta")</f>
        <v>Pokemon Torretta</v>
      </c>
      <c r="F109" s="3" t="str">
        <f ca="1">IFERROR(__xludf.DUMMYFUNCTION("GOOGLETRANSLATE(C109,""ja"",""vi"")"),"Đấu giá&gt; Đồ chơi, Trò chơi&gt; Trò chơi&gt; Trading Card Games&gt; Pokemon Torretta")</f>
        <v>Đấu giá&gt; Đồ chơi, Trò chơi&gt; Trò chơi&gt; Trading Card Games&gt; Pokemon Torretta</v>
      </c>
      <c r="G109" s="229" t="str">
        <f t="shared" ca="1" si="4"/>
        <v>"2084309055" : "Pokemon Torretta",</v>
      </c>
      <c r="H109" s="229" t="str">
        <f t="shared" si="5"/>
        <v>&lt;li class="col-md-3"&gt;&lt;a class="text-cut" href="javascript:;"(click)="categoryEvent(2084309055)"&gt;{{"2084309055" | translate}}&lt;/a&gt;&lt;/li&gt;</v>
      </c>
    </row>
    <row r="110" spans="1:8" ht="14.25" customHeight="1">
      <c r="A110" s="2">
        <v>2084241344</v>
      </c>
      <c r="B110" s="2" t="s">
        <v>7285</v>
      </c>
      <c r="C110" s="2" t="s">
        <v>7286</v>
      </c>
      <c r="D110" s="169" t="str">
        <f t="shared" si="6"/>
        <v>0,25464,27727,25826,2084241344</v>
      </c>
      <c r="E110" s="3" t="str">
        <f ca="1">IFERROR(__xludf.DUMMYFUNCTION("GOOGLETRANSLATE(B110,""ja"",""vi"")"),"Pokémon Battrio")</f>
        <v>Pokémon Battrio</v>
      </c>
      <c r="F110" s="3" t="str">
        <f ca="1">IFERROR(__xludf.DUMMYFUNCTION("GOOGLETRANSLATE(C110,""ja"",""vi"")"),"Đấu giá&gt; Đồ chơi, Trò chơi&gt; Trò chơi&gt; Trading Card Game&gt; Pokémon Battrio")</f>
        <v>Đấu giá&gt; Đồ chơi, Trò chơi&gt; Trò chơi&gt; Trading Card Game&gt; Pokémon Battrio</v>
      </c>
      <c r="G110" s="229" t="str">
        <f t="shared" ca="1" si="4"/>
        <v>"2084241344" : "Pokémon Battrio",</v>
      </c>
      <c r="H110" s="229" t="str">
        <f t="shared" si="5"/>
        <v>&lt;li class="col-md-3"&gt;&lt;a class="text-cut" href="javascript:;"(click)="categoryEvent(2084241344)"&gt;{{"2084241344" | translate}}&lt;/a&gt;&lt;/li&gt;</v>
      </c>
    </row>
    <row r="111" spans="1:8" ht="14.25" customHeight="1">
      <c r="A111" s="2">
        <v>2084239871</v>
      </c>
      <c r="B111" s="2" t="s">
        <v>7291</v>
      </c>
      <c r="C111" s="2" t="s">
        <v>7292</v>
      </c>
      <c r="D111" s="169" t="str">
        <f t="shared" si="6"/>
        <v>0,25464,27727,25826,2084239871</v>
      </c>
      <c r="E111" s="3" t="str">
        <f ca="1">IFERROR(__xludf.DUMMYFUNCTION("GOOGLETRANSLATE(B111,""ja"",""vi"")"),"Weiss Schwarz")</f>
        <v>Weiss Schwarz</v>
      </c>
      <c r="F111" s="3" t="str">
        <f ca="1">IFERROR(__xludf.DUMMYFUNCTION("GOOGLETRANSLATE(C111,""ja"",""vi"")"),"Đấu giá&gt; Đồ chơi, Trò chơi&gt; Trò chơi&gt; Card Game Thương mại&gt; Weiss")</f>
        <v>Đấu giá&gt; Đồ chơi, Trò chơi&gt; Trò chơi&gt; Card Game Thương mại&gt; Weiss</v>
      </c>
      <c r="G111" s="229" t="str">
        <f t="shared" ca="1" si="4"/>
        <v>"2084239871" : "Weiss Schwarz",</v>
      </c>
      <c r="H111" s="229" t="str">
        <f t="shared" si="5"/>
        <v>&lt;li class="col-md-3"&gt;&lt;a class="text-cut" href="javascript:;"(click)="categoryEvent(2084239871)"&gt;{{"2084239871" | translate}}&lt;/a&gt;&lt;/li&gt;</v>
      </c>
    </row>
    <row r="112" spans="1:8" ht="14.25" customHeight="1">
      <c r="A112" s="2">
        <v>2084236675</v>
      </c>
      <c r="B112" s="2" t="s">
        <v>7296</v>
      </c>
      <c r="C112" s="2" t="s">
        <v>7298</v>
      </c>
      <c r="D112" s="169" t="str">
        <f t="shared" si="6"/>
        <v>0,25464,27727,25826,2084236675</v>
      </c>
      <c r="E112" s="3" t="str">
        <f ca="1">IFERROR(__xludf.DUMMYFUNCTION("GOOGLETRANSLATE(B112,""ja"",""vi"")"),"Beasts chiến Animal Kaiser")</f>
        <v>Beasts chiến Animal Kaiser</v>
      </c>
      <c r="F112" s="3" t="str">
        <f ca="1">IFERROR(__xludf.DUMMYFUNCTION("GOOGLETRANSLATE(C112,""ja"",""vi"")"),"Đấu giá&gt; Đồ chơi, Trò chơi&gt; Trò chơi&gt; Trading Card Games&gt; thú chiến Animal Kaiser")</f>
        <v>Đấu giá&gt; Đồ chơi, Trò chơi&gt; Trò chơi&gt; Trading Card Games&gt; thú chiến Animal Kaiser</v>
      </c>
      <c r="G112" s="229" t="str">
        <f t="shared" ca="1" si="4"/>
        <v>"2084236675" : "Beasts chiến Animal Kaiser",</v>
      </c>
      <c r="H112" s="229" t="str">
        <f t="shared" si="5"/>
        <v>&lt;li class="col-md-3"&gt;&lt;a class="text-cut" href="javascript:;"(click)="categoryEvent(2084236675)"&gt;{{"2084236675" | translate}}&lt;/a&gt;&lt;/li&gt;</v>
      </c>
    </row>
    <row r="113" spans="1:8" ht="14.25" customHeight="1">
      <c r="A113" s="2">
        <v>25828</v>
      </c>
      <c r="B113" s="2" t="s">
        <v>7303</v>
      </c>
      <c r="C113" s="2" t="s">
        <v>7304</v>
      </c>
      <c r="D113" s="169" t="str">
        <f t="shared" si="6"/>
        <v>0,25464,27727,25826,25828</v>
      </c>
      <c r="E113" s="3" t="str">
        <f ca="1">IFERROR(__xludf.DUMMYFUNCTION("GOOGLETRANSLATE(B113,""ja"",""vi"")"),"Magic: The Gathering")</f>
        <v>Magic: The Gathering</v>
      </c>
      <c r="F113" s="3" t="str">
        <f ca="1">IFERROR(__xludf.DUMMYFUNCTION("GOOGLETRANSLATE(C113,""ja"",""vi"")"),"Đấu giá&gt; Đồ chơi, Trò chơi&gt; Trò chơi&gt; Trading Card Games&gt; Magic: The Gathering")</f>
        <v>Đấu giá&gt; Đồ chơi, Trò chơi&gt; Trò chơi&gt; Trading Card Games&gt; Magic: The Gathering</v>
      </c>
      <c r="G113" s="229" t="str">
        <f t="shared" ca="1" si="4"/>
        <v>"25828" : "Magic: The Gathering",</v>
      </c>
      <c r="H113" s="229" t="str">
        <f t="shared" si="5"/>
        <v>&lt;li class="col-md-3"&gt;&lt;a class="text-cut" href="javascript:;"(click)="categoryEvent(25828)"&gt;{{"25828" | translate}}&lt;/a&gt;&lt;/li&gt;</v>
      </c>
    </row>
    <row r="114" spans="1:8" ht="14.25" customHeight="1">
      <c r="A114" s="2">
        <v>2084005059</v>
      </c>
      <c r="B114" s="2" t="s">
        <v>7310</v>
      </c>
      <c r="C114" s="2" t="s">
        <v>7312</v>
      </c>
      <c r="D114" s="169" t="str">
        <f t="shared" si="6"/>
        <v>0,25464,27727,25826,2084005059</v>
      </c>
      <c r="E114" s="3" t="str">
        <f ca="1">IFERROR(__xludf.DUMMYFUNCTION("GOOGLETRANSLATE(B114,""ja"",""vi"")"),"Yu-Gi-Oh (Konami)")</f>
        <v>Yu-Gi-Oh (Konami)</v>
      </c>
      <c r="F114" s="3" t="str">
        <f ca="1">IFERROR(__xludf.DUMMYFUNCTION("GOOGLETRANSLATE(C114,""ja"",""vi"")"),"Đấu giá&gt; Đồ chơi, Trò chơi&gt; Trò chơi&gt; Trading Card Games&gt; Yu-Gi-Oh (Konami)")</f>
        <v>Đấu giá&gt; Đồ chơi, Trò chơi&gt; Trò chơi&gt; Trading Card Games&gt; Yu-Gi-Oh (Konami)</v>
      </c>
      <c r="G114" s="229" t="str">
        <f t="shared" ca="1" si="4"/>
        <v>"2084005059" : "Yu-Gi-Oh (Konami)",</v>
      </c>
      <c r="H114" s="229" t="str">
        <f t="shared" si="5"/>
        <v>&lt;li class="col-md-3"&gt;&lt;a class="text-cut" href="javascript:;"(click)="categoryEvent(2084005059)"&gt;{{"2084005059" | translate}}&lt;/a&gt;&lt;/li&gt;</v>
      </c>
    </row>
    <row r="115" spans="1:8" ht="14.25" customHeight="1">
      <c r="A115" s="2">
        <v>2084019440</v>
      </c>
      <c r="B115" s="2" t="s">
        <v>7317</v>
      </c>
      <c r="C115" s="2" t="s">
        <v>7318</v>
      </c>
      <c r="D115" s="169" t="str">
        <f t="shared" si="6"/>
        <v>0,25464,27727,25826,2084019440</v>
      </c>
      <c r="E115" s="3" t="str">
        <f ca="1">IFERROR(__xludf.DUMMYFUNCTION("GOOGLETRANSLATE(B115,""ja"",""vi"")"),"Yu-Gi-Oh (Bandai)")</f>
        <v>Yu-Gi-Oh (Bandai)</v>
      </c>
      <c r="F115" s="3" t="str">
        <f ca="1">IFERROR(__xludf.DUMMYFUNCTION("GOOGLETRANSLATE(C115,""ja"",""vi"")"),"Đấu giá&gt; Đồ chơi, Trò chơi&gt; Trò chơi&gt; Trading Card Games&gt; Yu-Gi-Oh (Bandai)")</f>
        <v>Đấu giá&gt; Đồ chơi, Trò chơi&gt; Trò chơi&gt; Trading Card Games&gt; Yu-Gi-Oh (Bandai)</v>
      </c>
      <c r="G115" s="229" t="str">
        <f t="shared" ca="1" si="4"/>
        <v>"2084019440" : "Yu-Gi-Oh (Bandai)",</v>
      </c>
      <c r="H115" s="229" t="str">
        <f t="shared" si="5"/>
        <v>&lt;li class="col-md-3"&gt;&lt;a class="text-cut" href="javascript:;"(click)="categoryEvent(2084019440)"&gt;{{"2084019440" | translate}}&lt;/a&gt;&lt;/li&gt;</v>
      </c>
    </row>
    <row r="116" spans="1:8" ht="14.25" customHeight="1">
      <c r="A116" s="2">
        <v>2084314558</v>
      </c>
      <c r="B116" s="2" t="s">
        <v>7322</v>
      </c>
      <c r="C116" s="2" t="s">
        <v>7323</v>
      </c>
      <c r="D116" s="169" t="str">
        <f t="shared" si="6"/>
        <v>0,25464,27727,25826,2084314558</v>
      </c>
      <c r="E116" s="3" t="str">
        <f ca="1">IFERROR(__xludf.DUMMYFUNCTION("GOOGLETRANSLATE(B116,""ja"",""vi"")"),"Spectre Xem")</f>
        <v>Spectre Xem</v>
      </c>
      <c r="F116" s="3" t="str">
        <f ca="1">IFERROR(__xludf.DUMMYFUNCTION("GOOGLETRANSLATE(C116,""ja"",""vi"")"),"Đấu giá&gt; Đồ chơi, Trò chơi&gt; Trò chơi&gt; Trading Card Games&gt; bóng ma xem")</f>
        <v>Đấu giá&gt; Đồ chơi, Trò chơi&gt; Trò chơi&gt; Trading Card Games&gt; bóng ma xem</v>
      </c>
      <c r="G116" s="229" t="str">
        <f t="shared" ca="1" si="4"/>
        <v>"2084314558" : "Spectre Xem",</v>
      </c>
      <c r="H116" s="229" t="str">
        <f t="shared" si="5"/>
        <v>&lt;li class="col-md-3"&gt;&lt;a class="text-cut" href="javascript:;"(click)="categoryEvent(2084314558)"&gt;{{"2084314558" | translate}}&lt;/a&gt;&lt;/li&gt;</v>
      </c>
    </row>
    <row r="117" spans="1:8" ht="14.25" customHeight="1">
      <c r="A117" s="2">
        <v>20992</v>
      </c>
      <c r="B117" s="2" t="s">
        <v>396</v>
      </c>
      <c r="C117" s="2" t="s">
        <v>7328</v>
      </c>
      <c r="D117" s="169" t="str">
        <f t="shared" si="6"/>
        <v>0,25464,27727,25826,20992</v>
      </c>
      <c r="E117" s="3" t="str">
        <f ca="1">IFERROR(__xludf.DUMMYFUNCTION("GOOGLETRANSLATE(B117,""ja"",""vi"")"),"thẻ giao dịch")</f>
        <v>thẻ giao dịch</v>
      </c>
      <c r="F117" s="3" t="str">
        <f ca="1">IFERROR(__xludf.DUMMYFUNCTION("GOOGLETRANSLATE(C117,""ja"",""vi"")"),"Đấu giá&gt; Đồ chơi, Trò chơi&gt; Trò chơi&gt; Trading Card Games&gt; Thẻ Thương mại")</f>
        <v>Đấu giá&gt; Đồ chơi, Trò chơi&gt; Trò chơi&gt; Trading Card Games&gt; Thẻ Thương mại</v>
      </c>
      <c r="G117" s="229" t="str">
        <f t="shared" ca="1" si="4"/>
        <v>"20992" : "thẻ giao dịch",</v>
      </c>
      <c r="H117" s="229" t="str">
        <f t="shared" si="5"/>
        <v>&lt;li class="col-md-3"&gt;&lt;a class="text-cut" href="javascript:;"(click)="categoryEvent(20992)"&gt;{{"20992" | translate}}&lt;/a&gt;&lt;/li&gt;</v>
      </c>
    </row>
    <row r="118" spans="1:8" ht="14.25" customHeight="1">
      <c r="A118" s="2">
        <v>2084215569</v>
      </c>
      <c r="B118" s="2" t="s">
        <v>7332</v>
      </c>
      <c r="C118" s="2" t="s">
        <v>7333</v>
      </c>
      <c r="D118" s="169" t="str">
        <f t="shared" si="6"/>
        <v>0,25464,27727,25826,2084215569</v>
      </c>
      <c r="E118" s="3" t="str">
        <f ca="1">IFERROR(__xludf.DUMMYFUNCTION("GOOGLETRANSLATE(B118,""ja"",""vi"")"),"Lycée")</f>
        <v>Lycée</v>
      </c>
      <c r="F118" s="3" t="str">
        <f ca="1">IFERROR(__xludf.DUMMYFUNCTION("GOOGLETRANSLATE(C118,""ja"",""vi"")"),"Đấu giá&gt; Đồ chơi, Trò chơi&gt; Trò chơi&gt; Trading Card Games&gt; Lise")</f>
        <v>Đấu giá&gt; Đồ chơi, Trò chơi&gt; Trò chơi&gt; Trading Card Games&gt; Lise</v>
      </c>
      <c r="G118" s="229" t="str">
        <f t="shared" ca="1" si="4"/>
        <v>"2084215569" : "Lycée",</v>
      </c>
      <c r="H118" s="229" t="str">
        <f t="shared" si="5"/>
        <v>&lt;li class="col-md-3"&gt;&lt;a class="text-cut" href="javascript:;"(click)="categoryEvent(2084215569)"&gt;{{"2084215569" | translate}}&lt;/a&gt;&lt;/li&gt;</v>
      </c>
    </row>
    <row r="119" spans="1:8" ht="14.25" customHeight="1">
      <c r="A119" s="2">
        <v>2084236678</v>
      </c>
      <c r="B119" s="2" t="s">
        <v>7337</v>
      </c>
      <c r="C119" s="2" t="s">
        <v>7339</v>
      </c>
      <c r="D119" s="169" t="str">
        <f t="shared" si="6"/>
        <v>0,25464,27727,25826,2084236678</v>
      </c>
      <c r="E119" s="3" t="str">
        <f ca="1">IFERROR(__xludf.DUMMYFUNCTION("GOOGLETRANSLATE(B119,""ja"",""vi"")"),"Rangers Strike")</f>
        <v>Rangers Strike</v>
      </c>
      <c r="F119" s="3" t="str">
        <f ca="1">IFERROR(__xludf.DUMMYFUNCTION("GOOGLETRANSLATE(C119,""ja"",""vi"")"),"Đấu giá&gt; Đồ chơi, Trò chơi&gt; Trò chơi&gt; Trading Card Games&gt; Rangers Strike")</f>
        <v>Đấu giá&gt; Đồ chơi, Trò chơi&gt; Trò chơi&gt; Trading Card Games&gt; Rangers Strike</v>
      </c>
      <c r="G119" s="229" t="str">
        <f t="shared" ca="1" si="4"/>
        <v>"2084236678" : "Rangers Strike",</v>
      </c>
      <c r="H119" s="229" t="str">
        <f t="shared" si="5"/>
        <v>&lt;li class="col-md-3"&gt;&lt;a class="text-cut" href="javascript:;"(click)="categoryEvent(2084236678)"&gt;{{"2084236678" | translate}}&lt;/a&gt;&lt;/li&gt;</v>
      </c>
    </row>
    <row r="120" spans="1:8" ht="14.25" customHeight="1">
      <c r="A120" s="2">
        <v>2084236676</v>
      </c>
      <c r="B120" s="2" t="s">
        <v>7344</v>
      </c>
      <c r="C120" s="2" t="s">
        <v>7345</v>
      </c>
      <c r="D120" s="169" t="str">
        <f t="shared" si="6"/>
        <v>0,25464,27727,25826,2084236676</v>
      </c>
      <c r="E120" s="3" t="str">
        <f ca="1">IFERROR(__xludf.DUMMYFUNCTION("GOOGLETRANSLATE(B120,""ja"",""vi"")"),"Lord of Vermilion")</f>
        <v>Lord of Vermilion</v>
      </c>
      <c r="F120" s="3" t="str">
        <f ca="1">IFERROR(__xludf.DUMMYFUNCTION("GOOGLETRANSLATE(C120,""ja"",""vi"")"),"Đấu giá&gt; Đồ chơi, Trò chơi&gt; Trò chơi&gt; Trading Card Games&gt; Lord of Vermilion")</f>
        <v>Đấu giá&gt; Đồ chơi, Trò chơi&gt; Trò chơi&gt; Trading Card Games&gt; Lord of Vermilion</v>
      </c>
      <c r="G120" s="229" t="str">
        <f t="shared" ca="1" si="4"/>
        <v>"2084236676" : "Lord of Vermilion",</v>
      </c>
      <c r="H120" s="229" t="str">
        <f t="shared" si="5"/>
        <v>&lt;li class="col-md-3"&gt;&lt;a class="text-cut" href="javascript:;"(click)="categoryEvent(2084236676)"&gt;{{"2084236676" | translate}}&lt;/a&gt;&lt;/li&gt;</v>
      </c>
    </row>
    <row r="121" spans="1:8" ht="14.25" customHeight="1">
      <c r="A121" s="2">
        <v>2084236680</v>
      </c>
      <c r="B121" s="2" t="s">
        <v>886</v>
      </c>
      <c r="C121" s="2" t="s">
        <v>7350</v>
      </c>
      <c r="D121" s="169" t="str">
        <f t="shared" si="6"/>
        <v>0,25464,27727,25826,2084236680</v>
      </c>
      <c r="E121" s="3" t="str">
        <f ca="1">IFERROR(__xludf.DUMMYFUNCTION("GOOGLETRANSLATE(B121,""ja"",""vi"")"),"One piece")</f>
        <v>One piece</v>
      </c>
      <c r="F121" s="3" t="str">
        <f ca="1">IFERROR(__xludf.DUMMYFUNCTION("GOOGLETRANSLATE(C121,""ja"",""vi"")"),"Đấu giá&gt; Đồ chơi, Trò chơi&gt; Trò chơi&gt; Trading Card Games&gt; One Piece")</f>
        <v>Đấu giá&gt; Đồ chơi, Trò chơi&gt; Trò chơi&gt; Trading Card Games&gt; One Piece</v>
      </c>
      <c r="G121" s="229" t="str">
        <f t="shared" ca="1" si="4"/>
        <v>"2084236680" : "One piece",</v>
      </c>
      <c r="H121" s="229" t="str">
        <f t="shared" si="5"/>
        <v>&lt;li class="col-md-3"&gt;&lt;a class="text-cut" href="javascript:;"(click)="categoryEvent(2084236680)"&gt;{{"2084236680" | translate}}&lt;/a&gt;&lt;/li&gt;</v>
      </c>
    </row>
    <row r="122" spans="1:8" ht="14.25" customHeight="1">
      <c r="A122" s="2">
        <v>25832</v>
      </c>
      <c r="B122" s="2" t="s">
        <v>16</v>
      </c>
      <c r="C122" s="2" t="s">
        <v>7355</v>
      </c>
      <c r="D122" s="169" t="str">
        <f t="shared" si="6"/>
        <v>0,25464,27727,25826,25832</v>
      </c>
      <c r="E122" s="3" t="str">
        <f ca="1">IFERROR(__xludf.DUMMYFUNCTION("GOOGLETRANSLATE(B122,""ja"",""vi"")"),"nếu không thì")</f>
        <v>nếu không thì</v>
      </c>
      <c r="F122" s="3" t="str">
        <f ca="1">IFERROR(__xludf.DUMMYFUNCTION("GOOGLETRANSLATE(C122,""ja"",""vi"")"),"Đấu giá&gt; Đồ chơi, Trò chơi&gt; Trò chơi&gt; Trading Card Games&gt; Khác")</f>
        <v>Đấu giá&gt; Đồ chơi, Trò chơi&gt; Trò chơi&gt; Trading Card Games&gt; Khác</v>
      </c>
      <c r="G122" s="229" t="str">
        <f t="shared" ca="1" si="4"/>
        <v>"25832" : "nếu không thì",</v>
      </c>
      <c r="H122" s="229" t="str">
        <f t="shared" si="5"/>
        <v>&lt;li class="col-md-3"&gt;&lt;a class="text-cut" href="javascript:;"(click)="categoryEvent(25832)"&gt;{{"25832" | translate}}&lt;/a&gt;&lt;/li&gt;</v>
      </c>
    </row>
    <row r="123" spans="1:8" ht="14.25" customHeight="1">
      <c r="E123" s="3"/>
      <c r="F123" s="3"/>
      <c r="G123" s="229"/>
      <c r="H123" s="229"/>
    </row>
    <row r="124" spans="1:8" ht="14.25" customHeight="1">
      <c r="A124" s="240">
        <v>25888</v>
      </c>
      <c r="B124" s="232"/>
      <c r="C124" s="232"/>
      <c r="D124" s="233"/>
      <c r="E124" s="3"/>
      <c r="F124" s="3"/>
      <c r="G124" s="229"/>
      <c r="H124" s="229"/>
    </row>
    <row r="125" spans="1:8" ht="14.25" customHeight="1">
      <c r="A125" s="2">
        <v>2084023782</v>
      </c>
      <c r="B125" s="2" t="s">
        <v>770</v>
      </c>
      <c r="C125" s="2" t="s">
        <v>772</v>
      </c>
      <c r="D125" s="169" t="str">
        <f t="shared" ref="D125:D137" si="7">CONCATENATE("0,","25464,25888,",A125)</f>
        <v>0,25464,25888,2084023782</v>
      </c>
      <c r="E125" s="3" t="str">
        <f ca="1">IFERROR(__xludf.DUMMYFUNCTION("GOOGLETRANSLATE(B125,""ja"",""vi"")"),"Truyện tranh, hoạt hình")</f>
        <v>Truyện tranh, hoạt hình</v>
      </c>
      <c r="F125" s="3" t="str">
        <f ca="1">IFERROR(__xludf.DUMMYFUNCTION("GOOGLETRANSLATE(C125,""ja"",""vi"")"),"Đấu giá&gt; đồ chơi, trò chơi&gt; hình&gt; truyện tranh, phim hoạt hình")</f>
        <v>Đấu giá&gt; đồ chơi, trò chơi&gt; hình&gt; truyện tranh, phim hoạt hình</v>
      </c>
      <c r="G125" s="229" t="str">
        <f t="shared" ca="1" si="4"/>
        <v>"2084023782" : "Truyện tranh, hoạt hình",</v>
      </c>
      <c r="H125" s="229" t="str">
        <f t="shared" si="5"/>
        <v>&lt;li class="col-md-3"&gt;&lt;a class="text-cut" href="javascript:;"(click)="categoryEvent(2084023782)"&gt;{{"2084023782" | translate}}&lt;/a&gt;&lt;/li&gt;</v>
      </c>
    </row>
    <row r="126" spans="1:8" ht="14.25" customHeight="1">
      <c r="A126" s="2">
        <v>2084023622</v>
      </c>
      <c r="B126" s="2" t="s">
        <v>776</v>
      </c>
      <c r="C126" s="2" t="s">
        <v>778</v>
      </c>
      <c r="D126" s="169" t="str">
        <f t="shared" si="7"/>
        <v>0,25464,25888,2084023622</v>
      </c>
      <c r="E126" s="3" t="str">
        <f ca="1">IFERROR(__xludf.DUMMYFUNCTION("GOOGLETRANSLATE(B126,""ja"",""vi"")"),"hiệu ứng đặc biệt")</f>
        <v>hiệu ứng đặc biệt</v>
      </c>
      <c r="F126" s="3" t="str">
        <f ca="1">IFERROR(__xludf.DUMMYFUNCTION("GOOGLETRANSLATE(C126,""ja"",""vi"")"),"Đấu giá&gt; đồ chơi, trò chơi&gt; hình&gt; hiệu ứng đặc biệt")</f>
        <v>Đấu giá&gt; đồ chơi, trò chơi&gt; hình&gt; hiệu ứng đặc biệt</v>
      </c>
      <c r="G126" s="229" t="str">
        <f t="shared" ca="1" si="4"/>
        <v>"2084023622" : "hiệu ứng đặc biệt",</v>
      </c>
      <c r="H126" s="229" t="str">
        <f t="shared" si="5"/>
        <v>&lt;li class="col-md-3"&gt;&lt;a class="text-cut" href="javascript:;"(click)="categoryEvent(2084023622)"&gt;{{"2084023622" | translate}}&lt;/a&gt;&lt;/li&gt;</v>
      </c>
    </row>
    <row r="127" spans="1:8" ht="14.25" customHeight="1">
      <c r="A127" s="2">
        <v>2084040564</v>
      </c>
      <c r="B127" s="2" t="s">
        <v>783</v>
      </c>
      <c r="C127" s="2" t="s">
        <v>784</v>
      </c>
      <c r="D127" s="169" t="str">
        <f t="shared" si="7"/>
        <v>0,25464,25888,2084040564</v>
      </c>
      <c r="E127" s="3" t="str">
        <f ca="1">IFERROR(__xludf.DUMMYFUNCTION("GOOGLETRANSLATE(B127,""ja"",""vi"")"),"nhân vật game")</f>
        <v>nhân vật game</v>
      </c>
      <c r="F127" s="3" t="str">
        <f ca="1">IFERROR(__xludf.DUMMYFUNCTION("GOOGLETRANSLATE(C127,""ja"",""vi"")"),"Đấu giá&gt; đồ chơi, trò chơi&gt; hình&gt; nhân vật game")</f>
        <v>Đấu giá&gt; đồ chơi, trò chơi&gt; hình&gt; nhân vật game</v>
      </c>
      <c r="G127" s="229" t="str">
        <f t="shared" ca="1" si="4"/>
        <v>"2084040564" : "nhân vật game",</v>
      </c>
      <c r="H127" s="229" t="str">
        <f t="shared" si="5"/>
        <v>&lt;li class="col-md-3"&gt;&lt;a class="text-cut" href="javascript:;"(click)="categoryEvent(2084040564)"&gt;{{"2084040564" | translate}}&lt;/a&gt;&lt;/li&gt;</v>
      </c>
    </row>
    <row r="128" spans="1:8" ht="14.25" customHeight="1">
      <c r="A128" s="2">
        <v>2084023799</v>
      </c>
      <c r="B128" s="2" t="s">
        <v>788</v>
      </c>
      <c r="C128" s="2" t="s">
        <v>790</v>
      </c>
      <c r="D128" s="169" t="str">
        <f t="shared" si="7"/>
        <v>0,25464,25888,2084023799</v>
      </c>
      <c r="E128" s="3" t="str">
        <f ca="1">IFERROR(__xludf.DUMMYFUNCTION("GOOGLETRANSLATE(B128,""ja"",""vi"")"),"SF, Fantasy, Horror")</f>
        <v>SF, Fantasy, Horror</v>
      </c>
      <c r="F128" s="3" t="str">
        <f ca="1">IFERROR(__xludf.DUMMYFUNCTION("GOOGLETRANSLATE(C128,""ja"",""vi"")"),"Đấu giá&gt; đồ chơi, trò chơi&gt; hình&gt; SF, Fantasy, Horror")</f>
        <v>Đấu giá&gt; đồ chơi, trò chơi&gt; hình&gt; SF, Fantasy, Horror</v>
      </c>
      <c r="G128" s="229" t="str">
        <f t="shared" ca="1" si="4"/>
        <v>"2084023799" : "SF, Fantasy, Horror",</v>
      </c>
      <c r="H128" s="229" t="str">
        <f t="shared" si="5"/>
        <v>&lt;li class="col-md-3"&gt;&lt;a class="text-cut" href="javascript:;"(click)="categoryEvent(2084023799)"&gt;{{"2084023799" | translate}}&lt;/a&gt;&lt;/li&gt;</v>
      </c>
    </row>
    <row r="129" spans="1:8" ht="14.25" customHeight="1">
      <c r="A129" s="2">
        <v>21688</v>
      </c>
      <c r="B129" s="2" t="s">
        <v>796</v>
      </c>
      <c r="C129" s="2" t="s">
        <v>797</v>
      </c>
      <c r="D129" s="169" t="str">
        <f t="shared" si="7"/>
        <v>0,25464,25888,21688</v>
      </c>
      <c r="E129" s="3" t="str">
        <f ca="1">IFERROR(__xludf.DUMMYFUNCTION("GOOGLETRANSLATE(B129,""ja"",""vi"")"),"truyện tranh Mỹ")</f>
        <v>truyện tranh Mỹ</v>
      </c>
      <c r="F129" s="3" t="str">
        <f ca="1">IFERROR(__xludf.DUMMYFUNCTION("GOOGLETRANSLATE(C129,""ja"",""vi"")"),"Đấu giá&gt; Đồ chơi, trò chơi&gt; Hình&gt; truyện tranh Mỹ")</f>
        <v>Đấu giá&gt; Đồ chơi, trò chơi&gt; Hình&gt; truyện tranh Mỹ</v>
      </c>
      <c r="G129" s="229" t="str">
        <f t="shared" ca="1" si="4"/>
        <v>"21688" : "truyện tranh Mỹ",</v>
      </c>
      <c r="H129" s="229" t="str">
        <f t="shared" si="5"/>
        <v>&lt;li class="col-md-3"&gt;&lt;a class="text-cut" href="javascript:;"(click)="categoryEvent(21688)"&gt;{{"21688" | translate}}&lt;/a&gt;&lt;/li&gt;</v>
      </c>
    </row>
    <row r="130" spans="1:8" ht="14.25" customHeight="1">
      <c r="A130" s="2">
        <v>25892</v>
      </c>
      <c r="B130" s="2" t="s">
        <v>262</v>
      </c>
      <c r="C130" s="2" t="s">
        <v>801</v>
      </c>
      <c r="D130" s="169" t="str">
        <f t="shared" si="7"/>
        <v>0,25464,25888,25892</v>
      </c>
      <c r="E130" s="3" t="str">
        <f ca="1">IFERROR(__xludf.DUMMYFUNCTION("GOOGLETRANSLATE(B130,""ja"",""vi"")"),"thể thao")</f>
        <v>thể thao</v>
      </c>
      <c r="F130" s="3" t="str">
        <f ca="1">IFERROR(__xludf.DUMMYFUNCTION("GOOGLETRANSLATE(C130,""ja"",""vi"")"),"Đấu giá&gt; Đồ chơi, trò chơi&gt; Hình&gt; Thể Thao")</f>
        <v>Đấu giá&gt; Đồ chơi, trò chơi&gt; Hình&gt; Thể Thao</v>
      </c>
      <c r="G130" s="229" t="str">
        <f t="shared" ca="1" si="4"/>
        <v>"25892" : "thể thao",</v>
      </c>
      <c r="H130" s="229" t="str">
        <f t="shared" si="5"/>
        <v>&lt;li class="col-md-3"&gt;&lt;a class="text-cut" href="javascript:;"(click)="categoryEvent(25892)"&gt;{{"25892" | translate}}&lt;/a&gt;&lt;/li&gt;</v>
      </c>
    </row>
    <row r="131" spans="1:8" ht="14.25" customHeight="1">
      <c r="A131" s="2">
        <v>25890</v>
      </c>
      <c r="B131" s="2" t="s">
        <v>805</v>
      </c>
      <c r="C131" s="2" t="s">
        <v>806</v>
      </c>
      <c r="D131" s="169" t="str">
        <f t="shared" si="7"/>
        <v>0,25464,25888,25890</v>
      </c>
      <c r="E131" s="3" t="str">
        <f ca="1">IFERROR(__xludf.DUMMYFUNCTION("GOOGLETRANSLATE(B131,""ja"",""vi"")"),"quân đội")</f>
        <v>quân đội</v>
      </c>
      <c r="F131" s="3" t="str">
        <f ca="1">IFERROR(__xludf.DUMMYFUNCTION("GOOGLETRANSLATE(C131,""ja"",""vi"")"),"Đấu giá&gt; Đồ chơi, trò chơi&gt; Hình&gt; Quân sự")</f>
        <v>Đấu giá&gt; Đồ chơi, trò chơi&gt; Hình&gt; Quân sự</v>
      </c>
      <c r="G131" s="229" t="str">
        <f t="shared" ref="G131:G194" ca="1" si="8">CONCATENATE(CHAR(34)&amp;"",A131,""&amp;CHAR(34)," : ", CHAR(34)&amp;"",E131,""&amp;CHAR(34),",")</f>
        <v>"25890" : "quân đội",</v>
      </c>
      <c r="H131" s="229" t="str">
        <f t="shared" ref="H131:H194" si="9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href="javascript:;"(click)="categoryEvent(25890)"&gt;{{"25890" | translate}}&lt;/a&gt;&lt;/li&gt;</v>
      </c>
    </row>
    <row r="132" spans="1:8" ht="14.25" customHeight="1">
      <c r="A132" s="2">
        <v>2084063729</v>
      </c>
      <c r="B132" s="2" t="s">
        <v>812</v>
      </c>
      <c r="C132" s="2" t="s">
        <v>814</v>
      </c>
      <c r="D132" s="169" t="str">
        <f t="shared" si="7"/>
        <v>0,25464,25888,2084063729</v>
      </c>
      <c r="E132" s="3" t="str">
        <f ca="1">IFERROR(__xludf.DUMMYFUNCTION("GOOGLETRANSLATE(B132,""ja"",""vi"")"),"vật sống")</f>
        <v>vật sống</v>
      </c>
      <c r="F132" s="3" t="str">
        <f ca="1">IFERROR(__xludf.DUMMYFUNCTION("GOOGLETRANSLATE(C132,""ja"",""vi"")"),"Đấu giá&gt; Đồ chơi, trò chơi&gt; Hình&gt; sinh vật")</f>
        <v>Đấu giá&gt; Đồ chơi, trò chơi&gt; Hình&gt; sinh vật</v>
      </c>
      <c r="G132" s="229" t="str">
        <f t="shared" ca="1" si="8"/>
        <v>"2084063729" : "vật sống",</v>
      </c>
      <c r="H132" s="229" t="str">
        <f t="shared" si="9"/>
        <v>&lt;li class="col-md-3"&gt;&lt;a class="text-cut" href="javascript:;"(click)="categoryEvent(2084063729)"&gt;{{"2084063729" | translate}}&lt;/a&gt;&lt;/li&gt;</v>
      </c>
    </row>
    <row r="133" spans="1:8" ht="14.25" customHeight="1">
      <c r="A133" s="2">
        <v>2084023795</v>
      </c>
      <c r="B133" s="2" t="s">
        <v>819</v>
      </c>
      <c r="C133" s="2" t="s">
        <v>820</v>
      </c>
      <c r="D133" s="169" t="str">
        <f t="shared" si="7"/>
        <v>0,25464,25888,2084023795</v>
      </c>
      <c r="E133" s="3" t="str">
        <f ca="1">IFERROR(__xludf.DUMMYFUNCTION("GOOGLETRANSLATE(B133,""ja"",""vi"")"),"Giải trí, tài năng")</f>
        <v>Giải trí, tài năng</v>
      </c>
      <c r="F133" s="3" t="str">
        <f ca="1">IFERROR(__xludf.DUMMYFUNCTION("GOOGLETRANSLATE(C133,""ja"",""vi"")"),"Đấu giá&gt; Đồ chơi, trò chơi&gt; Hình&gt; giải trí, tài năng")</f>
        <v>Đấu giá&gt; Đồ chơi, trò chơi&gt; Hình&gt; giải trí, tài năng</v>
      </c>
      <c r="G133" s="229" t="str">
        <f t="shared" ca="1" si="8"/>
        <v>"2084023795" : "Giải trí, tài năng",</v>
      </c>
      <c r="H133" s="229" t="str">
        <f t="shared" si="9"/>
        <v>&lt;li class="col-md-3"&gt;&lt;a class="text-cut" href="javascript:;"(click)="categoryEvent(2084023795)"&gt;{{"2084023795" | translate}}&lt;/a&gt;&lt;/li&gt;</v>
      </c>
    </row>
    <row r="134" spans="1:8" ht="14.25" customHeight="1">
      <c r="A134" s="2">
        <v>2084042426</v>
      </c>
      <c r="B134" s="2" t="s">
        <v>827</v>
      </c>
      <c r="C134" s="2" t="s">
        <v>828</v>
      </c>
      <c r="D134" s="169" t="str">
        <f t="shared" si="7"/>
        <v>0,25464,25888,2084042426</v>
      </c>
      <c r="E134" s="3" t="str">
        <f ca="1">IFERROR(__xludf.DUMMYFUNCTION("GOOGLETRANSLATE(B134,""ja"",""vi"")"),"chơi lịch sử")</f>
        <v>chơi lịch sử</v>
      </c>
      <c r="F134" s="3" t="str">
        <f ca="1">IFERROR(__xludf.DUMMYFUNCTION("GOOGLETRANSLATE(C134,""ja"",""vi"")"),"Đấu giá&gt; Đồ chơi, trò chơi&gt; Hình&gt; phim kỷ nguyên")</f>
        <v>Đấu giá&gt; Đồ chơi, trò chơi&gt; Hình&gt; phim kỷ nguyên</v>
      </c>
      <c r="G134" s="229" t="str">
        <f t="shared" ca="1" si="8"/>
        <v>"2084042426" : "chơi lịch sử",</v>
      </c>
      <c r="H134" s="229" t="str">
        <f t="shared" si="9"/>
        <v>&lt;li class="col-md-3"&gt;&lt;a class="text-cut" href="javascript:;"(click)="categoryEvent(2084042426)"&gt;{{"2084042426" | translate}}&lt;/a&gt;&lt;/li&gt;</v>
      </c>
    </row>
    <row r="135" spans="1:8" ht="14.25" customHeight="1">
      <c r="A135" s="2">
        <v>2084023831</v>
      </c>
      <c r="B135" s="2" t="s">
        <v>836</v>
      </c>
      <c r="C135" s="2" t="s">
        <v>838</v>
      </c>
      <c r="D135" s="169" t="str">
        <f t="shared" si="7"/>
        <v>0,25464,25888,2084023831</v>
      </c>
      <c r="E135" s="3" t="str">
        <f ca="1">IFERROR(__xludf.DUMMYFUNCTION("GOOGLETRANSLATE(B135,""ja"",""vi"")"),"Sáng tạo, gốc")</f>
        <v>Sáng tạo, gốc</v>
      </c>
      <c r="F135" s="3" t="str">
        <f ca="1">IFERROR(__xludf.DUMMYFUNCTION("GOOGLETRANSLATE(C135,""ja"",""vi"")"),"Đấu giá&gt; Đồ chơi, trò chơi&gt; Hình&gt; sáng tạo, ban đầu")</f>
        <v>Đấu giá&gt; Đồ chơi, trò chơi&gt; Hình&gt; sáng tạo, ban đầu</v>
      </c>
      <c r="G135" s="229" t="str">
        <f t="shared" ca="1" si="8"/>
        <v>"2084023831" : "Sáng tạo, gốc",</v>
      </c>
      <c r="H135" s="229" t="str">
        <f t="shared" si="9"/>
        <v>&lt;li class="col-md-3"&gt;&lt;a class="text-cut" href="javascript:;"(click)="categoryEvent(2084023831)"&gt;{{"2084023831" | translate}}&lt;/a&gt;&lt;/li&gt;</v>
      </c>
    </row>
    <row r="136" spans="1:8" ht="14.25" customHeight="1">
      <c r="A136" s="2">
        <v>25870</v>
      </c>
      <c r="B136" s="2" t="s">
        <v>847</v>
      </c>
      <c r="C136" s="2" t="s">
        <v>850</v>
      </c>
      <c r="D136" s="169" t="str">
        <f t="shared" si="7"/>
        <v>0,25464,25888,25870</v>
      </c>
      <c r="E136" s="3" t="str">
        <f ca="1">IFERROR(__xludf.DUMMYFUNCTION("GOOGLETRANSLATE(B136,""ja"",""vi"")"),"nhân vật búp bê")</f>
        <v>nhân vật búp bê</v>
      </c>
      <c r="F136" s="3" t="str">
        <f ca="1">IFERROR(__xludf.DUMMYFUNCTION("GOOGLETRANSLATE(C136,""ja"",""vi"")"),"Đấu giá&gt; Đồ chơi, trò chơi&gt; Hình&gt; Character Doll")</f>
        <v>Đấu giá&gt; Đồ chơi, trò chơi&gt; Hình&gt; Character Doll</v>
      </c>
      <c r="G136" s="229" t="str">
        <f t="shared" ca="1" si="8"/>
        <v>"25870" : "nhân vật búp bê",</v>
      </c>
      <c r="H136" s="229" t="str">
        <f t="shared" si="9"/>
        <v>&lt;li class="col-md-3"&gt;&lt;a class="text-cut" href="javascript:;"(click)="categoryEvent(25870)"&gt;{{"25870" | translate}}&lt;/a&gt;&lt;/li&gt;</v>
      </c>
    </row>
    <row r="137" spans="1:8" ht="14.25" customHeight="1">
      <c r="A137" s="2">
        <v>2084309436</v>
      </c>
      <c r="B137" s="2" t="s">
        <v>16</v>
      </c>
      <c r="C137" s="2" t="s">
        <v>856</v>
      </c>
      <c r="D137" s="169" t="str">
        <f t="shared" si="7"/>
        <v>0,25464,25888,2084309436</v>
      </c>
      <c r="E137" s="3" t="str">
        <f ca="1">IFERROR(__xludf.DUMMYFUNCTION("GOOGLETRANSLATE(B137,""ja"",""vi"")"),"nếu không thì")</f>
        <v>nếu không thì</v>
      </c>
      <c r="F137" s="3" t="str">
        <f ca="1">IFERROR(__xludf.DUMMYFUNCTION("GOOGLETRANSLATE(C137,""ja"",""vi"")"),"Đấu giá&gt; đồ chơi, trò chơi&gt; con số&gt; Khác")</f>
        <v>Đấu giá&gt; đồ chơi, trò chơi&gt; con số&gt; Khác</v>
      </c>
      <c r="G137" s="229" t="str">
        <f t="shared" ca="1" si="8"/>
        <v>"2084309436" : "nếu không thì",</v>
      </c>
      <c r="H137" s="229" t="str">
        <f t="shared" si="9"/>
        <v>&lt;li class="col-md-3"&gt;&lt;a class="text-cut" href="javascript:;"(click)="categoryEvent(2084309436)"&gt;{{"2084309436" | translate}}&lt;/a&gt;&lt;/li&gt;</v>
      </c>
    </row>
    <row r="138" spans="1:8" ht="14.25" customHeight="1">
      <c r="E138" s="3"/>
      <c r="F138" s="3"/>
      <c r="G138" s="229"/>
      <c r="H138" s="229"/>
    </row>
    <row r="139" spans="1:8" ht="14.25" customHeight="1">
      <c r="A139" s="237">
        <v>2084250263</v>
      </c>
      <c r="B139" s="232"/>
      <c r="C139" s="232"/>
      <c r="D139" s="233"/>
      <c r="E139" s="3"/>
      <c r="F139" s="3"/>
      <c r="G139" s="229"/>
      <c r="H139" s="229"/>
    </row>
    <row r="140" spans="1:8" ht="14.25" customHeight="1">
      <c r="A140" s="2">
        <v>2084250334</v>
      </c>
      <c r="B140" s="2" t="s">
        <v>5688</v>
      </c>
      <c r="C140" s="2" t="s">
        <v>7249</v>
      </c>
      <c r="D140" s="169" t="str">
        <f t="shared" ref="D140:D151" si="10">CONCATENATE("0,","25464,2084250263,",A140)</f>
        <v>0,25464,2084250263,2084250334</v>
      </c>
      <c r="E140" s="3" t="str">
        <f ca="1">IFERROR(__xludf.DUMMYFUNCTION("GOOGLETRANSLATE(B140,""ja"",""vi"")"),"nhân vật")</f>
        <v>nhân vật</v>
      </c>
      <c r="F140" s="3" t="str">
        <f ca="1">IFERROR(__xludf.DUMMYFUNCTION("GOOGLETRANSLATE(C140,""ja"",""vi"")"),"Đấu giá&gt; đồ chơi, trò chơi&gt; mô hình nhựa&gt; Nhân vật")</f>
        <v>Đấu giá&gt; đồ chơi, trò chơi&gt; mô hình nhựa&gt; Nhân vật</v>
      </c>
      <c r="G140" s="229" t="str">
        <f t="shared" ca="1" si="8"/>
        <v>"2084250334" : "nhân vật",</v>
      </c>
      <c r="H140" s="229" t="str">
        <f t="shared" si="9"/>
        <v>&lt;li class="col-md-3"&gt;&lt;a class="text-cut" href="javascript:;"(click)="categoryEvent(2084250334)"&gt;{{"2084250334" | translate}}&lt;/a&gt;&lt;/li&gt;</v>
      </c>
    </row>
    <row r="141" spans="1:8" ht="14.25" customHeight="1">
      <c r="A141" s="2">
        <v>2084250264</v>
      </c>
      <c r="B141" s="2" t="s">
        <v>5924</v>
      </c>
      <c r="C141" s="2" t="s">
        <v>7257</v>
      </c>
      <c r="D141" s="169" t="str">
        <f t="shared" si="10"/>
        <v>0,25464,2084250263,2084250264</v>
      </c>
      <c r="E141" s="3" t="str">
        <f ca="1">IFERROR(__xludf.DUMMYFUNCTION("GOOGLETRANSLATE(B141,""ja"",""vi"")"),"xe hơi")</f>
        <v>xe hơi</v>
      </c>
      <c r="F141" s="3" t="str">
        <f ca="1">IFERROR(__xludf.DUMMYFUNCTION("GOOGLETRANSLATE(C141,""ja"",""vi"")"),"Đấu giá&gt; đồ chơi, trò chơi&gt; mô hình nhựa&gt; ô tô")</f>
        <v>Đấu giá&gt; đồ chơi, trò chơi&gt; mô hình nhựa&gt; ô tô</v>
      </c>
      <c r="G141" s="229" t="str">
        <f t="shared" ca="1" si="8"/>
        <v>"2084250264" : "xe hơi",</v>
      </c>
      <c r="H141" s="229" t="str">
        <f t="shared" si="9"/>
        <v>&lt;li class="col-md-3"&gt;&lt;a class="text-cut" href="javascript:;"(click)="categoryEvent(2084250264)"&gt;{{"2084250264" | translate}}&lt;/a&gt;&lt;/li&gt;</v>
      </c>
    </row>
    <row r="142" spans="1:8" ht="14.25" customHeight="1">
      <c r="A142" s="2">
        <v>2084250307</v>
      </c>
      <c r="B142" s="2" t="s">
        <v>6333</v>
      </c>
      <c r="C142" s="2" t="s">
        <v>7261</v>
      </c>
      <c r="D142" s="169" t="str">
        <f t="shared" si="10"/>
        <v>0,25464,2084250263,2084250307</v>
      </c>
      <c r="E142" s="3" t="str">
        <f ca="1">IFERROR(__xludf.DUMMYFUNCTION("GOOGLETRANSLATE(B142,""ja"",""vi"")"),"phi cơ")</f>
        <v>phi cơ</v>
      </c>
      <c r="F142" s="3" t="str">
        <f ca="1">IFERROR(__xludf.DUMMYFUNCTION("GOOGLETRANSLATE(C142,""ja"",""vi"")"),"Đấu giá&gt; đồ chơi, trò chơi&gt; mô hình nhựa&gt; máy bay")</f>
        <v>Đấu giá&gt; đồ chơi, trò chơi&gt; mô hình nhựa&gt; máy bay</v>
      </c>
      <c r="G142" s="229" t="str">
        <f t="shared" ca="1" si="8"/>
        <v>"2084250307" : "phi cơ",</v>
      </c>
      <c r="H142" s="229" t="str">
        <f t="shared" si="9"/>
        <v>&lt;li class="col-md-3"&gt;&lt;a class="text-cut" href="javascript:;"(click)="categoryEvent(2084250307)"&gt;{{"2084250307" | translate}}&lt;/a&gt;&lt;/li&gt;</v>
      </c>
    </row>
    <row r="143" spans="1:8" ht="14.25" customHeight="1">
      <c r="A143" s="2">
        <v>2084250299</v>
      </c>
      <c r="B143" s="2" t="s">
        <v>3868</v>
      </c>
      <c r="C143" s="2" t="s">
        <v>7269</v>
      </c>
      <c r="D143" s="169" t="str">
        <f t="shared" si="10"/>
        <v>0,25464,2084250263,2084250299</v>
      </c>
      <c r="E143" s="3" t="str">
        <f ca="1">IFERROR(__xludf.DUMMYFUNCTION("GOOGLETRANSLATE(B143,""ja"",""vi"")"),"xe mô tô")</f>
        <v>xe mô tô</v>
      </c>
      <c r="F143" s="3" t="str">
        <f ca="1">IFERROR(__xludf.DUMMYFUNCTION("GOOGLETRANSLATE(C143,""ja"",""vi"")"),"Đấu giá&gt; đồ chơi, trò chơi&gt; mô hình nhựa&gt; xe máy")</f>
        <v>Đấu giá&gt; đồ chơi, trò chơi&gt; mô hình nhựa&gt; xe máy</v>
      </c>
      <c r="G143" s="229" t="str">
        <f t="shared" ca="1" si="8"/>
        <v>"2084250299" : "xe mô tô",</v>
      </c>
      <c r="H143" s="229" t="str">
        <f t="shared" si="9"/>
        <v>&lt;li class="col-md-3"&gt;&lt;a class="text-cut" href="javascript:;"(click)="categoryEvent(2084250299)"&gt;{{"2084250299" | translate}}&lt;/a&gt;&lt;/li&gt;</v>
      </c>
    </row>
    <row r="144" spans="1:8" ht="14.25" customHeight="1">
      <c r="A144" s="2">
        <v>2084250325</v>
      </c>
      <c r="B144" s="2" t="s">
        <v>7219</v>
      </c>
      <c r="C144" s="2" t="s">
        <v>7275</v>
      </c>
      <c r="D144" s="169" t="str">
        <f t="shared" si="10"/>
        <v>0,25464,2084250263,2084250325</v>
      </c>
      <c r="E144" s="3" t="str">
        <f ca="1">IFERROR(__xludf.DUMMYFUNCTION("GOOGLETRANSLATE(B144,""ja"",""vi"")"),"Xe tăng, xe quân sự")</f>
        <v>Xe tăng, xe quân sự</v>
      </c>
      <c r="F144" s="3" t="str">
        <f ca="1">IFERROR(__xludf.DUMMYFUNCTION("GOOGLETRANSLATE(C144,""ja"",""vi"")"),"Đấu giá&gt; đồ chơi, trò chơi&gt; mô hình nhựa&gt; xe tăng, xe quân sự")</f>
        <v>Đấu giá&gt; đồ chơi, trò chơi&gt; mô hình nhựa&gt; xe tăng, xe quân sự</v>
      </c>
      <c r="G144" s="229" t="str">
        <f t="shared" ca="1" si="8"/>
        <v>"2084250325" : "Xe tăng, xe quân sự",</v>
      </c>
      <c r="H144" s="229" t="str">
        <f t="shared" si="9"/>
        <v>&lt;li class="col-md-3"&gt;&lt;a class="text-cut" href="javascript:;"(click)="categoryEvent(2084250325)"&gt;{{"2084250325" | translate}}&lt;/a&gt;&lt;/li&gt;</v>
      </c>
    </row>
    <row r="145" spans="1:8" ht="14.25" customHeight="1">
      <c r="A145" s="2">
        <v>2084250317</v>
      </c>
      <c r="B145" s="2" t="s">
        <v>6273</v>
      </c>
      <c r="C145" s="2" t="s">
        <v>7281</v>
      </c>
      <c r="D145" s="169" t="str">
        <f t="shared" si="10"/>
        <v>0,25464,2084250263,2084250317</v>
      </c>
      <c r="E145" s="3" t="str">
        <f ca="1">IFERROR(__xludf.DUMMYFUNCTION("GOOGLETRANSLATE(B145,""ja"",""vi"")"),"Tàu, thuyền")</f>
        <v>Tàu, thuyền</v>
      </c>
      <c r="F145" s="3" t="str">
        <f ca="1">IFERROR(__xludf.DUMMYFUNCTION("GOOGLETRANSLATE(C145,""ja"",""vi"")"),"Đấu giá&gt; đồ chơi, trò chơi&gt; mô hình nhựa&gt; Ship, thuyền")</f>
        <v>Đấu giá&gt; đồ chơi, trò chơi&gt; mô hình nhựa&gt; Ship, thuyền</v>
      </c>
      <c r="G145" s="229" t="str">
        <f t="shared" ca="1" si="8"/>
        <v>"2084250317" : "Tàu, thuyền",</v>
      </c>
      <c r="H145" s="229" t="str">
        <f t="shared" si="9"/>
        <v>&lt;li class="col-md-3"&gt;&lt;a class="text-cut" href="javascript:;"(click)="categoryEvent(2084250317)"&gt;{{"2084250317" | translate}}&lt;/a&gt;&lt;/li&gt;</v>
      </c>
    </row>
    <row r="146" spans="1:8" ht="14.25" customHeight="1">
      <c r="A146" s="2">
        <v>2084250333</v>
      </c>
      <c r="B146" s="2" t="s">
        <v>1546</v>
      </c>
      <c r="C146" s="2" t="s">
        <v>7289</v>
      </c>
      <c r="D146" s="169" t="str">
        <f t="shared" si="10"/>
        <v>0,25464,2084250263,2084250333</v>
      </c>
      <c r="E146" s="3" t="str">
        <f ca="1">IFERROR(__xludf.DUMMYFUNCTION("GOOGLETRANSLATE(B146,""ja"",""vi"")"),"đường sắt")</f>
        <v>đường sắt</v>
      </c>
      <c r="F146" s="3" t="str">
        <f ca="1">IFERROR(__xludf.DUMMYFUNCTION("GOOGLETRANSLATE(C146,""ja"",""vi"")"),"Đấu giá&gt; đồ chơi, trò chơi&gt; mô hình nhựa&gt; đường sắt")</f>
        <v>Đấu giá&gt; đồ chơi, trò chơi&gt; mô hình nhựa&gt; đường sắt</v>
      </c>
      <c r="G146" s="229" t="str">
        <f t="shared" ca="1" si="8"/>
        <v>"2084250333" : "đường sắt",</v>
      </c>
      <c r="H146" s="229" t="str">
        <f t="shared" si="9"/>
        <v>&lt;li class="col-md-3"&gt;&lt;a class="text-cut" href="javascript:;"(click)="categoryEvent(2084250333)"&gt;{{"2084250333" | translate}}&lt;/a&gt;&lt;/li&gt;</v>
      </c>
    </row>
    <row r="147" spans="1:8" ht="14.25" customHeight="1">
      <c r="A147" s="2">
        <v>2084250967</v>
      </c>
      <c r="B147" s="2" t="s">
        <v>7295</v>
      </c>
      <c r="C147" s="2" t="s">
        <v>7297</v>
      </c>
      <c r="D147" s="169" t="str">
        <f t="shared" si="10"/>
        <v>0,25464,2084250263,2084250967</v>
      </c>
      <c r="E147" s="3" t="str">
        <f ca="1">IFERROR(__xludf.DUMMYFUNCTION("GOOGLETRANSLATE(B147,""ja"",""vi"")"),"tòa nhà")</f>
        <v>tòa nhà</v>
      </c>
      <c r="F147" s="3" t="str">
        <f ca="1">IFERROR(__xludf.DUMMYFUNCTION("GOOGLETRANSLATE(C147,""ja"",""vi"")"),"Đấu giá&gt; đồ chơi, trò chơi&gt; mô hình nhựa&gt; xây dựng")</f>
        <v>Đấu giá&gt; đồ chơi, trò chơi&gt; mô hình nhựa&gt; xây dựng</v>
      </c>
      <c r="G147" s="229" t="str">
        <f t="shared" ca="1" si="8"/>
        <v>"2084250967" : "tòa nhà",</v>
      </c>
      <c r="H147" s="229" t="str">
        <f t="shared" si="9"/>
        <v>&lt;li class="col-md-3"&gt;&lt;a class="text-cut" href="javascript:;"(click)="categoryEvent(2084250967)"&gt;{{"2084250967" | translate}}&lt;/a&gt;&lt;/li&gt;</v>
      </c>
    </row>
    <row r="148" spans="1:8" ht="14.25" customHeight="1">
      <c r="A148" s="2">
        <v>2084258738</v>
      </c>
      <c r="B148" s="2" t="s">
        <v>812</v>
      </c>
      <c r="C148" s="2" t="s">
        <v>7307</v>
      </c>
      <c r="D148" s="169" t="str">
        <f t="shared" si="10"/>
        <v>0,25464,2084250263,2084258738</v>
      </c>
      <c r="E148" s="3" t="str">
        <f ca="1">IFERROR(__xludf.DUMMYFUNCTION("GOOGLETRANSLATE(B148,""ja"",""vi"")"),"vật sống")</f>
        <v>vật sống</v>
      </c>
      <c r="F148" s="3" t="str">
        <f ca="1">IFERROR(__xludf.DUMMYFUNCTION("GOOGLETRANSLATE(C148,""ja"",""vi"")"),"Đấu giá&gt; đồ chơi, trò chơi&gt; mô hình nhựa&gt; sinh vật")</f>
        <v>Đấu giá&gt; đồ chơi, trò chơi&gt; mô hình nhựa&gt; sinh vật</v>
      </c>
      <c r="G148" s="229" t="str">
        <f t="shared" ca="1" si="8"/>
        <v>"2084258738" : "vật sống",</v>
      </c>
      <c r="H148" s="229" t="str">
        <f t="shared" si="9"/>
        <v>&lt;li class="col-md-3"&gt;&lt;a class="text-cut" href="javascript:;"(click)="categoryEvent(2084258738)"&gt;{{"2084258738" | translate}}&lt;/a&gt;&lt;/li&gt;</v>
      </c>
    </row>
    <row r="149" spans="1:8" ht="14.25" customHeight="1">
      <c r="A149" s="2">
        <v>2084250966</v>
      </c>
      <c r="B149" s="2" t="s">
        <v>7313</v>
      </c>
      <c r="C149" s="2" t="s">
        <v>7314</v>
      </c>
      <c r="D149" s="169" t="str">
        <f t="shared" si="10"/>
        <v>0,25464,2084250263,2084250966</v>
      </c>
      <c r="E149" s="3" t="str">
        <f ca="1">IFERROR(__xludf.DUMMYFUNCTION("GOOGLETRANSLATE(B149,""ja"",""vi"")"),"Bốn nhỏ ổ bánh xe")</f>
        <v>Bốn nhỏ ổ bánh xe</v>
      </c>
      <c r="F149" s="3" t="str">
        <f ca="1">IFERROR(__xludf.DUMMYFUNCTION("GOOGLETRANSLATE(C149,""ja"",""vi"")"),"Đấu giá&gt; đồ chơi, trò chơi&gt; mô hình nhựa&gt; Mini xe leo núi")</f>
        <v>Đấu giá&gt; đồ chơi, trò chơi&gt; mô hình nhựa&gt; Mini xe leo núi</v>
      </c>
      <c r="G149" s="229" t="str">
        <f t="shared" ca="1" si="8"/>
        <v>"2084250966" : "Bốn nhỏ ổ bánh xe",</v>
      </c>
      <c r="H149" s="229" t="str">
        <f t="shared" si="9"/>
        <v>&lt;li class="col-md-3"&gt;&lt;a class="text-cut" href="javascript:;"(click)="categoryEvent(2084250966)"&gt;{{"2084250966" | translate}}&lt;/a&gt;&lt;/li&gt;</v>
      </c>
    </row>
    <row r="150" spans="1:8" ht="14.25" customHeight="1">
      <c r="A150" s="2">
        <v>2084063789</v>
      </c>
      <c r="B150" s="2" t="s">
        <v>6545</v>
      </c>
      <c r="C150" s="2" t="s">
        <v>7320</v>
      </c>
      <c r="D150" s="169" t="str">
        <f t="shared" si="10"/>
        <v>0,25464,2084250263,2084063789</v>
      </c>
      <c r="E150" s="3" t="str">
        <f ca="1">IFERROR(__xludf.DUMMYFUNCTION("GOOGLETRANSLATE(B150,""ja"",""vi"")"),"Mô hình hóa Vật tư")</f>
        <v>Mô hình hóa Vật tư</v>
      </c>
      <c r="F150" s="3" t="str">
        <f ca="1">IFERROR(__xludf.DUMMYFUNCTION("GOOGLETRANSLATE(C150,""ja"",""vi"")"),"Đấu giá&gt; đồ chơi, trò chơi&gt; mô hình nhựa&gt; nguồn cung cấp mô hình sản xuất")</f>
        <v>Đấu giá&gt; đồ chơi, trò chơi&gt; mô hình nhựa&gt; nguồn cung cấp mô hình sản xuất</v>
      </c>
      <c r="G150" s="229" t="str">
        <f t="shared" ca="1" si="8"/>
        <v>"2084063789" : "Mô hình hóa Vật tư",</v>
      </c>
      <c r="H150" s="229" t="str">
        <f t="shared" si="9"/>
        <v>&lt;li class="col-md-3"&gt;&lt;a class="text-cut" href="javascript:;"(click)="categoryEvent(2084063789)"&gt;{{"2084063789" | translate}}&lt;/a&gt;&lt;/li&gt;</v>
      </c>
    </row>
    <row r="151" spans="1:8" ht="14.25" customHeight="1">
      <c r="A151" s="2">
        <v>2084250968</v>
      </c>
      <c r="B151" s="2" t="s">
        <v>16</v>
      </c>
      <c r="C151" s="2" t="s">
        <v>7324</v>
      </c>
      <c r="D151" s="169" t="str">
        <f t="shared" si="10"/>
        <v>0,25464,2084250263,2084250968</v>
      </c>
      <c r="E151" s="3" t="str">
        <f ca="1">IFERROR(__xludf.DUMMYFUNCTION("GOOGLETRANSLATE(B151,""ja"",""vi"")"),"nếu không thì")</f>
        <v>nếu không thì</v>
      </c>
      <c r="F151" s="3" t="str">
        <f ca="1">IFERROR(__xludf.DUMMYFUNCTION("GOOGLETRANSLATE(C151,""ja"",""vi"")"),"Đấu giá&gt; đồ chơi, trò chơi&gt; mô hình nhựa&gt; Khác")</f>
        <v>Đấu giá&gt; đồ chơi, trò chơi&gt; mô hình nhựa&gt; Khác</v>
      </c>
      <c r="G151" s="229" t="str">
        <f t="shared" ca="1" si="8"/>
        <v>"2084250968" : "nếu không thì",</v>
      </c>
      <c r="H151" s="229" t="str">
        <f t="shared" si="9"/>
        <v>&lt;li class="col-md-3"&gt;&lt;a class="text-cut" href="javascript:;"(click)="categoryEvent(2084250968)"&gt;{{"2084250968" | translate}}&lt;/a&gt;&lt;/li&gt;</v>
      </c>
    </row>
    <row r="152" spans="1:8" ht="14.25" customHeight="1">
      <c r="E152" s="3"/>
      <c r="F152" s="3"/>
      <c r="G152" s="229"/>
      <c r="H152" s="229"/>
    </row>
    <row r="153" spans="1:8" ht="14.25" customHeight="1">
      <c r="A153" s="241">
        <v>2084251269</v>
      </c>
      <c r="B153" s="232"/>
      <c r="C153" s="232"/>
      <c r="D153" s="233"/>
      <c r="E153" s="3"/>
      <c r="F153" s="3"/>
      <c r="G153" s="229"/>
      <c r="H153" s="229"/>
    </row>
    <row r="154" spans="1:8" ht="14.25" customHeight="1">
      <c r="A154" s="2">
        <v>2084251274</v>
      </c>
      <c r="B154" s="2" t="s">
        <v>7170</v>
      </c>
      <c r="C154" s="2" t="s">
        <v>7171</v>
      </c>
      <c r="D154" s="169" t="str">
        <f t="shared" ref="D154:D162" si="11">CONCATENATE("0,","25464,2084251269,",A154)</f>
        <v>0,25464,2084251269,2084251274</v>
      </c>
      <c r="E154" s="3" t="str">
        <f ca="1">IFERROR(__xludf.DUMMYFUNCTION("GOOGLETRANSLATE(B154,""ja"",""vi"")"),"hành khách xe")</f>
        <v>hành khách xe</v>
      </c>
      <c r="F154" s="3" t="str">
        <f ca="1">IFERROR(__xludf.DUMMYFUNCTION("GOOGLETRANSLATE(C154,""ja"",""vi"")"),"Đấu giá&gt; Đồ chơi, trò chơi&gt; Đồ chơi RC&gt; xe khách")</f>
        <v>Đấu giá&gt; Đồ chơi, trò chơi&gt; Đồ chơi RC&gt; xe khách</v>
      </c>
      <c r="G154" s="229" t="str">
        <f t="shared" ca="1" si="8"/>
        <v>"2084251274" : "hành khách xe",</v>
      </c>
      <c r="H154" s="229" t="str">
        <f t="shared" si="9"/>
        <v>&lt;li class="col-md-3"&gt;&lt;a class="text-cut" href="javascript:;"(click)="categoryEvent(2084251274)"&gt;{{"2084251274" | translate}}&lt;/a&gt;&lt;/li&gt;</v>
      </c>
    </row>
    <row r="155" spans="1:8" ht="14.25" customHeight="1">
      <c r="A155" s="2">
        <v>2084251273</v>
      </c>
      <c r="B155" s="2" t="s">
        <v>7178</v>
      </c>
      <c r="C155" s="2" t="s">
        <v>7179</v>
      </c>
      <c r="D155" s="169" t="str">
        <f t="shared" si="11"/>
        <v>0,25464,2084251269,2084251273</v>
      </c>
      <c r="E155" s="3" t="str">
        <f ca="1">IFERROR(__xludf.DUMMYFUNCTION("GOOGLETRANSLATE(B155,""ja"",""vi"")"),"đua xe")</f>
        <v>đua xe</v>
      </c>
      <c r="F155" s="3" t="str">
        <f ca="1">IFERROR(__xludf.DUMMYFUNCTION("GOOGLETRANSLATE(C155,""ja"",""vi"")"),"Đấu giá&gt; Đồ chơi, trò chơi&gt; Đồ chơi RC&gt; đua ô tô")</f>
        <v>Đấu giá&gt; Đồ chơi, trò chơi&gt; Đồ chơi RC&gt; đua ô tô</v>
      </c>
      <c r="G155" s="229" t="str">
        <f t="shared" ca="1" si="8"/>
        <v>"2084251273" : "đua xe",</v>
      </c>
      <c r="H155" s="229" t="str">
        <f t="shared" si="9"/>
        <v>&lt;li class="col-md-3"&gt;&lt;a class="text-cut" href="javascript:;"(click)="categoryEvent(2084251273)"&gt;{{"2084251273" | translate}}&lt;/a&gt;&lt;/li&gt;</v>
      </c>
    </row>
    <row r="156" spans="1:8" ht="14.25" customHeight="1">
      <c r="A156" s="2">
        <v>2084251272</v>
      </c>
      <c r="B156" s="2" t="s">
        <v>7186</v>
      </c>
      <c r="C156" s="2" t="s">
        <v>7189</v>
      </c>
      <c r="D156" s="169" t="str">
        <f t="shared" si="11"/>
        <v>0,25464,2084251269,2084251272</v>
      </c>
      <c r="E156" s="3" t="str">
        <f ca="1">IFERROR(__xludf.DUMMYFUNCTION("GOOGLETRANSLATE(B156,""ja"",""vi"")"),"Xe tải, trailer")</f>
        <v>Xe tải, trailer</v>
      </c>
      <c r="F156" s="3" t="str">
        <f ca="1">IFERROR(__xludf.DUMMYFUNCTION("GOOGLETRANSLATE(C156,""ja"",""vi"")"),"Đấu giá&gt; Đồ chơi, trò chơi&gt; Đồ chơi RC&gt; xe tải, trailer")</f>
        <v>Đấu giá&gt; Đồ chơi, trò chơi&gt; Đồ chơi RC&gt; xe tải, trailer</v>
      </c>
      <c r="G156" s="229" t="str">
        <f t="shared" ca="1" si="8"/>
        <v>"2084251272" : "Xe tải, trailer",</v>
      </c>
      <c r="H156" s="229" t="str">
        <f t="shared" si="9"/>
        <v>&lt;li class="col-md-3"&gt;&lt;a class="text-cut" href="javascript:;"(click)="categoryEvent(2084251272)"&gt;{{"2084251272" | translate}}&lt;/a&gt;&lt;/li&gt;</v>
      </c>
    </row>
    <row r="157" spans="1:8" ht="14.25" customHeight="1">
      <c r="A157" s="2">
        <v>2084251271</v>
      </c>
      <c r="B157" s="2" t="s">
        <v>7196</v>
      </c>
      <c r="C157" s="2" t="s">
        <v>7197</v>
      </c>
      <c r="D157" s="169" t="str">
        <f t="shared" si="11"/>
        <v>0,25464,2084251269,2084251271</v>
      </c>
      <c r="E157" s="3" t="str">
        <f ca="1">IFERROR(__xludf.DUMMYFUNCTION("GOOGLETRANSLATE(B157,""ja"",""vi"")"),"máy bay")</f>
        <v>máy bay</v>
      </c>
      <c r="F157" s="3" t="str">
        <f ca="1">IFERROR(__xludf.DUMMYFUNCTION("GOOGLETRANSLATE(C157,""ja"",""vi"")"),"Đấu giá&gt; Đồ chơi, trò chơi&gt; Đồ chơi RC&gt; máy bay")</f>
        <v>Đấu giá&gt; Đồ chơi, trò chơi&gt; Đồ chơi RC&gt; máy bay</v>
      </c>
      <c r="G157" s="229" t="str">
        <f t="shared" ca="1" si="8"/>
        <v>"2084251271" : "máy bay",</v>
      </c>
      <c r="H157" s="229" t="str">
        <f t="shared" si="9"/>
        <v>&lt;li class="col-md-3"&gt;&lt;a class="text-cut" href="javascript:;"(click)="categoryEvent(2084251271)"&gt;{{"2084251271" | translate}}&lt;/a&gt;&lt;/li&gt;</v>
      </c>
    </row>
    <row r="158" spans="1:8" ht="14.25" customHeight="1">
      <c r="A158" s="2">
        <v>2084251270</v>
      </c>
      <c r="B158" s="2" t="s">
        <v>7201</v>
      </c>
      <c r="C158" s="2" t="s">
        <v>7202</v>
      </c>
      <c r="D158" s="169" t="str">
        <f t="shared" si="11"/>
        <v>0,25464,2084251269,2084251270</v>
      </c>
      <c r="E158" s="3" t="str">
        <f ca="1">IFERROR(__xludf.DUMMYFUNCTION("GOOGLETRANSLATE(B158,""ja"",""vi"")"),"Máy bay trực thăng")</f>
        <v>Máy bay trực thăng</v>
      </c>
      <c r="F158" s="3" t="str">
        <f ca="1">IFERROR(__xludf.DUMMYFUNCTION("GOOGLETRANSLATE(C158,""ja"",""vi"")"),"Đấu giá&gt; Đồ chơi, trò chơi&gt; Đồ chơi RC&gt; máy bay trực thăng")</f>
        <v>Đấu giá&gt; Đồ chơi, trò chơi&gt; Đồ chơi RC&gt; máy bay trực thăng</v>
      </c>
      <c r="G158" s="229" t="str">
        <f t="shared" ca="1" si="8"/>
        <v>"2084251270" : "Máy bay trực thăng",</v>
      </c>
      <c r="H158" s="229" t="str">
        <f t="shared" si="9"/>
        <v>&lt;li class="col-md-3"&gt;&lt;a class="text-cut" href="javascript:;"(click)="categoryEvent(2084251270)"&gt;{{"2084251270" | translate}}&lt;/a&gt;&lt;/li&gt;</v>
      </c>
    </row>
    <row r="159" spans="1:8" ht="14.25" customHeight="1">
      <c r="A159" s="2">
        <v>2084316145</v>
      </c>
      <c r="B159" s="2" t="s">
        <v>7210</v>
      </c>
      <c r="C159" s="2" t="s">
        <v>7211</v>
      </c>
      <c r="D159" s="169" t="str">
        <f t="shared" si="11"/>
        <v>0,25464,2084251269,2084316145</v>
      </c>
      <c r="E159" s="3" t="str">
        <f ca="1">IFERROR(__xludf.DUMMYFUNCTION("GOOGLETRANSLATE(B159,""ja"",""vi"")"),"rút ra")</f>
        <v>rút ra</v>
      </c>
      <c r="F159" s="3" t="str">
        <f ca="1">IFERROR(__xludf.DUMMYFUNCTION("GOOGLETRANSLATE(C159,""ja"",""vi"")"),"Đấu giá&gt; Đồ chơi, trò chơi&gt; Đồ chơi RC&gt; bay không người lái")</f>
        <v>Đấu giá&gt; Đồ chơi, trò chơi&gt; Đồ chơi RC&gt; bay không người lái</v>
      </c>
      <c r="G159" s="229" t="str">
        <f t="shared" ca="1" si="8"/>
        <v>"2084316145" : "rút ra",</v>
      </c>
      <c r="H159" s="229" t="str">
        <f t="shared" si="9"/>
        <v>&lt;li class="col-md-3"&gt;&lt;a class="text-cut" href="javascript:;"(click)="categoryEvent(2084316145)"&gt;{{"2084316145" | translate}}&lt;/a&gt;&lt;/li&gt;</v>
      </c>
    </row>
    <row r="160" spans="1:8" ht="14.25" customHeight="1">
      <c r="A160" s="2">
        <v>2084251276</v>
      </c>
      <c r="B160" s="2" t="s">
        <v>7219</v>
      </c>
      <c r="C160" s="2" t="s">
        <v>7221</v>
      </c>
      <c r="D160" s="169" t="str">
        <f t="shared" si="11"/>
        <v>0,25464,2084251269,2084251276</v>
      </c>
      <c r="E160" s="3" t="str">
        <f ca="1">IFERROR(__xludf.DUMMYFUNCTION("GOOGLETRANSLATE(B160,""ja"",""vi"")"),"Xe tăng, xe quân sự")</f>
        <v>Xe tăng, xe quân sự</v>
      </c>
      <c r="F160" s="3" t="str">
        <f ca="1">IFERROR(__xludf.DUMMYFUNCTION("GOOGLETRANSLATE(C160,""ja"",""vi"")"),"Đấu giá&gt; Đồ chơi, trò chơi&gt; Đồ chơi RC&gt; xe tăng, xe quân sự")</f>
        <v>Đấu giá&gt; Đồ chơi, trò chơi&gt; Đồ chơi RC&gt; xe tăng, xe quân sự</v>
      </c>
      <c r="G160" s="229" t="str">
        <f t="shared" ca="1" si="8"/>
        <v>"2084251276" : "Xe tăng, xe quân sự",</v>
      </c>
      <c r="H160" s="229" t="str">
        <f t="shared" si="9"/>
        <v>&lt;li class="col-md-3"&gt;&lt;a class="text-cut" href="javascript:;"(click)="categoryEvent(2084251276)"&gt;{{"2084251276" | translate}}&lt;/a&gt;&lt;/li&gt;</v>
      </c>
    </row>
    <row r="161" spans="1:8" ht="14.25" customHeight="1">
      <c r="A161" s="2">
        <v>2084251275</v>
      </c>
      <c r="B161" s="2" t="s">
        <v>6273</v>
      </c>
      <c r="C161" s="2" t="s">
        <v>7229</v>
      </c>
      <c r="D161" s="169" t="str">
        <f t="shared" si="11"/>
        <v>0,25464,2084251269,2084251275</v>
      </c>
      <c r="E161" s="3" t="str">
        <f ca="1">IFERROR(__xludf.DUMMYFUNCTION("GOOGLETRANSLATE(B161,""ja"",""vi"")"),"Tàu, thuyền")</f>
        <v>Tàu, thuyền</v>
      </c>
      <c r="F161" s="3" t="str">
        <f ca="1">IFERROR(__xludf.DUMMYFUNCTION("GOOGLETRANSLATE(C161,""ja"",""vi"")"),"Đấu giá&gt; Đồ chơi, trò chơi&gt; Đồ chơi RC&gt; tàu, thuyền")</f>
        <v>Đấu giá&gt; Đồ chơi, trò chơi&gt; Đồ chơi RC&gt; tàu, thuyền</v>
      </c>
      <c r="G161" s="229" t="str">
        <f t="shared" ca="1" si="8"/>
        <v>"2084251275" : "Tàu, thuyền",</v>
      </c>
      <c r="H161" s="229" t="str">
        <f t="shared" si="9"/>
        <v>&lt;li class="col-md-3"&gt;&lt;a class="text-cut" href="javascript:;"(click)="categoryEvent(2084251275)"&gt;{{"2084251275" | translate}}&lt;/a&gt;&lt;/li&gt;</v>
      </c>
    </row>
    <row r="162" spans="1:8" ht="14.25" customHeight="1">
      <c r="A162" s="2">
        <v>2084251277</v>
      </c>
      <c r="B162" s="2" t="s">
        <v>16</v>
      </c>
      <c r="C162" s="2" t="s">
        <v>7234</v>
      </c>
      <c r="D162" s="169" t="str">
        <f t="shared" si="11"/>
        <v>0,25464,2084251269,2084251277</v>
      </c>
      <c r="E162" s="3" t="str">
        <f ca="1">IFERROR(__xludf.DUMMYFUNCTION("GOOGLETRANSLATE(B162,""ja"",""vi"")"),"nếu không thì")</f>
        <v>nếu không thì</v>
      </c>
      <c r="F162" s="3" t="str">
        <f ca="1">IFERROR(__xludf.DUMMYFUNCTION("GOOGLETRANSLATE(C162,""ja"",""vi"")"),"Đấu giá&gt; Đồ chơi, trò chơi&gt; Đồ chơi RC&gt; Khác")</f>
        <v>Đấu giá&gt; Đồ chơi, trò chơi&gt; Đồ chơi RC&gt; Khác</v>
      </c>
      <c r="G162" s="229" t="str">
        <f t="shared" ca="1" si="8"/>
        <v>"2084251277" : "nếu không thì",</v>
      </c>
      <c r="H162" s="229" t="str">
        <f t="shared" si="9"/>
        <v>&lt;li class="col-md-3"&gt;&lt;a class="text-cut" href="javascript:;"(click)="categoryEvent(2084251277)"&gt;{{"2084251277" | translate}}&lt;/a&gt;&lt;/li&gt;</v>
      </c>
    </row>
    <row r="163" spans="1:8" ht="14.25" customHeight="1">
      <c r="E163" s="3"/>
      <c r="F163" s="3"/>
      <c r="G163" s="229"/>
      <c r="H163" s="229"/>
    </row>
    <row r="164" spans="1:8" ht="14.25" customHeight="1">
      <c r="A164" s="242">
        <v>2084251212</v>
      </c>
      <c r="B164" s="232"/>
      <c r="C164" s="232"/>
      <c r="D164" s="233"/>
      <c r="E164" s="3"/>
      <c r="F164" s="3"/>
      <c r="G164" s="229"/>
      <c r="H164" s="229"/>
    </row>
    <row r="165" spans="1:8" ht="14.25" customHeight="1">
      <c r="A165" s="2">
        <v>2084251213</v>
      </c>
      <c r="B165" s="2" t="s">
        <v>5924</v>
      </c>
      <c r="C165" s="2" t="s">
        <v>7338</v>
      </c>
      <c r="D165" s="169" t="str">
        <f t="shared" ref="D165:D174" si="12">CONCATENATE("0,","25464,2084251212,",A165)</f>
        <v>0,25464,2084251212,2084251213</v>
      </c>
      <c r="E165" s="3" t="str">
        <f ca="1">IFERROR(__xludf.DUMMYFUNCTION("GOOGLETRANSLATE(B165,""ja"",""vi"")"),"xe hơi")</f>
        <v>xe hơi</v>
      </c>
      <c r="F165" s="3" t="str">
        <f ca="1">IFERROR(__xludf.DUMMYFUNCTION("GOOGLETRANSLATE(C165,""ja"",""vi"")"),"Đấu giá&gt; đồ chơi, trò chơi&gt; sở thích điều khiển bằng radio&gt; Ô tô")</f>
        <v>Đấu giá&gt; đồ chơi, trò chơi&gt; sở thích điều khiển bằng radio&gt; Ô tô</v>
      </c>
      <c r="G165" s="229" t="str">
        <f t="shared" ca="1" si="8"/>
        <v>"2084251213" : "xe hơi",</v>
      </c>
      <c r="H165" s="229" t="str">
        <f t="shared" si="9"/>
        <v>&lt;li class="col-md-3"&gt;&lt;a class="text-cut" href="javascript:;"(click)="categoryEvent(2084251213)"&gt;{{"2084251213" | translate}}&lt;/a&gt;&lt;/li&gt;</v>
      </c>
    </row>
    <row r="166" spans="1:8" ht="14.25" customHeight="1">
      <c r="A166" s="2">
        <v>2084251245</v>
      </c>
      <c r="B166" s="2" t="s">
        <v>7196</v>
      </c>
      <c r="C166" s="2" t="s">
        <v>7347</v>
      </c>
      <c r="D166" s="169" t="str">
        <f t="shared" si="12"/>
        <v>0,25464,2084251212,2084251245</v>
      </c>
      <c r="E166" s="3" t="str">
        <f ca="1">IFERROR(__xludf.DUMMYFUNCTION("GOOGLETRANSLATE(B166,""ja"",""vi"")"),"máy bay")</f>
        <v>máy bay</v>
      </c>
      <c r="F166" s="3" t="str">
        <f ca="1">IFERROR(__xludf.DUMMYFUNCTION("GOOGLETRANSLATE(C166,""ja"",""vi"")"),"Đấu giá&gt; đồ chơi, trò chơi&gt; sở thích điều khiển bằng radio&gt; máy bay")</f>
        <v>Đấu giá&gt; đồ chơi, trò chơi&gt; sở thích điều khiển bằng radio&gt; máy bay</v>
      </c>
      <c r="G166" s="229" t="str">
        <f t="shared" ca="1" si="8"/>
        <v>"2084251245" : "máy bay",</v>
      </c>
      <c r="H166" s="229" t="str">
        <f t="shared" si="9"/>
        <v>&lt;li class="col-md-3"&gt;&lt;a class="text-cut" href="javascript:;"(click)="categoryEvent(2084251245)"&gt;{{"2084251245" | translate}}&lt;/a&gt;&lt;/li&gt;</v>
      </c>
    </row>
    <row r="167" spans="1:8" ht="14.25" customHeight="1">
      <c r="A167" s="2">
        <v>2084251252</v>
      </c>
      <c r="B167" s="2" t="s">
        <v>7201</v>
      </c>
      <c r="C167" s="2" t="s">
        <v>7353</v>
      </c>
      <c r="D167" s="169" t="str">
        <f t="shared" si="12"/>
        <v>0,25464,2084251212,2084251252</v>
      </c>
      <c r="E167" s="3" t="str">
        <f ca="1">IFERROR(__xludf.DUMMYFUNCTION("GOOGLETRANSLATE(B167,""ja"",""vi"")"),"Máy bay trực thăng")</f>
        <v>Máy bay trực thăng</v>
      </c>
      <c r="F167" s="3" t="str">
        <f ca="1">IFERROR(__xludf.DUMMYFUNCTION("GOOGLETRANSLATE(C167,""ja"",""vi"")"),"Đấu giá&gt; đồ chơi, trò chơi&gt; sở thích điều khiển bằng radio&gt; máy bay trực thăng")</f>
        <v>Đấu giá&gt; đồ chơi, trò chơi&gt; sở thích điều khiển bằng radio&gt; máy bay trực thăng</v>
      </c>
      <c r="G167" s="229" t="str">
        <f t="shared" ca="1" si="8"/>
        <v>"2084251252" : "Máy bay trực thăng",</v>
      </c>
      <c r="H167" s="229" t="str">
        <f t="shared" si="9"/>
        <v>&lt;li class="col-md-3"&gt;&lt;a class="text-cut" href="javascript:;"(click)="categoryEvent(2084251252)"&gt;{{"2084251252" | translate}}&lt;/a&gt;&lt;/li&gt;</v>
      </c>
    </row>
    <row r="168" spans="1:8" ht="14.25" customHeight="1">
      <c r="A168" s="2">
        <v>2084316145</v>
      </c>
      <c r="B168" s="2" t="s">
        <v>7210</v>
      </c>
      <c r="C168" s="2" t="s">
        <v>7356</v>
      </c>
      <c r="D168" s="169" t="str">
        <f t="shared" si="12"/>
        <v>0,25464,2084251212,2084316145</v>
      </c>
      <c r="E168" s="3" t="str">
        <f ca="1">IFERROR(__xludf.DUMMYFUNCTION("GOOGLETRANSLATE(B168,""ja"",""vi"")"),"rút ra")</f>
        <v>rút ra</v>
      </c>
      <c r="F168" s="3" t="str">
        <f ca="1">IFERROR(__xludf.DUMMYFUNCTION("GOOGLETRANSLATE(C168,""ja"",""vi"")"),"Đấu giá&gt; đồ chơi, trò chơi&gt; sở thích điều khiển bằng radio&gt; bay không người lái")</f>
        <v>Đấu giá&gt; đồ chơi, trò chơi&gt; sở thích điều khiển bằng radio&gt; bay không người lái</v>
      </c>
      <c r="G168" s="229" t="str">
        <f t="shared" ca="1" si="8"/>
        <v>"2084316145" : "rút ra",</v>
      </c>
      <c r="H168" s="229" t="str">
        <f t="shared" si="9"/>
        <v>&lt;li class="col-md-3"&gt;&lt;a class="text-cut" href="javascript:;"(click)="categoryEvent(2084316145)"&gt;{{"2084316145" | translate}}&lt;/a&gt;&lt;/li&gt;</v>
      </c>
    </row>
    <row r="169" spans="1:8" ht="14.25" customHeight="1">
      <c r="A169" s="2">
        <v>2084251259</v>
      </c>
      <c r="B169" s="2" t="s">
        <v>6273</v>
      </c>
      <c r="C169" s="2" t="s">
        <v>7359</v>
      </c>
      <c r="D169" s="169" t="str">
        <f t="shared" si="12"/>
        <v>0,25464,2084251212,2084251259</v>
      </c>
      <c r="E169" s="3" t="str">
        <f ca="1">IFERROR(__xludf.DUMMYFUNCTION("GOOGLETRANSLATE(B169,""ja"",""vi"")"),"Tàu, thuyền")</f>
        <v>Tàu, thuyền</v>
      </c>
      <c r="F169" s="3" t="str">
        <f ca="1">IFERROR(__xludf.DUMMYFUNCTION("GOOGLETRANSLATE(C169,""ja"",""vi"")"),"Đấu giá&gt; đồ chơi, trò chơi&gt; sở thích điều khiển bằng radio&gt; tàu, thuyền")</f>
        <v>Đấu giá&gt; đồ chơi, trò chơi&gt; sở thích điều khiển bằng radio&gt; tàu, thuyền</v>
      </c>
      <c r="G169" s="229" t="str">
        <f t="shared" ca="1" si="8"/>
        <v>"2084251259" : "Tàu, thuyền",</v>
      </c>
      <c r="H169" s="229" t="str">
        <f t="shared" si="9"/>
        <v>&lt;li class="col-md-3"&gt;&lt;a class="text-cut" href="javascript:;"(click)="categoryEvent(2084251259)"&gt;{{"2084251259" | translate}}&lt;/a&gt;&lt;/li&gt;</v>
      </c>
    </row>
    <row r="170" spans="1:8" ht="14.25" customHeight="1">
      <c r="A170" s="2">
        <v>2084251260</v>
      </c>
      <c r="B170" s="2" t="s">
        <v>7219</v>
      </c>
      <c r="C170" s="2" t="s">
        <v>7365</v>
      </c>
      <c r="D170" s="169" t="str">
        <f t="shared" si="12"/>
        <v>0,25464,2084251212,2084251260</v>
      </c>
      <c r="E170" s="3" t="str">
        <f ca="1">IFERROR(__xludf.DUMMYFUNCTION("GOOGLETRANSLATE(B170,""ja"",""vi"")"),"Xe tăng, xe quân sự")</f>
        <v>Xe tăng, xe quân sự</v>
      </c>
      <c r="F170" s="3" t="str">
        <f ca="1">IFERROR(__xludf.DUMMYFUNCTION("GOOGLETRANSLATE(C170,""ja"",""vi"")"),"Đấu giá&gt; đồ chơi, trò chơi&gt; điều khiển radio sở thích&gt; xe tăng, xe quân sự")</f>
        <v>Đấu giá&gt; đồ chơi, trò chơi&gt; điều khiển radio sở thích&gt; xe tăng, xe quân sự</v>
      </c>
      <c r="G170" s="229" t="str">
        <f t="shared" ca="1" si="8"/>
        <v>"2084251260" : "Xe tăng, xe quân sự",</v>
      </c>
      <c r="H170" s="229" t="str">
        <f t="shared" si="9"/>
        <v>&lt;li class="col-md-3"&gt;&lt;a class="text-cut" href="javascript:;"(click)="categoryEvent(2084251260)"&gt;{{"2084251260" | translate}}&lt;/a&gt;&lt;/li&gt;</v>
      </c>
    </row>
    <row r="171" spans="1:8" ht="14.25" customHeight="1">
      <c r="A171" s="2">
        <v>2084251261</v>
      </c>
      <c r="B171" s="2" t="s">
        <v>7370</v>
      </c>
      <c r="C171" s="2" t="s">
        <v>7371</v>
      </c>
      <c r="D171" s="169" t="str">
        <f t="shared" si="12"/>
        <v>0,25464,2084251212,2084251261</v>
      </c>
      <c r="E171" s="3" t="str">
        <f ca="1">IFERROR(__xludf.DUMMYFUNCTION("GOOGLETRANSLATE(B171,""ja"",""vi"")"),"Pin, sạc")</f>
        <v>Pin, sạc</v>
      </c>
      <c r="F171" s="3" t="str">
        <f ca="1">IFERROR(__xludf.DUMMYFUNCTION("GOOGLETRANSLATE(C171,""ja"",""vi"")"),"Đấu giá&gt; đồ chơi, trò chơi&gt; sở thích điều khiển bằng radio&gt; pin, sạc")</f>
        <v>Đấu giá&gt; đồ chơi, trò chơi&gt; sở thích điều khiển bằng radio&gt; pin, sạc</v>
      </c>
      <c r="G171" s="229" t="str">
        <f t="shared" ca="1" si="8"/>
        <v>"2084251261" : "Pin, sạc",</v>
      </c>
      <c r="H171" s="229" t="str">
        <f t="shared" si="9"/>
        <v>&lt;li class="col-md-3"&gt;&lt;a class="text-cut" href="javascript:;"(click)="categoryEvent(2084251261)"&gt;{{"2084251261" | translate}}&lt;/a&gt;&lt;/li&gt;</v>
      </c>
    </row>
    <row r="172" spans="1:8" ht="14.25" customHeight="1">
      <c r="A172" s="2">
        <v>2084251262</v>
      </c>
      <c r="B172" s="2" t="s">
        <v>7374</v>
      </c>
      <c r="C172" s="2" t="s">
        <v>7376</v>
      </c>
      <c r="D172" s="169" t="str">
        <f t="shared" si="12"/>
        <v>0,25464,2084251212,2084251262</v>
      </c>
      <c r="E172" s="3" t="str">
        <f ca="1">IFERROR(__xludf.DUMMYFUNCTION("GOOGLETRANSLATE(B172,""ja"",""vi"")"),"Propoxycarbonyl")</f>
        <v>Propoxycarbonyl</v>
      </c>
      <c r="F172" s="3" t="str">
        <f ca="1">IFERROR(__xludf.DUMMYFUNCTION("GOOGLETRANSLATE(C172,""ja"",""vi"")"),"Đấu giá&gt; đồ chơi, trò chơi&gt; sở thích điều khiển bằng radio&gt; propoxycarbonyl")</f>
        <v>Đấu giá&gt; đồ chơi, trò chơi&gt; sở thích điều khiển bằng radio&gt; propoxycarbonyl</v>
      </c>
      <c r="G172" s="229" t="str">
        <f t="shared" ca="1" si="8"/>
        <v>"2084251262" : "Propoxycarbonyl",</v>
      </c>
      <c r="H172" s="229" t="str">
        <f t="shared" si="9"/>
        <v>&lt;li class="col-md-3"&gt;&lt;a class="text-cut" href="javascript:;"(click)="categoryEvent(2084251262)"&gt;{{"2084251262" | translate}}&lt;/a&gt;&lt;/li&gt;</v>
      </c>
    </row>
    <row r="173" spans="1:8" ht="14.25" customHeight="1">
      <c r="A173" s="2">
        <v>2084063789</v>
      </c>
      <c r="B173" s="2" t="s">
        <v>6545</v>
      </c>
      <c r="C173" s="2" t="s">
        <v>7379</v>
      </c>
      <c r="D173" s="169" t="str">
        <f t="shared" si="12"/>
        <v>0,25464,2084251212,2084063789</v>
      </c>
      <c r="E173" s="3" t="str">
        <f ca="1">IFERROR(__xludf.DUMMYFUNCTION("GOOGLETRANSLATE(B173,""ja"",""vi"")"),"Mô hình hóa Vật tư")</f>
        <v>Mô hình hóa Vật tư</v>
      </c>
      <c r="F173" s="3" t="str">
        <f ca="1">IFERROR(__xludf.DUMMYFUNCTION("GOOGLETRANSLATE(C173,""ja"",""vi"")"),"Đấu giá&gt; đồ chơi, trò chơi&gt; sở thích điều khiển bằng radio&gt; nguồn cung cấp mô hình sản xuất")</f>
        <v>Đấu giá&gt; đồ chơi, trò chơi&gt; sở thích điều khiển bằng radio&gt; nguồn cung cấp mô hình sản xuất</v>
      </c>
      <c r="G173" s="229" t="str">
        <f t="shared" ca="1" si="8"/>
        <v>"2084063789" : "Mô hình hóa Vật tư",</v>
      </c>
      <c r="H173" s="229" t="str">
        <f t="shared" si="9"/>
        <v>&lt;li class="col-md-3"&gt;&lt;a class="text-cut" href="javascript:;"(click)="categoryEvent(2084063789)"&gt;{{"2084063789" | translate}}&lt;/a&gt;&lt;/li&gt;</v>
      </c>
    </row>
    <row r="174" spans="1:8" ht="14.25" customHeight="1">
      <c r="A174" s="2">
        <v>2084251268</v>
      </c>
      <c r="B174" s="2" t="s">
        <v>16</v>
      </c>
      <c r="C174" s="2" t="s">
        <v>7382</v>
      </c>
      <c r="D174" s="169" t="str">
        <f t="shared" si="12"/>
        <v>0,25464,2084251212,2084251268</v>
      </c>
      <c r="E174" s="3" t="str">
        <f ca="1">IFERROR(__xludf.DUMMYFUNCTION("GOOGLETRANSLATE(B174,""ja"",""vi"")"),"nếu không thì")</f>
        <v>nếu không thì</v>
      </c>
      <c r="F174" s="3" t="str">
        <f ca="1">IFERROR(__xludf.DUMMYFUNCTION("GOOGLETRANSLATE(C174,""ja"",""vi"")"),"Đấu giá&gt; đồ chơi, trò chơi&gt; sở thích vô tuyến điều khiển&gt; Khác")</f>
        <v>Đấu giá&gt; đồ chơi, trò chơi&gt; sở thích vô tuyến điều khiển&gt; Khác</v>
      </c>
      <c r="G174" s="229" t="str">
        <f t="shared" ca="1" si="8"/>
        <v>"2084251268" : "nếu không thì",</v>
      </c>
      <c r="H174" s="229" t="str">
        <f t="shared" si="9"/>
        <v>&lt;li class="col-md-3"&gt;&lt;a class="text-cut" href="javascript:;"(click)="categoryEvent(2084251268)"&gt;{{"2084251268" | translate}}&lt;/a&gt;&lt;/li&gt;</v>
      </c>
    </row>
    <row r="175" spans="1:8" ht="14.25" customHeight="1">
      <c r="E175" s="3"/>
      <c r="F175" s="3"/>
      <c r="G175" s="229"/>
      <c r="H175" s="229"/>
    </row>
    <row r="176" spans="1:8" ht="14.25" customHeight="1">
      <c r="A176" s="238">
        <v>2084260113</v>
      </c>
      <c r="B176" s="232"/>
      <c r="C176" s="232"/>
      <c r="D176" s="233"/>
      <c r="E176" s="3"/>
      <c r="F176" s="3"/>
      <c r="G176" s="229"/>
      <c r="H176" s="229"/>
    </row>
    <row r="177" spans="1:8" ht="14.25" customHeight="1">
      <c r="A177" s="2">
        <v>2084260114</v>
      </c>
      <c r="B177" s="2" t="s">
        <v>5924</v>
      </c>
      <c r="C177" s="2" t="s">
        <v>7388</v>
      </c>
      <c r="D177" s="169" t="str">
        <f t="shared" ref="D177:D182" si="13">CONCATENATE("0,","25464,2084260113,",A177)</f>
        <v>0,25464,2084260113,2084260114</v>
      </c>
      <c r="E177" s="3" t="str">
        <f ca="1">IFERROR(__xludf.DUMMYFUNCTION("GOOGLETRANSLATE(B177,""ja"",""vi"")"),"xe hơi")</f>
        <v>xe hơi</v>
      </c>
      <c r="F177" s="3" t="str">
        <f ca="1">IFERROR(__xludf.DUMMYFUNCTION("GOOGLETRANSLATE(C177,""ja"",""vi"")"),"Đấu giá&gt; đồ chơi, trò chơi&gt; minicar&gt; ô tô")</f>
        <v>Đấu giá&gt; đồ chơi, trò chơi&gt; minicar&gt; ô tô</v>
      </c>
      <c r="G177" s="229" t="str">
        <f t="shared" ca="1" si="8"/>
        <v>"2084260114" : "xe hơi",</v>
      </c>
      <c r="H177" s="229" t="str">
        <f t="shared" si="9"/>
        <v>&lt;li class="col-md-3"&gt;&lt;a class="text-cut" href="javascript:;"(click)="categoryEvent(2084260114)"&gt;{{"2084260114" | translate}}&lt;/a&gt;&lt;/li&gt;</v>
      </c>
    </row>
    <row r="178" spans="1:8" ht="14.25" customHeight="1">
      <c r="A178" s="2">
        <v>2084260189</v>
      </c>
      <c r="B178" s="2" t="s">
        <v>3868</v>
      </c>
      <c r="C178" s="2" t="s">
        <v>7390</v>
      </c>
      <c r="D178" s="169" t="str">
        <f t="shared" si="13"/>
        <v>0,25464,2084260113,2084260189</v>
      </c>
      <c r="E178" s="3" t="str">
        <f ca="1">IFERROR(__xludf.DUMMYFUNCTION("GOOGLETRANSLATE(B178,""ja"",""vi"")"),"xe mô tô")</f>
        <v>xe mô tô</v>
      </c>
      <c r="F178" s="3" t="str">
        <f ca="1">IFERROR(__xludf.DUMMYFUNCTION("GOOGLETRANSLATE(C178,""ja"",""vi"")"),"Đấu giá&gt; đồ chơi, trò chơi&gt; minicar&gt; xe máy")</f>
        <v>Đấu giá&gt; đồ chơi, trò chơi&gt; minicar&gt; xe máy</v>
      </c>
      <c r="G178" s="229" t="str">
        <f t="shared" ca="1" si="8"/>
        <v>"2084260189" : "xe mô tô",</v>
      </c>
      <c r="H178" s="229" t="str">
        <f t="shared" si="9"/>
        <v>&lt;li class="col-md-3"&gt;&lt;a class="text-cut" href="javascript:;"(click)="categoryEvent(2084260189)"&gt;{{"2084260189" | translate}}&lt;/a&gt;&lt;/li&gt;</v>
      </c>
    </row>
    <row r="179" spans="1:8" ht="14.25" customHeight="1">
      <c r="A179" s="2">
        <v>2084260185</v>
      </c>
      <c r="B179" s="2" t="s">
        <v>7394</v>
      </c>
      <c r="C179" s="2" t="s">
        <v>7395</v>
      </c>
      <c r="D179" s="169" t="str">
        <f t="shared" si="13"/>
        <v>0,25464,2084260113,2084260185</v>
      </c>
      <c r="E179" s="3" t="str">
        <f ca="1">IFERROR(__xludf.DUMMYFUNCTION("GOOGLETRANSLATE(B179,""ja"",""vi"")"),"xe xây dựng, bảo trì xe")</f>
        <v>xe xây dựng, bảo trì xe</v>
      </c>
      <c r="F179" s="3" t="str">
        <f ca="1">IFERROR(__xludf.DUMMYFUNCTION("GOOGLETRANSLATE(C179,""ja"",""vi"")"),"Đấu giá&gt; đồ chơi, trò chơi&gt; minicar&gt; xe xây dựng, bảo trì xe")</f>
        <v>Đấu giá&gt; đồ chơi, trò chơi&gt; minicar&gt; xe xây dựng, bảo trì xe</v>
      </c>
      <c r="G179" s="229" t="str">
        <f t="shared" ca="1" si="8"/>
        <v>"2084260185" : "xe xây dựng, bảo trì xe",</v>
      </c>
      <c r="H179" s="229" t="str">
        <f t="shared" si="9"/>
        <v>&lt;li class="col-md-3"&gt;&lt;a class="text-cut" href="javascript:;"(click)="categoryEvent(2084260185)"&gt;{{"2084260185" | translate}}&lt;/a&gt;&lt;/li&gt;</v>
      </c>
    </row>
    <row r="180" spans="1:8" ht="14.25" customHeight="1">
      <c r="A180" s="2">
        <v>2084260186</v>
      </c>
      <c r="B180" s="2" t="s">
        <v>6333</v>
      </c>
      <c r="C180" s="2" t="s">
        <v>7399</v>
      </c>
      <c r="D180" s="169" t="str">
        <f t="shared" si="13"/>
        <v>0,25464,2084260113,2084260186</v>
      </c>
      <c r="E180" s="3" t="str">
        <f ca="1">IFERROR(__xludf.DUMMYFUNCTION("GOOGLETRANSLATE(B180,""ja"",""vi"")"),"phi cơ")</f>
        <v>phi cơ</v>
      </c>
      <c r="F180" s="3" t="str">
        <f ca="1">IFERROR(__xludf.DUMMYFUNCTION("GOOGLETRANSLATE(C180,""ja"",""vi"")"),"Đấu giá&gt; đồ chơi, trò chơi&gt; minicar&gt; máy bay")</f>
        <v>Đấu giá&gt; đồ chơi, trò chơi&gt; minicar&gt; máy bay</v>
      </c>
      <c r="G180" s="229" t="str">
        <f t="shared" ca="1" si="8"/>
        <v>"2084260186" : "phi cơ",</v>
      </c>
      <c r="H180" s="229" t="str">
        <f t="shared" si="9"/>
        <v>&lt;li class="col-md-3"&gt;&lt;a class="text-cut" href="javascript:;"(click)="categoryEvent(2084260186)"&gt;{{"2084260186" | translate}}&lt;/a&gt;&lt;/li&gt;</v>
      </c>
    </row>
    <row r="181" spans="1:8" ht="14.25" customHeight="1">
      <c r="A181" s="2">
        <v>2084260191</v>
      </c>
      <c r="B181" s="2" t="s">
        <v>7219</v>
      </c>
      <c r="C181" s="2" t="s">
        <v>7404</v>
      </c>
      <c r="D181" s="169" t="str">
        <f t="shared" si="13"/>
        <v>0,25464,2084260113,2084260191</v>
      </c>
      <c r="E181" s="3" t="str">
        <f ca="1">IFERROR(__xludf.DUMMYFUNCTION("GOOGLETRANSLATE(B181,""ja"",""vi"")"),"Xe tăng, xe quân sự")</f>
        <v>Xe tăng, xe quân sự</v>
      </c>
      <c r="F181" s="3" t="str">
        <f ca="1">IFERROR(__xludf.DUMMYFUNCTION("GOOGLETRANSLATE(C181,""ja"",""vi"")"),"Đấu giá&gt; đồ chơi, trò chơi&gt; minicar&gt; xe tăng, xe quân sự")</f>
        <v>Đấu giá&gt; đồ chơi, trò chơi&gt; minicar&gt; xe tăng, xe quân sự</v>
      </c>
      <c r="G181" s="229" t="str">
        <f t="shared" ca="1" si="8"/>
        <v>"2084260191" : "Xe tăng, xe quân sự",</v>
      </c>
      <c r="H181" s="229" t="str">
        <f t="shared" si="9"/>
        <v>&lt;li class="col-md-3"&gt;&lt;a class="text-cut" href="javascript:;"(click)="categoryEvent(2084260191)"&gt;{{"2084260191" | translate}}&lt;/a&gt;&lt;/li&gt;</v>
      </c>
    </row>
    <row r="182" spans="1:8" ht="14.25" customHeight="1">
      <c r="A182" s="2">
        <v>2084260190</v>
      </c>
      <c r="B182" s="2" t="s">
        <v>6273</v>
      </c>
      <c r="C182" s="2" t="s">
        <v>7406</v>
      </c>
      <c r="D182" s="169" t="str">
        <f t="shared" si="13"/>
        <v>0,25464,2084260113,2084260190</v>
      </c>
      <c r="E182" s="3" t="str">
        <f ca="1">IFERROR(__xludf.DUMMYFUNCTION("GOOGLETRANSLATE(B182,""ja"",""vi"")"),"Tàu, thuyền")</f>
        <v>Tàu, thuyền</v>
      </c>
      <c r="F182" s="3" t="str">
        <f ca="1">IFERROR(__xludf.DUMMYFUNCTION("GOOGLETRANSLATE(C182,""ja"",""vi"")"),"Đấu giá&gt; đồ chơi, trò chơi&gt; minicar&gt; tàu, thuyền")</f>
        <v>Đấu giá&gt; đồ chơi, trò chơi&gt; minicar&gt; tàu, thuyền</v>
      </c>
      <c r="G182" s="229" t="str">
        <f t="shared" ca="1" si="8"/>
        <v>"2084260190" : "Tàu, thuyền",</v>
      </c>
      <c r="H182" s="229" t="str">
        <f t="shared" si="9"/>
        <v>&lt;li class="col-md-3"&gt;&lt;a class="text-cut" href="javascript:;"(click)="categoryEvent(2084260190)"&gt;{{"2084260190" | translate}}&lt;/a&gt;&lt;/li&gt;</v>
      </c>
    </row>
    <row r="183" spans="1:8" ht="14.25" customHeight="1">
      <c r="E183" s="3"/>
      <c r="F183" s="3"/>
      <c r="G183" s="229"/>
      <c r="H183" s="229"/>
    </row>
    <row r="184" spans="1:8" ht="14.25" customHeight="1">
      <c r="A184" s="256">
        <v>2084259630</v>
      </c>
      <c r="B184" s="232"/>
      <c r="C184" s="232"/>
      <c r="D184" s="233"/>
      <c r="E184" s="3"/>
      <c r="F184" s="3"/>
      <c r="G184" s="229"/>
      <c r="H184" s="229"/>
    </row>
    <row r="185" spans="1:8" ht="14.25" customHeight="1">
      <c r="A185" s="2">
        <v>2084259631</v>
      </c>
      <c r="B185" s="2" t="s">
        <v>5609</v>
      </c>
      <c r="C185" s="2" t="s">
        <v>7509</v>
      </c>
      <c r="D185" s="169" t="str">
        <f t="shared" ref="D185:D188" si="14">CONCATENATE("0,","25464,2084259630,",A185)</f>
        <v>0,25464,2084259630,2084259631</v>
      </c>
      <c r="E185" s="3" t="str">
        <f ca="1">IFERROR(__xludf.DUMMYFUNCTION("GOOGLETRANSLATE(B185,""ja"",""vi"")"),"cơ thể")</f>
        <v>cơ thể</v>
      </c>
      <c r="F185" s="3" t="str">
        <f ca="1">IFERROR(__xludf.DUMMYFUNCTION("GOOGLETRANSLATE(C185,""ja"",""vi"")"),"Đấu giá&gt; đồ chơi, trò chơi&gt; khe xe&gt; xe")</f>
        <v>Đấu giá&gt; đồ chơi, trò chơi&gt; khe xe&gt; xe</v>
      </c>
      <c r="G185" s="229" t="str">
        <f t="shared" ca="1" si="8"/>
        <v>"2084259631" : "cơ thể",</v>
      </c>
      <c r="H185" s="229" t="str">
        <f t="shared" si="9"/>
        <v>&lt;li class="col-md-3"&gt;&lt;a class="text-cut" href="javascript:;"(click)="categoryEvent(2084259631)"&gt;{{"2084259631" | translate}}&lt;/a&gt;&lt;/li&gt;</v>
      </c>
    </row>
    <row r="186" spans="1:8" ht="14.25" customHeight="1">
      <c r="A186" s="2">
        <v>2084259633</v>
      </c>
      <c r="B186" s="2" t="s">
        <v>3876</v>
      </c>
      <c r="C186" s="2" t="s">
        <v>7510</v>
      </c>
      <c r="D186" s="169" t="str">
        <f t="shared" si="14"/>
        <v>0,25464,2084259630,2084259633</v>
      </c>
      <c r="E186" s="3" t="str">
        <f ca="1">IFERROR(__xludf.DUMMYFUNCTION("GOOGLETRANSLATE(B186,""ja"",""vi"")"),"bộ phận")</f>
        <v>bộ phận</v>
      </c>
      <c r="F186" s="3" t="str">
        <f ca="1">IFERROR(__xludf.DUMMYFUNCTION("GOOGLETRANSLATE(C186,""ja"",""vi"")"),"Đấu giá&gt; đồ chơi, trò chơi&gt; khe xe&gt; Linh kiện")</f>
        <v>Đấu giá&gt; đồ chơi, trò chơi&gt; khe xe&gt; Linh kiện</v>
      </c>
      <c r="G186" s="229" t="str">
        <f t="shared" ca="1" si="8"/>
        <v>"2084259633" : "bộ phận",</v>
      </c>
      <c r="H186" s="229" t="str">
        <f t="shared" si="9"/>
        <v>&lt;li class="col-md-3"&gt;&lt;a class="text-cut" href="javascript:;"(click)="categoryEvent(2084259633)"&gt;{{"2084259633" | translate}}&lt;/a&gt;&lt;/li&gt;</v>
      </c>
    </row>
    <row r="187" spans="1:8" ht="14.25" customHeight="1">
      <c r="A187" s="2">
        <v>2084259632</v>
      </c>
      <c r="B187" s="2" t="s">
        <v>7512</v>
      </c>
      <c r="C187" s="2" t="s">
        <v>7513</v>
      </c>
      <c r="D187" s="169" t="str">
        <f t="shared" si="14"/>
        <v>0,25464,2084259630,2084259632</v>
      </c>
      <c r="E187" s="3" t="str">
        <f ca="1">IFERROR(__xludf.DUMMYFUNCTION("GOOGLETRANSLATE(B187,""ja"",""vi"")"),"dĩ nhiên")</f>
        <v>dĩ nhiên</v>
      </c>
      <c r="F187" s="3" t="str">
        <f ca="1">IFERROR(__xludf.DUMMYFUNCTION("GOOGLETRANSLATE(C187,""ja"",""vi"")"),"Đấu giá&gt; đồ chơi, trò chơi&gt; khe xe&gt; course")</f>
        <v>Đấu giá&gt; đồ chơi, trò chơi&gt; khe xe&gt; course</v>
      </c>
      <c r="G187" s="229" t="str">
        <f t="shared" ca="1" si="8"/>
        <v>"2084259632" : "dĩ nhiên",</v>
      </c>
      <c r="H187" s="229" t="str">
        <f t="shared" si="9"/>
        <v>&lt;li class="col-md-3"&gt;&lt;a class="text-cut" href="javascript:;"(click)="categoryEvent(2084259632)"&gt;{{"2084259632" | translate}}&lt;/a&gt;&lt;/li&gt;</v>
      </c>
    </row>
    <row r="188" spans="1:8" ht="14.25" customHeight="1">
      <c r="A188" s="2">
        <v>2084259634</v>
      </c>
      <c r="B188" s="2" t="s">
        <v>16</v>
      </c>
      <c r="C188" s="2" t="s">
        <v>7516</v>
      </c>
      <c r="D188" s="169" t="str">
        <f t="shared" si="14"/>
        <v>0,25464,2084259630,2084259634</v>
      </c>
      <c r="E188" s="3" t="str">
        <f ca="1">IFERROR(__xludf.DUMMYFUNCTION("GOOGLETRANSLATE(B188,""ja"",""vi"")"),"nếu không thì")</f>
        <v>nếu không thì</v>
      </c>
      <c r="F188" s="3" t="str">
        <f ca="1">IFERROR(__xludf.DUMMYFUNCTION("GOOGLETRANSLATE(C188,""ja"",""vi"")"),"Đấu giá&gt; Đồ chơi, trò chơi&gt; khe Ô tô&gt; Khác")</f>
        <v>Đấu giá&gt; Đồ chơi, trò chơi&gt; khe Ô tô&gt; Khác</v>
      </c>
      <c r="G188" s="229" t="str">
        <f t="shared" ca="1" si="8"/>
        <v>"2084259634" : "nếu không thì",</v>
      </c>
      <c r="H188" s="229" t="str">
        <f t="shared" si="9"/>
        <v>&lt;li class="col-md-3"&gt;&lt;a class="text-cut" href="javascript:;"(click)="categoryEvent(2084259634)"&gt;{{"2084259634" | translate}}&lt;/a&gt;&lt;/li&gt;</v>
      </c>
    </row>
    <row r="189" spans="1:8" ht="14.25" customHeight="1">
      <c r="E189" s="3"/>
      <c r="F189" s="3"/>
      <c r="G189" s="229"/>
      <c r="H189" s="229"/>
    </row>
    <row r="190" spans="1:8" ht="14.25" customHeight="1">
      <c r="A190" s="252">
        <v>2084259579</v>
      </c>
      <c r="B190" s="232"/>
      <c r="C190" s="232"/>
      <c r="D190" s="233"/>
      <c r="E190" s="3"/>
      <c r="F190" s="3"/>
      <c r="G190" s="229"/>
      <c r="H190" s="229"/>
    </row>
    <row r="191" spans="1:8" ht="14.25" customHeight="1">
      <c r="A191" s="2">
        <v>2084259580</v>
      </c>
      <c r="B191" s="2" t="s">
        <v>7410</v>
      </c>
      <c r="C191" s="2" t="s">
        <v>7411</v>
      </c>
      <c r="D191" s="169" t="str">
        <f t="shared" ref="D191:D197" si="15">CONCATENATE("0,","25464,2084259579,",A191)</f>
        <v>0,25464,2084259579,2084259580</v>
      </c>
      <c r="E191" s="3" t="str">
        <f ca="1">IFERROR(__xludf.DUMMYFUNCTION("GOOGLETRANSLATE(B191,""ja"",""vi"")"),"gauge HỒ")</f>
        <v>gauge HỒ</v>
      </c>
      <c r="F191" s="3" t="str">
        <f ca="1">IFERROR(__xludf.DUMMYFUNCTION("GOOGLETRANSLATE(C191,""ja"",""vi"")"),"Đấu giá&gt; đồ chơi, trò chơi&gt; mô hình đường sắt&gt; gauge HỒ")</f>
        <v>Đấu giá&gt; đồ chơi, trò chơi&gt; mô hình đường sắt&gt; gauge HỒ</v>
      </c>
      <c r="G191" s="229" t="str">
        <f t="shared" ca="1" si="8"/>
        <v>"2084259580" : "gauge HỒ",</v>
      </c>
      <c r="H191" s="229" t="str">
        <f t="shared" si="9"/>
        <v>&lt;li class="col-md-3"&gt;&lt;a class="text-cut" href="javascript:;"(click)="categoryEvent(2084259580)"&gt;{{"2084259580" | translate}}&lt;/a&gt;&lt;/li&gt;</v>
      </c>
    </row>
    <row r="192" spans="1:8" ht="14.25" customHeight="1">
      <c r="A192" s="2">
        <v>2084259591</v>
      </c>
      <c r="B192" s="2" t="s">
        <v>7413</v>
      </c>
      <c r="C192" s="2" t="s">
        <v>7414</v>
      </c>
      <c r="D192" s="169" t="str">
        <f t="shared" si="15"/>
        <v>0,25464,2084259579,2084259591</v>
      </c>
      <c r="E192" s="3" t="str">
        <f ca="1">IFERROR(__xludf.DUMMYFUNCTION("GOOGLETRANSLATE(B192,""ja"",""vi"")"),"N gauge")</f>
        <v>N gauge</v>
      </c>
      <c r="F192" s="3" t="str">
        <f ca="1">IFERROR(__xludf.DUMMYFUNCTION("GOOGLETRANSLATE(C192,""ja"",""vi"")"),"Đấu giá&gt; đồ chơi, trò chơi&gt; mô hình đường sắt&gt; gauge N")</f>
        <v>Đấu giá&gt; đồ chơi, trò chơi&gt; mô hình đường sắt&gt; gauge N</v>
      </c>
      <c r="G192" s="229" t="str">
        <f t="shared" ca="1" si="8"/>
        <v>"2084259591" : "N gauge",</v>
      </c>
      <c r="H192" s="229" t="str">
        <f t="shared" si="9"/>
        <v>&lt;li class="col-md-3"&gt;&lt;a class="text-cut" href="javascript:;"(click)="categoryEvent(2084259591)"&gt;{{"2084259591" | translate}}&lt;/a&gt;&lt;/li&gt;</v>
      </c>
    </row>
    <row r="193" spans="1:8" ht="14.25" customHeight="1">
      <c r="A193" s="2">
        <v>2084259619</v>
      </c>
      <c r="B193" s="2" t="s">
        <v>7418</v>
      </c>
      <c r="C193" s="2" t="s">
        <v>7419</v>
      </c>
      <c r="D193" s="169" t="str">
        <f t="shared" si="15"/>
        <v>0,25464,2084259579,2084259619</v>
      </c>
      <c r="E193" s="3" t="str">
        <f ca="1">IFERROR(__xludf.DUMMYFUNCTION("GOOGLETRANSLATE(B193,""ja"",""vi"")"),"Z gauge")</f>
        <v>Z gauge</v>
      </c>
      <c r="F193" s="3" t="str">
        <f ca="1">IFERROR(__xludf.DUMMYFUNCTION("GOOGLETRANSLATE(C193,""ja"",""vi"")"),"Đấu giá&gt; đồ chơi, trò chơi&gt; mô hình đường sắt&gt; Z-gauge")</f>
        <v>Đấu giá&gt; đồ chơi, trò chơi&gt; mô hình đường sắt&gt; Z-gauge</v>
      </c>
      <c r="G193" s="229" t="str">
        <f t="shared" ca="1" si="8"/>
        <v>"2084259619" : "Z gauge",</v>
      </c>
      <c r="H193" s="229" t="str">
        <f t="shared" si="9"/>
        <v>&lt;li class="col-md-3"&gt;&lt;a class="text-cut" href="javascript:;"(click)="categoryEvent(2084259619)"&gt;{{"2084259619" | translate}}&lt;/a&gt;&lt;/li&gt;</v>
      </c>
    </row>
    <row r="194" spans="1:8" ht="14.25" customHeight="1">
      <c r="A194" s="2">
        <v>2084259752</v>
      </c>
      <c r="B194" s="2" t="s">
        <v>7424</v>
      </c>
      <c r="C194" s="2" t="s">
        <v>7425</v>
      </c>
      <c r="D194" s="169" t="str">
        <f t="shared" si="15"/>
        <v>0,25464,2084259579,2084259752</v>
      </c>
      <c r="E194" s="3" t="str">
        <f ca="1">IFERROR(__xludf.DUMMYFUNCTION("GOOGLETRANSLATE(B194,""ja"",""vi"")"),"G gauge")</f>
        <v>G gauge</v>
      </c>
      <c r="F194" s="3" t="str">
        <f ca="1">IFERROR(__xludf.DUMMYFUNCTION("GOOGLETRANSLATE(C194,""ja"",""vi"")"),"Đấu giá&gt; đồ chơi, trò chơi&gt; mô hình đường sắt&gt; G gauge")</f>
        <v>Đấu giá&gt; đồ chơi, trò chơi&gt; mô hình đường sắt&gt; G gauge</v>
      </c>
      <c r="G194" s="229" t="str">
        <f t="shared" ca="1" si="8"/>
        <v>"2084259752" : "G gauge",</v>
      </c>
      <c r="H194" s="229" t="str">
        <f t="shared" si="9"/>
        <v>&lt;li class="col-md-3"&gt;&lt;a class="text-cut" href="javascript:;"(click)="categoryEvent(2084259752)"&gt;{{"2084259752" | translate}}&lt;/a&gt;&lt;/li&gt;</v>
      </c>
    </row>
    <row r="195" spans="1:8" ht="14.25" customHeight="1">
      <c r="A195" s="2">
        <v>2084259751</v>
      </c>
      <c r="B195" s="2" t="s">
        <v>7430</v>
      </c>
      <c r="C195" s="2" t="s">
        <v>7431</v>
      </c>
      <c r="D195" s="169" t="str">
        <f t="shared" si="15"/>
        <v>0,25464,2084259579,2084259751</v>
      </c>
      <c r="E195" s="3" t="str">
        <f ca="1">IFERROR(__xludf.DUMMYFUNCTION("GOOGLETRANSLATE(B195,""ja"",""vi"")"),"O gauge")</f>
        <v>O gauge</v>
      </c>
      <c r="F195" s="3" t="str">
        <f ca="1">IFERROR(__xludf.DUMMYFUNCTION("GOOGLETRANSLATE(C195,""ja"",""vi"")"),"Đấu giá&gt; đồ chơi, trò chơi&gt; mô hình đường sắt&gt; O gauge")</f>
        <v>Đấu giá&gt; đồ chơi, trò chơi&gt; mô hình đường sắt&gt; O gauge</v>
      </c>
      <c r="G195" s="229" t="str">
        <f t="shared" ref="G195:G256" ca="1" si="16">CONCATENATE(CHAR(34)&amp;"",A195,""&amp;CHAR(34)," : ", CHAR(34)&amp;"",E195,""&amp;CHAR(34),",")</f>
        <v>"2084259751" : "O gauge",</v>
      </c>
      <c r="H195" s="229" t="str">
        <f t="shared" ref="H195:H256" si="1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href="javascript:;"(click)="categoryEvent(2084259751)"&gt;{{"2084259751" | translate}}&lt;/a&gt;&lt;/li&gt;</v>
      </c>
    </row>
    <row r="196" spans="1:8" ht="14.25" customHeight="1">
      <c r="A196" s="2">
        <v>2084259620</v>
      </c>
      <c r="B196" s="2" t="s">
        <v>7436</v>
      </c>
      <c r="C196" s="2" t="s">
        <v>7437</v>
      </c>
      <c r="D196" s="169" t="str">
        <f t="shared" si="15"/>
        <v>0,25464,2084259579,2084259620</v>
      </c>
      <c r="E196" s="3" t="str">
        <f ca="1">IFERROR(__xludf.DUMMYFUNCTION("GOOGLETRANSLATE(B196,""ja"",""vi"")"),"B Train Shorty")</f>
        <v>B Train Shorty</v>
      </c>
      <c r="F196" s="3" t="str">
        <f ca="1">IFERROR(__xludf.DUMMYFUNCTION("GOOGLETRANSLATE(C196,""ja"",""vi"")"),"Đấu giá&gt; đồ chơi, trò chơi&gt; mô hình đường sắt&gt; B Train Shorty")</f>
        <v>Đấu giá&gt; đồ chơi, trò chơi&gt; mô hình đường sắt&gt; B Train Shorty</v>
      </c>
      <c r="G196" s="229" t="str">
        <f t="shared" ca="1" si="16"/>
        <v>"2084259620" : "B Train Shorty",</v>
      </c>
      <c r="H196" s="229" t="str">
        <f t="shared" si="17"/>
        <v>&lt;li class="col-md-3"&gt;&lt;a class="text-cut" href="javascript:;"(click)="categoryEvent(2084259620)"&gt;{{"2084259620" | translate}}&lt;/a&gt;&lt;/li&gt;</v>
      </c>
    </row>
    <row r="197" spans="1:8" ht="14.25" customHeight="1">
      <c r="A197" s="2">
        <v>2084259621</v>
      </c>
      <c r="B197" s="2" t="s">
        <v>16</v>
      </c>
      <c r="C197" s="2" t="s">
        <v>7440</v>
      </c>
      <c r="D197" s="169" t="str">
        <f t="shared" si="15"/>
        <v>0,25464,2084259579,2084259621</v>
      </c>
      <c r="E197" s="3" t="str">
        <f ca="1">IFERROR(__xludf.DUMMYFUNCTION("GOOGLETRANSLATE(B197,""ja"",""vi"")"),"nếu không thì")</f>
        <v>nếu không thì</v>
      </c>
      <c r="F197" s="3" t="str">
        <f ca="1">IFERROR(__xludf.DUMMYFUNCTION("GOOGLETRANSLATE(C197,""ja"",""vi"")"),"Đấu giá&gt; đồ chơi, trò chơi&gt; mô hình đường sắt&gt; Khác")</f>
        <v>Đấu giá&gt; đồ chơi, trò chơi&gt; mô hình đường sắt&gt; Khác</v>
      </c>
      <c r="G197" s="229" t="str">
        <f t="shared" ca="1" si="16"/>
        <v>"2084259621" : "nếu không thì",</v>
      </c>
      <c r="H197" s="229" t="str">
        <f t="shared" si="17"/>
        <v>&lt;li class="col-md-3"&gt;&lt;a class="text-cut" href="javascript:;"(click)="categoryEvent(2084259621)"&gt;{{"2084259621" | translate}}&lt;/a&gt;&lt;/li&gt;</v>
      </c>
    </row>
    <row r="198" spans="1:8" ht="14.25" customHeight="1">
      <c r="E198" s="3"/>
      <c r="F198" s="3"/>
      <c r="G198" s="229"/>
      <c r="H198" s="229"/>
    </row>
    <row r="199" spans="1:8" ht="14.25" customHeight="1">
      <c r="A199" s="274">
        <v>2084259623</v>
      </c>
      <c r="B199" s="232"/>
      <c r="C199" s="232"/>
      <c r="D199" s="233"/>
      <c r="E199" s="3"/>
      <c r="F199" s="3"/>
      <c r="G199" s="229"/>
      <c r="H199" s="229"/>
    </row>
    <row r="200" spans="1:8" ht="14.25" customHeight="1">
      <c r="A200" s="2">
        <v>2084259624</v>
      </c>
      <c r="B200" s="2" t="s">
        <v>7530</v>
      </c>
      <c r="C200" s="2" t="s">
        <v>7531</v>
      </c>
      <c r="D200" s="169" t="str">
        <f t="shared" ref="D200:D205" si="18">CONCATENATE("0,","25464,2084259623,",A200)</f>
        <v>0,25464,2084259623,2084259624</v>
      </c>
      <c r="E200" s="3" t="str">
        <f ca="1">IFERROR(__xludf.DUMMYFUNCTION("GOOGLETRANSLATE(B200,""ja"",""vi"")"),"xe riêng")</f>
        <v>xe riêng</v>
      </c>
      <c r="F200" s="3" t="str">
        <f ca="1">IFERROR(__xludf.DUMMYFUNCTION("GOOGLETRANSLATE(C200,""ja"",""vi"")"),"Đấu giá&gt; Đồ chơi, trò chơi&gt; Plarail&gt; xe riêng")</f>
        <v>Đấu giá&gt; Đồ chơi, trò chơi&gt; Plarail&gt; xe riêng</v>
      </c>
      <c r="G200" s="229" t="str">
        <f t="shared" ca="1" si="16"/>
        <v>"2084259624" : "xe riêng",</v>
      </c>
      <c r="H200" s="229" t="str">
        <f t="shared" si="17"/>
        <v>&lt;li class="col-md-3"&gt;&lt;a class="text-cut" href="javascript:;"(click)="categoryEvent(2084259624)"&gt;{{"2084259624" | translate}}&lt;/a&gt;&lt;/li&gt;</v>
      </c>
    </row>
    <row r="201" spans="1:8" ht="14.25" customHeight="1">
      <c r="A201" s="2">
        <v>2084259625</v>
      </c>
      <c r="B201" s="2" t="s">
        <v>7532</v>
      </c>
      <c r="C201" s="2" t="s">
        <v>7533</v>
      </c>
      <c r="D201" s="169" t="str">
        <f t="shared" si="18"/>
        <v>0,25464,2084259623,2084259625</v>
      </c>
      <c r="E201" s="3" t="str">
        <f ca="1">IFERROR(__xludf.DUMMYFUNCTION("GOOGLETRANSLATE(B201,""ja"",""vi"")"),"phụ tùng xe lửa")</f>
        <v>phụ tùng xe lửa</v>
      </c>
      <c r="F201" s="3" t="str">
        <f ca="1">IFERROR(__xludf.DUMMYFUNCTION("GOOGLETRANSLATE(C201,""ja"",""vi"")"),"Đấu giá&gt; Đồ chơi, trò chơi&gt; Plarail&gt; phụ tùng xe lửa")</f>
        <v>Đấu giá&gt; Đồ chơi, trò chơi&gt; Plarail&gt; phụ tùng xe lửa</v>
      </c>
      <c r="G201" s="229" t="str">
        <f t="shared" ca="1" si="16"/>
        <v>"2084259625" : "phụ tùng xe lửa",</v>
      </c>
      <c r="H201" s="229" t="str">
        <f t="shared" si="17"/>
        <v>&lt;li class="col-md-3"&gt;&lt;a class="text-cut" href="javascript:;"(click)="categoryEvent(2084259625)"&gt;{{"2084259625" | translate}}&lt;/a&gt;&lt;/li&gt;</v>
      </c>
    </row>
    <row r="202" spans="1:8" ht="14.25" customHeight="1">
      <c r="A202" s="2">
        <v>2084259626</v>
      </c>
      <c r="B202" s="2" t="s">
        <v>2605</v>
      </c>
      <c r="C202" s="2" t="s">
        <v>7537</v>
      </c>
      <c r="D202" s="169" t="str">
        <f t="shared" si="18"/>
        <v>0,25464,2084259623,2084259626</v>
      </c>
      <c r="E202" s="3" t="str">
        <f ca="1">IFERROR(__xludf.DUMMYFUNCTION("GOOGLETRANSLATE(B202,""ja"",""vi"")"),"bộ")</f>
        <v>bộ</v>
      </c>
      <c r="F202" s="3" t="str">
        <f ca="1">IFERROR(__xludf.DUMMYFUNCTION("GOOGLETRANSLATE(C202,""ja"",""vi"")"),"Đấu giá&gt; Đồ chơi, trò chơi&gt; Plarail&gt; bộ")</f>
        <v>Đấu giá&gt; Đồ chơi, trò chơi&gt; Plarail&gt; bộ</v>
      </c>
      <c r="G202" s="229" t="str">
        <f t="shared" ca="1" si="16"/>
        <v>"2084259626" : "bộ",</v>
      </c>
      <c r="H202" s="229" t="str">
        <f t="shared" si="17"/>
        <v>&lt;li class="col-md-3"&gt;&lt;a class="text-cut" href="javascript:;"(click)="categoryEvent(2084259626)"&gt;{{"2084259626" | translate}}&lt;/a&gt;&lt;/li&gt;</v>
      </c>
    </row>
    <row r="203" spans="1:8" ht="14.25" customHeight="1">
      <c r="A203" s="2">
        <v>2084259627</v>
      </c>
      <c r="B203" s="2" t="s">
        <v>7538</v>
      </c>
      <c r="C203" s="2" t="s">
        <v>7540</v>
      </c>
      <c r="D203" s="169" t="str">
        <f t="shared" si="18"/>
        <v>0,25464,2084259623,2084259627</v>
      </c>
      <c r="E203" s="3" t="str">
        <f ca="1">IFERROR(__xludf.DUMMYFUNCTION("GOOGLETRANSLATE(B203,""ja"",""vi"")"),"phần cảnh")</f>
        <v>phần cảnh</v>
      </c>
      <c r="F203" s="3" t="str">
        <f ca="1">IFERROR(__xludf.DUMMYFUNCTION("GOOGLETRANSLATE(C203,""ja"",""vi"")"),"Đấu giá&gt; Đồ chơi, trò chơi&gt; Plarail&gt; phần cảnh")</f>
        <v>Đấu giá&gt; Đồ chơi, trò chơi&gt; Plarail&gt; phần cảnh</v>
      </c>
      <c r="G203" s="229" t="str">
        <f t="shared" ca="1" si="16"/>
        <v>"2084259627" : "phần cảnh",</v>
      </c>
      <c r="H203" s="229" t="str">
        <f t="shared" si="17"/>
        <v>&lt;li class="col-md-3"&gt;&lt;a class="text-cut" href="javascript:;"(click)="categoryEvent(2084259627)"&gt;{{"2084259627" | translate}}&lt;/a&gt;&lt;/li&gt;</v>
      </c>
    </row>
    <row r="204" spans="1:8" ht="14.25" customHeight="1">
      <c r="A204" s="2">
        <v>2084259628</v>
      </c>
      <c r="B204" s="2" t="s">
        <v>7542</v>
      </c>
      <c r="C204" s="2" t="s">
        <v>7543</v>
      </c>
      <c r="D204" s="169" t="str">
        <f t="shared" si="18"/>
        <v>0,25464,2084259623,2084259628</v>
      </c>
      <c r="E204" s="3" t="str">
        <f ca="1">IFERROR(__xludf.DUMMYFUNCTION("GOOGLETRANSLATE(B204,""ja"",""vi"")"),"Capsule Plarail")</f>
        <v>Capsule Plarail</v>
      </c>
      <c r="F204" s="3" t="str">
        <f ca="1">IFERROR(__xludf.DUMMYFUNCTION("GOOGLETRANSLATE(C204,""ja"",""vi"")"),"Đấu giá&gt; Đồ chơi, trò chơi&gt; Plarail&gt; nang Plarail")</f>
        <v>Đấu giá&gt; Đồ chơi, trò chơi&gt; Plarail&gt; nang Plarail</v>
      </c>
      <c r="G204" s="229" t="str">
        <f t="shared" ca="1" si="16"/>
        <v>"2084259628" : "Capsule Plarail",</v>
      </c>
      <c r="H204" s="229" t="str">
        <f t="shared" si="17"/>
        <v>&lt;li class="col-md-3"&gt;&lt;a class="text-cut" href="javascript:;"(click)="categoryEvent(2084259628)"&gt;{{"2084259628" | translate}}&lt;/a&gt;&lt;/li&gt;</v>
      </c>
    </row>
    <row r="205" spans="1:8" ht="14.25" customHeight="1">
      <c r="A205" s="2">
        <v>2084259629</v>
      </c>
      <c r="B205" s="2" t="s">
        <v>16</v>
      </c>
      <c r="C205" s="2" t="s">
        <v>7547</v>
      </c>
      <c r="D205" s="169" t="str">
        <f t="shared" si="18"/>
        <v>0,25464,2084259623,2084259629</v>
      </c>
      <c r="E205" s="3" t="str">
        <f ca="1">IFERROR(__xludf.DUMMYFUNCTION("GOOGLETRANSLATE(B205,""ja"",""vi"")"),"nếu không thì")</f>
        <v>nếu không thì</v>
      </c>
      <c r="F205" s="3" t="str">
        <f ca="1">IFERROR(__xludf.DUMMYFUNCTION("GOOGLETRANSLATE(C205,""ja"",""vi"")"),"Đấu giá&gt; Đồ chơi, trò chơi&gt; Plarail&gt; Khác")</f>
        <v>Đấu giá&gt; Đồ chơi, trò chơi&gt; Plarail&gt; Khác</v>
      </c>
      <c r="G205" s="229" t="str">
        <f t="shared" ca="1" si="16"/>
        <v>"2084259629" : "nếu không thì",</v>
      </c>
      <c r="H205" s="229" t="str">
        <f t="shared" si="17"/>
        <v>&lt;li class="col-md-3"&gt;&lt;a class="text-cut" href="javascript:;"(click)="categoryEvent(2084259629)"&gt;{{"2084259629" | translate}}&lt;/a&gt;&lt;/li&gt;</v>
      </c>
    </row>
    <row r="206" spans="1:8" ht="14.25" customHeight="1">
      <c r="E206" s="3"/>
      <c r="F206" s="3"/>
      <c r="G206" s="229"/>
      <c r="H206" s="229"/>
    </row>
    <row r="207" spans="1:8" ht="14.25" customHeight="1">
      <c r="A207" s="275">
        <v>2084005573</v>
      </c>
      <c r="B207" s="232"/>
      <c r="C207" s="232"/>
      <c r="D207" s="233"/>
      <c r="E207" s="3"/>
      <c r="F207" s="3"/>
      <c r="G207" s="229"/>
      <c r="H207" s="229"/>
    </row>
    <row r="208" spans="1:8" ht="14.25" customHeight="1">
      <c r="A208" s="2">
        <v>2084006414</v>
      </c>
      <c r="B208" s="2" t="s">
        <v>7548</v>
      </c>
      <c r="C208" s="2" t="s">
        <v>7549</v>
      </c>
      <c r="D208" s="169" t="str">
        <f t="shared" ref="D208:D213" si="19">CONCATENATE("0,","24242,20428,2084005573,",A208)</f>
        <v>0,24242,20428,2084005573,2084006414</v>
      </c>
      <c r="E208" s="3" t="str">
        <f ca="1">IFERROR(__xludf.DUMMYFUNCTION("GOOGLETRANSLATE(B208,""ja"",""vi"")"),"súng điện")</f>
        <v>súng điện</v>
      </c>
      <c r="F208" s="3" t="str">
        <f ca="1">IFERROR(__xludf.DUMMYFUNCTION("GOOGLETRANSLATE(C208,""ja"",""vi"")"),"Đấu giá&gt; Sở thích, văn hóa&gt; quân sự&gt; súng đồ chơi&gt; súng điện")</f>
        <v>Đấu giá&gt; Sở thích, văn hóa&gt; quân sự&gt; súng đồ chơi&gt; súng điện</v>
      </c>
      <c r="G208" s="229" t="str">
        <f t="shared" ca="1" si="16"/>
        <v>"2084006414" : "súng điện",</v>
      </c>
      <c r="H208" s="229" t="str">
        <f t="shared" si="17"/>
        <v>&lt;li class="col-md-3"&gt;&lt;a class="text-cut" href="javascript:;"(click)="categoryEvent(2084006414)"&gt;{{"2084006414" | translate}}&lt;/a&gt;&lt;/li&gt;</v>
      </c>
    </row>
    <row r="209" spans="1:8" ht="14.25" customHeight="1">
      <c r="A209" s="2">
        <v>2084006415</v>
      </c>
      <c r="B209" s="2" t="s">
        <v>7550</v>
      </c>
      <c r="C209" s="2" t="s">
        <v>7551</v>
      </c>
      <c r="D209" s="169" t="str">
        <f t="shared" si="19"/>
        <v>0,24242,20428,2084005573,2084006415</v>
      </c>
      <c r="E209" s="3" t="str">
        <f ca="1">IFERROR(__xludf.DUMMYFUNCTION("GOOGLETRANSLATE(B209,""ja"",""vi"")"),"súng gas")</f>
        <v>súng gas</v>
      </c>
      <c r="F209" s="3" t="str">
        <f ca="1">IFERROR(__xludf.DUMMYFUNCTION("GOOGLETRANSLATE(C209,""ja"",""vi"")"),"Đấu giá&gt; Sở thích, văn hóa&gt; quân sự&gt; súng đồ chơi&gt; súng gas")</f>
        <v>Đấu giá&gt; Sở thích, văn hóa&gt; quân sự&gt; súng đồ chơi&gt; súng gas</v>
      </c>
      <c r="G209" s="229" t="str">
        <f t="shared" ca="1" si="16"/>
        <v>"2084006415" : "súng gas",</v>
      </c>
      <c r="H209" s="229" t="str">
        <f t="shared" si="17"/>
        <v>&lt;li class="col-md-3"&gt;&lt;a class="text-cut" href="javascript:;"(click)="categoryEvent(2084006415)"&gt;{{"2084006415" | translate}}&lt;/a&gt;&lt;/li&gt;</v>
      </c>
    </row>
    <row r="210" spans="1:8" ht="14.25" customHeight="1">
      <c r="A210" s="2">
        <v>2084006416</v>
      </c>
      <c r="B210" s="2" t="s">
        <v>7552</v>
      </c>
      <c r="C210" s="2" t="s">
        <v>7553</v>
      </c>
      <c r="D210" s="169" t="str">
        <f t="shared" si="19"/>
        <v>0,24242,20428,2084005573,2084006416</v>
      </c>
      <c r="E210" s="3" t="str">
        <f ca="1">IFERROR(__xludf.DUMMYFUNCTION("GOOGLETRANSLATE(B210,""ja"",""vi"")"),"súng hơi")</f>
        <v>súng hơi</v>
      </c>
      <c r="F210" s="3" t="str">
        <f ca="1">IFERROR(__xludf.DUMMYFUNCTION("GOOGLETRANSLATE(C210,""ja"",""vi"")"),"Đấu giá&gt; Sở thích, văn hóa&gt; quân sự&gt; súng đồ chơi&gt; súng hơi")</f>
        <v>Đấu giá&gt; Sở thích, văn hóa&gt; quân sự&gt; súng đồ chơi&gt; súng hơi</v>
      </c>
      <c r="G210" s="229" t="str">
        <f t="shared" ca="1" si="16"/>
        <v>"2084006416" : "súng hơi",</v>
      </c>
      <c r="H210" s="229" t="str">
        <f t="shared" si="17"/>
        <v>&lt;li class="col-md-3"&gt;&lt;a class="text-cut" href="javascript:;"(click)="categoryEvent(2084006416)"&gt;{{"2084006416" | translate}}&lt;/a&gt;&lt;/li&gt;</v>
      </c>
    </row>
    <row r="211" spans="1:8" ht="14.25" customHeight="1">
      <c r="A211" s="2">
        <v>2084006417</v>
      </c>
      <c r="B211" s="2" t="s">
        <v>3876</v>
      </c>
      <c r="C211" s="2" t="s">
        <v>7555</v>
      </c>
      <c r="D211" s="169" t="str">
        <f t="shared" si="19"/>
        <v>0,24242,20428,2084005573,2084006417</v>
      </c>
      <c r="E211" s="3" t="str">
        <f ca="1">IFERROR(__xludf.DUMMYFUNCTION("GOOGLETRANSLATE(B211,""ja"",""vi"")"),"bộ phận")</f>
        <v>bộ phận</v>
      </c>
      <c r="F211" s="3" t="str">
        <f ca="1">IFERROR(__xludf.DUMMYFUNCTION("GOOGLETRANSLATE(C211,""ja"",""vi"")"),"Đấu giá&gt; Sở thích, văn hóa&gt; quân sự&gt; súng đồ chơi&gt; phụ tùng")</f>
        <v>Đấu giá&gt; Sở thích, văn hóa&gt; quân sự&gt; súng đồ chơi&gt; phụ tùng</v>
      </c>
      <c r="G211" s="229" t="str">
        <f t="shared" ca="1" si="16"/>
        <v>"2084006417" : "bộ phận",</v>
      </c>
      <c r="H211" s="229" t="str">
        <f t="shared" si="17"/>
        <v>&lt;li class="col-md-3"&gt;&lt;a class="text-cut" href="javascript:;"(click)="categoryEvent(2084006417)"&gt;{{"2084006417" | translate}}&lt;/a&gt;&lt;/li&gt;</v>
      </c>
    </row>
    <row r="212" spans="1:8" ht="14.25" customHeight="1">
      <c r="A212" s="2">
        <v>2084006413</v>
      </c>
      <c r="B212" s="2" t="s">
        <v>7556</v>
      </c>
      <c r="C212" s="2" t="s">
        <v>7557</v>
      </c>
      <c r="D212" s="169" t="str">
        <f t="shared" si="19"/>
        <v>0,24242,20428,2084005573,2084006413</v>
      </c>
      <c r="E212" s="3" t="str">
        <f ca="1">IFERROR(__xludf.DUMMYFUNCTION("GOOGLETRANSLATE(B212,""ja"",""vi"")"),"Modelguns")</f>
        <v>Modelguns</v>
      </c>
      <c r="F212" s="3" t="str">
        <f ca="1">IFERROR(__xludf.DUMMYFUNCTION("GOOGLETRANSLATE(C212,""ja"",""vi"")"),"Đấu giá&gt; Sở thích, văn hóa&gt; quân sự&gt; súng đồ chơi&gt; súng mô hình")</f>
        <v>Đấu giá&gt; Sở thích, văn hóa&gt; quân sự&gt; súng đồ chơi&gt; súng mô hình</v>
      </c>
      <c r="G212" s="229" t="str">
        <f t="shared" ca="1" si="16"/>
        <v>"2084006413" : "Modelguns",</v>
      </c>
      <c r="H212" s="229" t="str">
        <f t="shared" si="17"/>
        <v>&lt;li class="col-md-3"&gt;&lt;a class="text-cut" href="javascript:;"(click)="categoryEvent(2084006413)"&gt;{{"2084006413" | translate}}&lt;/a&gt;&lt;/li&gt;</v>
      </c>
    </row>
    <row r="213" spans="1:8" ht="14.25" customHeight="1">
      <c r="A213" s="2">
        <v>2084006412</v>
      </c>
      <c r="B213" s="2" t="s">
        <v>16</v>
      </c>
      <c r="C213" s="2" t="s">
        <v>7563</v>
      </c>
      <c r="D213" s="169" t="str">
        <f t="shared" si="19"/>
        <v>0,24242,20428,2084005573,2084006412</v>
      </c>
      <c r="E213" s="3" t="str">
        <f ca="1">IFERROR(__xludf.DUMMYFUNCTION("GOOGLETRANSLATE(B213,""ja"",""vi"")"),"nếu không thì")</f>
        <v>nếu không thì</v>
      </c>
      <c r="F213" s="3" t="str">
        <f ca="1">IFERROR(__xludf.DUMMYFUNCTION("GOOGLETRANSLATE(C213,""ja"",""vi"")"),"Đấu giá&gt; Sở thích, văn hóa&gt; quân sự&gt; súng đồ chơi&gt; Khác")</f>
        <v>Đấu giá&gt; Sở thích, văn hóa&gt; quân sự&gt; súng đồ chơi&gt; Khác</v>
      </c>
      <c r="G213" s="229" t="str">
        <f t="shared" ca="1" si="16"/>
        <v>"2084006412" : "nếu không thì",</v>
      </c>
      <c r="H213" s="229" t="str">
        <f t="shared" si="17"/>
        <v>&lt;li class="col-md-3"&gt;&lt;a class="text-cut" href="javascript:;"(click)="categoryEvent(2084006412)"&gt;{{"2084006412" | translate}}&lt;/a&gt;&lt;/li&gt;</v>
      </c>
    </row>
    <row r="214" spans="1:8" ht="14.25" customHeight="1">
      <c r="E214" s="3"/>
      <c r="F214" s="3"/>
      <c r="G214" s="229"/>
      <c r="H214" s="229"/>
    </row>
    <row r="215" spans="1:8" ht="14.25" customHeight="1">
      <c r="A215" s="266">
        <v>27673</v>
      </c>
      <c r="B215" s="232"/>
      <c r="C215" s="232"/>
      <c r="D215" s="233"/>
      <c r="E215" s="3"/>
      <c r="F215" s="3"/>
      <c r="G215" s="229"/>
      <c r="H215" s="229"/>
    </row>
    <row r="216" spans="1:8" ht="14.25" customHeight="1">
      <c r="A216" s="2">
        <v>27675</v>
      </c>
      <c r="B216" s="2" t="s">
        <v>6242</v>
      </c>
      <c r="C216" s="2" t="s">
        <v>6243</v>
      </c>
      <c r="D216" s="169" t="str">
        <f t="shared" ref="D216:D221" si="20">CONCATENATE("0,","25464,27673,",A216)</f>
        <v>0,25464,27673,27675</v>
      </c>
      <c r="E216" s="3" t="str">
        <f ca="1">IFERROR(__xludf.DUMMYFUNCTION("GOOGLETRANSLATE(B216,""ja"",""vi"")"),"tinplate")</f>
        <v>tinplate</v>
      </c>
      <c r="F216" s="3" t="str">
        <f ca="1">IFERROR(__xludf.DUMMYFUNCTION("GOOGLETRANSLATE(C216,""ja"",""vi"")"),"Đấu giá&gt; đồ chơi, trò chơi&gt; Vintage&gt; thiếc")</f>
        <v>Đấu giá&gt; đồ chơi, trò chơi&gt; Vintage&gt; thiếc</v>
      </c>
      <c r="G216" s="229" t="str">
        <f t="shared" ca="1" si="16"/>
        <v>"27675" : "tinplate",</v>
      </c>
      <c r="H216" s="229" t="str">
        <f t="shared" si="17"/>
        <v>&lt;li class="col-md-3"&gt;&lt;a class="text-cut" href="javascript:;"(click)="categoryEvent(27675)"&gt;{{"27675" | translate}}&lt;/a&gt;&lt;/li&gt;</v>
      </c>
    </row>
    <row r="217" spans="1:8" ht="14.25" customHeight="1">
      <c r="A217" s="2">
        <v>2084310547</v>
      </c>
      <c r="B217" s="2" t="s">
        <v>6247</v>
      </c>
      <c r="C217" s="2" t="s">
        <v>6248</v>
      </c>
      <c r="D217" s="169" t="str">
        <f t="shared" si="20"/>
        <v>0,25464,27673,2084310547</v>
      </c>
      <c r="E217" s="3" t="str">
        <f ca="1">IFERROR(__xludf.DUMMYFUNCTION("GOOGLETRANSLATE(B217,""ja"",""vi"")"),"mềm Vinyl")</f>
        <v>mềm Vinyl</v>
      </c>
      <c r="F217" s="3" t="str">
        <f ca="1">IFERROR(__xludf.DUMMYFUNCTION("GOOGLETRANSLATE(C217,""ja"",""vi"")"),"Đấu giá&gt; đồ chơi, trò chơi&gt; Vintage&gt; mềm Vinyl")</f>
        <v>Đấu giá&gt; đồ chơi, trò chơi&gt; Vintage&gt; mềm Vinyl</v>
      </c>
      <c r="G217" s="229" t="str">
        <f t="shared" ca="1" si="16"/>
        <v>"2084310547" : "mềm Vinyl",</v>
      </c>
      <c r="H217" s="229" t="str">
        <f t="shared" si="17"/>
        <v>&lt;li class="col-md-3"&gt;&lt;a class="text-cut" href="javascript:;"(click)="categoryEvent(2084310547)"&gt;{{"2084310547" | translate}}&lt;/a&gt;&lt;/li&gt;</v>
      </c>
    </row>
    <row r="218" spans="1:8" ht="14.25" customHeight="1">
      <c r="A218" s="2">
        <v>2084310548</v>
      </c>
      <c r="B218" s="2" t="s">
        <v>6250</v>
      </c>
      <c r="C218" s="2" t="s">
        <v>6252</v>
      </c>
      <c r="D218" s="169" t="str">
        <f t="shared" si="20"/>
        <v>0,25464,27673,2084310548</v>
      </c>
      <c r="E218" s="3" t="str">
        <f ca="1">IFERROR(__xludf.DUMMYFUNCTION("GOOGLETRANSLATE(B218,""ja"",""vi"")"),"Superalloy")</f>
        <v>Superalloy</v>
      </c>
      <c r="F218" s="3" t="str">
        <f ca="1">IFERROR(__xludf.DUMMYFUNCTION("GOOGLETRANSLATE(C218,""ja"",""vi"")"),"Đấu giá&gt; đồ chơi, trò chơi&gt; Vintage&gt; siêu hợp kim")</f>
        <v>Đấu giá&gt; đồ chơi, trò chơi&gt; Vintage&gt; siêu hợp kim</v>
      </c>
      <c r="G218" s="229" t="str">
        <f t="shared" ca="1" si="16"/>
        <v>"2084310548" : "Superalloy",</v>
      </c>
      <c r="H218" s="229" t="str">
        <f t="shared" si="17"/>
        <v>&lt;li class="col-md-3"&gt;&lt;a class="text-cut" href="javascript:;"(click)="categoryEvent(2084310548)"&gt;{{"2084310548" | translate}}&lt;/a&gt;&lt;/li&gt;</v>
      </c>
    </row>
    <row r="219" spans="1:8" ht="14.25" customHeight="1">
      <c r="A219" s="2">
        <v>27683</v>
      </c>
      <c r="B219" s="2" t="s">
        <v>5126</v>
      </c>
      <c r="C219" s="2" t="s">
        <v>6259</v>
      </c>
      <c r="D219" s="169" t="str">
        <f t="shared" si="20"/>
        <v>0,25464,27673,27683</v>
      </c>
      <c r="E219" s="3" t="str">
        <f ca="1">IFERROR(__xludf.DUMMYFUNCTION("GOOGLETRANSLATE(B219,""ja"",""vi"")"),"xe cộ")</f>
        <v>xe cộ</v>
      </c>
      <c r="F219" s="3" t="str">
        <f ca="1">IFERROR(__xludf.DUMMYFUNCTION("GOOGLETRANSLATE(C219,""ja"",""vi"")"),"Đấu giá&gt; đồ chơi, trò chơi&gt; Vintage&gt; Phương tiện đi lại")</f>
        <v>Đấu giá&gt; đồ chơi, trò chơi&gt; Vintage&gt; Phương tiện đi lại</v>
      </c>
      <c r="G219" s="229" t="str">
        <f t="shared" ca="1" si="16"/>
        <v>"27683" : "xe cộ",</v>
      </c>
      <c r="H219" s="229" t="str">
        <f t="shared" si="17"/>
        <v>&lt;li class="col-md-3"&gt;&lt;a class="text-cut" href="javascript:;"(click)="categoryEvent(27683)"&gt;{{"27683" | translate}}&lt;/a&gt;&lt;/li&gt;</v>
      </c>
    </row>
    <row r="220" spans="1:8" ht="14.25" customHeight="1">
      <c r="A220" s="2">
        <v>27695</v>
      </c>
      <c r="B220" s="2" t="s">
        <v>6263</v>
      </c>
      <c r="C220" s="2" t="s">
        <v>6265</v>
      </c>
      <c r="D220" s="169" t="str">
        <f t="shared" si="20"/>
        <v>0,25464,27673,27695</v>
      </c>
      <c r="E220" s="3" t="str">
        <f ca="1">IFERROR(__xludf.DUMMYFUNCTION("GOOGLETRANSLATE(B220,""ja"",""vi"")"),"mánh lới quảng cáo điện")</f>
        <v>mánh lới quảng cáo điện</v>
      </c>
      <c r="F220" s="3" t="str">
        <f ca="1">IFERROR(__xludf.DUMMYFUNCTION("GOOGLETRANSLATE(C220,""ja"",""vi"")"),"Đấu giá&gt; đồ chơi, trò chơi&gt; Vintage&gt; mánh lới quảng cáo điện")</f>
        <v>Đấu giá&gt; đồ chơi, trò chơi&gt; Vintage&gt; mánh lới quảng cáo điện</v>
      </c>
      <c r="G220" s="229" t="str">
        <f t="shared" ca="1" si="16"/>
        <v>"27695" : "mánh lới quảng cáo điện",</v>
      </c>
      <c r="H220" s="229" t="str">
        <f t="shared" si="17"/>
        <v>&lt;li class="col-md-3"&gt;&lt;a class="text-cut" href="javascript:;"(click)="categoryEvent(27695)"&gt;{{"27695" | translate}}&lt;/a&gt;&lt;/li&gt;</v>
      </c>
    </row>
    <row r="221" spans="1:8" ht="14.25" customHeight="1">
      <c r="A221" s="2">
        <v>27717</v>
      </c>
      <c r="B221" s="2" t="s">
        <v>16</v>
      </c>
      <c r="C221" s="2" t="s">
        <v>6269</v>
      </c>
      <c r="D221" s="169" t="str">
        <f t="shared" si="20"/>
        <v>0,25464,27673,27717</v>
      </c>
      <c r="E221" s="3" t="str">
        <f ca="1">IFERROR(__xludf.DUMMYFUNCTION("GOOGLETRANSLATE(B221,""ja"",""vi"")"),"nếu không thì")</f>
        <v>nếu không thì</v>
      </c>
      <c r="F221" s="3" t="str">
        <f ca="1">IFERROR(__xludf.DUMMYFUNCTION("GOOGLETRANSLATE(C221,""ja"",""vi"")"),"Đấu giá&gt; đồ chơi, trò chơi&gt; Vintage&gt; Khác")</f>
        <v>Đấu giá&gt; đồ chơi, trò chơi&gt; Vintage&gt; Khác</v>
      </c>
      <c r="G221" s="229" t="str">
        <f t="shared" ca="1" si="16"/>
        <v>"27717" : "nếu không thì",</v>
      </c>
      <c r="H221" s="229" t="str">
        <f t="shared" si="17"/>
        <v>&lt;li class="col-md-3"&gt;&lt;a class="text-cut" href="javascript:;"(click)="categoryEvent(27717)"&gt;{{"27717" | translate}}&lt;/a&gt;&lt;/li&gt;</v>
      </c>
    </row>
    <row r="222" spans="1:8" ht="14.25" customHeight="1">
      <c r="E222" s="3"/>
      <c r="F222" s="3"/>
      <c r="G222" s="229"/>
      <c r="H222" s="229"/>
    </row>
    <row r="223" spans="1:8" ht="14.25" customHeight="1">
      <c r="A223" s="278">
        <v>2084044370</v>
      </c>
      <c r="B223" s="232"/>
      <c r="C223" s="232"/>
      <c r="D223" s="233"/>
      <c r="E223" s="3"/>
      <c r="F223" s="3"/>
      <c r="G223" s="229"/>
      <c r="H223" s="229"/>
    </row>
    <row r="224" spans="1:8" ht="14.25" customHeight="1">
      <c r="A224" s="2">
        <v>2084060551</v>
      </c>
      <c r="B224" s="2" t="s">
        <v>7603</v>
      </c>
      <c r="C224" s="2" t="s">
        <v>7604</v>
      </c>
      <c r="D224" s="169" t="str">
        <f t="shared" ref="D224:D228" si="21">CONCATENATE("0,","25464,2084044370,",A224)</f>
        <v>0,25464,2084044370,2084060551</v>
      </c>
      <c r="E224" s="3" t="str">
        <f ca="1">IFERROR(__xludf.DUMMYFUNCTION("GOOGLETRANSLATE(B224,""ja"",""vi"")"),"Sentai Dòng")</f>
        <v>Sentai Dòng</v>
      </c>
      <c r="F224" s="3" t="str">
        <f ca="1">IFERROR(__xludf.DUMMYFUNCTION("GOOGLETRANSLATE(C224,""ja"",""vi"")"),"Đấu giá&gt; Đồ chơi, trò chơi&gt; Anh hùng Play, chiến đấu&gt; Sentai Dòng")</f>
        <v>Đấu giá&gt; Đồ chơi, trò chơi&gt; Anh hùng Play, chiến đấu&gt; Sentai Dòng</v>
      </c>
      <c r="G224" s="229" t="str">
        <f t="shared" ca="1" si="16"/>
        <v>"2084060551" : "Sentai Dòng",</v>
      </c>
      <c r="H224" s="229" t="str">
        <f t="shared" si="17"/>
        <v>&lt;li class="col-md-3"&gt;&lt;a class="text-cut" href="javascript:;"(click)="categoryEvent(2084060551)"&gt;{{"2084060551" | translate}}&lt;/a&gt;&lt;/li&gt;</v>
      </c>
    </row>
    <row r="225" spans="1:8" ht="14.25" customHeight="1">
      <c r="A225" s="2">
        <v>2084060550</v>
      </c>
      <c r="B225" s="2" t="s">
        <v>7612</v>
      </c>
      <c r="C225" s="2" t="s">
        <v>7613</v>
      </c>
      <c r="D225" s="169" t="str">
        <f t="shared" si="21"/>
        <v>0,25464,2084044370,2084060550</v>
      </c>
      <c r="E225" s="3" t="str">
        <f ca="1">IFERROR(__xludf.DUMMYFUNCTION("GOOGLETRANSLATE(B225,""ja"",""vi"")"),"masked Rider")</f>
        <v>masked Rider</v>
      </c>
      <c r="F225" s="3" t="str">
        <f ca="1">IFERROR(__xludf.DUMMYFUNCTION("GOOGLETRANSLATE(C225,""ja"",""vi"")"),"Đấu giá&gt; Đồ chơi, trò chơi&gt; Anh hùng Play, chiến đấu&gt; Rider")</f>
        <v>Đấu giá&gt; Đồ chơi, trò chơi&gt; Anh hùng Play, chiến đấu&gt; Rider</v>
      </c>
      <c r="G225" s="229" t="str">
        <f t="shared" ca="1" si="16"/>
        <v>"2084060550" : "masked Rider",</v>
      </c>
      <c r="H225" s="229" t="str">
        <f t="shared" si="17"/>
        <v>&lt;li class="col-md-3"&gt;&lt;a class="text-cut" href="javascript:;"(click)="categoryEvent(2084060550)"&gt;{{"2084060550" | translate}}&lt;/a&gt;&lt;/li&gt;</v>
      </c>
    </row>
    <row r="226" spans="1:8" ht="14.25" customHeight="1">
      <c r="A226" s="2">
        <v>2084060552</v>
      </c>
      <c r="B226" s="2" t="s">
        <v>878</v>
      </c>
      <c r="C226" s="2" t="s">
        <v>7621</v>
      </c>
      <c r="D226" s="169" t="str">
        <f t="shared" si="21"/>
        <v>0,25464,2084044370,2084060552</v>
      </c>
      <c r="E226" s="3" t="str">
        <f ca="1">IFERROR(__xludf.DUMMYFUNCTION("GOOGLETRANSLATE(B226,""ja"",""vi"")"),"Ultraman")</f>
        <v>Ultraman</v>
      </c>
      <c r="F226" s="3" t="str">
        <f ca="1">IFERROR(__xludf.DUMMYFUNCTION("GOOGLETRANSLATE(C226,""ja"",""vi"")"),"Đấu giá&gt; Đồ chơi, trò chơi&gt; Anh hùng Play, chiến đấu&gt; Ultraman")</f>
        <v>Đấu giá&gt; Đồ chơi, trò chơi&gt; Anh hùng Play, chiến đấu&gt; Ultraman</v>
      </c>
      <c r="G226" s="229" t="str">
        <f t="shared" ca="1" si="16"/>
        <v>"2084060552" : "Ultraman",</v>
      </c>
      <c r="H226" s="229" t="str">
        <f t="shared" si="17"/>
        <v>&lt;li class="col-md-3"&gt;&lt;a class="text-cut" href="javascript:;"(click)="categoryEvent(2084060552)"&gt;{{"2084060552" | translate}}&lt;/a&gt;&lt;/li&gt;</v>
      </c>
    </row>
    <row r="227" spans="1:8" ht="14.25" customHeight="1">
      <c r="A227" s="2">
        <v>2084023622</v>
      </c>
      <c r="B227" s="2" t="s">
        <v>357</v>
      </c>
      <c r="C227" s="2" t="s">
        <v>7626</v>
      </c>
      <c r="D227" s="169" t="str">
        <f t="shared" si="21"/>
        <v>0,25464,2084044370,2084023622</v>
      </c>
      <c r="E227" s="3" t="str">
        <f ca="1">IFERROR(__xludf.DUMMYFUNCTION("GOOGLETRANSLATE(B227,""ja"",""vi"")"),"nhân vật")</f>
        <v>nhân vật</v>
      </c>
      <c r="F227" s="3" t="str">
        <f ca="1">IFERROR(__xludf.DUMMYFUNCTION("GOOGLETRANSLATE(C227,""ja"",""vi"")"),"Đấu giá&gt; Đồ chơi, trò chơi&gt; Anh hùng Play, chiến đấu&gt; Hình")</f>
        <v>Đấu giá&gt; Đồ chơi, trò chơi&gt; Anh hùng Play, chiến đấu&gt; Hình</v>
      </c>
      <c r="G227" s="229" t="str">
        <f t="shared" ca="1" si="16"/>
        <v>"2084023622" : "nhân vật",</v>
      </c>
      <c r="H227" s="229" t="str">
        <f t="shared" si="17"/>
        <v>&lt;li class="col-md-3"&gt;&lt;a class="text-cut" href="javascript:;"(click)="categoryEvent(2084023622)"&gt;{{"2084023622" | translate}}&lt;/a&gt;&lt;/li&gt;</v>
      </c>
    </row>
    <row r="228" spans="1:8" ht="14.25" customHeight="1">
      <c r="A228" s="2">
        <v>2084060553</v>
      </c>
      <c r="B228" s="2" t="s">
        <v>16</v>
      </c>
      <c r="C228" s="2" t="s">
        <v>7631</v>
      </c>
      <c r="D228" s="169" t="str">
        <f t="shared" si="21"/>
        <v>0,25464,2084044370,2084060553</v>
      </c>
      <c r="E228" s="3" t="str">
        <f ca="1">IFERROR(__xludf.DUMMYFUNCTION("GOOGLETRANSLATE(B228,""ja"",""vi"")"),"nếu không thì")</f>
        <v>nếu không thì</v>
      </c>
      <c r="F228" s="3" t="str">
        <f ca="1">IFERROR(__xludf.DUMMYFUNCTION("GOOGLETRANSLATE(C228,""ja"",""vi"")"),"Đấu giá&gt; Đồ chơi, trò chơi&gt; Anh hùng Play, chiến đấu&gt; Khác")</f>
        <v>Đấu giá&gt; Đồ chơi, trò chơi&gt; Anh hùng Play, chiến đấu&gt; Khác</v>
      </c>
      <c r="G228" s="229" t="str">
        <f t="shared" ca="1" si="16"/>
        <v>"2084060553" : "nếu không thì",</v>
      </c>
      <c r="H228" s="229" t="str">
        <f t="shared" si="17"/>
        <v>&lt;li class="col-md-3"&gt;&lt;a class="text-cut" href="javascript:;"(click)="categoryEvent(2084060553)"&gt;{{"2084060553" | translate}}&lt;/a&gt;&lt;/li&gt;</v>
      </c>
    </row>
    <row r="229" spans="1:8" ht="14.25" customHeight="1">
      <c r="E229" s="3"/>
      <c r="F229" s="3"/>
      <c r="G229" s="229"/>
      <c r="H229" s="229"/>
    </row>
    <row r="230" spans="1:8" ht="14.25" customHeight="1">
      <c r="A230" s="243">
        <v>2084044371</v>
      </c>
      <c r="B230" s="232"/>
      <c r="C230" s="232"/>
      <c r="D230" s="233"/>
      <c r="E230" s="3"/>
      <c r="F230" s="3"/>
      <c r="G230" s="229"/>
      <c r="H230" s="229"/>
    </row>
    <row r="231" spans="1:8" ht="14.25" customHeight="1">
      <c r="A231" s="2">
        <v>2084245339</v>
      </c>
      <c r="B231" s="2" t="s">
        <v>7244</v>
      </c>
      <c r="C231" s="2" t="s">
        <v>7639</v>
      </c>
      <c r="D231" s="169" t="str">
        <f t="shared" ref="D231:D233" si="22">CONCATENATE("0,","25464,2084044371,",A231)</f>
        <v>0,25464,2084044371,2084245339</v>
      </c>
      <c r="E231" s="3" t="str">
        <f ca="1">IFERROR(__xludf.DUMMYFUNCTION("GOOGLETRANSLATE(B231,""ja"",""vi"")"),"Pretty Cure")</f>
        <v>Pretty Cure</v>
      </c>
      <c r="F231" s="3" t="str">
        <f ca="1">IFERROR(__xludf.DUMMYFUNCTION("GOOGLETRANSLATE(C231,""ja"",""vi"")"),"Đấu giá&gt; đồ chơi, trò chơi&gt; nữ anh hùng, chơi thời trang&gt; Precure")</f>
        <v>Đấu giá&gt; đồ chơi, trò chơi&gt; nữ anh hùng, chơi thời trang&gt; Precure</v>
      </c>
      <c r="G231" s="229" t="str">
        <f t="shared" ca="1" si="16"/>
        <v>"2084245339" : "Pretty Cure",</v>
      </c>
      <c r="H231" s="229" t="str">
        <f t="shared" si="17"/>
        <v>&lt;li class="col-md-3"&gt;&lt;a class="text-cut" href="javascript:;"(click)="categoryEvent(2084245339)"&gt;{{"2084245339" | translate}}&lt;/a&gt;&lt;/li&gt;</v>
      </c>
    </row>
    <row r="232" spans="1:8" ht="14.25" customHeight="1">
      <c r="A232" s="2">
        <v>2084245340</v>
      </c>
      <c r="B232" s="2" t="s">
        <v>7643</v>
      </c>
      <c r="C232" s="2" t="s">
        <v>7644</v>
      </c>
      <c r="D232" s="169" t="str">
        <f t="shared" si="22"/>
        <v>0,25464,2084044371,2084245340</v>
      </c>
      <c r="E232" s="3" t="str">
        <f ca="1">IFERROR(__xludf.DUMMYFUNCTION("GOOGLETRANSLATE(B232,""ja"",""vi"")"),"sailor Moon")</f>
        <v>sailor Moon</v>
      </c>
      <c r="F232" s="3" t="str">
        <f ca="1">IFERROR(__xludf.DUMMYFUNCTION("GOOGLETRANSLATE(C232,""ja"",""vi"")"),"Đấu giá&gt; đồ chơi, trò chơi&gt; nữ anh hùng, chơi thời trang&gt; Sailor Moon")</f>
        <v>Đấu giá&gt; đồ chơi, trò chơi&gt; nữ anh hùng, chơi thời trang&gt; Sailor Moon</v>
      </c>
      <c r="G232" s="229" t="str">
        <f t="shared" ca="1" si="16"/>
        <v>"2084245340" : "sailor Moon",</v>
      </c>
      <c r="H232" s="229" t="str">
        <f t="shared" si="17"/>
        <v>&lt;li class="col-md-3"&gt;&lt;a class="text-cut" href="javascript:;"(click)="categoryEvent(2084245340)"&gt;{{"2084245340" | translate}}&lt;/a&gt;&lt;/li&gt;</v>
      </c>
    </row>
    <row r="233" spans="1:8" ht="14.25" customHeight="1">
      <c r="A233" s="2">
        <v>2084245341</v>
      </c>
      <c r="B233" s="2" t="s">
        <v>16</v>
      </c>
      <c r="C233" s="2" t="s">
        <v>7647</v>
      </c>
      <c r="D233" s="169" t="str">
        <f t="shared" si="22"/>
        <v>0,25464,2084044371,2084245341</v>
      </c>
      <c r="E233" s="3" t="str">
        <f ca="1">IFERROR(__xludf.DUMMYFUNCTION("GOOGLETRANSLATE(B233,""ja"",""vi"")"),"nếu không thì")</f>
        <v>nếu không thì</v>
      </c>
      <c r="F233" s="3" t="str">
        <f ca="1">IFERROR(__xludf.DUMMYFUNCTION("GOOGLETRANSLATE(C233,""ja"",""vi"")"),"Đấu giá&gt; đồ chơi, trò chơi&gt; nữ anh hùng, chơi thời trang&gt; Khác")</f>
        <v>Đấu giá&gt; đồ chơi, trò chơi&gt; nữ anh hùng, chơi thời trang&gt; Khác</v>
      </c>
      <c r="G233" s="229" t="str">
        <f t="shared" ca="1" si="16"/>
        <v>"2084245341" : "nếu không thì",</v>
      </c>
      <c r="H233" s="229" t="str">
        <f t="shared" si="17"/>
        <v>&lt;li class="col-md-3"&gt;&lt;a class="text-cut" href="javascript:;"(click)="categoryEvent(2084245341)"&gt;{{"2084245341" | translate}}&lt;/a&gt;&lt;/li&gt;</v>
      </c>
    </row>
    <row r="234" spans="1:8" ht="14.25" customHeight="1">
      <c r="E234" s="3"/>
      <c r="F234" s="3"/>
      <c r="G234" s="229"/>
      <c r="H234" s="229"/>
    </row>
    <row r="235" spans="1:8" ht="14.25" customHeight="1">
      <c r="A235" s="263">
        <v>25864</v>
      </c>
      <c r="B235" s="232"/>
      <c r="C235" s="232"/>
      <c r="D235" s="233"/>
      <c r="E235" s="3"/>
      <c r="F235" s="3"/>
      <c r="G235" s="229"/>
      <c r="H235" s="229"/>
    </row>
    <row r="236" spans="1:8" ht="14.25" customHeight="1">
      <c r="A236" s="2">
        <v>2084052783</v>
      </c>
      <c r="B236" s="2" t="s">
        <v>7649</v>
      </c>
      <c r="C236" s="2" t="s">
        <v>7650</v>
      </c>
      <c r="D236" s="169" t="str">
        <f t="shared" ref="D236:D248" si="23">CONCATENATE("0,","25464,25864,",A236)</f>
        <v>0,25464,25864,2084052783</v>
      </c>
      <c r="E236" s="3" t="str">
        <f ca="1">IFERROR(__xludf.DUMMYFUNCTION("GOOGLETRANSLATE(B236,""ja"",""vi"")"),"siêu Dollfie")</f>
        <v>siêu Dollfie</v>
      </c>
      <c r="F236" s="3" t="str">
        <f ca="1">IFERROR(__xludf.DUMMYFUNCTION("GOOGLETRANSLATE(C236,""ja"",""vi"")"),"Đấu giá&gt; đồ chơi, trò chơi&gt; búp bê, búp bê nhân vật&gt; Super Dollfie")</f>
        <v>Đấu giá&gt; đồ chơi, trò chơi&gt; búp bê, búp bê nhân vật&gt; Super Dollfie</v>
      </c>
      <c r="G236" s="229" t="str">
        <f t="shared" ca="1" si="16"/>
        <v>"2084052783" : "siêu Dollfie",</v>
      </c>
      <c r="H236" s="229" t="str">
        <f t="shared" si="17"/>
        <v>&lt;li class="col-md-3"&gt;&lt;a class="text-cut" href="javascript:;"(click)="categoryEvent(2084052783)"&gt;{{"2084052783" | translate}}&lt;/a&gt;&lt;/li&gt;</v>
      </c>
    </row>
    <row r="237" spans="1:8" ht="14.25" customHeight="1">
      <c r="A237" s="2">
        <v>2084241345</v>
      </c>
      <c r="B237" s="2" t="s">
        <v>7654</v>
      </c>
      <c r="C237" s="2" t="s">
        <v>7655</v>
      </c>
      <c r="D237" s="169" t="str">
        <f t="shared" si="23"/>
        <v>0,25464,25864,2084241345</v>
      </c>
      <c r="E237" s="3" t="str">
        <f ca="1">IFERROR(__xludf.DUMMYFUNCTION("GOOGLETRANSLATE(B237,""ja"",""vi"")"),"Dollfie Giấc mơ")</f>
        <v>Dollfie Giấc mơ</v>
      </c>
      <c r="F237" s="3" t="str">
        <f ca="1">IFERROR(__xludf.DUMMYFUNCTION("GOOGLETRANSLATE(C237,""ja"",""vi"")"),"Đấu giá&gt; đồ chơi, trò chơi&gt; búp bê, búp bê nhân vật&gt; Dollfie Giấc mơ")</f>
        <v>Đấu giá&gt; đồ chơi, trò chơi&gt; búp bê, búp bê nhân vật&gt; Dollfie Giấc mơ</v>
      </c>
      <c r="G237" s="229" t="str">
        <f t="shared" ca="1" si="16"/>
        <v>"2084241345" : "Dollfie Giấc mơ",</v>
      </c>
      <c r="H237" s="229" t="str">
        <f t="shared" si="17"/>
        <v>&lt;li class="col-md-3"&gt;&lt;a class="text-cut" href="javascript:;"(click)="categoryEvent(2084241345)"&gt;{{"2084241345" | translate}}&lt;/a&gt;&lt;/li&gt;</v>
      </c>
    </row>
    <row r="238" spans="1:8" ht="14.25" customHeight="1">
      <c r="A238" s="2">
        <v>2084052782</v>
      </c>
      <c r="B238" s="2" t="s">
        <v>7003</v>
      </c>
      <c r="C238" s="2" t="s">
        <v>7657</v>
      </c>
      <c r="D238" s="169" t="str">
        <f t="shared" si="23"/>
        <v>0,25464,25864,2084052782</v>
      </c>
      <c r="E238" s="3" t="str">
        <f ca="1">IFERROR(__xludf.DUMMYFUNCTION("GOOGLETRANSLATE(B238,""ja"",""vi"")"),"tùy chỉnh búp bê")</f>
        <v>tùy chỉnh búp bê</v>
      </c>
      <c r="F238" s="3" t="str">
        <f ca="1">IFERROR(__xludf.DUMMYFUNCTION("GOOGLETRANSLATE(C238,""ja"",""vi"")"),"Đấu giá&gt; đồ chơi, trò chơi&gt; búp bê, búp bê nhân vật&gt; búp bê tùy chỉnh")</f>
        <v>Đấu giá&gt; đồ chơi, trò chơi&gt; búp bê, búp bê nhân vật&gt; búp bê tùy chỉnh</v>
      </c>
      <c r="G238" s="229" t="str">
        <f t="shared" ca="1" si="16"/>
        <v>"2084052782" : "tùy chỉnh búp bê",</v>
      </c>
      <c r="H238" s="229" t="str">
        <f t="shared" si="17"/>
        <v>&lt;li class="col-md-3"&gt;&lt;a class="text-cut" href="javascript:;"(click)="categoryEvent(2084052782)"&gt;{{"2084052782" | translate}}&lt;/a&gt;&lt;/li&gt;</v>
      </c>
    </row>
    <row r="239" spans="1:8" ht="14.25" customHeight="1">
      <c r="A239" s="2">
        <v>25870</v>
      </c>
      <c r="B239" s="2" t="s">
        <v>847</v>
      </c>
      <c r="C239" s="2" t="s">
        <v>7659</v>
      </c>
      <c r="D239" s="169" t="str">
        <f t="shared" si="23"/>
        <v>0,25464,25864,25870</v>
      </c>
      <c r="E239" s="3" t="str">
        <f ca="1">IFERROR(__xludf.DUMMYFUNCTION("GOOGLETRANSLATE(B239,""ja"",""vi"")"),"nhân vật búp bê")</f>
        <v>nhân vật búp bê</v>
      </c>
      <c r="F239" s="3" t="str">
        <f ca="1">IFERROR(__xludf.DUMMYFUNCTION("GOOGLETRANSLATE(C239,""ja"",""vi"")"),"Đấu giá&gt; đồ chơi, trò chơi&gt; búp bê, búp bê nhân vật&gt; nhân vật búp bê")</f>
        <v>Đấu giá&gt; đồ chơi, trò chơi&gt; búp bê, búp bê nhân vật&gt; nhân vật búp bê</v>
      </c>
      <c r="G239" s="229" t="str">
        <f t="shared" ca="1" si="16"/>
        <v>"25870" : "nhân vật búp bê",</v>
      </c>
      <c r="H239" s="229" t="str">
        <f t="shared" si="17"/>
        <v>&lt;li class="col-md-3"&gt;&lt;a class="text-cut" href="javascript:;"(click)="categoryEvent(25870)"&gt;{{"25870" | translate}}&lt;/a&gt;&lt;/li&gt;</v>
      </c>
    </row>
    <row r="240" spans="1:8" ht="14.25" customHeight="1">
      <c r="A240" s="2">
        <v>2084020000</v>
      </c>
      <c r="B240" s="2" t="s">
        <v>7665</v>
      </c>
      <c r="C240" s="2" t="s">
        <v>7666</v>
      </c>
      <c r="D240" s="169" t="str">
        <f t="shared" si="23"/>
        <v>0,25464,25864,2084020000</v>
      </c>
      <c r="E240" s="3" t="str">
        <f ca="1">IFERROR(__xludf.DUMMYFUNCTION("GOOGLETRANSLATE(B240,""ja"",""vi"")"),"Kisekae búp bê")</f>
        <v>Kisekae búp bê</v>
      </c>
      <c r="F240" s="3" t="str">
        <f ca="1">IFERROR(__xludf.DUMMYFUNCTION("GOOGLETRANSLATE(C240,""ja"",""vi"")"),"Đấu giá&gt; đồ chơi, trò chơi&gt; búp bê, búp bê nhân vật&gt; Kisekae búp bê")</f>
        <v>Đấu giá&gt; đồ chơi, trò chơi&gt; búp bê, búp bê nhân vật&gt; Kisekae búp bê</v>
      </c>
      <c r="G240" s="229" t="str">
        <f t="shared" ca="1" si="16"/>
        <v>"2084020000" : "Kisekae búp bê",</v>
      </c>
      <c r="H240" s="229" t="str">
        <f t="shared" si="17"/>
        <v>&lt;li class="col-md-3"&gt;&lt;a class="text-cut" href="javascript:;"(click)="categoryEvent(2084020000)"&gt;{{"2084020000" | translate}}&lt;/a&gt;&lt;/li&gt;</v>
      </c>
    </row>
    <row r="241" spans="1:8" ht="14.25" customHeight="1">
      <c r="A241" s="2">
        <v>2084020063</v>
      </c>
      <c r="B241" s="2" t="s">
        <v>7668</v>
      </c>
      <c r="C241" s="2" t="s">
        <v>7669</v>
      </c>
      <c r="D241" s="169" t="str">
        <f t="shared" si="23"/>
        <v>0,25464,25864,2084020063</v>
      </c>
      <c r="E241" s="3" t="str">
        <f ca="1">IFERROR(__xludf.DUMMYFUNCTION("GOOGLETRANSLATE(B241,""ja"",""vi"")"),"Nhật Bản búp bê")</f>
        <v>Nhật Bản búp bê</v>
      </c>
      <c r="F241" s="3" t="str">
        <f ca="1">IFERROR(__xludf.DUMMYFUNCTION("GOOGLETRANSLATE(C241,""ja"",""vi"")"),"Đấu giá&gt; đồ chơi, trò chơi&gt; búp bê, búp bê nhân vật&gt; búp bê Nhật Bản")</f>
        <v>Đấu giá&gt; đồ chơi, trò chơi&gt; búp bê, búp bê nhân vật&gt; búp bê Nhật Bản</v>
      </c>
      <c r="G241" s="229" t="str">
        <f t="shared" ca="1" si="16"/>
        <v>"2084020063" : "Nhật Bản búp bê",</v>
      </c>
      <c r="H241" s="229" t="str">
        <f t="shared" si="17"/>
        <v>&lt;li class="col-md-3"&gt;&lt;a class="text-cut" href="javascript:;"(click)="categoryEvent(2084020063)"&gt;{{"2084020063" | translate}}&lt;/a&gt;&lt;/li&gt;</v>
      </c>
    </row>
    <row r="242" spans="1:8" ht="14.25" customHeight="1">
      <c r="A242" s="2">
        <v>2084023608</v>
      </c>
      <c r="B242" s="2" t="s">
        <v>7671</v>
      </c>
      <c r="C242" s="2" t="s">
        <v>7673</v>
      </c>
      <c r="D242" s="169" t="str">
        <f t="shared" si="23"/>
        <v>0,25464,25864,2084023608</v>
      </c>
      <c r="E242" s="3" t="str">
        <f ca="1">IFERROR(__xludf.DUMMYFUNCTION("GOOGLETRANSLATE(B242,""ja"",""vi"")"),"đồ sứ nung Doll")</f>
        <v>đồ sứ nung Doll</v>
      </c>
      <c r="F242" s="3" t="str">
        <f ca="1">IFERROR(__xludf.DUMMYFUNCTION("GOOGLETRANSLATE(C242,""ja"",""vi"")"),"Đấu giá&gt; đồ chơi, trò chơi&gt; búp bê, búp bê nhân vật&gt; đồ sứ nung búp bê")</f>
        <v>Đấu giá&gt; đồ chơi, trò chơi&gt; búp bê, búp bê nhân vật&gt; đồ sứ nung búp bê</v>
      </c>
      <c r="G242" s="229" t="str">
        <f t="shared" ca="1" si="16"/>
        <v>"2084023608" : "đồ sứ nung Doll",</v>
      </c>
      <c r="H242" s="229" t="str">
        <f t="shared" si="17"/>
        <v>&lt;li class="col-md-3"&gt;&lt;a class="text-cut" href="javascript:;"(click)="categoryEvent(2084023608)"&gt;{{"2084023608" | translate}}&lt;/a&gt;&lt;/li&gt;</v>
      </c>
    </row>
    <row r="243" spans="1:8" ht="14.25" customHeight="1">
      <c r="A243" s="2">
        <v>25902</v>
      </c>
      <c r="B243" s="2" t="s">
        <v>7674</v>
      </c>
      <c r="C243" s="2" t="s">
        <v>7676</v>
      </c>
      <c r="D243" s="169" t="str">
        <f t="shared" si="23"/>
        <v>0,25464,25864,25902</v>
      </c>
      <c r="E243" s="3" t="str">
        <f ca="1">IFERROR(__xludf.DUMMYFUNCTION("GOOGLETRANSLATE(B243,""ja"",""vi"")"),"nhà búp bê")</f>
        <v>nhà búp bê</v>
      </c>
      <c r="F243" s="3" t="str">
        <f ca="1">IFERROR(__xludf.DUMMYFUNCTION("GOOGLETRANSLATE(C243,""ja"",""vi"")"),"Đấu giá&gt; đồ chơi, trò chơi&gt; búp bê, búp bê nhân vật&gt; búp bê nhà")</f>
        <v>Đấu giá&gt; đồ chơi, trò chơi&gt; búp bê, búp bê nhân vật&gt; búp bê nhà</v>
      </c>
      <c r="G243" s="229" t="str">
        <f t="shared" ca="1" si="16"/>
        <v>"25902" : "nhà búp bê",</v>
      </c>
      <c r="H243" s="229" t="str">
        <f t="shared" si="17"/>
        <v>&lt;li class="col-md-3"&gt;&lt;a class="text-cut" href="javascript:;"(click)="categoryEvent(25902)"&gt;{{"25902" | translate}}&lt;/a&gt;&lt;/li&gt;</v>
      </c>
    </row>
    <row r="244" spans="1:8" ht="14.25" customHeight="1">
      <c r="A244" s="2">
        <v>2084020014</v>
      </c>
      <c r="B244" s="2" t="s">
        <v>7678</v>
      </c>
      <c r="C244" s="2" t="s">
        <v>7679</v>
      </c>
      <c r="D244" s="169" t="str">
        <f t="shared" si="23"/>
        <v>0,25464,25864,2084020014</v>
      </c>
      <c r="E244" s="3" t="str">
        <f ca="1">IFERROR(__xludf.DUMMYFUNCTION("GOOGLETRANSLATE(B244,""ja"",""vi"")"),"Dakiningyo, búp bê baby")</f>
        <v>Dakiningyo, búp bê baby</v>
      </c>
      <c r="F244" s="3" t="str">
        <f ca="1">IFERROR(__xludf.DUMMYFUNCTION("GOOGLETRANSLATE(C244,""ja"",""vi"")"),"Đấu giá&gt; đồ chơi, trò chơi&gt; búp bê, búp bê nhân vật&gt; Dakiningyo, búp bê baby")</f>
        <v>Đấu giá&gt; đồ chơi, trò chơi&gt; búp bê, búp bê nhân vật&gt; Dakiningyo, búp bê baby</v>
      </c>
      <c r="G244" s="229" t="str">
        <f t="shared" ca="1" si="16"/>
        <v>"2084020014" : "Dakiningyo, búp bê baby",</v>
      </c>
      <c r="H244" s="229" t="str">
        <f t="shared" si="17"/>
        <v>&lt;li class="col-md-3"&gt;&lt;a class="text-cut" href="javascript:;"(click)="categoryEvent(2084020014)"&gt;{{"2084020014" | translate}}&lt;/a&gt;&lt;/li&gt;</v>
      </c>
    </row>
    <row r="245" spans="1:8" ht="14.25" customHeight="1">
      <c r="A245" s="2">
        <v>25868</v>
      </c>
      <c r="B245" s="2" t="s">
        <v>7681</v>
      </c>
      <c r="C245" s="2" t="s">
        <v>7682</v>
      </c>
      <c r="D245" s="169" t="str">
        <f t="shared" si="23"/>
        <v>0,25464,25864,25868</v>
      </c>
      <c r="E245" s="3" t="str">
        <f ca="1">IFERROR(__xludf.DUMMYFUNCTION("GOOGLETRANSLATE(B245,""ja"",""vi"")"),"búp bê làm bằng tay")</f>
        <v>búp bê làm bằng tay</v>
      </c>
      <c r="F245" s="3" t="str">
        <f ca="1">IFERROR(__xludf.DUMMYFUNCTION("GOOGLETRANSLATE(C245,""ja"",""vi"")"),"Đấu giá&gt; đồ chơi, trò chơi&gt; búp bê, búp bê nhân vật&gt; handmade búp bê")</f>
        <v>Đấu giá&gt; đồ chơi, trò chơi&gt; búp bê, búp bê nhân vật&gt; handmade búp bê</v>
      </c>
      <c r="G245" s="229" t="str">
        <f t="shared" ca="1" si="16"/>
        <v>"25868" : "búp bê làm bằng tay",</v>
      </c>
      <c r="H245" s="229" t="str">
        <f t="shared" si="17"/>
        <v>&lt;li class="col-md-3"&gt;&lt;a class="text-cut" href="javascript:;"(click)="categoryEvent(25868)"&gt;{{"25868" | translate}}&lt;/a&gt;&lt;/li&gt;</v>
      </c>
    </row>
    <row r="246" spans="1:8" ht="14.25" customHeight="1">
      <c r="A246" s="2">
        <v>40494</v>
      </c>
      <c r="B246" s="2" t="s">
        <v>5949</v>
      </c>
      <c r="C246" s="2" t="s">
        <v>7684</v>
      </c>
      <c r="D246" s="169" t="str">
        <f t="shared" si="23"/>
        <v>0,25464,25864,40494</v>
      </c>
      <c r="E246" s="3" t="str">
        <f ca="1">IFERROR(__xludf.DUMMYFUNCTION("GOOGLETRANSLATE(B246,""ja"",""vi"")"),"Thú nhồi bông")</f>
        <v>Thú nhồi bông</v>
      </c>
      <c r="F246" s="3" t="str">
        <f ca="1">IFERROR(__xludf.DUMMYFUNCTION("GOOGLETRANSLATE(C246,""ja"",""vi"")"),"Đấu giá&gt; đồ chơi, trò chơi&gt; búp bê, búp bê nhân vật&gt; đồ chơi nhồi bông")</f>
        <v>Đấu giá&gt; đồ chơi, trò chơi&gt; búp bê, búp bê nhân vật&gt; đồ chơi nhồi bông</v>
      </c>
      <c r="G246" s="229" t="str">
        <f t="shared" ca="1" si="16"/>
        <v>"40494" : "Thú nhồi bông",</v>
      </c>
      <c r="H246" s="229" t="str">
        <f t="shared" si="17"/>
        <v>&lt;li class="col-md-3"&gt;&lt;a class="text-cut" href="javascript:;"(click)="categoryEvent(40494)"&gt;{{"40494" | translate}}&lt;/a&gt;&lt;/li&gt;</v>
      </c>
    </row>
    <row r="247" spans="1:8" ht="14.25" customHeight="1">
      <c r="A247" s="2">
        <v>25888</v>
      </c>
      <c r="B247" s="2" t="s">
        <v>357</v>
      </c>
      <c r="C247" s="2" t="s">
        <v>7686</v>
      </c>
      <c r="D247" s="169" t="str">
        <f t="shared" si="23"/>
        <v>0,25464,25864,25888</v>
      </c>
      <c r="E247" s="3" t="str">
        <f ca="1">IFERROR(__xludf.DUMMYFUNCTION("GOOGLETRANSLATE(B247,""ja"",""vi"")"),"nhân vật")</f>
        <v>nhân vật</v>
      </c>
      <c r="F247" s="3" t="str">
        <f ca="1">IFERROR(__xludf.DUMMYFUNCTION("GOOGLETRANSLATE(C247,""ja"",""vi"")"),"Đấu giá&gt; đồ chơi, trò chơi&gt; búp bê, búp bê nhân vật&gt; Hình")</f>
        <v>Đấu giá&gt; đồ chơi, trò chơi&gt; búp bê, búp bê nhân vật&gt; Hình</v>
      </c>
      <c r="G247" s="229" t="str">
        <f t="shared" ca="1" si="16"/>
        <v>"25888" : "nhân vật",</v>
      </c>
      <c r="H247" s="229" t="str">
        <f t="shared" si="17"/>
        <v>&lt;li class="col-md-3"&gt;&lt;a class="text-cut" href="javascript:;"(click)="categoryEvent(25888)"&gt;{{"25888" | translate}}&lt;/a&gt;&lt;/li&gt;</v>
      </c>
    </row>
    <row r="248" spans="1:8" ht="14.25" customHeight="1">
      <c r="A248" s="2">
        <v>2084020321</v>
      </c>
      <c r="B248" s="2" t="s">
        <v>16</v>
      </c>
      <c r="C248" s="2" t="s">
        <v>7688</v>
      </c>
      <c r="D248" s="169" t="str">
        <f t="shared" si="23"/>
        <v>0,25464,25864,2084020321</v>
      </c>
      <c r="E248" s="3" t="str">
        <f ca="1">IFERROR(__xludf.DUMMYFUNCTION("GOOGLETRANSLATE(B248,""ja"",""vi"")"),"nếu không thì")</f>
        <v>nếu không thì</v>
      </c>
      <c r="F248" s="3" t="str">
        <f ca="1">IFERROR(__xludf.DUMMYFUNCTION("GOOGLETRANSLATE(C248,""ja"",""vi"")"),"Đấu giá&gt; đồ chơi, trò chơi&gt; búp bê, búp bê nhân vật&gt; Khác")</f>
        <v>Đấu giá&gt; đồ chơi, trò chơi&gt; búp bê, búp bê nhân vật&gt; Khác</v>
      </c>
      <c r="G248" s="229" t="str">
        <f t="shared" ca="1" si="16"/>
        <v>"2084020321" : "nếu không thì",</v>
      </c>
      <c r="H248" s="229" t="str">
        <f t="shared" si="17"/>
        <v>&lt;li class="col-md-3"&gt;&lt;a class="text-cut" href="javascript:;"(click)="categoryEvent(2084020321)"&gt;{{"2084020321" | translate}}&lt;/a&gt;&lt;/li&gt;</v>
      </c>
    </row>
    <row r="249" spans="1:8" ht="14.25" customHeight="1">
      <c r="E249" s="3"/>
      <c r="F249" s="3"/>
      <c r="G249" s="229"/>
      <c r="H249" s="229"/>
    </row>
    <row r="250" spans="1:8" ht="14.25" customHeight="1">
      <c r="A250" s="245">
        <v>40494</v>
      </c>
      <c r="B250" s="232"/>
      <c r="C250" s="232"/>
      <c r="D250" s="233"/>
      <c r="E250" s="3"/>
      <c r="F250" s="3"/>
      <c r="G250" s="229"/>
      <c r="H250" s="229"/>
    </row>
    <row r="251" spans="1:8" ht="14.25" customHeight="1">
      <c r="A251" s="2">
        <v>2084020100</v>
      </c>
      <c r="B251" s="2" t="s">
        <v>5688</v>
      </c>
      <c r="C251" s="2" t="s">
        <v>7689</v>
      </c>
      <c r="D251" s="169" t="str">
        <f t="shared" ref="D251:D256" si="24">CONCATENATE("0,","25464,404944,",A251)</f>
        <v>0,25464,404944,2084020100</v>
      </c>
      <c r="E251" s="3" t="str">
        <f ca="1">IFERROR(__xludf.DUMMYFUNCTION("GOOGLETRANSLATE(B251,""ja"",""vi"")"),"nhân vật")</f>
        <v>nhân vật</v>
      </c>
      <c r="F251" s="3" t="str">
        <f ca="1">IFERROR(__xludf.DUMMYFUNCTION("GOOGLETRANSLATE(C251,""ja"",""vi"")"),"Đấu giá&gt; Đồ chơi, trò chơi&gt; thú nhồi bông&gt; Nhân vật")</f>
        <v>Đấu giá&gt; Đồ chơi, trò chơi&gt; thú nhồi bông&gt; Nhân vật</v>
      </c>
      <c r="G251" s="229" t="str">
        <f t="shared" ca="1" si="16"/>
        <v>"2084020100" : "nhân vật",</v>
      </c>
      <c r="H251" s="229" t="str">
        <f t="shared" si="17"/>
        <v>&lt;li class="col-md-3"&gt;&lt;a class="text-cut" href="javascript:;"(click)="categoryEvent(2084020100)"&gt;{{"2084020100" | translate}}&lt;/a&gt;&lt;/li&gt;</v>
      </c>
    </row>
    <row r="252" spans="1:8" ht="14.25" customHeight="1">
      <c r="A252" s="2">
        <v>40509</v>
      </c>
      <c r="B252" s="2" t="s">
        <v>6357</v>
      </c>
      <c r="C252" s="2" t="s">
        <v>7692</v>
      </c>
      <c r="D252" s="169" t="str">
        <f t="shared" si="24"/>
        <v>0,25464,404944,40509</v>
      </c>
      <c r="E252" s="3" t="str">
        <f ca="1">IFERROR(__xludf.DUMMYFUNCTION("GOOGLETRANSLATE(B252,""ja"",""vi"")"),"động vật")</f>
        <v>động vật</v>
      </c>
      <c r="F252" s="3" t="str">
        <f ca="1">IFERROR(__xludf.DUMMYFUNCTION("GOOGLETRANSLATE(C252,""ja"",""vi"")"),"Đấu giá&gt; Đồ chơi, trò chơi&gt; thú nhồi bông&gt; động vật")</f>
        <v>Đấu giá&gt; Đồ chơi, trò chơi&gt; thú nhồi bông&gt; động vật</v>
      </c>
      <c r="G252" s="229" t="str">
        <f t="shared" ca="1" si="16"/>
        <v>"40509" : "động vật",</v>
      </c>
      <c r="H252" s="229" t="str">
        <f t="shared" si="17"/>
        <v>&lt;li class="col-md-3"&gt;&lt;a class="text-cut" href="javascript:;"(click)="categoryEvent(40509)"&gt;{{"40509" | translate}}&lt;/a&gt;&lt;/li&gt;</v>
      </c>
    </row>
    <row r="253" spans="1:8" ht="14.25" customHeight="1">
      <c r="A253" s="2">
        <v>25812</v>
      </c>
      <c r="B253" s="2" t="s">
        <v>7695</v>
      </c>
      <c r="C253" s="2" t="s">
        <v>7696</v>
      </c>
      <c r="D253" s="169" t="str">
        <f t="shared" si="24"/>
        <v>0,25464,404944,25812</v>
      </c>
      <c r="E253" s="3" t="str">
        <f ca="1">IFERROR(__xludf.DUMMYFUNCTION("GOOGLETRANSLATE(B253,""ja"",""vi"")"),"gấu bông")</f>
        <v>gấu bông</v>
      </c>
      <c r="F253" s="3" t="str">
        <f ca="1">IFERROR(__xludf.DUMMYFUNCTION("GOOGLETRANSLATE(C253,""ja"",""vi"")"),"Đấu giá&gt; Đồ chơi, trò chơi&gt; đồ chơi nhồi&gt; gấu bông")</f>
        <v>Đấu giá&gt; Đồ chơi, trò chơi&gt; đồ chơi nhồi&gt; gấu bông</v>
      </c>
      <c r="G253" s="229" t="str">
        <f t="shared" ca="1" si="16"/>
        <v>"25812" : "gấu bông",</v>
      </c>
      <c r="H253" s="229" t="str">
        <f t="shared" si="17"/>
        <v>&lt;li class="col-md-3"&gt;&lt;a class="text-cut" href="javascript:;"(click)="categoryEvent(25812)"&gt;{{"25812" | translate}}&lt;/a&gt;&lt;/li&gt;</v>
      </c>
    </row>
    <row r="254" spans="1:8" ht="14.25" customHeight="1">
      <c r="A254" s="2">
        <v>2084039599</v>
      </c>
      <c r="B254" s="2" t="s">
        <v>7699</v>
      </c>
      <c r="C254" s="2" t="s">
        <v>7700</v>
      </c>
      <c r="D254" s="169" t="str">
        <f t="shared" si="24"/>
        <v>0,25464,404944,2084039599</v>
      </c>
      <c r="E254" s="3" t="str">
        <f ca="1">IFERROR(__xludf.DUMMYFUNCTION("GOOGLETRANSLATE(B254,""ja"",""vi"")"),"dệt kim")</f>
        <v>dệt kim</v>
      </c>
      <c r="F254" s="3" t="str">
        <f ca="1">IFERROR(__xludf.DUMMYFUNCTION("GOOGLETRANSLATE(C254,""ja"",""vi"")"),"Đấu giá&gt; Đồ chơi, trò chơi&gt; thú nhồi bông&gt; dệt kim")</f>
        <v>Đấu giá&gt; Đồ chơi, trò chơi&gt; thú nhồi bông&gt; dệt kim</v>
      </c>
      <c r="G254" s="229" t="str">
        <f t="shared" ca="1" si="16"/>
        <v>"2084039599" : "dệt kim",</v>
      </c>
      <c r="H254" s="229" t="str">
        <f t="shared" si="17"/>
        <v>&lt;li class="col-md-3"&gt;&lt;a class="text-cut" href="javascript:;"(click)="categoryEvent(2084039599)"&gt;{{"2084039599" | translate}}&lt;/a&gt;&lt;/li&gt;</v>
      </c>
    </row>
    <row r="255" spans="1:8" ht="14.25" customHeight="1">
      <c r="A255" s="2">
        <v>2084310501</v>
      </c>
      <c r="B255" s="2" t="s">
        <v>7703</v>
      </c>
      <c r="C255" s="2" t="s">
        <v>7704</v>
      </c>
      <c r="D255" s="169" t="str">
        <f t="shared" si="24"/>
        <v>0,25464,404944,2084310501</v>
      </c>
      <c r="E255" s="3" t="str">
        <f ca="1">IFERROR(__xludf.DUMMYFUNCTION("GOOGLETRANSLATE(B255,""ja"",""vi"")"),"len dạ")</f>
        <v>len dạ</v>
      </c>
      <c r="F255" s="3" t="str">
        <f ca="1">IFERROR(__xludf.DUMMYFUNCTION("GOOGLETRANSLATE(C255,""ja"",""vi"")"),"Đấu giá&gt; Đồ chơi, trò chơi&gt; thú nhồi bông&gt; nỉ len")</f>
        <v>Đấu giá&gt; Đồ chơi, trò chơi&gt; thú nhồi bông&gt; nỉ len</v>
      </c>
      <c r="G255" s="229" t="str">
        <f t="shared" ca="1" si="16"/>
        <v>"2084310501" : "len dạ",</v>
      </c>
      <c r="H255" s="229" t="str">
        <f t="shared" si="17"/>
        <v>&lt;li class="col-md-3"&gt;&lt;a class="text-cut" href="javascript:;"(click)="categoryEvent(2084310501)"&gt;{{"2084310501" | translate}}&lt;/a&gt;&lt;/li&gt;</v>
      </c>
    </row>
    <row r="256" spans="1:8" ht="14.25" customHeight="1">
      <c r="A256" s="2">
        <v>2084310651</v>
      </c>
      <c r="B256" s="2" t="s">
        <v>7707</v>
      </c>
      <c r="C256" s="2" t="s">
        <v>7708</v>
      </c>
      <c r="D256" s="169" t="str">
        <f t="shared" si="24"/>
        <v>0,25464,404944,2084310651</v>
      </c>
      <c r="E256" s="3" t="str">
        <f ca="1">IFERROR(__xludf.DUMMYFUNCTION("GOOGLETRANSLATE(B256,""ja"",""vi"")"),"ty Binizu")</f>
        <v>ty Binizu</v>
      </c>
      <c r="F256" s="3" t="str">
        <f ca="1">IFERROR(__xludf.DUMMYFUNCTION("GOOGLETRANSLATE(C256,""ja"",""vi"")"),"Đấu giá&gt; Đồ chơi, trò chơi&gt; động vật nhồi&gt; Ty Binizu")</f>
        <v>Đấu giá&gt; Đồ chơi, trò chơi&gt; động vật nhồi&gt; Ty Binizu</v>
      </c>
      <c r="G256" s="229" t="str">
        <f t="shared" ca="1" si="16"/>
        <v>"2084310651" : "ty Binizu",</v>
      </c>
      <c r="H256" s="229" t="str">
        <f t="shared" si="17"/>
        <v>&lt;li class="col-md-3"&gt;&lt;a class="text-cut" href="javascript:;"(click)="categoryEvent(2084310651)"&gt;{{"2084310651" | translate}}&lt;/a&gt;&lt;/li&gt;</v>
      </c>
    </row>
    <row r="257" spans="1:8" ht="14.25" customHeight="1">
      <c r="E257" s="3"/>
      <c r="F257" s="3"/>
      <c r="G257" s="229"/>
      <c r="H257" s="229"/>
    </row>
    <row r="258" spans="1:8" ht="14.25" customHeight="1">
      <c r="A258" s="244">
        <v>2084024235</v>
      </c>
      <c r="B258" s="232"/>
      <c r="C258" s="232"/>
      <c r="D258" s="233"/>
      <c r="E258" s="3"/>
      <c r="F258" s="3"/>
      <c r="G258" s="229"/>
      <c r="H258" s="229"/>
    </row>
    <row r="259" spans="1:8" ht="14.25" customHeight="1">
      <c r="A259" s="2">
        <v>2084060603</v>
      </c>
      <c r="B259" s="2" t="s">
        <v>2678</v>
      </c>
      <c r="C259" s="2" t="s">
        <v>7713</v>
      </c>
      <c r="D259" s="169" t="str">
        <f t="shared" ref="D259:D261" si="25">CONCATENATE("0,","25464,2084024235,",A259)</f>
        <v>0,25464,2084024235,2084060603</v>
      </c>
      <c r="E259" s="3" t="str">
        <f ca="1">IFERROR(__xludf.DUMMYFUNCTION("GOOGLETRANSLATE(B259,""ja"",""vi"")"),"Máy móc gia dụng nhà bếp")</f>
        <v>Máy móc gia dụng nhà bếp</v>
      </c>
      <c r="F259" s="3" t="str">
        <f ca="1">IFERROR(__xludf.DUMMYFUNCTION("GOOGLETRANSLATE(C259,""ja"",""vi"")"),"Đấu giá&gt; đồ chơi, trò chơi&gt; chơi nhà&gt; nguồn cung cấp bếp")</f>
        <v>Đấu giá&gt; đồ chơi, trò chơi&gt; chơi nhà&gt; nguồn cung cấp bếp</v>
      </c>
      <c r="G259" s="229" t="str">
        <f t="shared" ref="G259:G322" ca="1" si="26">CONCATENATE(CHAR(34)&amp;"",A259,""&amp;CHAR(34)," : ", CHAR(34)&amp;"",E259,""&amp;CHAR(34),",")</f>
        <v>"2084060603" : "Máy móc gia dụng nhà bếp",</v>
      </c>
      <c r="H259" s="229" t="str">
        <f t="shared" ref="H259:H322" si="27">CONCATENATE("&lt;li class=",CHAR(34)&amp;"","col-md-3",""&amp;CHAR(34),"&gt;","&lt;a class=",CHAR(34)&amp;"","text-cut",""&amp;CHAR(34)," href=",CHAR(34)&amp;"","javascript:;",""&amp;CHAR(34), "(click)=",CHAR(34)&amp;"","categoryEvent(",A259,")",""&amp;CHAR(34),"&gt;{{",CHAR(34)&amp;"",A259,""&amp;CHAR(34)," | translate}}&lt;/a&gt;&lt;/li&gt;")</f>
        <v>&lt;li class="col-md-3"&gt;&lt;a class="text-cut" href="javascript:;"(click)="categoryEvent(2084060603)"&gt;{{"2084060603" | translate}}&lt;/a&gt;&lt;/li&gt;</v>
      </c>
    </row>
    <row r="260" spans="1:8" ht="14.25" customHeight="1">
      <c r="A260" s="2">
        <v>2084060602</v>
      </c>
      <c r="B260" s="2" t="s">
        <v>7717</v>
      </c>
      <c r="C260" s="2" t="s">
        <v>7718</v>
      </c>
      <c r="D260" s="169" t="str">
        <f t="shared" si="25"/>
        <v>0,25464,2084024235,2084060602</v>
      </c>
      <c r="E260" s="3" t="str">
        <f ca="1">IFERROR(__xludf.DUMMYFUNCTION("GOOGLETRANSLATE(B260,""ja"",""vi"")"),"thức ăn")</f>
        <v>thức ăn</v>
      </c>
      <c r="F260" s="3" t="str">
        <f ca="1">IFERROR(__xludf.DUMMYFUNCTION("GOOGLETRANSLATE(C260,""ja"",""vi"")"),"Đấu giá&gt; đồ chơi, trò chơi&gt; chơi nhà&gt; thực phẩm")</f>
        <v>Đấu giá&gt; đồ chơi, trò chơi&gt; chơi nhà&gt; thực phẩm</v>
      </c>
      <c r="G260" s="229" t="str">
        <f t="shared" ca="1" si="26"/>
        <v>"2084060602" : "thức ăn",</v>
      </c>
      <c r="H260" s="229" t="str">
        <f t="shared" si="27"/>
        <v>&lt;li class="col-md-3"&gt;&lt;a class="text-cut" href="javascript:;"(click)="categoryEvent(2084060602)"&gt;{{"2084060602" | translate}}&lt;/a&gt;&lt;/li&gt;</v>
      </c>
    </row>
    <row r="261" spans="1:8" ht="14.25" customHeight="1">
      <c r="A261" s="2">
        <v>2084060604</v>
      </c>
      <c r="B261" s="2" t="s">
        <v>7722</v>
      </c>
      <c r="C261" s="2" t="s">
        <v>7724</v>
      </c>
      <c r="D261" s="169" t="str">
        <f t="shared" si="25"/>
        <v>0,25464,2084024235,2084060604</v>
      </c>
      <c r="E261" s="3" t="str">
        <f ca="1">IFERROR(__xludf.DUMMYFUNCTION("GOOGLETRANSLATE(B261,""ja"",""vi"")"),"bộ nhà chơi")</f>
        <v>bộ nhà chơi</v>
      </c>
      <c r="F261" s="3" t="str">
        <f ca="1">IFERROR(__xludf.DUMMYFUNCTION("GOOGLETRANSLATE(C261,""ja"",""vi"")"),"Đấu giá&gt; đồ chơi, trò chơi&gt; chơi nhà&gt; bộ nhà chơi")</f>
        <v>Đấu giá&gt; đồ chơi, trò chơi&gt; chơi nhà&gt; bộ nhà chơi</v>
      </c>
      <c r="G261" s="229" t="str">
        <f t="shared" ca="1" si="26"/>
        <v>"2084060604" : "bộ nhà chơi",</v>
      </c>
      <c r="H261" s="229" t="str">
        <f t="shared" si="27"/>
        <v>&lt;li class="col-md-3"&gt;&lt;a class="text-cut" href="javascript:;"(click)="categoryEvent(2084060604)"&gt;{{"2084060604" | translate}}&lt;/a&gt;&lt;/li&gt;</v>
      </c>
    </row>
    <row r="262" spans="1:8" ht="14.25" customHeight="1">
      <c r="E262" s="3"/>
      <c r="F262" s="3"/>
      <c r="G262" s="229"/>
      <c r="H262" s="229"/>
    </row>
    <row r="263" spans="1:8" ht="14.25" customHeight="1">
      <c r="A263" s="279">
        <v>26077</v>
      </c>
      <c r="B263" s="232"/>
      <c r="C263" s="232"/>
      <c r="D263" s="233"/>
      <c r="E263" s="3"/>
      <c r="F263" s="3"/>
      <c r="G263" s="229"/>
      <c r="H263" s="229"/>
    </row>
    <row r="264" spans="1:8" ht="14.25" customHeight="1">
      <c r="A264" s="2">
        <v>20060</v>
      </c>
      <c r="B264" s="2" t="s">
        <v>7697</v>
      </c>
      <c r="C264" s="2" t="s">
        <v>7737</v>
      </c>
      <c r="D264" s="169" t="str">
        <f t="shared" ref="D264:D279" si="28">CONCATENATE("0,","25464,26077,",A264)</f>
        <v>0,25464,26077,20060</v>
      </c>
      <c r="E264" s="3" t="str">
        <f ca="1">IFERROR(__xludf.DUMMYFUNCTION("GOOGLETRANSLATE(B264,""ja"",""vi"")"),"Animation")</f>
        <v>Animation</v>
      </c>
      <c r="F264" s="3" t="str">
        <f ca="1">IFERROR(__xludf.DUMMYFUNCTION("GOOGLETRANSLATE(C264,""ja"",""vi"")"),"Đấu giá&gt; đồ chơi, trò chơi&gt; nhân vật đồ chơi&gt; Animation")</f>
        <v>Đấu giá&gt; đồ chơi, trò chơi&gt; nhân vật đồ chơi&gt; Animation</v>
      </c>
      <c r="G264" s="229" t="str">
        <f t="shared" ca="1" si="26"/>
        <v>"20060" : "Animation",</v>
      </c>
      <c r="H264" s="229" t="str">
        <f t="shared" si="27"/>
        <v>&lt;li class="col-md-3"&gt;&lt;a class="text-cut" href="javascript:;"(click)="categoryEvent(20060)"&gt;{{"20060" | translate}}&lt;/a&gt;&lt;/li&gt;</v>
      </c>
    </row>
    <row r="265" spans="1:8" ht="14.25" customHeight="1">
      <c r="A265" s="2">
        <v>2084005076</v>
      </c>
      <c r="B265" s="2" t="s">
        <v>7740</v>
      </c>
      <c r="C265" s="2" t="s">
        <v>7743</v>
      </c>
      <c r="D265" s="169" t="str">
        <f t="shared" si="28"/>
        <v>0,25464,26077,2084005076</v>
      </c>
      <c r="E265" s="3" t="str">
        <f ca="1">IFERROR(__xludf.DUMMYFUNCTION("GOOGLETRANSLATE(B265,""ja"",""vi"")"),"PostPet")</f>
        <v>PostPet</v>
      </c>
      <c r="F265" s="3" t="str">
        <f ca="1">IFERROR(__xludf.DUMMYFUNCTION("GOOGLETRANSLATE(C265,""ja"",""vi"")"),"Đấu giá&gt; đồ chơi, trò chơi&gt; nhân vật đồ chơi&gt; PostPet")</f>
        <v>Đấu giá&gt; đồ chơi, trò chơi&gt; nhân vật đồ chơi&gt; PostPet</v>
      </c>
      <c r="G265" s="229" t="str">
        <f t="shared" ca="1" si="26"/>
        <v>"2084005076" : "PostPet",</v>
      </c>
      <c r="H265" s="229" t="str">
        <f t="shared" si="27"/>
        <v>&lt;li class="col-md-3"&gt;&lt;a class="text-cut" href="javascript:;"(click)="categoryEvent(2084005076)"&gt;{{"2084005076" | translate}}&lt;/a&gt;&lt;/li&gt;</v>
      </c>
    </row>
    <row r="266" spans="1:8" ht="14.25" customHeight="1">
      <c r="A266" s="2">
        <v>2084051754</v>
      </c>
      <c r="B266" s="2" t="s">
        <v>7746</v>
      </c>
      <c r="C266" s="2" t="s">
        <v>7747</v>
      </c>
      <c r="D266" s="169" t="str">
        <f t="shared" si="28"/>
        <v>0,25464,26077,2084051754</v>
      </c>
      <c r="E266" s="3" t="str">
        <f ca="1">IFERROR(__xludf.DUMMYFUNCTION("GOOGLETRANSLATE(B266,""ja"",""vi"")"),"Thomas Engine xe tăng")</f>
        <v>Thomas Engine xe tăng</v>
      </c>
      <c r="F266" s="3" t="str">
        <f ca="1">IFERROR(__xludf.DUMMYFUNCTION("GOOGLETRANSLATE(C266,""ja"",""vi"")"),"Đấu giá&gt; đồ chơi, trò chơi&gt; nhân vật đồ chơi&gt; Thomas Engine xe tăng")</f>
        <v>Đấu giá&gt; đồ chơi, trò chơi&gt; nhân vật đồ chơi&gt; Thomas Engine xe tăng</v>
      </c>
      <c r="G266" s="229" t="str">
        <f t="shared" ca="1" si="26"/>
        <v>"2084051754" : "Thomas Engine xe tăng",</v>
      </c>
      <c r="H266" s="229" t="str">
        <f t="shared" si="27"/>
        <v>&lt;li class="col-md-3"&gt;&lt;a class="text-cut" href="javascript:;"(click)="categoryEvent(2084051754)"&gt;{{"2084051754" | translate}}&lt;/a&gt;&lt;/li&gt;</v>
      </c>
    </row>
    <row r="267" spans="1:8" ht="14.25" customHeight="1">
      <c r="A267" s="2">
        <v>2084005074</v>
      </c>
      <c r="B267" s="2" t="s">
        <v>7749</v>
      </c>
      <c r="C267" s="2" t="s">
        <v>7750</v>
      </c>
      <c r="D267" s="169" t="str">
        <f t="shared" si="28"/>
        <v>0,25464,26077,2084005074</v>
      </c>
      <c r="E267" s="3" t="str">
        <f ca="1">IFERROR(__xludf.DUMMYFUNCTION("GOOGLETRANSLATE(B267,""ja"",""vi"")"),"Tarepanda")</f>
        <v>Tarepanda</v>
      </c>
      <c r="F267" s="3" t="str">
        <f ca="1">IFERROR(__xludf.DUMMYFUNCTION("GOOGLETRANSLATE(C267,""ja"",""vi"")"),"Đấu giá&gt; đồ chơi, trò chơi&gt; nhân vật đồ chơi&gt; tarepanda")</f>
        <v>Đấu giá&gt; đồ chơi, trò chơi&gt; nhân vật đồ chơi&gt; tarepanda</v>
      </c>
      <c r="G267" s="229" t="str">
        <f t="shared" ca="1" si="26"/>
        <v>"2084005074" : "Tarepanda",</v>
      </c>
      <c r="H267" s="229" t="str">
        <f t="shared" si="27"/>
        <v>&lt;li class="col-md-3"&gt;&lt;a class="text-cut" href="javascript:;"(click)="categoryEvent(2084005074)"&gt;{{"2084005074" | translate}}&lt;/a&gt;&lt;/li&gt;</v>
      </c>
    </row>
    <row r="268" spans="1:8" ht="14.25" customHeight="1">
      <c r="A268" s="2">
        <v>2084005079</v>
      </c>
      <c r="B268" s="2" t="s">
        <v>878</v>
      </c>
      <c r="C268" s="2" t="s">
        <v>7753</v>
      </c>
      <c r="D268" s="169" t="str">
        <f t="shared" si="28"/>
        <v>0,25464,26077,2084005079</v>
      </c>
      <c r="E268" s="3" t="str">
        <f ca="1">IFERROR(__xludf.DUMMYFUNCTION("GOOGLETRANSLATE(B268,""ja"",""vi"")"),"Ultraman")</f>
        <v>Ultraman</v>
      </c>
      <c r="F268" s="3" t="str">
        <f ca="1">IFERROR(__xludf.DUMMYFUNCTION("GOOGLETRANSLATE(C268,""ja"",""vi"")"),"Đấu giá&gt; đồ chơi, trò chơi&gt; nhân vật đồ chơi&gt; Ultraman")</f>
        <v>Đấu giá&gt; đồ chơi, trò chơi&gt; nhân vật đồ chơi&gt; Ultraman</v>
      </c>
      <c r="G268" s="229" t="str">
        <f t="shared" ca="1" si="26"/>
        <v>"2084005079" : "Ultraman",</v>
      </c>
      <c r="H268" s="229" t="str">
        <f t="shared" si="27"/>
        <v>&lt;li class="col-md-3"&gt;&lt;a class="text-cut" href="javascript:;"(click)="categoryEvent(2084005079)"&gt;{{"2084005079" | translate}}&lt;/a&gt;&lt;/li&gt;</v>
      </c>
    </row>
    <row r="269" spans="1:8" ht="14.25" customHeight="1">
      <c r="A269" s="2">
        <v>2084045620</v>
      </c>
      <c r="B269" s="2" t="s">
        <v>7757</v>
      </c>
      <c r="C269" s="2" t="s">
        <v>7758</v>
      </c>
      <c r="D269" s="169" t="str">
        <f t="shared" si="28"/>
        <v>0,25464,26077,2084045620</v>
      </c>
      <c r="E269" s="3" t="str">
        <f ca="1">IFERROR(__xludf.DUMMYFUNCTION("GOOGLETRANSLATE(B269,""ja"",""vi"")"),"Kewpie")</f>
        <v>Kewpie</v>
      </c>
      <c r="F269" s="3" t="str">
        <f ca="1">IFERROR(__xludf.DUMMYFUNCTION("GOOGLETRANSLATE(C269,""ja"",""vi"")"),"Đấu giá&gt; đồ chơi, trò chơi&gt; nhân vật đồ chơi&gt; Kewpie")</f>
        <v>Đấu giá&gt; đồ chơi, trò chơi&gt; nhân vật đồ chơi&gt; Kewpie</v>
      </c>
      <c r="G269" s="229" t="str">
        <f t="shared" ca="1" si="26"/>
        <v>"2084045620" : "Kewpie",</v>
      </c>
      <c r="H269" s="229" t="str">
        <f t="shared" si="27"/>
        <v>&lt;li class="col-md-3"&gt;&lt;a class="text-cut" href="javascript:;"(click)="categoryEvent(2084045620)"&gt;{{"2084045620" | translate}}&lt;/a&gt;&lt;/li&gt;</v>
      </c>
    </row>
    <row r="270" spans="1:8" ht="14.25" customHeight="1">
      <c r="A270" s="2">
        <v>2084063685</v>
      </c>
      <c r="B270" s="2" t="s">
        <v>7761</v>
      </c>
      <c r="C270" s="2" t="s">
        <v>7762</v>
      </c>
      <c r="D270" s="169" t="str">
        <f t="shared" si="28"/>
        <v>0,25464,26077,2084063685</v>
      </c>
      <c r="E270" s="3" t="str">
        <f ca="1">IFERROR(__xludf.DUMMYFUNCTION("GOOGLETRANSLATE(B270,""ja"",""vi"")"),"Cinnamoroll")</f>
        <v>Cinnamoroll</v>
      </c>
      <c r="F270" s="3" t="str">
        <f ca="1">IFERROR(__xludf.DUMMYFUNCTION("GOOGLETRANSLATE(C270,""ja"",""vi"")"),"Đấu giá&gt; đồ chơi, trò chơi&gt; nhân vật đồ chơi&gt; Cinnamoroll")</f>
        <v>Đấu giá&gt; đồ chơi, trò chơi&gt; nhân vật đồ chơi&gt; Cinnamoroll</v>
      </c>
      <c r="G270" s="229" t="str">
        <f t="shared" ca="1" si="26"/>
        <v>"2084063685" : "Cinnamoroll",</v>
      </c>
      <c r="H270" s="229" t="str">
        <f t="shared" si="27"/>
        <v>&lt;li class="col-md-3"&gt;&lt;a class="text-cut" href="javascript:;"(click)="categoryEvent(2084063685)"&gt;{{"2084063685" | translate}}&lt;/a&gt;&lt;/li&gt;</v>
      </c>
    </row>
    <row r="271" spans="1:8" ht="14.25" customHeight="1">
      <c r="A271" s="2">
        <v>25962</v>
      </c>
      <c r="B271" s="2" t="s">
        <v>7766</v>
      </c>
      <c r="C271" s="2" t="s">
        <v>7767</v>
      </c>
      <c r="D271" s="169" t="str">
        <f t="shared" si="28"/>
        <v>0,25464,26077,25962</v>
      </c>
      <c r="E271" s="3" t="str">
        <f ca="1">IFERROR(__xludf.DUMMYFUNCTION("GOOGLETRANSLATE(B271,""ja"",""vi"")"),"Snoopy, đậu phộng")</f>
        <v>Snoopy, đậu phộng</v>
      </c>
      <c r="F271" s="3" t="str">
        <f ca="1">IFERROR(__xludf.DUMMYFUNCTION("GOOGLETRANSLATE(C271,""ja"",""vi"")"),"Đấu giá&gt; đồ chơi, trò chơi&gt; nhân vật đồ chơi&gt; Snoopy, Peanuts")</f>
        <v>Đấu giá&gt; đồ chơi, trò chơi&gt; nhân vật đồ chơi&gt; Snoopy, Peanuts</v>
      </c>
      <c r="G271" s="229" t="str">
        <f t="shared" ca="1" si="26"/>
        <v>"25962" : "Snoopy, đậu phộng",</v>
      </c>
      <c r="H271" s="229" t="str">
        <f t="shared" si="27"/>
        <v>&lt;li class="col-md-3"&gt;&lt;a class="text-cut" href="javascript:;"(click)="categoryEvent(25962)"&gt;{{"25962" | translate}}&lt;/a&gt;&lt;/li&gt;</v>
      </c>
    </row>
    <row r="272" spans="1:8" ht="14.25" customHeight="1">
      <c r="A272" s="2">
        <v>40070</v>
      </c>
      <c r="B272" s="2" t="s">
        <v>7769</v>
      </c>
      <c r="C272" s="2" t="s">
        <v>7770</v>
      </c>
      <c r="D272" s="169" t="str">
        <f t="shared" si="28"/>
        <v>0,25464,26077,40070</v>
      </c>
      <c r="E272" s="3" t="str">
        <f ca="1">IFERROR(__xludf.DUMMYFUNCTION("GOOGLETRANSLATE(B272,""ja"",""vi"")"),"Sesame Street")</f>
        <v>Sesame Street</v>
      </c>
      <c r="F272" s="3" t="str">
        <f ca="1">IFERROR(__xludf.DUMMYFUNCTION("GOOGLETRANSLATE(C272,""ja"",""vi"")"),"Đấu giá&gt; đồ chơi, trò chơi&gt; nhân vật đồ chơi&gt; Sesame Street")</f>
        <v>Đấu giá&gt; đồ chơi, trò chơi&gt; nhân vật đồ chơi&gt; Sesame Street</v>
      </c>
      <c r="G272" s="229" t="str">
        <f t="shared" ca="1" si="26"/>
        <v>"40070" : "Sesame Street",</v>
      </c>
      <c r="H272" s="229" t="str">
        <f t="shared" si="27"/>
        <v>&lt;li class="col-md-3"&gt;&lt;a class="text-cut" href="javascript:;"(click)="categoryEvent(40070)"&gt;{{"40070" | translate}}&lt;/a&gt;&lt;/li&gt;</v>
      </c>
    </row>
    <row r="273" spans="1:8" ht="14.25" customHeight="1">
      <c r="A273" s="2">
        <v>27858</v>
      </c>
      <c r="B273" s="2" t="s">
        <v>1207</v>
      </c>
      <c r="C273" s="2" t="s">
        <v>7771</v>
      </c>
      <c r="D273" s="169" t="str">
        <f t="shared" si="28"/>
        <v>0,25464,26077,27858</v>
      </c>
      <c r="E273" s="3" t="str">
        <f ca="1">IFERROR(__xludf.DUMMYFUNCTION("GOOGLETRANSLATE(B273,""ja"",""vi"")"),"Disney")</f>
        <v>Disney</v>
      </c>
      <c r="F273" s="3" t="str">
        <f ca="1">IFERROR(__xludf.DUMMYFUNCTION("GOOGLETRANSLATE(C273,""ja"",""vi"")"),"Đấu giá&gt; đồ chơi, trò chơi&gt; nhân vật đồ chơi&gt; Disney")</f>
        <v>Đấu giá&gt; đồ chơi, trò chơi&gt; nhân vật đồ chơi&gt; Disney</v>
      </c>
      <c r="G273" s="229" t="str">
        <f t="shared" ca="1" si="26"/>
        <v>"27858" : "Disney",</v>
      </c>
      <c r="H273" s="229" t="str">
        <f t="shared" si="27"/>
        <v>&lt;li class="col-md-3"&gt;&lt;a class="text-cut" href="javascript:;"(click)="categoryEvent(27858)"&gt;{{"27858" | translate}}&lt;/a&gt;&lt;/li&gt;</v>
      </c>
    </row>
    <row r="274" spans="1:8" ht="14.25" customHeight="1">
      <c r="A274" s="2">
        <v>2084005077</v>
      </c>
      <c r="B274" s="2" t="s">
        <v>7775</v>
      </c>
      <c r="C274" s="2" t="s">
        <v>7776</v>
      </c>
      <c r="D274" s="169" t="str">
        <f t="shared" si="28"/>
        <v>0,25464,26077,2084005077</v>
      </c>
      <c r="E274" s="3" t="str">
        <f ca="1">IFERROR(__xludf.DUMMYFUNCTION("GOOGLETRANSLATE(B274,""ja"",""vi"")"),"The Nightmare Before Christmas")</f>
        <v>The Nightmare Before Christmas</v>
      </c>
      <c r="F274" s="3" t="str">
        <f ca="1">IFERROR(__xludf.DUMMYFUNCTION("GOOGLETRANSLATE(C274,""ja"",""vi"")"),"Đấu giá&gt; đồ chơi, trò chơi&gt; nhân vật đồ chơi&gt; The Nightmare Before Christmas")</f>
        <v>Đấu giá&gt; đồ chơi, trò chơi&gt; nhân vật đồ chơi&gt; The Nightmare Before Christmas</v>
      </c>
      <c r="G274" s="229" t="str">
        <f t="shared" ca="1" si="26"/>
        <v>"2084005077" : "The Nightmare Before Christmas",</v>
      </c>
      <c r="H274" s="229" t="str">
        <f t="shared" si="27"/>
        <v>&lt;li class="col-md-3"&gt;&lt;a class="text-cut" href="javascript:;"(click)="categoryEvent(2084005077)"&gt;{{"2084005077" | translate}}&lt;/a&gt;&lt;/li&gt;</v>
      </c>
    </row>
    <row r="275" spans="1:8" ht="14.25" customHeight="1">
      <c r="A275" s="2">
        <v>2084051747</v>
      </c>
      <c r="B275" s="2" t="s">
        <v>4664</v>
      </c>
      <c r="C275" s="2" t="s">
        <v>7780</v>
      </c>
      <c r="D275" s="169" t="str">
        <f t="shared" si="28"/>
        <v>0,25464,26077,2084051747</v>
      </c>
      <c r="E275" s="3" t="str">
        <f ca="1">IFERROR(__xludf.DUMMYFUNCTION("GOOGLETRANSLATE(B275,""ja"",""vi"")"),"Hello Kitty")</f>
        <v>Hello Kitty</v>
      </c>
      <c r="F275" s="3" t="str">
        <f ca="1">IFERROR(__xludf.DUMMYFUNCTION("GOOGLETRANSLATE(C275,""ja"",""vi"")"),"Đấu giá&gt; đồ chơi, trò chơi&gt; nhân vật đồ chơi&gt; Hello Kitty")</f>
        <v>Đấu giá&gt; đồ chơi, trò chơi&gt; nhân vật đồ chơi&gt; Hello Kitty</v>
      </c>
      <c r="G275" s="229" t="str">
        <f t="shared" ca="1" si="26"/>
        <v>"2084051747" : "Hello Kitty",</v>
      </c>
      <c r="H275" s="229" t="str">
        <f t="shared" si="27"/>
        <v>&lt;li class="col-md-3"&gt;&lt;a class="text-cut" href="javascript:;"(click)="categoryEvent(2084051747)"&gt;{{"2084051747" | translate}}&lt;/a&gt;&lt;/li&gt;</v>
      </c>
    </row>
    <row r="276" spans="1:8" ht="14.25" customHeight="1">
      <c r="A276" s="2">
        <v>2084005075</v>
      </c>
      <c r="B276" s="2" t="s">
        <v>7784</v>
      </c>
      <c r="C276" s="2" t="s">
        <v>7785</v>
      </c>
      <c r="D276" s="169" t="str">
        <f t="shared" si="28"/>
        <v>0,25464,26077,2084005075</v>
      </c>
      <c r="E276" s="3" t="str">
        <f ca="1">IFERROR(__xludf.DUMMYFUNCTION("GOOGLETRANSLATE(B276,""ja"",""vi"")"),"Peko-chan")</f>
        <v>Peko-chan</v>
      </c>
      <c r="F276" s="3" t="str">
        <f ca="1">IFERROR(__xludf.DUMMYFUNCTION("GOOGLETRANSLATE(C276,""ja"",""vi"")"),"Đấu giá&gt; đồ chơi, trò chơi&gt; nhân vật đồ chơi&gt; Peko-chan")</f>
        <v>Đấu giá&gt; đồ chơi, trò chơi&gt; nhân vật đồ chơi&gt; Peko-chan</v>
      </c>
      <c r="G276" s="229" t="str">
        <f t="shared" ca="1" si="26"/>
        <v>"2084005075" : "Peko-chan",</v>
      </c>
      <c r="H276" s="229" t="str">
        <f t="shared" si="27"/>
        <v>&lt;li class="col-md-3"&gt;&lt;a class="text-cut" href="javascript:;"(click)="categoryEvent(2084005075)"&gt;{{"2084005075" | translate}}&lt;/a&gt;&lt;/li&gt;</v>
      </c>
    </row>
    <row r="277" spans="1:8" ht="14.25" customHeight="1">
      <c r="A277" s="2">
        <v>2084063676</v>
      </c>
      <c r="B277" s="2" t="s">
        <v>7787</v>
      </c>
      <c r="C277" s="2" t="s">
        <v>7788</v>
      </c>
      <c r="D277" s="169" t="str">
        <f t="shared" si="28"/>
        <v>0,25464,26077,2084063676</v>
      </c>
      <c r="E277" s="3" t="str">
        <f ca="1">IFERROR(__xludf.DUMMYFUNCTION("GOOGLETRANSLATE(B277,""ja"",""vi"")"),"Miffy")</f>
        <v>Miffy</v>
      </c>
      <c r="F277" s="3" t="str">
        <f ca="1">IFERROR(__xludf.DUMMYFUNCTION("GOOGLETRANSLATE(C277,""ja"",""vi"")"),"Đấu giá&gt; đồ chơi, trò chơi&gt; nhân vật đồ chơi&gt; Miffy")</f>
        <v>Đấu giá&gt; đồ chơi, trò chơi&gt; nhân vật đồ chơi&gt; Miffy</v>
      </c>
      <c r="G277" s="229" t="str">
        <f t="shared" ca="1" si="26"/>
        <v>"2084063676" : "Miffy",</v>
      </c>
      <c r="H277" s="229" t="str">
        <f t="shared" si="27"/>
        <v>&lt;li class="col-md-3"&gt;&lt;a class="text-cut" href="javascript:;"(click)="categoryEvent(2084063676)"&gt;{{"2084063676" | translate}}&lt;/a&gt;&lt;/li&gt;</v>
      </c>
    </row>
    <row r="278" spans="1:8" ht="14.25" customHeight="1">
      <c r="A278" s="2">
        <v>2084061268</v>
      </c>
      <c r="B278" s="2" t="s">
        <v>7792</v>
      </c>
      <c r="C278" s="2" t="s">
        <v>7794</v>
      </c>
      <c r="D278" s="169" t="str">
        <f t="shared" si="28"/>
        <v>0,25464,26077,2084061268</v>
      </c>
      <c r="E278" s="3" t="str">
        <f ca="1">IFERROR(__xludf.DUMMYFUNCTION("GOOGLETRANSLATE(B278,""ja"",""vi"")"),"thư giãn")</f>
        <v>thư giãn</v>
      </c>
      <c r="F278" s="3" t="str">
        <f ca="1">IFERROR(__xludf.DUMMYFUNCTION("GOOGLETRANSLATE(C278,""ja"",""vi"")"),"Đấu giá&gt; đồ chơi, trò chơi&gt; nhân vật đồ chơi&gt; Rilakkuma")</f>
        <v>Đấu giá&gt; đồ chơi, trò chơi&gt; nhân vật đồ chơi&gt; Rilakkuma</v>
      </c>
      <c r="G278" s="229" t="str">
        <f t="shared" ca="1" si="26"/>
        <v>"2084061268" : "thư giãn",</v>
      </c>
      <c r="H278" s="229" t="str">
        <f t="shared" si="27"/>
        <v>&lt;li class="col-md-3"&gt;&lt;a class="text-cut" href="javascript:;"(click)="categoryEvent(2084061268)"&gt;{{"2084061268" | translate}}&lt;/a&gt;&lt;/li&gt;</v>
      </c>
    </row>
    <row r="279" spans="1:8" ht="14.25" customHeight="1">
      <c r="A279" s="2">
        <v>2084005078</v>
      </c>
      <c r="B279" s="2" t="s">
        <v>7612</v>
      </c>
      <c r="C279" s="2" t="s">
        <v>7799</v>
      </c>
      <c r="D279" s="169" t="str">
        <f t="shared" si="28"/>
        <v>0,25464,26077,2084005078</v>
      </c>
      <c r="E279" s="3" t="str">
        <f ca="1">IFERROR(__xludf.DUMMYFUNCTION("GOOGLETRANSLATE(B279,""ja"",""vi"")"),"masked Rider")</f>
        <v>masked Rider</v>
      </c>
      <c r="F279" s="3" t="str">
        <f ca="1">IFERROR(__xludf.DUMMYFUNCTION("GOOGLETRANSLATE(C279,""ja"",""vi"")"),"Đấu giá&gt; đồ chơi, trò chơi&gt; nhân vật đồ chơi&gt; Rider")</f>
        <v>Đấu giá&gt; đồ chơi, trò chơi&gt; nhân vật đồ chơi&gt; Rider</v>
      </c>
      <c r="G279" s="229" t="str">
        <f t="shared" ca="1" si="26"/>
        <v>"2084005078" : "masked Rider",</v>
      </c>
      <c r="H279" s="229" t="str">
        <f t="shared" si="27"/>
        <v>&lt;li class="col-md-3"&gt;&lt;a class="text-cut" href="javascript:;"(click)="categoryEvent(2084005078)"&gt;{{"2084005078" | translate}}&lt;/a&gt;&lt;/li&gt;</v>
      </c>
    </row>
    <row r="280" spans="1:8" ht="14.25" customHeight="1">
      <c r="E280" s="3"/>
      <c r="F280" s="3"/>
      <c r="G280" s="229"/>
      <c r="H280" s="229"/>
    </row>
    <row r="281" spans="1:8" ht="14.25" customHeight="1">
      <c r="A281" s="277">
        <v>2084312318</v>
      </c>
      <c r="B281" s="232"/>
      <c r="C281" s="232"/>
      <c r="D281" s="233"/>
      <c r="E281" s="3"/>
      <c r="F281" s="3"/>
      <c r="G281" s="229"/>
      <c r="H281" s="229"/>
    </row>
    <row r="282" spans="1:8" ht="14.25" customHeight="1">
      <c r="A282" s="2">
        <v>2084312322</v>
      </c>
      <c r="B282" s="2" t="s">
        <v>7807</v>
      </c>
      <c r="C282" s="2" t="s">
        <v>7808</v>
      </c>
      <c r="D282" s="169" t="str">
        <f t="shared" ref="D282:D289" si="29">CONCATENATE("0,","25464,2084312318,",A282)</f>
        <v>0,25464,2084312318,2084312322</v>
      </c>
      <c r="E282" s="3" t="str">
        <f ca="1">IFERROR(__xludf.DUMMYFUNCTION("GOOGLETRANSLATE(B282,""ja"",""vi"")"),"Glico")</f>
        <v>Glico</v>
      </c>
      <c r="F282" s="3" t="str">
        <f ca="1">IFERROR(__xludf.DUMMYFUNCTION("GOOGLETRANSLATE(C282,""ja"",""vi"")"),"Đấu giá&gt; Đồ chơi, trò chơi&gt; Đồ chơi Candy, tiền thưởng&gt; Glico")</f>
        <v>Đấu giá&gt; Đồ chơi, trò chơi&gt; Đồ chơi Candy, tiền thưởng&gt; Glico</v>
      </c>
      <c r="G282" s="229" t="str">
        <f t="shared" ca="1" si="26"/>
        <v>"2084312322" : "Glico",</v>
      </c>
      <c r="H282" s="229" t="str">
        <f t="shared" si="27"/>
        <v>&lt;li class="col-md-3"&gt;&lt;a class="text-cut" href="javascript:;"(click)="categoryEvent(2084312322)"&gt;{{"2084312322" | translate}}&lt;/a&gt;&lt;/li&gt;</v>
      </c>
    </row>
    <row r="283" spans="1:8" ht="14.25" customHeight="1">
      <c r="A283" s="2">
        <v>2084312323</v>
      </c>
      <c r="B283" s="2" t="s">
        <v>7815</v>
      </c>
      <c r="C283" s="2" t="s">
        <v>7816</v>
      </c>
      <c r="D283" s="169" t="str">
        <f t="shared" si="29"/>
        <v>0,25464,2084312318,2084312323</v>
      </c>
      <c r="E283" s="3" t="str">
        <f ca="1">IFERROR(__xludf.DUMMYFUNCTION("GOOGLETRANSLATE(B283,""ja"",""vi"")"),"sôcôla trứng")</f>
        <v>sôcôla trứng</v>
      </c>
      <c r="F283" s="3" t="str">
        <f ca="1">IFERROR(__xludf.DUMMYFUNCTION("GOOGLETRANSLATE(C283,""ja"",""vi"")"),"Đấu giá&gt; Đồ chơi, trò chơi&gt; Đồ chơi Candy, thêm&gt; trứng sô cô la")</f>
        <v>Đấu giá&gt; Đồ chơi, trò chơi&gt; Đồ chơi Candy, thêm&gt; trứng sô cô la</v>
      </c>
      <c r="G283" s="229" t="str">
        <f t="shared" ca="1" si="26"/>
        <v>"2084312323" : "sôcôla trứng",</v>
      </c>
      <c r="H283" s="229" t="str">
        <f t="shared" si="27"/>
        <v>&lt;li class="col-md-3"&gt;&lt;a class="text-cut" href="javascript:;"(click)="categoryEvent(2084312323)"&gt;{{"2084312323" | translate}}&lt;/a&gt;&lt;/li&gt;</v>
      </c>
    </row>
    <row r="284" spans="1:8" ht="14.25" customHeight="1">
      <c r="A284" s="2">
        <v>2084312325</v>
      </c>
      <c r="B284" s="2" t="s">
        <v>7820</v>
      </c>
      <c r="C284" s="2" t="s">
        <v>7821</v>
      </c>
      <c r="D284" s="169" t="str">
        <f t="shared" si="29"/>
        <v>0,25464,2084312318,2084312325</v>
      </c>
      <c r="E284" s="3" t="str">
        <f ca="1">IFERROR(__xludf.DUMMYFUNCTION("GOOGLETRANSLATE(B284,""ja"",""vi"")"),"Bảo tàng xe tăng thế giới")</f>
        <v>Bảo tàng xe tăng thế giới</v>
      </c>
      <c r="F284" s="3" t="str">
        <f ca="1">IFERROR(__xludf.DUMMYFUNCTION("GOOGLETRANSLATE(C284,""ja"",""vi"")"),"Đấu giá&gt; Đồ chơi, trò chơi&gt; Đồ chơi Candy, tiền thưởng&gt; Bảo tàng xe tăng thế giới")</f>
        <v>Đấu giá&gt; Đồ chơi, trò chơi&gt; Đồ chơi Candy, tiền thưởng&gt; Bảo tàng xe tăng thế giới</v>
      </c>
      <c r="G284" s="229" t="str">
        <f t="shared" ca="1" si="26"/>
        <v>"2084312325" : "Bảo tàng xe tăng thế giới",</v>
      </c>
      <c r="H284" s="229" t="str">
        <f t="shared" si="27"/>
        <v>&lt;li class="col-md-3"&gt;&lt;a class="text-cut" href="javascript:;"(click)="categoryEvent(2084312325)"&gt;{{"2084312325" | translate}}&lt;/a&gt;&lt;/li&gt;</v>
      </c>
    </row>
    <row r="285" spans="1:8" ht="14.25" customHeight="1">
      <c r="A285" s="2">
        <v>2084005054</v>
      </c>
      <c r="B285" s="2" t="s">
        <v>7825</v>
      </c>
      <c r="C285" s="2" t="s">
        <v>7826</v>
      </c>
      <c r="D285" s="169" t="str">
        <f t="shared" si="29"/>
        <v>0,25464,2084312318,2084005054</v>
      </c>
      <c r="E285" s="3" t="str">
        <f ca="1">IFERROR(__xludf.DUMMYFUNCTION("GOOGLETRANSLATE(B285,""ja"",""vi"")"),"Bikkuriman")</f>
        <v>Bikkuriman</v>
      </c>
      <c r="F285" s="3" t="str">
        <f ca="1">IFERROR(__xludf.DUMMYFUNCTION("GOOGLETRANSLATE(C285,""ja"",""vi"")"),"Đấu giá&gt; đồ chơi, trò chơi&gt; Đồ chơi Candy, tiền thưởng&gt; Bikkuriman")</f>
        <v>Đấu giá&gt; đồ chơi, trò chơi&gt; Đồ chơi Candy, tiền thưởng&gt; Bikkuriman</v>
      </c>
      <c r="G285" s="229" t="str">
        <f t="shared" ca="1" si="26"/>
        <v>"2084005054" : "Bikkuriman",</v>
      </c>
      <c r="H285" s="229" t="str">
        <f t="shared" si="27"/>
        <v>&lt;li class="col-md-3"&gt;&lt;a class="text-cut" href="javascript:;"(click)="categoryEvent(2084005054)"&gt;{{"2084005054" | translate}}&lt;/a&gt;&lt;/li&gt;</v>
      </c>
    </row>
    <row r="286" spans="1:8" ht="14.25" customHeight="1">
      <c r="A286" s="2">
        <v>25872</v>
      </c>
      <c r="B286" s="2" t="s">
        <v>5975</v>
      </c>
      <c r="C286" s="2" t="s">
        <v>7829</v>
      </c>
      <c r="D286" s="169" t="str">
        <f t="shared" si="29"/>
        <v>0,25464,2084312318,25872</v>
      </c>
      <c r="E286" s="3" t="str">
        <f ca="1">IFERROR(__xludf.DUMMYFUNCTION("GOOGLETRANSLATE(B286,""ja"",""vi"")"),"Thức ăn nhanh Toy")</f>
        <v>Thức ăn nhanh Toy</v>
      </c>
      <c r="F286" s="3" t="str">
        <f ca="1">IFERROR(__xludf.DUMMYFUNCTION("GOOGLETRANSLATE(C286,""ja"",""vi"")"),"Đấu giá&gt; Đồ chơi, trò chơi&gt; Đồ chơi Candy, tiền thưởng&gt; Thức ăn nhanh Đồ chơi")</f>
        <v>Đấu giá&gt; Đồ chơi, trò chơi&gt; Đồ chơi Candy, tiền thưởng&gt; Thức ăn nhanh Đồ chơi</v>
      </c>
      <c r="G286" s="229" t="str">
        <f t="shared" ca="1" si="26"/>
        <v>"25872" : "Thức ăn nhanh Toy",</v>
      </c>
      <c r="H286" s="229" t="str">
        <f t="shared" si="27"/>
        <v>&lt;li class="col-md-3"&gt;&lt;a class="text-cut" href="javascript:;"(click)="categoryEvent(25872)"&gt;{{"25872" | translate}}&lt;/a&gt;&lt;/li&gt;</v>
      </c>
    </row>
    <row r="287" spans="1:8" ht="14.25" customHeight="1">
      <c r="A287" s="2">
        <v>25888</v>
      </c>
      <c r="B287" s="2" t="s">
        <v>357</v>
      </c>
      <c r="C287" s="2" t="s">
        <v>7832</v>
      </c>
      <c r="D287" s="169" t="str">
        <f t="shared" si="29"/>
        <v>0,25464,2084312318,25888</v>
      </c>
      <c r="E287" s="3" t="str">
        <f ca="1">IFERROR(__xludf.DUMMYFUNCTION("GOOGLETRANSLATE(B287,""ja"",""vi"")"),"nhân vật")</f>
        <v>nhân vật</v>
      </c>
      <c r="F287" s="3" t="str">
        <f ca="1">IFERROR(__xludf.DUMMYFUNCTION("GOOGLETRANSLATE(C287,""ja"",""vi"")"),"Đấu giá&gt; Đồ chơi, trò chơi&gt; Đồ chơi Candy, tiền thưởng&gt; Hình")</f>
        <v>Đấu giá&gt; Đồ chơi, trò chơi&gt; Đồ chơi Candy, tiền thưởng&gt; Hình</v>
      </c>
      <c r="G287" s="229" t="str">
        <f t="shared" ca="1" si="26"/>
        <v>"25888" : "nhân vật",</v>
      </c>
      <c r="H287" s="229" t="str">
        <f t="shared" si="27"/>
        <v>&lt;li class="col-md-3"&gt;&lt;a class="text-cut" href="javascript:;"(click)="categoryEvent(25888)"&gt;{{"25888" | translate}}&lt;/a&gt;&lt;/li&gt;</v>
      </c>
    </row>
    <row r="288" spans="1:8" ht="14.25" customHeight="1">
      <c r="A288" s="2">
        <v>2084260113</v>
      </c>
      <c r="B288" s="2" t="s">
        <v>6533</v>
      </c>
      <c r="C288" s="2" t="s">
        <v>7834</v>
      </c>
      <c r="D288" s="169" t="str">
        <f t="shared" si="29"/>
        <v>0,25464,2084312318,2084260113</v>
      </c>
      <c r="E288" s="3" t="str">
        <f ca="1">IFERROR(__xludf.DUMMYFUNCTION("GOOGLETRANSLATE(B288,""ja"",""vi"")"),"minicar")</f>
        <v>minicar</v>
      </c>
      <c r="F288" s="3" t="str">
        <f ca="1">IFERROR(__xludf.DUMMYFUNCTION("GOOGLETRANSLATE(C288,""ja"",""vi"")"),"Đấu giá&gt; Đồ chơi, trò chơi&gt; Đồ chơi Candy, tiền thưởng&gt; minicar")</f>
        <v>Đấu giá&gt; Đồ chơi, trò chơi&gt; Đồ chơi Candy, tiền thưởng&gt; minicar</v>
      </c>
      <c r="G288" s="229" t="str">
        <f t="shared" ca="1" si="26"/>
        <v>"2084260113" : "minicar",</v>
      </c>
      <c r="H288" s="229" t="str">
        <f t="shared" si="27"/>
        <v>&lt;li class="col-md-3"&gt;&lt;a class="text-cut" href="javascript:;"(click)="categoryEvent(2084260113)"&gt;{{"2084260113" | translate}}&lt;/a&gt;&lt;/li&gt;</v>
      </c>
    </row>
    <row r="289" spans="1:8" ht="14.25" customHeight="1">
      <c r="A289" s="2">
        <v>2084312319</v>
      </c>
      <c r="B289" s="2" t="s">
        <v>16</v>
      </c>
      <c r="C289" s="2" t="s">
        <v>7839</v>
      </c>
      <c r="D289" s="169" t="str">
        <f t="shared" si="29"/>
        <v>0,25464,2084312318,2084312319</v>
      </c>
      <c r="E289" s="3" t="str">
        <f ca="1">IFERROR(__xludf.DUMMYFUNCTION("GOOGLETRANSLATE(B289,""ja"",""vi"")"),"nếu không thì")</f>
        <v>nếu không thì</v>
      </c>
      <c r="F289" s="3" t="str">
        <f ca="1">IFERROR(__xludf.DUMMYFUNCTION("GOOGLETRANSLATE(C289,""ja"",""vi"")"),"Đấu giá&gt; Đồ chơi, trò chơi&gt; Đồ chơi Candy, tiền thưởng&gt; Khác")</f>
        <v>Đấu giá&gt; Đồ chơi, trò chơi&gt; Đồ chơi Candy, tiền thưởng&gt; Khác</v>
      </c>
      <c r="G289" s="229" t="str">
        <f t="shared" ca="1" si="26"/>
        <v>"2084312319" : "nếu không thì",</v>
      </c>
      <c r="H289" s="229" t="str">
        <f t="shared" si="27"/>
        <v>&lt;li class="col-md-3"&gt;&lt;a class="text-cut" href="javascript:;"(click)="categoryEvent(2084312319)"&gt;{{"2084312319" | translate}}&lt;/a&gt;&lt;/li&gt;</v>
      </c>
    </row>
    <row r="290" spans="1:8" ht="14.25" customHeight="1">
      <c r="E290" s="3"/>
      <c r="F290" s="3"/>
      <c r="G290" s="229"/>
      <c r="H290" s="229"/>
    </row>
    <row r="291" spans="1:8" ht="14.25" customHeight="1">
      <c r="A291" s="246">
        <v>26018</v>
      </c>
      <c r="B291" s="232"/>
      <c r="C291" s="232"/>
      <c r="D291" s="233"/>
      <c r="E291" s="3"/>
      <c r="F291" s="3"/>
      <c r="G291" s="229"/>
      <c r="H291" s="229"/>
    </row>
    <row r="292" spans="1:8" ht="14.25" customHeight="1">
      <c r="A292" s="2">
        <v>26024</v>
      </c>
      <c r="B292" s="2" t="s">
        <v>7843</v>
      </c>
      <c r="C292" s="2" t="s">
        <v>7844</v>
      </c>
      <c r="D292" s="169" t="str">
        <f t="shared" ref="D292:D296" si="30">CONCATENATE("0,","25464,26018,",A292)</f>
        <v>0,25464,26018,26024</v>
      </c>
      <c r="E292" s="3" t="str">
        <f ca="1">IFERROR(__xludf.DUMMYFUNCTION("GOOGLETRANSLATE(B292,""ja"",""vi"")"),"trò chơi lắp hình")</f>
        <v>trò chơi lắp hình</v>
      </c>
      <c r="F292" s="3" t="str">
        <f ca="1">IFERROR(__xludf.DUMMYFUNCTION("GOOGLETRANSLATE(C292,""ja"",""vi"")"),"Đấu giá&gt; đồ chơi, trò chơi&gt; câu đố&gt; Jigsaw")</f>
        <v>Đấu giá&gt; đồ chơi, trò chơi&gt; câu đố&gt; Jigsaw</v>
      </c>
      <c r="G292" s="229" t="str">
        <f t="shared" ca="1" si="26"/>
        <v>"26024" : "trò chơi lắp hình",</v>
      </c>
      <c r="H292" s="229" t="str">
        <f t="shared" si="27"/>
        <v>&lt;li class="col-md-3"&gt;&lt;a class="text-cut" href="javascript:;"(click)="categoryEvent(26024)"&gt;{{"26024" | translate}}&lt;/a&gt;&lt;/li&gt;</v>
      </c>
    </row>
    <row r="293" spans="1:8" ht="14.25" customHeight="1">
      <c r="A293" s="2">
        <v>26026</v>
      </c>
      <c r="B293" s="2" t="s">
        <v>7846</v>
      </c>
      <c r="C293" s="2" t="s">
        <v>7847</v>
      </c>
      <c r="D293" s="169" t="str">
        <f t="shared" si="30"/>
        <v>0,25464,26018,26026</v>
      </c>
      <c r="E293" s="3" t="str">
        <f ca="1">IFERROR(__xludf.DUMMYFUNCTION("GOOGLETRANSLATE(B293,""ja"",""vi"")"),"Cube Rubik")</f>
        <v>Cube Rubik</v>
      </c>
      <c r="F293" s="3" t="str">
        <f ca="1">IFERROR(__xludf.DUMMYFUNCTION("GOOGLETRANSLATE(C293,""ja"",""vi"")"),"Đấu giá&gt; Đồ chơi, trò chơi&gt; Puzzle&gt; Cube Rubik")</f>
        <v>Đấu giá&gt; Đồ chơi, trò chơi&gt; Puzzle&gt; Cube Rubik</v>
      </c>
      <c r="G293" s="229" t="str">
        <f t="shared" ca="1" si="26"/>
        <v>"26026" : "Cube Rubik",</v>
      </c>
      <c r="H293" s="229" t="str">
        <f t="shared" si="27"/>
        <v>&lt;li class="col-md-3"&gt;&lt;a class="text-cut" href="javascript:;"(click)="categoryEvent(26026)"&gt;{{"26026" | translate}}&lt;/a&gt;&lt;/li&gt;</v>
      </c>
    </row>
    <row r="294" spans="1:8" ht="14.25" customHeight="1">
      <c r="A294" s="2">
        <v>2084019425</v>
      </c>
      <c r="B294" s="2" t="s">
        <v>7848</v>
      </c>
      <c r="C294" s="2" t="s">
        <v>7849</v>
      </c>
      <c r="D294" s="169" t="str">
        <f t="shared" si="30"/>
        <v>0,25464,26018,2084019425</v>
      </c>
      <c r="E294" s="3" t="str">
        <f ca="1">IFERROR(__xludf.DUMMYFUNCTION("GOOGLETRANSLATE(B294,""ja"",""vi"")"),"Puzzle vòng")</f>
        <v>Puzzle vòng</v>
      </c>
      <c r="F294" s="3" t="str">
        <f ca="1">IFERROR(__xludf.DUMMYFUNCTION("GOOGLETRANSLATE(C294,""ja"",""vi"")"),"Đấu giá&gt; đồ chơi, trò chơi&gt; câu đố&gt; vòng câu đố")</f>
        <v>Đấu giá&gt; đồ chơi, trò chơi&gt; câu đố&gt; vòng câu đố</v>
      </c>
      <c r="G294" s="229" t="str">
        <f t="shared" ca="1" si="26"/>
        <v>"2084019425" : "Puzzle vòng",</v>
      </c>
      <c r="H294" s="229" t="str">
        <f t="shared" si="27"/>
        <v>&lt;li class="col-md-3"&gt;&lt;a class="text-cut" href="javascript:;"(click)="categoryEvent(2084019425)"&gt;{{"2084019425" | translate}}&lt;/a&gt;&lt;/li&gt;</v>
      </c>
    </row>
    <row r="295" spans="1:8" ht="14.25" customHeight="1">
      <c r="A295" s="2">
        <v>2084019424</v>
      </c>
      <c r="B295" s="2" t="s">
        <v>7853</v>
      </c>
      <c r="C295" s="2" t="s">
        <v>7854</v>
      </c>
      <c r="D295" s="169" t="str">
        <f t="shared" si="30"/>
        <v>0,25464,26018,2084019424</v>
      </c>
      <c r="E295" s="3" t="str">
        <f ca="1">IFERROR(__xludf.DUMMYFUNCTION("GOOGLETRANSLATE(B295,""ja"",""vi"")"),"câu đố ba chiều")</f>
        <v>câu đố ba chiều</v>
      </c>
      <c r="F295" s="3" t="str">
        <f ca="1">IFERROR(__xludf.DUMMYFUNCTION("GOOGLETRANSLATE(C295,""ja"",""vi"")"),"Đấu giá&gt; đồ chơi, trò chơi&gt; câu đố&gt; câu đố ba chiều")</f>
        <v>Đấu giá&gt; đồ chơi, trò chơi&gt; câu đố&gt; câu đố ba chiều</v>
      </c>
      <c r="G295" s="229" t="str">
        <f t="shared" ca="1" si="26"/>
        <v>"2084019424" : "câu đố ba chiều",</v>
      </c>
      <c r="H295" s="229" t="str">
        <f t="shared" si="27"/>
        <v>&lt;li class="col-md-3"&gt;&lt;a class="text-cut" href="javascript:;"(click)="categoryEvent(2084019424)"&gt;{{"2084019424" | translate}}&lt;/a&gt;&lt;/li&gt;</v>
      </c>
    </row>
    <row r="296" spans="1:8" ht="14.25" customHeight="1">
      <c r="A296" s="2">
        <v>27711</v>
      </c>
      <c r="B296" s="2" t="s">
        <v>16</v>
      </c>
      <c r="C296" s="2" t="s">
        <v>7856</v>
      </c>
      <c r="D296" s="169" t="str">
        <f t="shared" si="30"/>
        <v>0,25464,26018,27711</v>
      </c>
      <c r="E296" s="3" t="str">
        <f ca="1">IFERROR(__xludf.DUMMYFUNCTION("GOOGLETRANSLATE(B296,""ja"",""vi"")"),"nếu không thì")</f>
        <v>nếu không thì</v>
      </c>
      <c r="F296" s="3" t="str">
        <f ca="1">IFERROR(__xludf.DUMMYFUNCTION("GOOGLETRANSLATE(C296,""ja"",""vi"")"),"Đấu giá&gt; đồ chơi, trò chơi&gt; câu đố&gt; Khác")</f>
        <v>Đấu giá&gt; đồ chơi, trò chơi&gt; câu đố&gt; Khác</v>
      </c>
      <c r="G296" s="229" t="str">
        <f t="shared" ca="1" si="26"/>
        <v>"27711" : "nếu không thì",</v>
      </c>
      <c r="H296" s="229" t="str">
        <f t="shared" si="27"/>
        <v>&lt;li class="col-md-3"&gt;&lt;a class="text-cut" href="javascript:;"(click)="categoryEvent(27711)"&gt;{{"27711" | translate}}&lt;/a&gt;&lt;/li&gt;</v>
      </c>
    </row>
    <row r="297" spans="1:8" ht="14.25" customHeight="1">
      <c r="E297" s="3"/>
      <c r="F297" s="3"/>
      <c r="G297" s="229"/>
      <c r="H297" s="229" t="str">
        <f t="shared" si="27"/>
        <v>&lt;li class="col-md-3"&gt;&lt;a class="text-cut" href="javascript:;"(click)="categoryEvent()"&gt;{{"" | translate}}&lt;/a&gt;&lt;/li&gt;</v>
      </c>
    </row>
    <row r="298" spans="1:8" ht="14.25" customHeight="1">
      <c r="A298" s="276">
        <v>27727</v>
      </c>
      <c r="B298" s="232"/>
      <c r="C298" s="232"/>
      <c r="D298" s="233"/>
      <c r="E298" s="3"/>
      <c r="F298" s="3"/>
      <c r="G298" s="229"/>
      <c r="H298" s="229" t="str">
        <f t="shared" si="27"/>
        <v>&lt;li class="col-md-3"&gt;&lt;a class="text-cut" href="javascript:;"(click)="categoryEvent(27727)"&gt;{{"27727" | translate}}&lt;/a&gt;&lt;/li&gt;</v>
      </c>
    </row>
    <row r="299" spans="1:8" ht="14.25" customHeight="1">
      <c r="A299" s="2">
        <v>22844</v>
      </c>
      <c r="B299" s="2" t="s">
        <v>5628</v>
      </c>
      <c r="C299" s="2" t="s">
        <v>7861</v>
      </c>
      <c r="D299" s="169" t="str">
        <f t="shared" ref="D299:D311" si="31">CONCATENATE("0,","25464,27727,",A299)</f>
        <v>0,25464,27727,22844</v>
      </c>
      <c r="E299" s="3" t="str">
        <f ca="1">IFERROR(__xludf.DUMMYFUNCTION("GOOGLETRANSLATE(B299,""ja"",""vi"")"),"Mã số trò chơi")</f>
        <v>Mã số trò chơi</v>
      </c>
      <c r="F299" s="3" t="str">
        <f ca="1">IFERROR(__xludf.DUMMYFUNCTION("GOOGLETRANSLATE(C299,""ja"",""vi"")"),"Đấu giá&gt; Đồ chơi, Trò chơi&gt; Trò chơi&gt; Video Games")</f>
        <v>Đấu giá&gt; Đồ chơi, Trò chơi&gt; Trò chơi&gt; Video Games</v>
      </c>
      <c r="G299" s="229" t="str">
        <f t="shared" ca="1" si="26"/>
        <v>"22844" : "Mã số trò chơi",</v>
      </c>
      <c r="H299" s="229" t="str">
        <f t="shared" si="27"/>
        <v>&lt;li class="col-md-3"&gt;&lt;a class="text-cut" href="javascript:;"(click)="categoryEvent(22844)"&gt;{{"22844" | translate}}&lt;/a&gt;&lt;/li&gt;</v>
      </c>
    </row>
    <row r="300" spans="1:8" ht="14.25" customHeight="1">
      <c r="A300" s="2">
        <v>2084047781</v>
      </c>
      <c r="B300" s="2" t="s">
        <v>7074</v>
      </c>
      <c r="C300" s="2" t="s">
        <v>7865</v>
      </c>
      <c r="D300" s="169" t="str">
        <f t="shared" si="31"/>
        <v>0,25464,27727,2084047781</v>
      </c>
      <c r="E300" s="3" t="str">
        <f ca="1">IFERROR(__xludf.DUMMYFUNCTION("GOOGLETRANSLATE(B300,""ja"",""vi"")"),"Arcade trò chơi")</f>
        <v>Arcade trò chơi</v>
      </c>
      <c r="F300" s="3" t="str">
        <f ca="1">IFERROR(__xludf.DUMMYFUNCTION("GOOGLETRANSLATE(C300,""ja"",""vi"")"),"Đấu giá&gt; Đồ chơi, Trò chơi&gt; Trò chơi&gt; Trò chơi")</f>
        <v>Đấu giá&gt; Đồ chơi, Trò chơi&gt; Trò chơi&gt; Trò chơi</v>
      </c>
      <c r="G300" s="229" t="str">
        <f t="shared" ca="1" si="26"/>
        <v>"2084047781" : "Arcade trò chơi",</v>
      </c>
      <c r="H300" s="229" t="str">
        <f t="shared" si="27"/>
        <v>&lt;li class="col-md-3"&gt;&lt;a class="text-cut" href="javascript:;"(click)="categoryEvent(2084047781)"&gt;{{"2084047781" | translate}}&lt;/a&gt;&lt;/li&gt;</v>
      </c>
    </row>
    <row r="301" spans="1:8" ht="14.25" customHeight="1">
      <c r="A301" s="2">
        <v>25826</v>
      </c>
      <c r="B301" s="2" t="s">
        <v>5605</v>
      </c>
      <c r="C301" s="2" t="s">
        <v>7868</v>
      </c>
      <c r="D301" s="169" t="str">
        <f t="shared" si="31"/>
        <v>0,25464,27727,25826</v>
      </c>
      <c r="E301" s="3" t="str">
        <f ca="1">IFERROR(__xludf.DUMMYFUNCTION("GOOGLETRANSLATE(B301,""ja"",""vi"")"),"Trading Card Game")</f>
        <v>Trading Card Game</v>
      </c>
      <c r="F301" s="3" t="str">
        <f ca="1">IFERROR(__xludf.DUMMYFUNCTION("GOOGLETRANSLATE(C301,""ja"",""vi"")"),"Đấu giá&gt; Đồ chơi, Trò chơi&gt; Trò chơi&gt; Card Game Thương mại")</f>
        <v>Đấu giá&gt; Đồ chơi, Trò chơi&gt; Trò chơi&gt; Card Game Thương mại</v>
      </c>
      <c r="G301" s="229" t="str">
        <f t="shared" ca="1" si="26"/>
        <v>"25826" : "Trading Card Game",</v>
      </c>
      <c r="H301" s="229" t="str">
        <f t="shared" si="27"/>
        <v>&lt;li class="col-md-3"&gt;&lt;a class="text-cut" href="javascript:;"(click)="categoryEvent(25826)"&gt;{{"25826" | translate}}&lt;/a&gt;&lt;/li&gt;</v>
      </c>
    </row>
    <row r="302" spans="1:8" ht="14.25" customHeight="1">
      <c r="A302" s="2">
        <v>2084041921</v>
      </c>
      <c r="B302" s="2" t="s">
        <v>7871</v>
      </c>
      <c r="C302" s="2" t="s">
        <v>7872</v>
      </c>
      <c r="D302" s="169" t="str">
        <f t="shared" si="31"/>
        <v>0,25464,27727,2084041921</v>
      </c>
      <c r="E302" s="3" t="str">
        <f ca="1">IFERROR(__xludf.DUMMYFUNCTION("GOOGLETRANSLATE(B302,""ja"",""vi"")"),"trò chơi thẻ")</f>
        <v>trò chơi thẻ</v>
      </c>
      <c r="F302" s="3" t="str">
        <f ca="1">IFERROR(__xludf.DUMMYFUNCTION("GOOGLETRANSLATE(C302,""ja"",""vi"")"),"Đấu giá&gt; Đồ chơi, Trò chơi&gt; Trò chơi&gt; Thẻ Games")</f>
        <v>Đấu giá&gt; Đồ chơi, Trò chơi&gt; Trò chơi&gt; Thẻ Games</v>
      </c>
      <c r="G302" s="229" t="str">
        <f t="shared" ca="1" si="26"/>
        <v>"2084041921" : "trò chơi thẻ",</v>
      </c>
      <c r="H302" s="229" t="str">
        <f t="shared" si="27"/>
        <v>&lt;li class="col-md-3"&gt;&lt;a class="text-cut" href="javascript:;"(click)="categoryEvent(2084041921)"&gt;{{"2084041921" | translate}}&lt;/a&gt;&lt;/li&gt;</v>
      </c>
    </row>
    <row r="303" spans="1:8" ht="14.25" customHeight="1">
      <c r="A303" s="2">
        <v>2084045587</v>
      </c>
      <c r="B303" s="2" t="s">
        <v>7875</v>
      </c>
      <c r="C303" s="2" t="s">
        <v>7876</v>
      </c>
      <c r="D303" s="169" t="str">
        <f t="shared" si="31"/>
        <v>0,25464,27727,2084045587</v>
      </c>
      <c r="E303" s="3" t="str">
        <f ca="1">IFERROR(__xludf.DUMMYFUNCTION("GOOGLETRANSLATE(B303,""ja"",""vi"")"),"TRPG")</f>
        <v>TRPG</v>
      </c>
      <c r="F303" s="3" t="str">
        <f ca="1">IFERROR(__xludf.DUMMYFUNCTION("GOOGLETRANSLATE(C303,""ja"",""vi"")"),"Đấu giá&gt; Đồ chơi, trò chơi&gt; Trò chơi&gt; TRPG")</f>
        <v>Đấu giá&gt; Đồ chơi, trò chơi&gt; Trò chơi&gt; TRPG</v>
      </c>
      <c r="G303" s="229" t="str">
        <f t="shared" ca="1" si="26"/>
        <v>"2084045587" : "TRPG",</v>
      </c>
      <c r="H303" s="229" t="str">
        <f t="shared" si="27"/>
        <v>&lt;li class="col-md-3"&gt;&lt;a class="text-cut" href="javascript:;"(click)="categoryEvent(2084045587)"&gt;{{"2084045587" | translate}}&lt;/a&gt;&lt;/li&gt;</v>
      </c>
    </row>
    <row r="304" spans="1:8" ht="14.25" customHeight="1">
      <c r="A304" s="2">
        <v>25824</v>
      </c>
      <c r="B304" s="2" t="s">
        <v>7879</v>
      </c>
      <c r="C304" s="2" t="s">
        <v>7880</v>
      </c>
      <c r="D304" s="169" t="str">
        <f t="shared" si="31"/>
        <v>0,25464,27727,25824</v>
      </c>
      <c r="E304" s="3" t="str">
        <f ca="1">IFERROR(__xludf.DUMMYFUNCTION("GOOGLETRANSLATE(B304,""ja"",""vi"")"),"Hội đồng quản trị trò chơi")</f>
        <v>Hội đồng quản trị trò chơi</v>
      </c>
      <c r="F304" s="3" t="str">
        <f ca="1">IFERROR(__xludf.DUMMYFUNCTION("GOOGLETRANSLATE(C304,""ja"",""vi"")"),"Đấu giá&gt; Đồ chơi, Trò chơi&gt; Trò chơi&gt; Ban Trò chơi")</f>
        <v>Đấu giá&gt; Đồ chơi, Trò chơi&gt; Trò chơi&gt; Ban Trò chơi</v>
      </c>
      <c r="G304" s="229" t="str">
        <f t="shared" ca="1" si="26"/>
        <v>"25824" : "Hội đồng quản trị trò chơi",</v>
      </c>
      <c r="H304" s="229" t="str">
        <f t="shared" si="27"/>
        <v>&lt;li class="col-md-3"&gt;&lt;a class="text-cut" href="javascript:;"(click)="categoryEvent(25824)"&gt;{{"25824" | translate}}&lt;/a&gt;&lt;/li&gt;</v>
      </c>
    </row>
    <row r="305" spans="1:8" ht="14.25" customHeight="1">
      <c r="A305" s="2">
        <v>25856</v>
      </c>
      <c r="B305" s="2" t="s">
        <v>6509</v>
      </c>
      <c r="C305" s="2" t="s">
        <v>7883</v>
      </c>
      <c r="D305" s="169" t="str">
        <f t="shared" si="31"/>
        <v>0,25464,27727,25856</v>
      </c>
      <c r="E305" s="3" t="str">
        <f ca="1">IFERROR(__xludf.DUMMYFUNCTION("GOOGLETRANSLATE(B305,""ja"",""vi"")"),"phi tiêu")</f>
        <v>phi tiêu</v>
      </c>
      <c r="F305" s="3" t="str">
        <f ca="1">IFERROR(__xludf.DUMMYFUNCTION("GOOGLETRANSLATE(C305,""ja"",""vi"")"),"Đấu giá&gt; Đồ chơi, Trò chơi&gt; Trò chơi&gt; Darts")</f>
        <v>Đấu giá&gt; Đồ chơi, Trò chơi&gt; Trò chơi&gt; Darts</v>
      </c>
      <c r="G305" s="229" t="str">
        <f t="shared" ca="1" si="26"/>
        <v>"25856" : "phi tiêu",</v>
      </c>
      <c r="H305" s="229" t="str">
        <f t="shared" si="27"/>
        <v>&lt;li class="col-md-3"&gt;&lt;a class="text-cut" href="javascript:;"(click)="categoryEvent(25856)"&gt;{{"25856" | translate}}&lt;/a&gt;&lt;/li&gt;</v>
      </c>
    </row>
    <row r="306" spans="1:8" ht="14.25" customHeight="1">
      <c r="A306" s="2">
        <v>25204</v>
      </c>
      <c r="B306" s="2" t="s">
        <v>6567</v>
      </c>
      <c r="C306" s="2" t="s">
        <v>7885</v>
      </c>
      <c r="D306" s="169" t="str">
        <f t="shared" si="31"/>
        <v>0,25464,27727,25204</v>
      </c>
      <c r="E306" s="3" t="str">
        <f ca="1">IFERROR(__xludf.DUMMYFUNCTION("GOOGLETRANSLATE(B306,""ja"",""vi"")"),"bida")</f>
        <v>bida</v>
      </c>
      <c r="F306" s="3" t="str">
        <f ca="1">IFERROR(__xludf.DUMMYFUNCTION("GOOGLETRANSLATE(C306,""ja"",""vi"")"),"Đấu giá&gt; Đồ chơi, Trò chơi&gt; Trò chơi&gt; Billiards")</f>
        <v>Đấu giá&gt; Đồ chơi, Trò chơi&gt; Trò chơi&gt; Billiards</v>
      </c>
      <c r="G306" s="229" t="str">
        <f t="shared" ca="1" si="26"/>
        <v>"25204" : "bida",</v>
      </c>
      <c r="H306" s="229" t="str">
        <f t="shared" si="27"/>
        <v>&lt;li class="col-md-3"&gt;&lt;a class="text-cut" href="javascript:;"(click)="categoryEvent(25204)"&gt;{{"25204" | translate}}&lt;/a&gt;&lt;/li&gt;</v>
      </c>
    </row>
    <row r="307" spans="1:8" ht="14.25" customHeight="1">
      <c r="A307" s="2">
        <v>2084036422</v>
      </c>
      <c r="B307" s="2" t="s">
        <v>7888</v>
      </c>
      <c r="C307" s="2" t="s">
        <v>7889</v>
      </c>
      <c r="D307" s="169" t="str">
        <f t="shared" si="31"/>
        <v>0,25464,27727,2084036422</v>
      </c>
      <c r="E307" s="3" t="str">
        <f ca="1">IFERROR(__xludf.DUMMYFUNCTION("GOOGLETRANSLATE(B307,""ja"",""vi"")"),"chơi lô tô")</f>
        <v>chơi lô tô</v>
      </c>
      <c r="F307" s="3" t="str">
        <f ca="1">IFERROR(__xludf.DUMMYFUNCTION("GOOGLETRANSLATE(C307,""ja"",""vi"")"),"Đấu giá&gt; Đồ chơi, Trò chơi&gt; Trò chơi&gt; Bingo")</f>
        <v>Đấu giá&gt; Đồ chơi, Trò chơi&gt; Trò chơi&gt; Bingo</v>
      </c>
      <c r="G307" s="229" t="str">
        <f t="shared" ca="1" si="26"/>
        <v>"2084036422" : "chơi lô tô",</v>
      </c>
      <c r="H307" s="229" t="str">
        <f t="shared" si="27"/>
        <v>&lt;li class="col-md-3"&gt;&lt;a class="text-cut" href="javascript:;"(click)="categoryEvent(2084036422)"&gt;{{"2084036422" | translate}}&lt;/a&gt;&lt;/li&gt;</v>
      </c>
    </row>
    <row r="308" spans="1:8" ht="14.25" customHeight="1">
      <c r="A308" s="2">
        <v>2084036423</v>
      </c>
      <c r="B308" s="2" t="s">
        <v>7891</v>
      </c>
      <c r="C308" s="2" t="s">
        <v>7892</v>
      </c>
      <c r="D308" s="169" t="str">
        <f t="shared" si="31"/>
        <v>0,25464,27727,2084036423</v>
      </c>
      <c r="E308" s="3" t="str">
        <f ca="1">IFERROR(__xludf.DUMMYFUNCTION("GOOGLETRANSLATE(B308,""ja"",""vi"")"),"Mah-jongg")</f>
        <v>Mah-jongg</v>
      </c>
      <c r="F308" s="3" t="str">
        <f ca="1">IFERROR(__xludf.DUMMYFUNCTION("GOOGLETRANSLATE(C308,""ja"",""vi"")"),"Đấu giá&gt; Đồ chơi, Trò chơi&gt; Trò chơi&gt; Mahjong")</f>
        <v>Đấu giá&gt; Đồ chơi, Trò chơi&gt; Trò chơi&gt; Mahjong</v>
      </c>
      <c r="G308" s="229" t="str">
        <f t="shared" ca="1" si="26"/>
        <v>"2084036423" : "Mah-jongg",</v>
      </c>
      <c r="H308" s="229" t="str">
        <f t="shared" si="27"/>
        <v>&lt;li class="col-md-3"&gt;&lt;a class="text-cut" href="javascript:;"(click)="categoryEvent(2084036423)"&gt;{{"2084036423" | translate}}&lt;/a&gt;&lt;/li&gt;</v>
      </c>
    </row>
    <row r="309" spans="1:8" ht="14.25" customHeight="1">
      <c r="A309" s="2">
        <v>2084036424</v>
      </c>
      <c r="B309" s="2" t="s">
        <v>7893</v>
      </c>
      <c r="C309" s="2" t="s">
        <v>7894</v>
      </c>
      <c r="D309" s="169" t="str">
        <f t="shared" si="31"/>
        <v>0,25464,27727,2084036424</v>
      </c>
      <c r="E309" s="3" t="str">
        <f ca="1">IFERROR(__xludf.DUMMYFUNCTION("GOOGLETRANSLATE(B309,""ja"",""vi"")"),"Ponjan, Donjara")</f>
        <v>Ponjan, Donjara</v>
      </c>
      <c r="F309" s="3" t="str">
        <f ca="1">IFERROR(__xludf.DUMMYFUNCTION("GOOGLETRANSLATE(C309,""ja"",""vi"")"),"Đấu giá&gt; Đồ chơi, Trò chơi&gt; Trò chơi&gt; ponjan, Donjara")</f>
        <v>Đấu giá&gt; Đồ chơi, Trò chơi&gt; Trò chơi&gt; ponjan, Donjara</v>
      </c>
      <c r="G309" s="229" t="str">
        <f t="shared" ca="1" si="26"/>
        <v>"2084036424" : "Ponjan, Donjara",</v>
      </c>
      <c r="H309" s="229" t="str">
        <f t="shared" si="27"/>
        <v>&lt;li class="col-md-3"&gt;&lt;a class="text-cut" href="javascript:;"(click)="categoryEvent(2084036424)"&gt;{{"2084036424" | translate}}&lt;/a&gt;&lt;/li&gt;</v>
      </c>
    </row>
    <row r="310" spans="1:8" ht="14.25" customHeight="1">
      <c r="A310" s="2">
        <v>25854</v>
      </c>
      <c r="B310" s="2" t="s">
        <v>7897</v>
      </c>
      <c r="C310" s="2" t="s">
        <v>7898</v>
      </c>
      <c r="D310" s="169" t="str">
        <f t="shared" si="31"/>
        <v>0,25464,27727,25854</v>
      </c>
      <c r="E310" s="3" t="str">
        <f ca="1">IFERROR(__xludf.DUMMYFUNCTION("GOOGLETRANSLATE(B310,""ja"",""vi"")"),"huy chương trò chơi")</f>
        <v>huy chương trò chơi</v>
      </c>
      <c r="F310" s="3" t="str">
        <f ca="1">IFERROR(__xludf.DUMMYFUNCTION("GOOGLETRANSLATE(C310,""ja"",""vi"")"),"Đấu giá&gt; Đồ chơi, Trò chơi&gt; Trò chơi&gt; Trò chơi huy chương")</f>
        <v>Đấu giá&gt; Đồ chơi, Trò chơi&gt; Trò chơi&gt; Trò chơi huy chương</v>
      </c>
      <c r="G310" s="229" t="str">
        <f t="shared" ca="1" si="26"/>
        <v>"25854" : "huy chương trò chơi",</v>
      </c>
      <c r="H310" s="229" t="str">
        <f t="shared" si="27"/>
        <v>&lt;li class="col-md-3"&gt;&lt;a class="text-cut" href="javascript:;"(click)="categoryEvent(25854)"&gt;{{"25854" | translate}}&lt;/a&gt;&lt;/li&gt;</v>
      </c>
    </row>
    <row r="311" spans="1:8" ht="14.25" customHeight="1">
      <c r="A311" s="2">
        <v>2084307787</v>
      </c>
      <c r="B311" s="2" t="s">
        <v>6923</v>
      </c>
      <c r="C311" s="2" t="s">
        <v>7900</v>
      </c>
      <c r="D311" s="169" t="str">
        <f t="shared" si="31"/>
        <v>0,25464,27727,2084307787</v>
      </c>
      <c r="E311" s="3" t="str">
        <f ca="1">IFERROR(__xludf.DUMMYFUNCTION("GOOGLETRANSLATE(B311,""ja"",""vi"")"),"cho thuê trò chơi")</f>
        <v>cho thuê trò chơi</v>
      </c>
      <c r="F311" s="3" t="str">
        <f ca="1">IFERROR(__xludf.DUMMYFUNCTION("GOOGLETRANSLATE(C311,""ja"",""vi"")"),"Đấu giá&gt; Đồ chơi, trò chơi&gt; Trò chơi&gt; thuê trò chơi")</f>
        <v>Đấu giá&gt; Đồ chơi, trò chơi&gt; Trò chơi&gt; thuê trò chơi</v>
      </c>
      <c r="G311" s="229" t="str">
        <f t="shared" ca="1" si="26"/>
        <v>"2084307787" : "cho thuê trò chơi",</v>
      </c>
      <c r="H311" s="229" t="str">
        <f t="shared" si="27"/>
        <v>&lt;li class="col-md-3"&gt;&lt;a class="text-cut" href="javascript:;"(click)="categoryEvent(2084307787)"&gt;{{"2084307787" | translate}}&lt;/a&gt;&lt;/li&gt;</v>
      </c>
    </row>
    <row r="312" spans="1:8" ht="14.25" customHeight="1">
      <c r="E312" s="3"/>
      <c r="F312" s="3"/>
      <c r="G312" s="229"/>
      <c r="H312" s="229"/>
    </row>
    <row r="313" spans="1:8" ht="14.25" customHeight="1">
      <c r="A313" s="287">
        <v>24382</v>
      </c>
      <c r="B313" s="232"/>
      <c r="C313" s="232"/>
      <c r="D313" s="233"/>
      <c r="E313" s="3"/>
      <c r="F313" s="3"/>
      <c r="G313" s="229"/>
      <c r="H313" s="229"/>
    </row>
    <row r="314" spans="1:8" ht="14.25" customHeight="1">
      <c r="A314" s="2">
        <v>2084059851</v>
      </c>
      <c r="B314" s="2" t="s">
        <v>7906</v>
      </c>
      <c r="C314" s="2" t="s">
        <v>7907</v>
      </c>
      <c r="D314" s="169" t="str">
        <f t="shared" ref="D314:D315" si="32">CONCATENATE("0,","25464,24382,",A314)</f>
        <v>0,25464,24382,2084059851</v>
      </c>
      <c r="E314" s="3" t="str">
        <f ca="1">IFERROR(__xludf.DUMMYFUNCTION("GOOGLETRANSLATE(B314,""ja"",""vi"")"),"ma thuật")</f>
        <v>ma thuật</v>
      </c>
      <c r="F314" s="3" t="str">
        <f ca="1">IFERROR(__xludf.DUMMYFUNCTION("GOOGLETRANSLATE(C314,""ja"",""vi"")"),"Đấu giá&gt; Đồ chơi, trò chơi&gt; thủ đoạn ma thuật, hàng hóa bên&gt; kỳ diệu")</f>
        <v>Đấu giá&gt; Đồ chơi, trò chơi&gt; thủ đoạn ma thuật, hàng hóa bên&gt; kỳ diệu</v>
      </c>
      <c r="G314" s="229" t="str">
        <f t="shared" ca="1" si="26"/>
        <v>"2084059851" : "ma thuật",</v>
      </c>
      <c r="H314" s="229" t="str">
        <f t="shared" si="27"/>
        <v>&lt;li class="col-md-3"&gt;&lt;a class="text-cut" href="javascript:;"(click)="categoryEvent(2084059851)"&gt;{{"2084059851" | translate}}&lt;/a&gt;&lt;/li&gt;</v>
      </c>
    </row>
    <row r="315" spans="1:8" ht="14.25" customHeight="1">
      <c r="A315" s="2">
        <v>2084059852</v>
      </c>
      <c r="B315" s="2" t="s">
        <v>7913</v>
      </c>
      <c r="C315" s="2" t="s">
        <v>7914</v>
      </c>
      <c r="D315" s="169" t="str">
        <f t="shared" si="32"/>
        <v>0,25464,24382,2084059852</v>
      </c>
      <c r="E315" s="3" t="str">
        <f ca="1">IFERROR(__xludf.DUMMYFUNCTION("GOOGLETRANSLATE(B315,""ja"",""vi"")"),"hàng hóa Đảng")</f>
        <v>hàng hóa Đảng</v>
      </c>
      <c r="F315" s="3" t="str">
        <f ca="1">IFERROR(__xludf.DUMMYFUNCTION("GOOGLETRANSLATE(C315,""ja"",""vi"")"),"Đấu giá&gt; Đồ chơi, trò chơi&gt; thủ đoạn ma thuật, bên hàng&gt; hàng bên")</f>
        <v>Đấu giá&gt; Đồ chơi, trò chơi&gt; thủ đoạn ma thuật, bên hàng&gt; hàng bên</v>
      </c>
      <c r="G315" s="229" t="str">
        <f t="shared" ca="1" si="26"/>
        <v>"2084059852" : "hàng hóa Đảng",</v>
      </c>
      <c r="H315" s="229" t="str">
        <f t="shared" si="27"/>
        <v>&lt;li class="col-md-3"&gt;&lt;a class="text-cut" href="javascript:;"(click)="categoryEvent(2084059852)"&gt;{{"2084059852" | translate}}&lt;/a&gt;&lt;/li&gt;</v>
      </c>
    </row>
    <row r="316" spans="1:8" ht="14.25" customHeight="1">
      <c r="D316" s="173"/>
      <c r="E316" s="3"/>
      <c r="F316" s="3"/>
      <c r="G316" s="229"/>
      <c r="H316" s="229"/>
    </row>
    <row r="317" spans="1:8" ht="14.25" customHeight="1">
      <c r="A317" s="247">
        <v>40510</v>
      </c>
      <c r="B317" s="232"/>
      <c r="C317" s="232"/>
      <c r="D317" s="233"/>
      <c r="E317" s="3"/>
      <c r="F317" s="3"/>
      <c r="G317" s="229"/>
      <c r="H317" s="229"/>
    </row>
    <row r="318" spans="1:8" ht="14.25" customHeight="1">
      <c r="A318" s="2">
        <v>40516</v>
      </c>
      <c r="B318" s="2" t="s">
        <v>7918</v>
      </c>
      <c r="C318" s="2" t="s">
        <v>7920</v>
      </c>
      <c r="D318" s="169" t="str">
        <f t="shared" ref="D318:D323" si="33">CONCATENATE("0,","25464,40510,",A318)</f>
        <v>0,25464,40510,40516</v>
      </c>
      <c r="E318" s="3" t="str">
        <f ca="1">IFERROR(__xludf.DUMMYFUNCTION("GOOGLETRANSLATE(B318,""ja"",""vi"")"),"LEGO")</f>
        <v>LEGO</v>
      </c>
      <c r="F318" s="3" t="str">
        <f ca="1">IFERROR(__xludf.DUMMYFUNCTION("GOOGLETRANSLATE(C318,""ja"",""vi"")"),"Đấu giá&gt; đồ chơi, trò chơi&gt; khối, các khối xây dựng&gt; LEGO")</f>
        <v>Đấu giá&gt; đồ chơi, trò chơi&gt; khối, các khối xây dựng&gt; LEGO</v>
      </c>
      <c r="G318" s="229" t="str">
        <f t="shared" ca="1" si="26"/>
        <v>"40516" : "LEGO",</v>
      </c>
      <c r="H318" s="229" t="str">
        <f t="shared" si="27"/>
        <v>&lt;li class="col-md-3"&gt;&lt;a class="text-cut" href="javascript:;"(click)="categoryEvent(40516)"&gt;{{"40516" | translate}}&lt;/a&gt;&lt;/li&gt;</v>
      </c>
    </row>
    <row r="319" spans="1:8" ht="14.25" customHeight="1">
      <c r="A319" s="2">
        <v>2084048015</v>
      </c>
      <c r="B319" s="2" t="s">
        <v>7921</v>
      </c>
      <c r="C319" s="2" t="s">
        <v>7922</v>
      </c>
      <c r="D319" s="169" t="str">
        <f t="shared" si="33"/>
        <v>0,25464,40510,2084048015</v>
      </c>
      <c r="E319" s="3" t="str">
        <f ca="1">IFERROR(__xludf.DUMMYFUNCTION("GOOGLETRANSLATE(B319,""ja"",""vi"")"),"Kubrick, gạch trần")</f>
        <v>Kubrick, gạch trần</v>
      </c>
      <c r="F319" s="3" t="str">
        <f ca="1">IFERROR(__xludf.DUMMYFUNCTION("GOOGLETRANSLATE(C319,""ja"",""vi"")"),"Đấu giá&gt; đồ chơi, trò chơi&gt; khối, các khối xây dựng&gt; Kubrick, Gấu Gạch")</f>
        <v>Đấu giá&gt; đồ chơi, trò chơi&gt; khối, các khối xây dựng&gt; Kubrick, Gấu Gạch</v>
      </c>
      <c r="G319" s="229" t="str">
        <f t="shared" ca="1" si="26"/>
        <v>"2084048015" : "Kubrick, gạch trần",</v>
      </c>
      <c r="H319" s="229" t="str">
        <f t="shared" si="27"/>
        <v>&lt;li class="col-md-3"&gt;&lt;a class="text-cut" href="javascript:;"(click)="categoryEvent(2084048015)"&gt;{{"2084048015" | translate}}&lt;/a&gt;&lt;/li&gt;</v>
      </c>
    </row>
    <row r="320" spans="1:8" ht="14.25" customHeight="1">
      <c r="A320" s="2">
        <v>40514</v>
      </c>
      <c r="B320" s="2" t="s">
        <v>7925</v>
      </c>
      <c r="C320" s="2" t="s">
        <v>7927</v>
      </c>
      <c r="D320" s="169" t="str">
        <f t="shared" si="33"/>
        <v>0,25464,40510,40514</v>
      </c>
      <c r="E320" s="3" t="str">
        <f ca="1">IFERROR(__xludf.DUMMYFUNCTION("GOOGLETRANSLATE(B320,""ja"",""vi"")"),"khối")</f>
        <v>khối</v>
      </c>
      <c r="F320" s="3" t="str">
        <f ca="1">IFERROR(__xludf.DUMMYFUNCTION("GOOGLETRANSLATE(C320,""ja"",""vi"")"),"Đấu giá&gt; đồ chơi, trò chơi&gt; khối, các khối xây dựng&gt; khối")</f>
        <v>Đấu giá&gt; đồ chơi, trò chơi&gt; khối, các khối xây dựng&gt; khối</v>
      </c>
      <c r="G320" s="229" t="str">
        <f t="shared" ca="1" si="26"/>
        <v>"40514" : "khối",</v>
      </c>
      <c r="H320" s="229" t="str">
        <f t="shared" si="27"/>
        <v>&lt;li class="col-md-3"&gt;&lt;a class="text-cut" href="javascript:;"(click)="categoryEvent(40514)"&gt;{{"40514" | translate}}&lt;/a&gt;&lt;/li&gt;</v>
      </c>
    </row>
    <row r="321" spans="1:8" ht="14.25" customHeight="1">
      <c r="A321" s="2">
        <v>2084005502</v>
      </c>
      <c r="B321" s="2" t="s">
        <v>7928</v>
      </c>
      <c r="C321" s="2" t="s">
        <v>7930</v>
      </c>
      <c r="D321" s="169" t="str">
        <f t="shared" si="33"/>
        <v>0,25464,40510,2084005502</v>
      </c>
      <c r="E321" s="3" t="str">
        <f ca="1">IFERROR(__xludf.DUMMYFUNCTION("GOOGLETRANSLATE(B321,""ja"",""vi"")"),"Playmobil")</f>
        <v>Playmobil</v>
      </c>
      <c r="F321" s="3" t="str">
        <f ca="1">IFERROR(__xludf.DUMMYFUNCTION("GOOGLETRANSLATE(C321,""ja"",""vi"")"),"Đấu giá&gt; đồ chơi, trò chơi&gt; khối, các khối xây dựng&gt; Playmobil")</f>
        <v>Đấu giá&gt; đồ chơi, trò chơi&gt; khối, các khối xây dựng&gt; Playmobil</v>
      </c>
      <c r="G321" s="229" t="str">
        <f t="shared" ca="1" si="26"/>
        <v>"2084005502" : "Playmobil",</v>
      </c>
      <c r="H321" s="229" t="str">
        <f t="shared" si="27"/>
        <v>&lt;li class="col-md-3"&gt;&lt;a class="text-cut" href="javascript:;"(click)="categoryEvent(2084005502)"&gt;{{"2084005502" | translate}}&lt;/a&gt;&lt;/li&gt;</v>
      </c>
    </row>
    <row r="322" spans="1:8" ht="14.25" customHeight="1">
      <c r="A322" s="2">
        <v>2084023884</v>
      </c>
      <c r="B322" s="2" t="s">
        <v>7933</v>
      </c>
      <c r="C322" s="2" t="s">
        <v>7934</v>
      </c>
      <c r="D322" s="169" t="str">
        <f t="shared" si="33"/>
        <v>0,25464,40510,2084023884</v>
      </c>
      <c r="E322" s="3" t="str">
        <f ca="1">IFERROR(__xludf.DUMMYFUNCTION("GOOGLETRANSLATE(B322,""ja"",""vi"")"),"khối đồ chơi")</f>
        <v>khối đồ chơi</v>
      </c>
      <c r="F322" s="3" t="str">
        <f ca="1">IFERROR(__xludf.DUMMYFUNCTION("GOOGLETRANSLATE(C322,""ja"",""vi"")"),"Đấu giá&gt; đồ chơi, trò chơi&gt; khối, các khối xây dựng&gt; khối xây dựng")</f>
        <v>Đấu giá&gt; đồ chơi, trò chơi&gt; khối, các khối xây dựng&gt; khối xây dựng</v>
      </c>
      <c r="G322" s="229" t="str">
        <f t="shared" ca="1" si="26"/>
        <v>"2084023884" : "khối đồ chơi",</v>
      </c>
      <c r="H322" s="229" t="str">
        <f t="shared" si="27"/>
        <v>&lt;li class="col-md-3"&gt;&lt;a class="text-cut" href="javascript:;"(click)="categoryEvent(2084023884)"&gt;{{"2084023884" | translate}}&lt;/a&gt;&lt;/li&gt;</v>
      </c>
    </row>
    <row r="323" spans="1:8" ht="14.25" customHeight="1">
      <c r="A323" s="2">
        <v>40515</v>
      </c>
      <c r="B323" s="2" t="s">
        <v>16</v>
      </c>
      <c r="C323" s="2" t="s">
        <v>7937</v>
      </c>
      <c r="D323" s="169" t="str">
        <f t="shared" si="33"/>
        <v>0,25464,40510,40515</v>
      </c>
      <c r="E323" s="3" t="str">
        <f ca="1">IFERROR(__xludf.DUMMYFUNCTION("GOOGLETRANSLATE(B323,""ja"",""vi"")"),"nếu không thì")</f>
        <v>nếu không thì</v>
      </c>
      <c r="F323" s="3" t="str">
        <f ca="1">IFERROR(__xludf.DUMMYFUNCTION("GOOGLETRANSLATE(C323,""ja"",""vi"")"),"Đấu giá&gt; đồ chơi, trò chơi&gt; khối, các khối xây dựng&gt; Khác")</f>
        <v>Đấu giá&gt; đồ chơi, trò chơi&gt; khối, các khối xây dựng&gt; Khác</v>
      </c>
      <c r="G323" s="229" t="str">
        <f t="shared" ref="G323:G386" ca="1" si="34">CONCATENATE(CHAR(34)&amp;"",A323,""&amp;CHAR(34)," : ", CHAR(34)&amp;"",E323,""&amp;CHAR(34),",")</f>
        <v>"40515" : "nếu không thì",</v>
      </c>
      <c r="H323" s="229" t="str">
        <f t="shared" ref="H323:H386" si="35">CONCATENATE("&lt;li class=",CHAR(34)&amp;"","col-md-3",""&amp;CHAR(34),"&gt;","&lt;a class=",CHAR(34)&amp;"","text-cut",""&amp;CHAR(34)," href=",CHAR(34)&amp;"","javascript:;",""&amp;CHAR(34), "(click)=",CHAR(34)&amp;"","categoryEvent(",A323,")",""&amp;CHAR(34),"&gt;{{",CHAR(34)&amp;"",A323,""&amp;CHAR(34)," | translate}}&lt;/a&gt;&lt;/li&gt;")</f>
        <v>&lt;li class="col-md-3"&gt;&lt;a class="text-cut" href="javascript:;"(click)="categoryEvent(40515)"&gt;{{"40515" | translate}}&lt;/a&gt;&lt;/li&gt;</v>
      </c>
    </row>
    <row r="324" spans="1:8" ht="14.25" customHeight="1">
      <c r="E324" s="3"/>
      <c r="F324" s="3"/>
      <c r="G324" s="229"/>
      <c r="H324" s="229"/>
    </row>
    <row r="325" spans="1:8" ht="14.25" customHeight="1">
      <c r="A325" s="286">
        <v>2084041892</v>
      </c>
      <c r="B325" s="232"/>
      <c r="C325" s="232"/>
      <c r="D325" s="233"/>
      <c r="E325" s="3"/>
      <c r="F325" s="3"/>
      <c r="G325" s="229"/>
      <c r="H325" s="229"/>
    </row>
    <row r="326" spans="1:8" ht="14.25" customHeight="1">
      <c r="A326" s="2">
        <v>2084041893</v>
      </c>
      <c r="B326" s="2" t="s">
        <v>1842</v>
      </c>
      <c r="C326" s="2" t="s">
        <v>7943</v>
      </c>
      <c r="D326" s="169" t="str">
        <f t="shared" ref="D326:D327" si="36">CONCATENATE("0,","25464,2084041892,",A326)</f>
        <v>0,25464,2084041892,2084041893</v>
      </c>
      <c r="E326" s="3" t="str">
        <f ca="1">IFERROR(__xludf.DUMMYFUNCTION("GOOGLETRANSLATE(B326,""ja"",""vi"")"),"chung")</f>
        <v>chung</v>
      </c>
      <c r="F326" s="3" t="str">
        <f ca="1">IFERROR(__xludf.DUMMYFUNCTION("GOOGLETRANSLATE(C326,""ja"",""vi"")"),"Đấu giá&gt; Đồ chơi, trò chơi&gt; frame&gt; chung")</f>
        <v>Đấu giá&gt; Đồ chơi, trò chơi&gt; frame&gt; chung</v>
      </c>
      <c r="G326" s="229" t="str">
        <f t="shared" ca="1" si="34"/>
        <v>"2084041893" : "chung",</v>
      </c>
      <c r="H326" s="229" t="str">
        <f t="shared" si="35"/>
        <v>&lt;li class="col-md-3"&gt;&lt;a class="text-cut" href="javascript:;"(click)="categoryEvent(2084041893)"&gt;{{"2084041893" | translate}}&lt;/a&gt;&lt;/li&gt;</v>
      </c>
    </row>
    <row r="327" spans="1:8" ht="14.25" customHeight="1">
      <c r="A327" s="2">
        <v>2084041894</v>
      </c>
      <c r="B327" s="2" t="s">
        <v>7946</v>
      </c>
      <c r="C327" s="2" t="s">
        <v>7948</v>
      </c>
      <c r="D327" s="169" t="str">
        <f t="shared" si="36"/>
        <v>0,25464,2084041892,2084041894</v>
      </c>
      <c r="E327" s="3" t="str">
        <f ca="1">IFERROR(__xludf.DUMMYFUNCTION("GOOGLETRANSLATE(B327,""ja"",""vi"")"),"Beyblade")</f>
        <v>Beyblade</v>
      </c>
      <c r="F327" s="3" t="str">
        <f ca="1">IFERROR(__xludf.DUMMYFUNCTION("GOOGLETRANSLATE(C327,""ja"",""vi"")"),"Đấu giá&gt; Đồ chơi, trò chơi&gt; frame&gt; Beyblade")</f>
        <v>Đấu giá&gt; Đồ chơi, trò chơi&gt; frame&gt; Beyblade</v>
      </c>
      <c r="G327" s="229" t="str">
        <f t="shared" ca="1" si="34"/>
        <v>"2084041894" : "Beyblade",</v>
      </c>
      <c r="H327" s="229" t="str">
        <f t="shared" si="35"/>
        <v>&lt;li class="col-md-3"&gt;&lt;a class="text-cut" href="javascript:;"(click)="categoryEvent(2084041894)"&gt;{{"2084041894" | translate}}&lt;/a&gt;&lt;/li&gt;</v>
      </c>
    </row>
    <row r="328" spans="1:8" ht="14.25" customHeight="1">
      <c r="E328" s="3"/>
      <c r="F328" s="3"/>
      <c r="G328" s="229"/>
      <c r="H328" s="229"/>
    </row>
    <row r="329" spans="1:8" ht="14.25" customHeight="1">
      <c r="A329" s="280">
        <v>2084007247</v>
      </c>
      <c r="B329" s="232"/>
      <c r="C329" s="232"/>
      <c r="D329" s="233"/>
      <c r="E329" s="3"/>
      <c r="F329" s="3"/>
      <c r="G329" s="229"/>
      <c r="H329" s="229"/>
    </row>
    <row r="330" spans="1:8" ht="14.25" customHeight="1">
      <c r="A330" s="2">
        <v>2084024150</v>
      </c>
      <c r="B330" s="2" t="s">
        <v>595</v>
      </c>
      <c r="C330" s="2" t="s">
        <v>596</v>
      </c>
      <c r="D330" s="169" t="str">
        <f t="shared" ref="D330:D337" si="37">CONCATENATE("0,","25464,2084007247,",A330)</f>
        <v>0,25464,2084007247,2084024150</v>
      </c>
      <c r="E330" s="3" t="str">
        <f ca="1">IFERROR(__xludf.DUMMYFUNCTION("GOOGLETRANSLATE(B330,""ja"",""vi"")"),"đồ chơi Ofuro")</f>
        <v>đồ chơi Ofuro</v>
      </c>
      <c r="F330" s="3" t="str">
        <f ca="1">IFERROR(__xludf.DUMMYFUNCTION("GOOGLETRANSLATE(C330,""ja"",""vi"")"),"Đấu giá&gt; đồ chơi, trò chơi&gt; để bé&gt; Ofuro đồ chơi")</f>
        <v>Đấu giá&gt; đồ chơi, trò chơi&gt; để bé&gt; Ofuro đồ chơi</v>
      </c>
      <c r="G330" s="229" t="str">
        <f t="shared" ca="1" si="34"/>
        <v>"2084024150" : "đồ chơi Ofuro",</v>
      </c>
      <c r="H330" s="229" t="str">
        <f t="shared" si="35"/>
        <v>&lt;li class="col-md-3"&gt;&lt;a class="text-cut" href="javascript:;"(click)="categoryEvent(2084024150)"&gt;{{"2084024150" | translate}}&lt;/a&gt;&lt;/li&gt;</v>
      </c>
    </row>
    <row r="331" spans="1:8" ht="14.25" customHeight="1">
      <c r="A331" s="2">
        <v>2084024147</v>
      </c>
      <c r="B331" s="2" t="s">
        <v>604</v>
      </c>
      <c r="C331" s="2" t="s">
        <v>605</v>
      </c>
      <c r="D331" s="169" t="str">
        <f t="shared" si="37"/>
        <v>0,25464,2084007247,2084024147</v>
      </c>
      <c r="E331" s="3" t="str">
        <f ca="1">IFERROR(__xludf.DUMMYFUNCTION("GOOGLETRANSLATE(B331,""ja"",""vi"")"),"Clattering")</f>
        <v>Clattering</v>
      </c>
      <c r="F331" s="3" t="str">
        <f ca="1">IFERROR(__xludf.DUMMYFUNCTION("GOOGLETRANSLATE(C331,""ja"",""vi"")"),"Đấu giá&gt; Đồ chơi, trò chơi&gt; Baby&gt; rattle")</f>
        <v>Đấu giá&gt; Đồ chơi, trò chơi&gt; Baby&gt; rattle</v>
      </c>
      <c r="G331" s="229" t="str">
        <f t="shared" ca="1" si="34"/>
        <v>"2084024147" : "Clattering",</v>
      </c>
      <c r="H331" s="229" t="str">
        <f t="shared" si="35"/>
        <v>&lt;li class="col-md-3"&gt;&lt;a class="text-cut" href="javascript:;"(click)="categoryEvent(2084024147)"&gt;{{"2084024147" | translate}}&lt;/a&gt;&lt;/li&gt;</v>
      </c>
    </row>
    <row r="332" spans="1:8" ht="14.25" customHeight="1">
      <c r="A332" s="2">
        <v>2084024161</v>
      </c>
      <c r="B332" s="2" t="s">
        <v>607</v>
      </c>
      <c r="C332" s="2" t="s">
        <v>608</v>
      </c>
      <c r="D332" s="169" t="str">
        <f t="shared" si="37"/>
        <v>0,25464,2084007247,2084024161</v>
      </c>
      <c r="E332" s="3" t="str">
        <f ca="1">IFERROR(__xludf.DUMMYFUNCTION("GOOGLETRANSLATE(B332,""ja"",""vi"")"),"Music Box Mary")</f>
        <v>Music Box Mary</v>
      </c>
      <c r="F332" s="3" t="str">
        <f ca="1">IFERROR(__xludf.DUMMYFUNCTION("GOOGLETRANSLATE(C332,""ja"",""vi"")"),"Đấu giá&gt; đồ chơi, trò chơi&gt; cho bé&gt; Music Box Chúc mừng")</f>
        <v>Đấu giá&gt; đồ chơi, trò chơi&gt; cho bé&gt; Music Box Chúc mừng</v>
      </c>
      <c r="G332" s="229" t="str">
        <f t="shared" ca="1" si="34"/>
        <v>"2084024161" : "Music Box Mary",</v>
      </c>
      <c r="H332" s="229" t="str">
        <f t="shared" si="35"/>
        <v>&lt;li class="col-md-3"&gt;&lt;a class="text-cut" href="javascript:;"(click)="categoryEvent(2084024161)"&gt;{{"2084024161" | translate}}&lt;/a&gt;&lt;/li&gt;</v>
      </c>
    </row>
    <row r="333" spans="1:8" ht="14.25" customHeight="1">
      <c r="A333" s="2">
        <v>2084024163</v>
      </c>
      <c r="B333" s="2" t="s">
        <v>615</v>
      </c>
      <c r="C333" s="2" t="s">
        <v>617</v>
      </c>
      <c r="D333" s="169" t="str">
        <f t="shared" si="37"/>
        <v>0,25464,2084007247,2084024163</v>
      </c>
      <c r="E333" s="3" t="str">
        <f ca="1">IFERROR(__xludf.DUMMYFUNCTION("GOOGLETRANSLATE(B333,""ja"",""vi"")"),"Bebijimu")</f>
        <v>Bebijimu</v>
      </c>
      <c r="F333" s="3" t="str">
        <f ca="1">IFERROR(__xludf.DUMMYFUNCTION("GOOGLETRANSLATE(C333,""ja"",""vi"")"),"Đấu giá&gt; Đồ chơi, trò chơi&gt; Baby&gt; Bebijimu")</f>
        <v>Đấu giá&gt; Đồ chơi, trò chơi&gt; Baby&gt; Bebijimu</v>
      </c>
      <c r="G333" s="229" t="str">
        <f t="shared" ca="1" si="34"/>
        <v>"2084024163" : "Bebijimu",</v>
      </c>
      <c r="H333" s="229" t="str">
        <f t="shared" si="35"/>
        <v>&lt;li class="col-md-3"&gt;&lt;a class="text-cut" href="javascript:;"(click)="categoryEvent(2084024163)"&gt;{{"2084024163" | translate}}&lt;/a&gt;&lt;/li&gt;</v>
      </c>
    </row>
    <row r="334" spans="1:8" ht="14.25" customHeight="1">
      <c r="A334" s="2">
        <v>2084024162</v>
      </c>
      <c r="B334" s="2" t="s">
        <v>622</v>
      </c>
      <c r="C334" s="2" t="s">
        <v>623</v>
      </c>
      <c r="D334" s="169" t="str">
        <f t="shared" si="37"/>
        <v>0,25464,2084007247,2084024162</v>
      </c>
      <c r="E334" s="3" t="str">
        <f ca="1">IFERROR(__xludf.DUMMYFUNCTION("GOOGLETRANSLATE(B334,""ja"",""vi"")"),"Xe cút kít, rattling")</f>
        <v>Xe cút kít, rattling</v>
      </c>
      <c r="F334" s="3" t="str">
        <f ca="1">IFERROR(__xludf.DUMMYFUNCTION("GOOGLETRANSLATE(C334,""ja"",""vi"")"),"Đấu giá&gt; đồ chơi, trò chơi&gt; cho bé&gt; xe cút kít, rattling")</f>
        <v>Đấu giá&gt; đồ chơi, trò chơi&gt; cho bé&gt; xe cút kít, rattling</v>
      </c>
      <c r="G334" s="229" t="str">
        <f t="shared" ca="1" si="34"/>
        <v>"2084024162" : "Xe cút kít, rattling",</v>
      </c>
      <c r="H334" s="229" t="str">
        <f t="shared" si="35"/>
        <v>&lt;li class="col-md-3"&gt;&lt;a class="text-cut" href="javascript:;"(click)="categoryEvent(2084024162)"&gt;{{"2084024162" | translate}}&lt;/a&gt;&lt;/li&gt;</v>
      </c>
    </row>
    <row r="335" spans="1:8" ht="14.25" customHeight="1">
      <c r="A335" s="2">
        <v>2084047980</v>
      </c>
      <c r="B335" s="2" t="s">
        <v>630</v>
      </c>
      <c r="C335" s="2" t="s">
        <v>632</v>
      </c>
      <c r="D335" s="169" t="str">
        <f t="shared" si="37"/>
        <v>0,25464,2084007247,2084047980</v>
      </c>
      <c r="E335" s="3" t="str">
        <f ca="1">IFERROR(__xludf.DUMMYFUNCTION("GOOGLETRANSLATE(B335,""ja"",""vi"")"),"đồ chơi cưỡi")</f>
        <v>đồ chơi cưỡi</v>
      </c>
      <c r="F335" s="3" t="str">
        <f ca="1">IFERROR(__xludf.DUMMYFUNCTION("GOOGLETRANSLATE(C335,""ja"",""vi"")"),"Đấu giá&gt; Đồ chơi, trò chơi&gt; Baby&gt; đồ chơi cưỡi")</f>
        <v>Đấu giá&gt; Đồ chơi, trò chơi&gt; Baby&gt; đồ chơi cưỡi</v>
      </c>
      <c r="G335" s="229" t="str">
        <f t="shared" ca="1" si="34"/>
        <v>"2084047980" : "đồ chơi cưỡi",</v>
      </c>
      <c r="H335" s="229" t="str">
        <f t="shared" si="35"/>
        <v>&lt;li class="col-md-3"&gt;&lt;a class="text-cut" href="javascript:;"(click)="categoryEvent(2084047980)"&gt;{{"2084047980" | translate}}&lt;/a&gt;&lt;/li&gt;</v>
      </c>
    </row>
    <row r="336" spans="1:8" ht="14.25" customHeight="1">
      <c r="A336" s="2">
        <v>2084024146</v>
      </c>
      <c r="B336" s="2" t="s">
        <v>637</v>
      </c>
      <c r="C336" s="2" t="s">
        <v>639</v>
      </c>
      <c r="D336" s="169" t="str">
        <f t="shared" si="37"/>
        <v>0,25464,2084007247,2084024146</v>
      </c>
      <c r="E336" s="3" t="str">
        <f ca="1">IFERROR(__xludf.DUMMYFUNCTION("GOOGLETRANSLATE(B336,""ja"",""vi"")"),"đồ chơi giáo dục")</f>
        <v>đồ chơi giáo dục</v>
      </c>
      <c r="F336" s="3" t="str">
        <f ca="1">IFERROR(__xludf.DUMMYFUNCTION("GOOGLETRANSLATE(C336,""ja"",""vi"")"),"Đấu giá&gt; Đồ chơi, trò chơi&gt; Baby&gt; đồ chơi giáo dục")</f>
        <v>Đấu giá&gt; Đồ chơi, trò chơi&gt; Baby&gt; đồ chơi giáo dục</v>
      </c>
      <c r="G336" s="229" t="str">
        <f t="shared" ca="1" si="34"/>
        <v>"2084024146" : "đồ chơi giáo dục",</v>
      </c>
      <c r="H336" s="229" t="str">
        <f t="shared" si="35"/>
        <v>&lt;li class="col-md-3"&gt;&lt;a class="text-cut" href="javascript:;"(click)="categoryEvent(2084024146)"&gt;{{"2084024146" | translate}}&lt;/a&gt;&lt;/li&gt;</v>
      </c>
    </row>
    <row r="337" spans="1:8" ht="14.25" customHeight="1">
      <c r="A337" s="2">
        <v>2084047374</v>
      </c>
      <c r="B337" s="2" t="s">
        <v>16</v>
      </c>
      <c r="C337" s="2" t="s">
        <v>647</v>
      </c>
      <c r="D337" s="169" t="str">
        <f t="shared" si="37"/>
        <v>0,25464,2084007247,2084047374</v>
      </c>
      <c r="E337" s="3" t="str">
        <f ca="1">IFERROR(__xludf.DUMMYFUNCTION("GOOGLETRANSLATE(B337,""ja"",""vi"")"),"nếu không thì")</f>
        <v>nếu không thì</v>
      </c>
      <c r="F337" s="3" t="str">
        <f ca="1">IFERROR(__xludf.DUMMYFUNCTION("GOOGLETRANSLATE(C337,""ja"",""vi"")"),"Đấu giá&gt; Đồ chơi, trò chơi&gt; Baby&gt; Khác")</f>
        <v>Đấu giá&gt; Đồ chơi, trò chơi&gt; Baby&gt; Khác</v>
      </c>
      <c r="G337" s="229" t="str">
        <f t="shared" ca="1" si="34"/>
        <v>"2084047374" : "nếu không thì",</v>
      </c>
      <c r="H337" s="229" t="str">
        <f t="shared" si="35"/>
        <v>&lt;li class="col-md-3"&gt;&lt;a class="text-cut" href="javascript:;"(click)="categoryEvent(2084047374)"&gt;{{"2084047374" | translate}}&lt;/a&gt;&lt;/li&gt;</v>
      </c>
    </row>
    <row r="338" spans="1:8" ht="14.25" customHeight="1">
      <c r="E338" s="3"/>
      <c r="F338" s="3"/>
      <c r="G338" s="229"/>
      <c r="H338" s="229"/>
    </row>
    <row r="339" spans="1:8" ht="14.25" customHeight="1">
      <c r="A339" s="281">
        <v>2084024191</v>
      </c>
      <c r="B339" s="232"/>
      <c r="C339" s="232"/>
      <c r="D339" s="233"/>
      <c r="E339" s="3"/>
      <c r="F339" s="3"/>
      <c r="G339" s="229"/>
      <c r="H339" s="229"/>
    </row>
    <row r="340" spans="1:8" ht="14.25" customHeight="1">
      <c r="A340" s="2">
        <v>2084024193</v>
      </c>
      <c r="B340" s="2" t="s">
        <v>7980</v>
      </c>
      <c r="C340" s="2" t="s">
        <v>7981</v>
      </c>
      <c r="D340" s="169" t="str">
        <f t="shared" ref="D340:D344" si="38">CONCATENATE("0,","25464,2084024191,",A340)</f>
        <v>0,25464,2084024191,2084024193</v>
      </c>
      <c r="E340" s="3" t="str">
        <f ca="1">IFERROR(__xludf.DUMMYFUNCTION("GOOGLETRANSLATE(B340,""ja"",""vi"")"),"Taiko")</f>
        <v>Taiko</v>
      </c>
      <c r="F340" s="3" t="str">
        <f ca="1">IFERROR(__xludf.DUMMYFUNCTION("GOOGLETRANSLATE(C340,""ja"",""vi"")"),"Đấu giá&gt; Đồ chơi, trò chơi&gt; Nhạc Đồ chơi&gt; taiko")</f>
        <v>Đấu giá&gt; Đồ chơi, trò chơi&gt; Nhạc Đồ chơi&gt; taiko</v>
      </c>
      <c r="G340" s="229" t="str">
        <f t="shared" ca="1" si="34"/>
        <v>"2084024193" : "Taiko",</v>
      </c>
      <c r="H340" s="229" t="str">
        <f t="shared" si="35"/>
        <v>&lt;li class="col-md-3"&gt;&lt;a class="text-cut" href="javascript:;"(click)="categoryEvent(2084024193)"&gt;{{"2084024193" | translate}}&lt;/a&gt;&lt;/li&gt;</v>
      </c>
    </row>
    <row r="341" spans="1:8" ht="14.25" customHeight="1">
      <c r="A341" s="2">
        <v>2084024192</v>
      </c>
      <c r="B341" s="2" t="s">
        <v>7984</v>
      </c>
      <c r="C341" s="2" t="s">
        <v>7985</v>
      </c>
      <c r="D341" s="169" t="str">
        <f t="shared" si="38"/>
        <v>0,25464,2084024191,2084024192</v>
      </c>
      <c r="E341" s="3" t="str">
        <f ca="1">IFERROR(__xludf.DUMMYFUNCTION("GOOGLETRANSLATE(B341,""ja"",""vi"")"),"dương cầm")</f>
        <v>dương cầm</v>
      </c>
      <c r="F341" s="3" t="str">
        <f ca="1">IFERROR(__xludf.DUMMYFUNCTION("GOOGLETRANSLATE(C341,""ja"",""vi"")"),"Đấu giá&gt; Đồ chơi, trò chơi&gt; Đồ chơi âm nhạc&gt; đàn piano")</f>
        <v>Đấu giá&gt; Đồ chơi, trò chơi&gt; Đồ chơi âm nhạc&gt; đàn piano</v>
      </c>
      <c r="G341" s="229" t="str">
        <f t="shared" ca="1" si="34"/>
        <v>"2084024192" : "dương cầm",</v>
      </c>
      <c r="H341" s="229" t="str">
        <f t="shared" si="35"/>
        <v>&lt;li class="col-md-3"&gt;&lt;a class="text-cut" href="javascript:;"(click)="categoryEvent(2084024192)"&gt;{{"2084024192" | translate}}&lt;/a&gt;&lt;/li&gt;</v>
      </c>
    </row>
    <row r="342" spans="1:8" ht="14.25" customHeight="1">
      <c r="A342" s="2">
        <v>2084024194</v>
      </c>
      <c r="B342" s="2" t="s">
        <v>7987</v>
      </c>
      <c r="C342" s="2" t="s">
        <v>7988</v>
      </c>
      <c r="D342" s="169" t="str">
        <f t="shared" si="38"/>
        <v>0,25464,2084024191,2084024194</v>
      </c>
      <c r="E342" s="3" t="str">
        <f ca="1">IFERROR(__xludf.DUMMYFUNCTION("GOOGLETRANSLATE(B342,""ja"",""vi"")"),"Sáo, kèn")</f>
        <v>Sáo, kèn</v>
      </c>
      <c r="F342" s="3" t="str">
        <f ca="1">IFERROR(__xludf.DUMMYFUNCTION("GOOGLETRANSLATE(C342,""ja"",""vi"")"),"Đấu giá&gt; Đồ chơi, trò chơi&gt; Đồ chơi âm nhạc&gt; sáo, kèn")</f>
        <v>Đấu giá&gt; Đồ chơi, trò chơi&gt; Đồ chơi âm nhạc&gt; sáo, kèn</v>
      </c>
      <c r="G342" s="229" t="str">
        <f t="shared" ca="1" si="34"/>
        <v>"2084024194" : "Sáo, kèn",</v>
      </c>
      <c r="H342" s="229" t="str">
        <f t="shared" si="35"/>
        <v>&lt;li class="col-md-3"&gt;&lt;a class="text-cut" href="javascript:;"(click)="categoryEvent(2084024194)"&gt;{{"2084024194" | translate}}&lt;/a&gt;&lt;/li&gt;</v>
      </c>
    </row>
    <row r="343" spans="1:8" ht="14.25" customHeight="1">
      <c r="A343" s="2">
        <v>22436</v>
      </c>
      <c r="B343" s="2" t="s">
        <v>6471</v>
      </c>
      <c r="C343" s="2" t="s">
        <v>7990</v>
      </c>
      <c r="D343" s="169" t="str">
        <f t="shared" si="38"/>
        <v>0,25464,2084024191,22436</v>
      </c>
      <c r="E343" s="3" t="str">
        <f ca="1">IFERROR(__xludf.DUMMYFUNCTION("GOOGLETRANSLATE(B343,""ja"",""vi"")"),"công cụ và thiết bị âm nhạc")</f>
        <v>công cụ và thiết bị âm nhạc</v>
      </c>
      <c r="F343" s="3" t="str">
        <f ca="1">IFERROR(__xludf.DUMMYFUNCTION("GOOGLETRANSLATE(C343,""ja"",""vi"")"),"Đấu giá&gt; Đồ chơi, trò chơi&gt; Đồ chơi âm nhạc&gt; nhạc cụ và thiết bị âm nhạc")</f>
        <v>Đấu giá&gt; Đồ chơi, trò chơi&gt; Đồ chơi âm nhạc&gt; nhạc cụ và thiết bị âm nhạc</v>
      </c>
      <c r="G343" s="229" t="str">
        <f t="shared" ca="1" si="34"/>
        <v>"22436" : "công cụ và thiết bị âm nhạc",</v>
      </c>
      <c r="H343" s="229" t="str">
        <f t="shared" si="35"/>
        <v>&lt;li class="col-md-3"&gt;&lt;a class="text-cut" href="javascript:;"(click)="categoryEvent(22436)"&gt;{{"22436" | translate}}&lt;/a&gt;&lt;/li&gt;</v>
      </c>
    </row>
    <row r="344" spans="1:8" ht="14.25" customHeight="1">
      <c r="A344" s="2">
        <v>2084024195</v>
      </c>
      <c r="B344" s="2" t="s">
        <v>16</v>
      </c>
      <c r="C344" s="2" t="s">
        <v>7991</v>
      </c>
      <c r="D344" s="169" t="str">
        <f t="shared" si="38"/>
        <v>0,25464,2084024191,2084024195</v>
      </c>
      <c r="E344" s="3" t="str">
        <f ca="1">IFERROR(__xludf.DUMMYFUNCTION("GOOGLETRANSLATE(B344,""ja"",""vi"")"),"nếu không thì")</f>
        <v>nếu không thì</v>
      </c>
      <c r="F344" s="3" t="str">
        <f ca="1">IFERROR(__xludf.DUMMYFUNCTION("GOOGLETRANSLATE(C344,""ja"",""vi"")"),"Đấu giá&gt; Đồ chơi, trò chơi&gt; Nhạc Đồ chơi&gt; Khác")</f>
        <v>Đấu giá&gt; Đồ chơi, trò chơi&gt; Nhạc Đồ chơi&gt; Khác</v>
      </c>
      <c r="G344" s="229" t="str">
        <f t="shared" ca="1" si="34"/>
        <v>"2084024195" : "nếu không thì",</v>
      </c>
      <c r="H344" s="229" t="str">
        <f t="shared" si="35"/>
        <v>&lt;li class="col-md-3"&gt;&lt;a class="text-cut" href="javascript:;"(click)="categoryEvent(2084024195)"&gt;{{"2084024195" | translate}}&lt;/a&gt;&lt;/li&gt;</v>
      </c>
    </row>
    <row r="345" spans="1:8" ht="14.25" customHeight="1">
      <c r="E345" s="3"/>
      <c r="F345" s="3"/>
      <c r="G345" s="229"/>
      <c r="H345" s="229"/>
    </row>
    <row r="346" spans="1:8" ht="25.5" customHeight="1">
      <c r="A346" s="282">
        <v>2084024190</v>
      </c>
      <c r="B346" s="232"/>
      <c r="C346" s="232"/>
      <c r="D346" s="233"/>
      <c r="E346" s="3"/>
      <c r="F346" s="3"/>
      <c r="G346" s="229"/>
      <c r="H346" s="229"/>
    </row>
    <row r="347" spans="1:8" ht="14.25" customHeight="1">
      <c r="A347" s="2">
        <v>2084045643</v>
      </c>
      <c r="B347" s="2" t="s">
        <v>7996</v>
      </c>
      <c r="C347" s="2" t="s">
        <v>7997</v>
      </c>
      <c r="D347" s="169" t="str">
        <f t="shared" ref="D347:D352" si="39">CONCATENATE("0,","25464,2084024190,",A347)</f>
        <v>0,25464,2084024190,2084045643</v>
      </c>
      <c r="E347" s="3" t="str">
        <f ca="1">IFERROR(__xludf.DUMMYFUNCTION("GOOGLETRANSLATE(B347,""ja"",""vi"")"),"xe ba bánh")</f>
        <v>xe ba bánh</v>
      </c>
      <c r="F347" s="3" t="str">
        <f ca="1">IFERROR(__xludf.DUMMYFUNCTION("GOOGLETRANSLATE(C347,""ja"",""vi"")"),"Đấu giá&gt; Đồ chơi, trò chơi&gt; cưỡi đồ chơi&gt; ba bánh")</f>
        <v>Đấu giá&gt; Đồ chơi, trò chơi&gt; cưỡi đồ chơi&gt; ba bánh</v>
      </c>
      <c r="G347" s="229" t="str">
        <f t="shared" ca="1" si="34"/>
        <v>"2084045643" : "xe ba bánh",</v>
      </c>
      <c r="H347" s="229" t="str">
        <f t="shared" si="35"/>
        <v>&lt;li class="col-md-3"&gt;&lt;a class="text-cut" href="javascript:;"(click)="categoryEvent(2084045643)"&gt;{{"2084045643" | translate}}&lt;/a&gt;&lt;/li&gt;</v>
      </c>
    </row>
    <row r="348" spans="1:8" ht="14.25" customHeight="1">
      <c r="A348" s="2">
        <v>2084024196</v>
      </c>
      <c r="B348" s="2" t="s">
        <v>7999</v>
      </c>
      <c r="C348" s="2" t="s">
        <v>8000</v>
      </c>
      <c r="D348" s="169" t="str">
        <f t="shared" si="39"/>
        <v>0,25464,2084024190,2084024196</v>
      </c>
      <c r="E348" s="3" t="str">
        <f ca="1">IFERROR(__xludf.DUMMYFUNCTION("GOOGLETRANSLATE(B348,""ja"",""vi"")"),"bảng đá")</f>
        <v>bảng đá</v>
      </c>
      <c r="F348" s="3" t="str">
        <f ca="1">IFERROR(__xludf.DUMMYFUNCTION("GOOGLETRANSLATE(C348,""ja"",""vi"")"),"Đấu giá&gt; Đồ chơi, trò chơi&gt; cưỡi đồ chơi&gt; bảng đá")</f>
        <v>Đấu giá&gt; Đồ chơi, trò chơi&gt; cưỡi đồ chơi&gt; bảng đá</v>
      </c>
      <c r="G348" s="229" t="str">
        <f t="shared" ca="1" si="34"/>
        <v>"2084024196" : "bảng đá",</v>
      </c>
      <c r="H348" s="229" t="str">
        <f t="shared" si="35"/>
        <v>&lt;li class="col-md-3"&gt;&lt;a class="text-cut" href="javascript:;"(click)="categoryEvent(2084024196)"&gt;{{"2084024196" | translate}}&lt;/a&gt;&lt;/li&gt;</v>
      </c>
    </row>
    <row r="349" spans="1:8" ht="14.25" customHeight="1">
      <c r="A349" s="2">
        <v>2084047980</v>
      </c>
      <c r="B349" s="2" t="s">
        <v>5929</v>
      </c>
      <c r="C349" s="2" t="s">
        <v>8005</v>
      </c>
      <c r="D349" s="169" t="str">
        <f t="shared" si="39"/>
        <v>0,25464,2084024190,2084047980</v>
      </c>
      <c r="E349" s="3" t="str">
        <f ca="1">IFERROR(__xludf.DUMMYFUNCTION("GOOGLETRANSLATE(B349,""ja"",""vi"")"),"đứa bé")</f>
        <v>đứa bé</v>
      </c>
      <c r="F349" s="3" t="str">
        <f ca="1">IFERROR(__xludf.DUMMYFUNCTION("GOOGLETRANSLATE(C349,""ja"",""vi"")"),"Đấu giá&gt; Đồ chơi, trò chơi&gt; cưỡi đồ chơi&gt; Baby")</f>
        <v>Đấu giá&gt; Đồ chơi, trò chơi&gt; cưỡi đồ chơi&gt; Baby</v>
      </c>
      <c r="G349" s="229" t="str">
        <f t="shared" ca="1" si="34"/>
        <v>"2084047980" : "đứa bé",</v>
      </c>
      <c r="H349" s="229" t="str">
        <f t="shared" si="35"/>
        <v>&lt;li class="col-md-3"&gt;&lt;a class="text-cut" href="javascript:;"(click)="categoryEvent(2084047980)"&gt;{{"2084047980" | translate}}&lt;/a&gt;&lt;/li&gt;</v>
      </c>
    </row>
    <row r="350" spans="1:8" ht="14.25" customHeight="1">
      <c r="A350" s="2">
        <v>2084045644</v>
      </c>
      <c r="B350" s="2" t="s">
        <v>8007</v>
      </c>
      <c r="C350" s="2" t="s">
        <v>8009</v>
      </c>
      <c r="D350" s="169" t="str">
        <f t="shared" si="39"/>
        <v>0,25464,2084024190,2084045644</v>
      </c>
      <c r="E350" s="3" t="str">
        <f ca="1">IFERROR(__xludf.DUMMYFUNCTION("GOOGLETRANSLATE(B350,""ja"",""vi"")"),"xe đạp một bánh")</f>
        <v>xe đạp một bánh</v>
      </c>
      <c r="F350" s="3" t="str">
        <f ca="1">IFERROR(__xludf.DUMMYFUNCTION("GOOGLETRANSLATE(C350,""ja"",""vi"")"),"Đấu giá&gt; Đồ chơi, trò chơi&gt; cưỡi đồ chơi&gt; xe đạp một bánh")</f>
        <v>Đấu giá&gt; Đồ chơi, trò chơi&gt; cưỡi đồ chơi&gt; xe đạp một bánh</v>
      </c>
      <c r="G350" s="229" t="str">
        <f t="shared" ca="1" si="34"/>
        <v>"2084045644" : "xe đạp một bánh",</v>
      </c>
      <c r="H350" s="229" t="str">
        <f t="shared" si="35"/>
        <v>&lt;li class="col-md-3"&gt;&lt;a class="text-cut" href="javascript:;"(click)="categoryEvent(2084045644)"&gt;{{"2084045644" | translate}}&lt;/a&gt;&lt;/li&gt;</v>
      </c>
    </row>
    <row r="351" spans="1:8" ht="14.25" customHeight="1">
      <c r="A351" s="2">
        <v>26222</v>
      </c>
      <c r="B351" s="2" t="s">
        <v>6256</v>
      </c>
      <c r="C351" s="2" t="s">
        <v>8011</v>
      </c>
      <c r="D351" s="169" t="str">
        <f t="shared" si="39"/>
        <v>0,25464,2084024190,26222</v>
      </c>
      <c r="E351" s="3" t="str">
        <f ca="1">IFERROR(__xludf.DUMMYFUNCTION("GOOGLETRANSLATE(B351,""ja"",""vi"")"),"Xe đạp, xe đạp")</f>
        <v>Xe đạp, xe đạp</v>
      </c>
      <c r="F351" s="3" t="str">
        <f ca="1">IFERROR(__xludf.DUMMYFUNCTION("GOOGLETRANSLATE(C351,""ja"",""vi"")"),"Đấu giá&gt; Đồ chơi, trò chơi&gt; cưỡi đồ chơi&gt; xe đạp, xe đạp")</f>
        <v>Đấu giá&gt; Đồ chơi, trò chơi&gt; cưỡi đồ chơi&gt; xe đạp, xe đạp</v>
      </c>
      <c r="G351" s="229" t="str">
        <f t="shared" ca="1" si="34"/>
        <v>"26222" : "Xe đạp, xe đạp",</v>
      </c>
      <c r="H351" s="229" t="str">
        <f t="shared" si="35"/>
        <v>&lt;li class="col-md-3"&gt;&lt;a class="text-cut" href="javascript:;"(click)="categoryEvent(26222)"&gt;{{"26222" | translate}}&lt;/a&gt;&lt;/li&gt;</v>
      </c>
    </row>
    <row r="352" spans="1:8" ht="14.25" customHeight="1">
      <c r="A352" s="2">
        <v>2084045642</v>
      </c>
      <c r="B352" s="2" t="s">
        <v>16</v>
      </c>
      <c r="C352" s="2" t="s">
        <v>8015</v>
      </c>
      <c r="D352" s="169" t="str">
        <f t="shared" si="39"/>
        <v>0,25464,2084024190,2084045642</v>
      </c>
      <c r="E352" s="3" t="str">
        <f ca="1">IFERROR(__xludf.DUMMYFUNCTION("GOOGLETRANSLATE(B352,""ja"",""vi"")"),"nếu không thì")</f>
        <v>nếu không thì</v>
      </c>
      <c r="F352" s="3" t="str">
        <f ca="1">IFERROR(__xludf.DUMMYFUNCTION("GOOGLETRANSLATE(C352,""ja"",""vi"")"),"Đấu giá&gt; Đồ chơi, trò chơi&gt; cưỡi đồ chơi&gt; Khác")</f>
        <v>Đấu giá&gt; Đồ chơi, trò chơi&gt; cưỡi đồ chơi&gt; Khác</v>
      </c>
      <c r="G352" s="229" t="str">
        <f t="shared" ca="1" si="34"/>
        <v>"2084045642" : "nếu không thì",</v>
      </c>
      <c r="H352" s="229" t="str">
        <f t="shared" si="35"/>
        <v>&lt;li class="col-md-3"&gt;&lt;a class="text-cut" href="javascript:;"(click)="categoryEvent(2084045642)"&gt;{{"2084045642" | translate}}&lt;/a&gt;&lt;/li&gt;</v>
      </c>
    </row>
    <row r="353" spans="1:8" ht="14.25" customHeight="1">
      <c r="E353" s="3"/>
      <c r="F353" s="3"/>
      <c r="G353" s="229"/>
      <c r="H353" s="229"/>
    </row>
    <row r="354" spans="1:8" ht="14.25" customHeight="1">
      <c r="A354" s="283">
        <v>2084024146</v>
      </c>
      <c r="B354" s="232"/>
      <c r="C354" s="232"/>
      <c r="D354" s="233"/>
      <c r="E354" s="3"/>
      <c r="F354" s="3"/>
      <c r="G354" s="229"/>
      <c r="H354" s="229"/>
    </row>
    <row r="355" spans="1:8" ht="14.25" customHeight="1">
      <c r="A355" s="2">
        <v>2084045577</v>
      </c>
      <c r="B355" s="2" t="s">
        <v>8023</v>
      </c>
      <c r="C355" s="2" t="s">
        <v>8024</v>
      </c>
      <c r="D355" s="169" t="str">
        <f t="shared" ref="D355:D364" si="40">CONCATENATE("0,","25464,2084024146,",A355)</f>
        <v>0,25464,2084024146,2084045577</v>
      </c>
      <c r="E355" s="3" t="str">
        <f ca="1">IFERROR(__xludf.DUMMYFUNCTION("GOOGLETRANSLATE(B355,""ja"",""vi"")"),"Nhân vật, lời nói")</f>
        <v>Nhân vật, lời nói</v>
      </c>
      <c r="F355" s="3" t="str">
        <f ca="1">IFERROR(__xludf.DUMMYFUNCTION("GOOGLETRANSLATE(C355,""ja"",""vi"")"),"Đấu giá&gt; Đồ chơi, trò chơi&gt; Đồ chơi giáo dục&gt; nhân vật, lời nói")</f>
        <v>Đấu giá&gt; Đồ chơi, trò chơi&gt; Đồ chơi giáo dục&gt; nhân vật, lời nói</v>
      </c>
      <c r="G355" s="229" t="str">
        <f t="shared" ca="1" si="34"/>
        <v>"2084045577" : "Nhân vật, lời nói",</v>
      </c>
      <c r="H355" s="229" t="str">
        <f t="shared" si="35"/>
        <v>&lt;li class="col-md-3"&gt;&lt;a class="text-cut" href="javascript:;"(click)="categoryEvent(2084045577)"&gt;{{"2084045577" | translate}}&lt;/a&gt;&lt;/li&gt;</v>
      </c>
    </row>
    <row r="356" spans="1:8" ht="14.25" customHeight="1">
      <c r="A356" s="2">
        <v>2084045578</v>
      </c>
      <c r="B356" s="2" t="s">
        <v>8027</v>
      </c>
      <c r="C356" s="2" t="s">
        <v>8028</v>
      </c>
      <c r="D356" s="169" t="str">
        <f t="shared" si="40"/>
        <v>0,25464,2084024146,2084045578</v>
      </c>
      <c r="E356" s="3" t="str">
        <f ca="1">IFERROR(__xludf.DUMMYFUNCTION("GOOGLETRANSLATE(B356,""ja"",""vi"")"),"Kazu, tính toán")</f>
        <v>Kazu, tính toán</v>
      </c>
      <c r="F356" s="3" t="str">
        <f ca="1">IFERROR(__xludf.DUMMYFUNCTION("GOOGLETRANSLATE(C356,""ja"",""vi"")"),"Đấu giá&gt; Đồ chơi, trò chơi&gt; Đồ chơi giáo dục&gt; Kazu, tính toán")</f>
        <v>Đấu giá&gt; Đồ chơi, trò chơi&gt; Đồ chơi giáo dục&gt; Kazu, tính toán</v>
      </c>
      <c r="G356" s="229" t="str">
        <f t="shared" ca="1" si="34"/>
        <v>"2084045578" : "Kazu, tính toán",</v>
      </c>
      <c r="H356" s="229" t="str">
        <f t="shared" si="35"/>
        <v>&lt;li class="col-md-3"&gt;&lt;a class="text-cut" href="javascript:;"(click)="categoryEvent(2084045578)"&gt;{{"2084045578" | translate}}&lt;/a&gt;&lt;/li&gt;</v>
      </c>
    </row>
    <row r="357" spans="1:8" ht="14.25" customHeight="1">
      <c r="A357" s="2">
        <v>2084045579</v>
      </c>
      <c r="B357" s="2" t="s">
        <v>8033</v>
      </c>
      <c r="C357" s="2" t="s">
        <v>8034</v>
      </c>
      <c r="D357" s="169" t="str">
        <f t="shared" si="40"/>
        <v>0,25464,2084024146,2084045579</v>
      </c>
      <c r="E357" s="3" t="str">
        <f ca="1">IFERROR(__xludf.DUMMYFUNCTION("GOOGLETRANSLATE(B357,""ja"",""vi"")"),"Nhịp điệu, âm nhạc")</f>
        <v>Nhịp điệu, âm nhạc</v>
      </c>
      <c r="F357" s="3" t="str">
        <f ca="1">IFERROR(__xludf.DUMMYFUNCTION("GOOGLETRANSLATE(C357,""ja"",""vi"")"),"Đấu giá&gt; Đồ chơi, trò chơi&gt; Đồ chơi giáo dục&gt; nhịp điệu, âm nhạc")</f>
        <v>Đấu giá&gt; Đồ chơi, trò chơi&gt; Đồ chơi giáo dục&gt; nhịp điệu, âm nhạc</v>
      </c>
      <c r="G357" s="229" t="str">
        <f t="shared" ca="1" si="34"/>
        <v>"2084045579" : "Nhịp điệu, âm nhạc",</v>
      </c>
      <c r="H357" s="229" t="str">
        <f t="shared" si="35"/>
        <v>&lt;li class="col-md-3"&gt;&lt;a class="text-cut" href="javascript:;"(click)="categoryEvent(2084045579)"&gt;{{"2084045579" | translate}}&lt;/a&gt;&lt;/li&gt;</v>
      </c>
    </row>
    <row r="358" spans="1:8" ht="14.25" customHeight="1">
      <c r="A358" s="2">
        <v>2084045580</v>
      </c>
      <c r="B358" s="2" t="s">
        <v>8038</v>
      </c>
      <c r="C358" s="2" t="s">
        <v>8041</v>
      </c>
      <c r="D358" s="169" t="str">
        <f t="shared" si="40"/>
        <v>0,25464,2084024146,2084045580</v>
      </c>
      <c r="E358" s="3" t="str">
        <f ca="1">IFERROR(__xludf.DUMMYFUNCTION("GOOGLETRANSLATE(B358,""ja"",""vi"")"),"Anh")</f>
        <v>Anh</v>
      </c>
      <c r="F358" s="3" t="str">
        <f ca="1">IFERROR(__xludf.DUMMYFUNCTION("GOOGLETRANSLATE(C358,""ja"",""vi"")"),"Đấu giá&gt; Đồ chơi, trò chơi&gt; Đồ chơi giáo dục&gt; Tiếng Anh")</f>
        <v>Đấu giá&gt; Đồ chơi, trò chơi&gt; Đồ chơi giáo dục&gt; Tiếng Anh</v>
      </c>
      <c r="G358" s="229" t="str">
        <f t="shared" ca="1" si="34"/>
        <v>"2084045580" : "Anh",</v>
      </c>
      <c r="H358" s="229" t="str">
        <f t="shared" si="35"/>
        <v>&lt;li class="col-md-3"&gt;&lt;a class="text-cut" href="javascript:;"(click)="categoryEvent(2084045580)"&gt;{{"2084045580" | translate}}&lt;/a&gt;&lt;/li&gt;</v>
      </c>
    </row>
    <row r="359" spans="1:8" ht="14.25" customHeight="1">
      <c r="A359" s="2">
        <v>2084044884</v>
      </c>
      <c r="B359" s="2" t="s">
        <v>8044</v>
      </c>
      <c r="C359" s="2" t="s">
        <v>8045</v>
      </c>
      <c r="D359" s="169" t="str">
        <f t="shared" si="40"/>
        <v>0,25464,2084024146,2084044884</v>
      </c>
      <c r="E359" s="3" t="str">
        <f ca="1">IFERROR(__xludf.DUMMYFUNCTION("GOOGLETRANSLATE(B359,""ja"",""vi"")"),"Carta")</f>
        <v>Carta</v>
      </c>
      <c r="F359" s="3" t="str">
        <f ca="1">IFERROR(__xludf.DUMMYFUNCTION("GOOGLETRANSLATE(C359,""ja"",""vi"")"),"Đấu giá&gt; Đồ chơi, trò chơi&gt; Đồ chơi giáo dục&gt; Carta")</f>
        <v>Đấu giá&gt; Đồ chơi, trò chơi&gt; Đồ chơi giáo dục&gt; Carta</v>
      </c>
      <c r="G359" s="229" t="str">
        <f t="shared" ca="1" si="34"/>
        <v>"2084044884" : "Carta",</v>
      </c>
      <c r="H359" s="229" t="str">
        <f t="shared" si="35"/>
        <v>&lt;li class="col-md-3"&gt;&lt;a class="text-cut" href="javascript:;"(click)="categoryEvent(2084044884)"&gt;{{"2084044884" | translate}}&lt;/a&gt;&lt;/li&gt;</v>
      </c>
    </row>
    <row r="360" spans="1:8" ht="14.25" customHeight="1">
      <c r="A360" s="2">
        <v>26018</v>
      </c>
      <c r="B360" s="2" t="s">
        <v>6745</v>
      </c>
      <c r="C360" s="2" t="s">
        <v>8047</v>
      </c>
      <c r="D360" s="169" t="str">
        <f t="shared" si="40"/>
        <v>0,25464,2084024146,26018</v>
      </c>
      <c r="E360" s="3" t="str">
        <f ca="1">IFERROR(__xludf.DUMMYFUNCTION("GOOGLETRANSLATE(B360,""ja"",""vi"")"),"Puzzle")</f>
        <v>Puzzle</v>
      </c>
      <c r="F360" s="3" t="str">
        <f ca="1">IFERROR(__xludf.DUMMYFUNCTION("GOOGLETRANSLATE(C360,""ja"",""vi"")"),"Đấu giá&gt; Đồ chơi, trò chơi&gt; Đồ chơi giáo dục&gt; câu đố")</f>
        <v>Đấu giá&gt; Đồ chơi, trò chơi&gt; Đồ chơi giáo dục&gt; câu đố</v>
      </c>
      <c r="G360" s="229" t="str">
        <f t="shared" ca="1" si="34"/>
        <v>"26018" : "Puzzle",</v>
      </c>
      <c r="H360" s="229" t="str">
        <f t="shared" si="35"/>
        <v>&lt;li class="col-md-3"&gt;&lt;a class="text-cut" href="javascript:;"(click)="categoryEvent(26018)"&gt;{{"26018" | translate}}&lt;/a&gt;&lt;/li&gt;</v>
      </c>
    </row>
    <row r="361" spans="1:8" ht="14.25" customHeight="1">
      <c r="A361" s="2">
        <v>40510</v>
      </c>
      <c r="B361" s="2" t="s">
        <v>6787</v>
      </c>
      <c r="C361" s="2" t="s">
        <v>8048</v>
      </c>
      <c r="D361" s="169" t="str">
        <f t="shared" si="40"/>
        <v>0,25464,2084024146,40510</v>
      </c>
      <c r="E361" s="3" t="str">
        <f ca="1">IFERROR(__xludf.DUMMYFUNCTION("GOOGLETRANSLATE(B361,""ja"",""vi"")"),"Khối, các khối xây dựng")</f>
        <v>Khối, các khối xây dựng</v>
      </c>
      <c r="F361" s="3" t="str">
        <f ca="1">IFERROR(__xludf.DUMMYFUNCTION("GOOGLETRANSLATE(C361,""ja"",""vi"")"),"Đấu giá&gt; Đồ chơi, trò chơi&gt; Đồ chơi giáo dục&gt; khối, các khối xây dựng")</f>
        <v>Đấu giá&gt; Đồ chơi, trò chơi&gt; Đồ chơi giáo dục&gt; khối, các khối xây dựng</v>
      </c>
      <c r="G361" s="229" t="str">
        <f t="shared" ca="1" si="34"/>
        <v>"40510" : "Khối, các khối xây dựng",</v>
      </c>
      <c r="H361" s="229" t="str">
        <f t="shared" si="35"/>
        <v>&lt;li class="col-md-3"&gt;&lt;a class="text-cut" href="javascript:;"(click)="categoryEvent(40510)"&gt;{{"40510" | translate}}&lt;/a&gt;&lt;/li&gt;</v>
      </c>
    </row>
    <row r="362" spans="1:8" ht="14.25" customHeight="1">
      <c r="A362" s="2">
        <v>2084008619</v>
      </c>
      <c r="B362" s="2" t="s">
        <v>8052</v>
      </c>
      <c r="C362" s="2" t="s">
        <v>8053</v>
      </c>
      <c r="D362" s="169" t="str">
        <f t="shared" si="40"/>
        <v>0,25464,2084024146,2084008619</v>
      </c>
      <c r="E362" s="3" t="str">
        <f ca="1">IFERROR(__xludf.DUMMYFUNCTION("GOOGLETRANSLATE(B362,""ja"",""vi"")"),"sách nghiên cứu")</f>
        <v>sách nghiên cứu</v>
      </c>
      <c r="F362" s="3" t="str">
        <f ca="1">IFERROR(__xludf.DUMMYFUNCTION("GOOGLETRANSLATE(C362,""ja"",""vi"")"),"Đấu giá&gt; Đồ chơi, trò chơi&gt; Đồ chơi giáo dục&gt; Sách học tham khảo")</f>
        <v>Đấu giá&gt; Đồ chơi, trò chơi&gt; Đồ chơi giáo dục&gt; Sách học tham khảo</v>
      </c>
      <c r="G362" s="229" t="str">
        <f t="shared" ca="1" si="34"/>
        <v>"2084008619" : "sách nghiên cứu",</v>
      </c>
      <c r="H362" s="229" t="str">
        <f t="shared" si="35"/>
        <v>&lt;li class="col-md-3"&gt;&lt;a class="text-cut" href="javascript:;"(click)="categoryEvent(2084008619)"&gt;{{"2084008619" | translate}}&lt;/a&gt;&lt;/li&gt;</v>
      </c>
    </row>
    <row r="363" spans="1:8" ht="14.25" customHeight="1">
      <c r="A363" s="2">
        <v>2084008647</v>
      </c>
      <c r="B363" s="2" t="s">
        <v>8054</v>
      </c>
      <c r="C363" s="2" t="s">
        <v>8055</v>
      </c>
      <c r="D363" s="169" t="str">
        <f t="shared" si="40"/>
        <v>0,25464,2084024146,2084008647</v>
      </c>
      <c r="E363" s="3" t="str">
        <f ca="1">IFERROR(__xludf.DUMMYFUNCTION("GOOGLETRANSLATE(B363,""ja"",""vi"")"),"cuốn truyện tranh giáo dục, học tập cuốn sách")</f>
        <v>cuốn truyện tranh giáo dục, học tập cuốn sách</v>
      </c>
      <c r="F363" s="3" t="str">
        <f ca="1">IFERROR(__xludf.DUMMYFUNCTION("GOOGLETRANSLATE(C363,""ja"",""vi"")"),"Đấu giá&gt; Đồ chơi, trò chơi&gt; Đồ chơi giáo dục&gt; cuốn sách giáo dục, học tập cuốn sách")</f>
        <v>Đấu giá&gt; Đồ chơi, trò chơi&gt; Đồ chơi giáo dục&gt; cuốn sách giáo dục, học tập cuốn sách</v>
      </c>
      <c r="G363" s="229" t="str">
        <f t="shared" ca="1" si="34"/>
        <v>"2084008647" : "cuốn truyện tranh giáo dục, học tập cuốn sách",</v>
      </c>
      <c r="H363" s="229" t="str">
        <f t="shared" si="35"/>
        <v>&lt;li class="col-md-3"&gt;&lt;a class="text-cut" href="javascript:;"(click)="categoryEvent(2084008647)"&gt;{{"2084008647" | translate}}&lt;/a&gt;&lt;/li&gt;</v>
      </c>
    </row>
    <row r="364" spans="1:8" ht="14.25" customHeight="1">
      <c r="A364" s="2">
        <v>2084045581</v>
      </c>
      <c r="B364" s="2" t="s">
        <v>16</v>
      </c>
      <c r="C364" s="2" t="s">
        <v>8059</v>
      </c>
      <c r="D364" s="169" t="str">
        <f t="shared" si="40"/>
        <v>0,25464,2084024146,2084045581</v>
      </c>
      <c r="E364" s="3" t="str">
        <f ca="1">IFERROR(__xludf.DUMMYFUNCTION("GOOGLETRANSLATE(B364,""ja"",""vi"")"),"nếu không thì")</f>
        <v>nếu không thì</v>
      </c>
      <c r="F364" s="3" t="str">
        <f ca="1">IFERROR(__xludf.DUMMYFUNCTION("GOOGLETRANSLATE(C364,""ja"",""vi"")"),"Đấu giá&gt; Đồ chơi, trò chơi&gt; Đồ chơi giáo dục&gt; Khác")</f>
        <v>Đấu giá&gt; Đồ chơi, trò chơi&gt; Đồ chơi giáo dục&gt; Khác</v>
      </c>
      <c r="G364" s="229" t="str">
        <f t="shared" ca="1" si="34"/>
        <v>"2084045581" : "nếu không thì",</v>
      </c>
      <c r="H364" s="229" t="str">
        <f t="shared" si="35"/>
        <v>&lt;li class="col-md-3"&gt;&lt;a class="text-cut" href="javascript:;"(click)="categoryEvent(2084045581)"&gt;{{"2084045581" | translate}}&lt;/a&gt;&lt;/li&gt;</v>
      </c>
    </row>
    <row r="365" spans="1:8" ht="14.25" customHeight="1">
      <c r="E365" s="3"/>
      <c r="F365" s="3"/>
      <c r="G365" s="229"/>
      <c r="H365" s="229"/>
    </row>
    <row r="366" spans="1:8" ht="14.25" customHeight="1">
      <c r="A366" s="285">
        <v>2084024164</v>
      </c>
      <c r="B366" s="232"/>
      <c r="C366" s="232"/>
      <c r="D366" s="233"/>
      <c r="E366" s="3"/>
      <c r="F366" s="3"/>
      <c r="G366" s="229"/>
      <c r="H366" s="229"/>
    </row>
    <row r="367" spans="1:8" ht="14.25" customHeight="1">
      <c r="A367" s="2">
        <v>2084024182</v>
      </c>
      <c r="B367" s="2" t="s">
        <v>8070</v>
      </c>
      <c r="C367" s="2" t="s">
        <v>8072</v>
      </c>
      <c r="D367" s="169" t="str">
        <f t="shared" ref="D367:D372" si="41">CONCATENATE("0,","25464,2084024164,",A367)</f>
        <v>0,25464,2084024164,2084024182</v>
      </c>
      <c r="E367" s="3" t="str">
        <f ca="1">IFERROR(__xludf.DUMMYFUNCTION("GOOGLETRANSLATE(B367,""ja"",""vi"")"),"máy tính Kids")</f>
        <v>máy tính Kids</v>
      </c>
      <c r="F367" s="3" t="str">
        <f ca="1">IFERROR(__xludf.DUMMYFUNCTION("GOOGLETRANSLATE(C367,""ja"",""vi"")"),"Đấu giá&gt; đồ chơi, trò chơi&gt; đồ chơi điện tử&gt; máy tính cho trẻ em")</f>
        <v>Đấu giá&gt; đồ chơi, trò chơi&gt; đồ chơi điện tử&gt; máy tính cho trẻ em</v>
      </c>
      <c r="G367" s="229" t="str">
        <f t="shared" ca="1" si="34"/>
        <v>"2084024182" : "máy tính Kids",</v>
      </c>
      <c r="H367" s="229" t="str">
        <f t="shared" si="35"/>
        <v>&lt;li class="col-md-3"&gt;&lt;a class="text-cut" href="javascript:;"(click)="categoryEvent(2084024182)"&gt;{{"2084024182" | translate}}&lt;/a&gt;&lt;/li&gt;</v>
      </c>
    </row>
    <row r="368" spans="1:8" ht="14.25" customHeight="1">
      <c r="A368" s="2">
        <v>22844</v>
      </c>
      <c r="B368" s="2" t="s">
        <v>5628</v>
      </c>
      <c r="C368" s="2" t="s">
        <v>8077</v>
      </c>
      <c r="D368" s="169" t="str">
        <f t="shared" si="41"/>
        <v>0,25464,2084024164,22844</v>
      </c>
      <c r="E368" s="3" t="str">
        <f ca="1">IFERROR(__xludf.DUMMYFUNCTION("GOOGLETRANSLATE(B368,""ja"",""vi"")"),"Mã số trò chơi")</f>
        <v>Mã số trò chơi</v>
      </c>
      <c r="F368" s="3" t="str">
        <f ca="1">IFERROR(__xludf.DUMMYFUNCTION("GOOGLETRANSLATE(C368,""ja"",""vi"")"),"Đấu giá&gt; đồ chơi, trò chơi&gt; đồ chơi điện tử&gt; trò chơi truyền hình")</f>
        <v>Đấu giá&gt; đồ chơi, trò chơi&gt; đồ chơi điện tử&gt; trò chơi truyền hình</v>
      </c>
      <c r="G368" s="229" t="str">
        <f t="shared" ca="1" si="34"/>
        <v>"22844" : "Mã số trò chơi",</v>
      </c>
      <c r="H368" s="229" t="str">
        <f t="shared" si="35"/>
        <v>&lt;li class="col-md-3"&gt;&lt;a class="text-cut" href="javascript:;"(click)="categoryEvent(22844)"&gt;{{"22844" | translate}}&lt;/a&gt;&lt;/li&gt;</v>
      </c>
    </row>
    <row r="369" spans="1:8" ht="14.25" customHeight="1">
      <c r="A369" s="2">
        <v>2084024165</v>
      </c>
      <c r="B369" s="2" t="s">
        <v>8078</v>
      </c>
      <c r="C369" s="2" t="s">
        <v>8079</v>
      </c>
      <c r="D369" s="169" t="str">
        <f t="shared" si="41"/>
        <v>0,25464,2084024164,2084024165</v>
      </c>
      <c r="E369" s="3" t="str">
        <f ca="1">IFERROR(__xludf.DUMMYFUNCTION("GOOGLETRANSLATE(B369,""ja"",""vi"")"),"ảo Pet")</f>
        <v>ảo Pet</v>
      </c>
      <c r="F369" s="3" t="str">
        <f ca="1">IFERROR(__xludf.DUMMYFUNCTION("GOOGLETRANSLATE(C369,""ja"",""vi"")"),"Đấu giá&gt; đồ chơi, trò chơi&gt; đồ chơi điện tử&gt; con vật cưng ảo")</f>
        <v>Đấu giá&gt; đồ chơi, trò chơi&gt; đồ chơi điện tử&gt; con vật cưng ảo</v>
      </c>
      <c r="G369" s="229" t="str">
        <f t="shared" ca="1" si="34"/>
        <v>"2084024165" : "ảo Pet",</v>
      </c>
      <c r="H369" s="229" t="str">
        <f t="shared" si="35"/>
        <v>&lt;li class="col-md-3"&gt;&lt;a class="text-cut" href="javascript:;"(click)="categoryEvent(2084024165)"&gt;{{"2084024165" | translate}}&lt;/a&gt;&lt;/li&gt;</v>
      </c>
    </row>
    <row r="370" spans="1:8" ht="14.25" customHeight="1">
      <c r="A370" s="2">
        <v>2084046960</v>
      </c>
      <c r="B370" s="2" t="s">
        <v>8081</v>
      </c>
      <c r="C370" s="2" t="s">
        <v>8082</v>
      </c>
      <c r="D370" s="169" t="str">
        <f t="shared" si="41"/>
        <v>0,25464,2084024164,2084046960</v>
      </c>
      <c r="E370" s="3" t="str">
        <f ca="1">IFERROR(__xludf.DUMMYFUNCTION("GOOGLETRANSLATE(B370,""ja"",""vi"")"),"Gakken khối điện tử")</f>
        <v>Gakken khối điện tử</v>
      </c>
      <c r="F370" s="3" t="str">
        <f ca="1">IFERROR(__xludf.DUMMYFUNCTION("GOOGLETRANSLATE(C370,""ja"",""vi"")"),"Đấu giá&gt; đồ chơi, trò chơi&gt; đồ chơi điện tử&gt; Gakken khối điện tử")</f>
        <v>Đấu giá&gt; đồ chơi, trò chơi&gt; đồ chơi điện tử&gt; Gakken khối điện tử</v>
      </c>
      <c r="G370" s="229" t="str">
        <f t="shared" ca="1" si="34"/>
        <v>"2084046960" : "Gakken khối điện tử",</v>
      </c>
      <c r="H370" s="229" t="str">
        <f t="shared" si="35"/>
        <v>&lt;li class="col-md-3"&gt;&lt;a class="text-cut" href="javascript:;"(click)="categoryEvent(2084046960)"&gt;{{"2084046960" | translate}}&lt;/a&gt;&lt;/li&gt;</v>
      </c>
    </row>
    <row r="371" spans="1:8" ht="14.25" customHeight="1">
      <c r="A371" s="2">
        <v>2084024186</v>
      </c>
      <c r="B371" s="2" t="s">
        <v>8083</v>
      </c>
      <c r="C371" s="2" t="s">
        <v>8084</v>
      </c>
      <c r="D371" s="169" t="str">
        <f t="shared" si="41"/>
        <v>0,25464,2084024164,2084024186</v>
      </c>
      <c r="E371" s="3" t="str">
        <f ca="1">IFERROR(__xludf.DUMMYFUNCTION("GOOGLETRANSLATE(B371,""ja"",""vi"")"),"Trẻ em tổ chức điện tử")</f>
        <v>Trẻ em tổ chức điện tử</v>
      </c>
      <c r="F371" s="3" t="str">
        <f ca="1">IFERROR(__xludf.DUMMYFUNCTION("GOOGLETRANSLATE(C371,""ja"",""vi"")"),"Đấu giá&gt; đồ chơi, trò chơi&gt; đồ chơi điện tử&gt; tổ chức điện tử con")</f>
        <v>Đấu giá&gt; đồ chơi, trò chơi&gt; đồ chơi điện tử&gt; tổ chức điện tử con</v>
      </c>
      <c r="G371" s="229" t="str">
        <f t="shared" ca="1" si="34"/>
        <v>"2084024186" : "Trẻ em tổ chức điện tử",</v>
      </c>
      <c r="H371" s="229" t="str">
        <f t="shared" si="35"/>
        <v>&lt;li class="col-md-3"&gt;&lt;a class="text-cut" href="javascript:;"(click)="categoryEvent(2084024186)"&gt;{{"2084024186" | translate}}&lt;/a&gt;&lt;/li&gt;</v>
      </c>
    </row>
    <row r="372" spans="1:8" ht="14.25" customHeight="1">
      <c r="A372" s="2">
        <v>2084024188</v>
      </c>
      <c r="B372" s="2" t="s">
        <v>16</v>
      </c>
      <c r="C372" s="2" t="s">
        <v>8086</v>
      </c>
      <c r="D372" s="169" t="str">
        <f t="shared" si="41"/>
        <v>0,25464,2084024164,2084024188</v>
      </c>
      <c r="E372" s="3" t="str">
        <f ca="1">IFERROR(__xludf.DUMMYFUNCTION("GOOGLETRANSLATE(B372,""ja"",""vi"")"),"nếu không thì")</f>
        <v>nếu không thì</v>
      </c>
      <c r="F372" s="3" t="str">
        <f ca="1">IFERROR(__xludf.DUMMYFUNCTION("GOOGLETRANSLATE(C372,""ja"",""vi"")"),"Đấu giá&gt; đồ chơi, trò chơi&gt; đồ chơi điện tử&gt; Khác")</f>
        <v>Đấu giá&gt; đồ chơi, trò chơi&gt; đồ chơi điện tử&gt; Khác</v>
      </c>
      <c r="G372" s="229" t="str">
        <f t="shared" ca="1" si="34"/>
        <v>"2084024188" : "nếu không thì",</v>
      </c>
      <c r="H372" s="229" t="str">
        <f t="shared" si="35"/>
        <v>&lt;li class="col-md-3"&gt;&lt;a class="text-cut" href="javascript:;"(click)="categoryEvent(2084024188)"&gt;{{"2084024188" | translate}}&lt;/a&gt;&lt;/li&gt;</v>
      </c>
    </row>
    <row r="373" spans="1:8" ht="14.25" customHeight="1">
      <c r="E373" s="3"/>
      <c r="F373" s="3"/>
      <c r="G373" s="229"/>
      <c r="H373" s="229"/>
    </row>
    <row r="374" spans="1:8" ht="25.5" customHeight="1">
      <c r="A374" s="284">
        <v>2084041664</v>
      </c>
      <c r="B374" s="232"/>
      <c r="C374" s="232"/>
      <c r="D374" s="233"/>
      <c r="E374" s="3"/>
      <c r="F374" s="3"/>
      <c r="G374" s="229"/>
      <c r="H374" s="229"/>
    </row>
    <row r="375" spans="1:8" ht="14.25" customHeight="1">
      <c r="A375" s="2">
        <v>2084041666</v>
      </c>
      <c r="B375" s="2" t="s">
        <v>8087</v>
      </c>
      <c r="C375" s="2" t="s">
        <v>8089</v>
      </c>
      <c r="D375" s="169" t="str">
        <f t="shared" ref="D375:D378" si="42">CONCATENATE("0,","25464,2084041664,",A375)</f>
        <v>0,25464,2084041664,2084041666</v>
      </c>
      <c r="E375" s="3" t="str">
        <f ca="1">IFERROR(__xludf.DUMMYFUNCTION("GOOGLETRANSLATE(B375,""ja"",""vi"")"),"trượt")</f>
        <v>trượt</v>
      </c>
      <c r="F375" s="3" t="str">
        <f ca="1">IFERROR(__xludf.DUMMYFUNCTION("GOOGLETRANSLATE(C375,""ja"",""vi"")"),"Đấu giá&gt; đồ chơi, trò chơi&gt; sân chơi thiết bị&gt; Slide")</f>
        <v>Đấu giá&gt; đồ chơi, trò chơi&gt; sân chơi thiết bị&gt; Slide</v>
      </c>
      <c r="G375" s="229" t="str">
        <f t="shared" ca="1" si="34"/>
        <v>"2084041666" : "trượt",</v>
      </c>
      <c r="H375" s="229" t="str">
        <f t="shared" si="35"/>
        <v>&lt;li class="col-md-3"&gt;&lt;a class="text-cut" href="javascript:;"(click)="categoryEvent(2084041666)"&gt;{{"2084041666" | translate}}&lt;/a&gt;&lt;/li&gt;</v>
      </c>
    </row>
    <row r="376" spans="1:8" ht="14.25" customHeight="1">
      <c r="A376" s="2">
        <v>2084041665</v>
      </c>
      <c r="B376" s="2" t="s">
        <v>8090</v>
      </c>
      <c r="C376" s="2" t="s">
        <v>8091</v>
      </c>
      <c r="D376" s="169" t="str">
        <f t="shared" si="42"/>
        <v>0,25464,2084041664,2084041665</v>
      </c>
      <c r="E376" s="3" t="str">
        <f ca="1">IFERROR(__xludf.DUMMYFUNCTION("GOOGLETRANSLATE(B376,""ja"",""vi"")"),"Jungle-phòng tập thể dục")</f>
        <v>Jungle-phòng tập thể dục</v>
      </c>
      <c r="F376" s="3" t="str">
        <f ca="1">IFERROR(__xludf.DUMMYFUNCTION("GOOGLETRANSLATE(C376,""ja"",""vi"")"),"Đấu giá&gt; đồ chơi, trò chơi&gt; sân chơi thiết bị&gt; gym rừng")</f>
        <v>Đấu giá&gt; đồ chơi, trò chơi&gt; sân chơi thiết bị&gt; gym rừng</v>
      </c>
      <c r="G376" s="229" t="str">
        <f t="shared" ca="1" si="34"/>
        <v>"2084041665" : "Jungle-phòng tập thể dục",</v>
      </c>
      <c r="H376" s="229" t="str">
        <f t="shared" si="35"/>
        <v>&lt;li class="col-md-3"&gt;&lt;a class="text-cut" href="javascript:;"(click)="categoryEvent(2084041665)"&gt;{{"2084041665" | translate}}&lt;/a&gt;&lt;/li&gt;</v>
      </c>
    </row>
    <row r="377" spans="1:8" ht="14.25" customHeight="1">
      <c r="A377" s="2">
        <v>2084041667</v>
      </c>
      <c r="B377" s="2" t="s">
        <v>8093</v>
      </c>
      <c r="C377" s="2" t="s">
        <v>8094</v>
      </c>
      <c r="D377" s="169" t="str">
        <f t="shared" si="42"/>
        <v>0,25464,2084041664,2084041667</v>
      </c>
      <c r="E377" s="3" t="str">
        <f ca="1">IFERROR(__xludf.DUMMYFUNCTION("GOOGLETRANSLATE(B377,""ja"",""vi"")"),"Blanco")</f>
        <v>Blanco</v>
      </c>
      <c r="F377" s="3" t="str">
        <f ca="1">IFERROR(__xludf.DUMMYFUNCTION("GOOGLETRANSLATE(C377,""ja"",""vi"")"),"Đấu giá&gt; đồ chơi, trò chơi&gt; sân chơi thiết bị&gt; Blanco")</f>
        <v>Đấu giá&gt; đồ chơi, trò chơi&gt; sân chơi thiết bị&gt; Blanco</v>
      </c>
      <c r="G377" s="229" t="str">
        <f t="shared" ca="1" si="34"/>
        <v>"2084041667" : "Blanco",</v>
      </c>
      <c r="H377" s="229" t="str">
        <f t="shared" si="35"/>
        <v>&lt;li class="col-md-3"&gt;&lt;a class="text-cut" href="javascript:;"(click)="categoryEvent(2084041667)"&gt;{{"2084041667" | translate}}&lt;/a&gt;&lt;/li&gt;</v>
      </c>
    </row>
    <row r="378" spans="1:8" ht="14.25" customHeight="1">
      <c r="A378" s="2">
        <v>2084041668</v>
      </c>
      <c r="B378" s="2" t="s">
        <v>16</v>
      </c>
      <c r="C378" s="2" t="s">
        <v>8095</v>
      </c>
      <c r="D378" s="169" t="str">
        <f t="shared" si="42"/>
        <v>0,25464,2084041664,2084041668</v>
      </c>
      <c r="E378" s="3" t="str">
        <f ca="1">IFERROR(__xludf.DUMMYFUNCTION("GOOGLETRANSLATE(B378,""ja"",""vi"")"),"nếu không thì")</f>
        <v>nếu không thì</v>
      </c>
      <c r="F378" s="3" t="str">
        <f ca="1">IFERROR(__xludf.DUMMYFUNCTION("GOOGLETRANSLATE(C378,""ja"",""vi"")"),"Đấu giá&gt; đồ chơi, trò chơi&gt; sân chơi thiết bị&gt; Khác")</f>
        <v>Đấu giá&gt; đồ chơi, trò chơi&gt; sân chơi thiết bị&gt; Khác</v>
      </c>
      <c r="G378" s="229" t="str">
        <f t="shared" ca="1" si="34"/>
        <v>"2084041668" : "nếu không thì",</v>
      </c>
      <c r="H378" s="229" t="str">
        <f t="shared" si="35"/>
        <v>&lt;li class="col-md-3"&gt;&lt;a class="text-cut" href="javascript:;"(click)="categoryEvent(2084041668)"&gt;{{"2084041668" | translate}}&lt;/a&gt;&lt;/li&gt;</v>
      </c>
    </row>
    <row r="379" spans="1:8" ht="14.25" customHeight="1">
      <c r="E379" s="3"/>
      <c r="F379" s="3"/>
      <c r="G379" s="229"/>
      <c r="H379" s="229"/>
    </row>
    <row r="380" spans="1:8" ht="14.25" customHeight="1">
      <c r="A380" s="255">
        <v>26038</v>
      </c>
      <c r="B380" s="232"/>
      <c r="C380" s="232"/>
      <c r="D380" s="233"/>
      <c r="E380" s="3"/>
      <c r="F380" s="3"/>
      <c r="G380" s="229"/>
      <c r="H380" s="229"/>
    </row>
    <row r="381" spans="1:8" ht="14.25" customHeight="1">
      <c r="A381" s="2">
        <v>26042</v>
      </c>
      <c r="B381" s="2" t="s">
        <v>8097</v>
      </c>
      <c r="C381" s="2" t="s">
        <v>8098</v>
      </c>
      <c r="D381" s="169" t="str">
        <f t="shared" ref="D381:D382" si="43">CONCATENATE("0,","25464,26038,",A381)</f>
        <v>0,25464,26038,26042</v>
      </c>
      <c r="E381" s="3" t="str">
        <f ca="1">IFERROR(__xludf.DUMMYFUNCTION("GOOGLETRANSLATE(B381,""ja"",""vi"")"),"Star Wars loạt")</f>
        <v>Star Wars loạt</v>
      </c>
      <c r="F381" s="3" t="str">
        <f ca="1">IFERROR(__xludf.DUMMYFUNCTION("GOOGLETRANSLATE(C381,""ja"",""vi"")"),"Đấu giá&gt; đồ chơi, trò chơi&gt; SF&gt; Star Wars loạt")</f>
        <v>Đấu giá&gt; đồ chơi, trò chơi&gt; SF&gt; Star Wars loạt</v>
      </c>
      <c r="G381" s="229" t="str">
        <f t="shared" ca="1" si="34"/>
        <v>"26042" : "Star Wars loạt",</v>
      </c>
      <c r="H381" s="229" t="str">
        <f t="shared" si="35"/>
        <v>&lt;li class="col-md-3"&gt;&lt;a class="text-cut" href="javascript:;"(click)="categoryEvent(26042)"&gt;{{"26042" | translate}}&lt;/a&gt;&lt;/li&gt;</v>
      </c>
    </row>
    <row r="382" spans="1:8" ht="14.25" customHeight="1">
      <c r="A382" s="2">
        <v>26046</v>
      </c>
      <c r="B382" s="2" t="s">
        <v>16</v>
      </c>
      <c r="C382" s="2" t="s">
        <v>8100</v>
      </c>
      <c r="D382" s="169" t="str">
        <f t="shared" si="43"/>
        <v>0,25464,26038,26046</v>
      </c>
      <c r="E382" s="3" t="str">
        <f ca="1">IFERROR(__xludf.DUMMYFUNCTION("GOOGLETRANSLATE(B382,""ja"",""vi"")"),"nếu không thì")</f>
        <v>nếu không thì</v>
      </c>
      <c r="F382" s="3" t="str">
        <f ca="1">IFERROR(__xludf.DUMMYFUNCTION("GOOGLETRANSLATE(C382,""ja"",""vi"")"),"Đấu giá&gt; đồ chơi, trò chơi&gt; SF&gt; Khác")</f>
        <v>Đấu giá&gt; đồ chơi, trò chơi&gt; SF&gt; Khác</v>
      </c>
      <c r="G382" s="229" t="str">
        <f t="shared" ca="1" si="34"/>
        <v>"26046" : "nếu không thì",</v>
      </c>
      <c r="H382" s="229" t="str">
        <f t="shared" si="35"/>
        <v>&lt;li class="col-md-3"&gt;&lt;a class="text-cut" href="javascript:;"(click)="categoryEvent(26046)"&gt;{{"26046" | translate}}&lt;/a&gt;&lt;/li&gt;</v>
      </c>
    </row>
    <row r="383" spans="1:8" ht="14.25" customHeight="1">
      <c r="E383" s="3"/>
      <c r="F383" s="3"/>
      <c r="G383" s="229"/>
      <c r="H383" s="229"/>
    </row>
    <row r="384" spans="1:8" ht="14.25" customHeight="1">
      <c r="A384" s="288">
        <v>25872</v>
      </c>
      <c r="B384" s="269"/>
      <c r="C384" s="269"/>
      <c r="D384" s="270"/>
      <c r="E384" s="3"/>
      <c r="F384" s="3"/>
      <c r="G384" s="229"/>
      <c r="H384" s="229"/>
    </row>
    <row r="385" spans="1:8" ht="14.25" customHeight="1">
      <c r="A385" s="230">
        <v>25874</v>
      </c>
      <c r="B385" s="2" t="s">
        <v>8105</v>
      </c>
      <c r="C385" s="2" t="s">
        <v>8107</v>
      </c>
      <c r="D385" s="169" t="str">
        <f t="shared" ref="D385:D389" si="44">CONCATENATE("0,","25464,25872,",A385)</f>
        <v>0,25464,25872,25874</v>
      </c>
      <c r="E385" s="3" t="str">
        <f ca="1">IFERROR(__xludf.DUMMYFUNCTION("GOOGLETRANSLATE(B385,""ja"",""vi"")"),"McDonald")</f>
        <v>McDonald</v>
      </c>
      <c r="F385" s="3" t="str">
        <f ca="1">IFERROR(__xludf.DUMMYFUNCTION("GOOGLETRANSLATE(C385,""ja"",""vi"")"),"Đấu giá&gt; đồ chơi, trò chơi&gt; fast-food đồ chơi&gt; McDonald")</f>
        <v>Đấu giá&gt; đồ chơi, trò chơi&gt; fast-food đồ chơi&gt; McDonald</v>
      </c>
      <c r="G385" s="229" t="str">
        <f t="shared" ca="1" si="34"/>
        <v>"25874" : "McDonald",</v>
      </c>
      <c r="H385" s="229" t="str">
        <f t="shared" si="35"/>
        <v>&lt;li class="col-md-3"&gt;&lt;a class="text-cut" href="javascript:;"(click)="categoryEvent(25874)"&gt;{{"25874" | translate}}&lt;/a&gt;&lt;/li&gt;</v>
      </c>
    </row>
    <row r="386" spans="1:8" ht="14.25" customHeight="1">
      <c r="A386" s="2">
        <v>27818</v>
      </c>
      <c r="B386" s="2" t="s">
        <v>8110</v>
      </c>
      <c r="C386" s="2" t="s">
        <v>8111</v>
      </c>
      <c r="D386" s="169" t="str">
        <f t="shared" si="44"/>
        <v>0,25464,25872,27818</v>
      </c>
      <c r="E386" s="3" t="str">
        <f ca="1">IFERROR(__xludf.DUMMYFUNCTION("GOOGLETRANSLATE(B386,""ja"",""vi"")"),"Kentucky Fried Chicken")</f>
        <v>Kentucky Fried Chicken</v>
      </c>
      <c r="F386" s="3" t="str">
        <f ca="1">IFERROR(__xludf.DUMMYFUNCTION("GOOGLETRANSLATE(C386,""ja"",""vi"")"),"Đấu giá&gt; Đồ chơi, trò chơi&gt; Thức ăn nhanh Đồ chơi&gt; Kentucky Fried Chicken")</f>
        <v>Đấu giá&gt; Đồ chơi, trò chơi&gt; Thức ăn nhanh Đồ chơi&gt; Kentucky Fried Chicken</v>
      </c>
      <c r="G386" s="229" t="str">
        <f t="shared" ca="1" si="34"/>
        <v>"27818" : "Kentucky Fried Chicken",</v>
      </c>
      <c r="H386" s="229" t="str">
        <f t="shared" si="35"/>
        <v>&lt;li class="col-md-3"&gt;&lt;a class="text-cut" href="javascript:;"(click)="categoryEvent(27818)"&gt;{{"27818" | translate}}&lt;/a&gt;&lt;/li&gt;</v>
      </c>
    </row>
    <row r="387" spans="1:8" ht="14.25" customHeight="1">
      <c r="A387" s="2">
        <v>25878</v>
      </c>
      <c r="B387" s="2" t="s">
        <v>8114</v>
      </c>
      <c r="C387" s="2" t="s">
        <v>8115</v>
      </c>
      <c r="D387" s="169" t="str">
        <f t="shared" si="44"/>
        <v>0,25464,25872,25878</v>
      </c>
      <c r="E387" s="3" t="str">
        <f ca="1">IFERROR(__xludf.DUMMYFUNCTION("GOOGLETRANSLATE(B387,""ja"",""vi"")"),"Burger king")</f>
        <v>Burger king</v>
      </c>
      <c r="F387" s="3" t="str">
        <f ca="1">IFERROR(__xludf.DUMMYFUNCTION("GOOGLETRANSLATE(C387,""ja"",""vi"")"),"Đấu giá&gt; Đồ chơi, trò chơi&gt; Thức ăn nhanh Đồ chơi&gt; Burger King")</f>
        <v>Đấu giá&gt; Đồ chơi, trò chơi&gt; Thức ăn nhanh Đồ chơi&gt; Burger King</v>
      </c>
      <c r="G387" s="229" t="str">
        <f t="shared" ref="G387:G399" ca="1" si="45">CONCATENATE(CHAR(34)&amp;"",A387,""&amp;CHAR(34)," : ", CHAR(34)&amp;"",E387,""&amp;CHAR(34),",")</f>
        <v>"25878" : "Burger king",</v>
      </c>
      <c r="H387" s="229" t="str">
        <f t="shared" ref="H387:H399" si="46">CONCATENATE("&lt;li class=",CHAR(34)&amp;"","col-md-3",""&amp;CHAR(34),"&gt;","&lt;a class=",CHAR(34)&amp;"","text-cut",""&amp;CHAR(34)," href=",CHAR(34)&amp;"","javascript:;",""&amp;CHAR(34), "(click)=",CHAR(34)&amp;"","categoryEvent(",A387,")",""&amp;CHAR(34),"&gt;{{",CHAR(34)&amp;"",A387,""&amp;CHAR(34)," | translate}}&lt;/a&gt;&lt;/li&gt;")</f>
        <v>&lt;li class="col-md-3"&gt;&lt;a class="text-cut" href="javascript:;"(click)="categoryEvent(25878)"&gt;{{"25878" | translate}}&lt;/a&gt;&lt;/li&gt;</v>
      </c>
    </row>
    <row r="388" spans="1:8" ht="14.25" customHeight="1">
      <c r="A388" s="2">
        <v>2084005201</v>
      </c>
      <c r="B388" s="2" t="s">
        <v>8116</v>
      </c>
      <c r="C388" s="2" t="s">
        <v>8117</v>
      </c>
      <c r="D388" s="169" t="str">
        <f t="shared" si="44"/>
        <v>0,25464,25872,2084005201</v>
      </c>
      <c r="E388" s="3" t="str">
        <f ca="1">IFERROR(__xludf.DUMMYFUNCTION("GOOGLETRANSLATE(B388,""ja"",""vi"")"),"Mister Donut")</f>
        <v>Mister Donut</v>
      </c>
      <c r="F388" s="3" t="str">
        <f ca="1">IFERROR(__xludf.DUMMYFUNCTION("GOOGLETRANSLATE(C388,""ja"",""vi"")"),"Đấu giá&gt; đồ chơi, trò chơi&gt; đồ chơi thức ăn nhanh&gt; Mister Donut")</f>
        <v>Đấu giá&gt; đồ chơi, trò chơi&gt; đồ chơi thức ăn nhanh&gt; Mister Donut</v>
      </c>
      <c r="G388" s="229" t="str">
        <f t="shared" ca="1" si="45"/>
        <v>"2084005201" : "Mister Donut",</v>
      </c>
      <c r="H388" s="229" t="str">
        <f t="shared" si="46"/>
        <v>&lt;li class="col-md-3"&gt;&lt;a class="text-cut" href="javascript:;"(click)="categoryEvent(2084005201)"&gt;{{"2084005201" | translate}}&lt;/a&gt;&lt;/li&gt;</v>
      </c>
    </row>
    <row r="389" spans="1:8" ht="14.25" customHeight="1">
      <c r="A389" s="2">
        <v>25886</v>
      </c>
      <c r="B389" s="2" t="s">
        <v>16</v>
      </c>
      <c r="C389" s="2" t="s">
        <v>8120</v>
      </c>
      <c r="D389" s="169" t="str">
        <f t="shared" si="44"/>
        <v>0,25464,25872,25886</v>
      </c>
      <c r="E389" s="3" t="str">
        <f ca="1">IFERROR(__xludf.DUMMYFUNCTION("GOOGLETRANSLATE(B389,""ja"",""vi"")"),"nếu không thì")</f>
        <v>nếu không thì</v>
      </c>
      <c r="F389" s="3" t="str">
        <f ca="1">IFERROR(__xludf.DUMMYFUNCTION("GOOGLETRANSLATE(C389,""ja"",""vi"")"),"Đấu giá&gt; Đồ chơi, trò chơi&gt; Thức ăn nhanh Đồ chơi&gt; Khác")</f>
        <v>Đấu giá&gt; Đồ chơi, trò chơi&gt; Thức ăn nhanh Đồ chơi&gt; Khác</v>
      </c>
      <c r="G389" s="229" t="str">
        <f t="shared" ca="1" si="45"/>
        <v>"25886" : "nếu không thì",</v>
      </c>
      <c r="H389" s="229" t="str">
        <f t="shared" si="46"/>
        <v>&lt;li class="col-md-3"&gt;&lt;a class="text-cut" href="javascript:;"(click)="categoryEvent(25886)"&gt;{{"25886" | translate}}&lt;/a&gt;&lt;/li&gt;</v>
      </c>
    </row>
    <row r="390" spans="1:8" ht="14.25" customHeight="1">
      <c r="E390" s="3"/>
      <c r="F390" s="3"/>
      <c r="G390" s="229"/>
      <c r="H390" s="229"/>
    </row>
    <row r="391" spans="1:8" ht="14.25" customHeight="1">
      <c r="A391" s="249">
        <v>2084042420</v>
      </c>
      <c r="B391" s="232"/>
      <c r="C391" s="232"/>
      <c r="D391" s="233"/>
      <c r="E391" s="3"/>
      <c r="F391" s="3"/>
      <c r="G391" s="229"/>
      <c r="H391" s="229"/>
    </row>
    <row r="392" spans="1:8" ht="14.25" customHeight="1">
      <c r="A392" s="83">
        <v>2084042423</v>
      </c>
      <c r="B392" s="83" t="s">
        <v>7137</v>
      </c>
      <c r="C392" s="83" t="s">
        <v>7138</v>
      </c>
      <c r="D392" s="169" t="str">
        <f t="shared" ref="D392:D399" si="47">CONCATENATE("0,","25464,2084042420,",A392)</f>
        <v>0,25464,2084042420,2084042423</v>
      </c>
      <c r="E392" s="3" t="str">
        <f ca="1">IFERROR(__xludf.DUMMYFUNCTION("GOOGLETRANSLATE(B392,""ja"",""vi"")"),"Phao, thiết bị tuyển nổi")</f>
        <v>Phao, thiết bị tuyển nổi</v>
      </c>
      <c r="F392" s="3" t="str">
        <f ca="1">IFERROR(__xludf.DUMMYFUNCTION("GOOGLETRANSLATE(C392,""ja"",""vi"")"),"Đấu giá&gt; đồ chơi, trò chơi&gt; chơi trong nước&gt; phao, thiết bị tuyển nổi")</f>
        <v>Đấu giá&gt; đồ chơi, trò chơi&gt; chơi trong nước&gt; phao, thiết bị tuyển nổi</v>
      </c>
      <c r="G392" s="229" t="str">
        <f t="shared" ca="1" si="45"/>
        <v>"2084042423" : "Phao, thiết bị tuyển nổi",</v>
      </c>
      <c r="H392" s="229" t="str">
        <f t="shared" si="46"/>
        <v>&lt;li class="col-md-3"&gt;&lt;a class="text-cut" href="javascript:;"(click)="categoryEvent(2084042423)"&gt;{{"2084042423" | translate}}&lt;/a&gt;&lt;/li&gt;</v>
      </c>
    </row>
    <row r="393" spans="1:8" ht="14.25" customHeight="1">
      <c r="A393" s="83">
        <v>2084044885</v>
      </c>
      <c r="B393" s="83" t="s">
        <v>6774</v>
      </c>
      <c r="C393" s="83" t="s">
        <v>7142</v>
      </c>
      <c r="D393" s="169" t="str">
        <f t="shared" si="47"/>
        <v>0,25464,2084042420,2084044885</v>
      </c>
      <c r="E393" s="3" t="str">
        <f ca="1">IFERROR(__xludf.DUMMYFUNCTION("GOOGLETRANSLATE(B393,""ja"",""vi"")"),"xuồng ba lá cao su")</f>
        <v>xuồng ba lá cao su</v>
      </c>
      <c r="F393" s="3" t="str">
        <f ca="1">IFERROR(__xludf.DUMMYFUNCTION("GOOGLETRANSLATE(C393,""ja"",""vi"")"),"Đấu giá&gt; đồ chơi, trò chơi&gt; chơi trong nước&gt; xuồng ba lá cao su")</f>
        <v>Đấu giá&gt; đồ chơi, trò chơi&gt; chơi trong nước&gt; xuồng ba lá cao su</v>
      </c>
      <c r="G393" s="229" t="str">
        <f t="shared" ca="1" si="45"/>
        <v>"2084044885" : "xuồng ba lá cao su",</v>
      </c>
      <c r="H393" s="229" t="str">
        <f t="shared" si="46"/>
        <v>&lt;li class="col-md-3"&gt;&lt;a class="text-cut" href="javascript:;"(click)="categoryEvent(2084044885)"&gt;{{"2084044885" | translate}}&lt;/a&gt;&lt;/li&gt;</v>
      </c>
    </row>
    <row r="394" spans="1:8" ht="14.25" customHeight="1">
      <c r="A394" s="83">
        <v>2084208878</v>
      </c>
      <c r="B394" s="83" t="s">
        <v>7146</v>
      </c>
      <c r="C394" s="83" t="s">
        <v>7147</v>
      </c>
      <c r="D394" s="169" t="str">
        <f t="shared" si="47"/>
        <v>0,25464,2084042420,2084208878</v>
      </c>
      <c r="E394" s="3" t="str">
        <f ca="1">IFERROR(__xludf.DUMMYFUNCTION("GOOGLETRANSLATE(B394,""ja"",""vi"")"),"bãi biển ô")</f>
        <v>bãi biển ô</v>
      </c>
      <c r="F394" s="3" t="str">
        <f ca="1">IFERROR(__xludf.DUMMYFUNCTION("GOOGLETRANSLATE(C394,""ja"",""vi"")"),"Đấu giá&gt; đồ chơi, trò chơi&gt; chơi trong nước&gt; ô bãi biển")</f>
        <v>Đấu giá&gt; đồ chơi, trò chơi&gt; chơi trong nước&gt; ô bãi biển</v>
      </c>
      <c r="G394" s="229" t="str">
        <f t="shared" ca="1" si="45"/>
        <v>"2084208878" : "bãi biển ô",</v>
      </c>
      <c r="H394" s="229" t="str">
        <f t="shared" si="46"/>
        <v>&lt;li class="col-md-3"&gt;&lt;a class="text-cut" href="javascript:;"(click)="categoryEvent(2084208878)"&gt;{{"2084208878" | translate}}&lt;/a&gt;&lt;/li&gt;</v>
      </c>
    </row>
    <row r="395" spans="1:8" ht="14.25" customHeight="1">
      <c r="A395" s="83">
        <v>2084042424</v>
      </c>
      <c r="B395" s="83" t="s">
        <v>7151</v>
      </c>
      <c r="C395" s="83" t="s">
        <v>7152</v>
      </c>
      <c r="D395" s="169" t="str">
        <f t="shared" si="47"/>
        <v>0,25464,2084042420,2084042424</v>
      </c>
      <c r="E395" s="3" t="str">
        <f ca="1">IFERROR(__xludf.DUMMYFUNCTION("GOOGLETRANSLATE(B395,""ja"",""vi"")"),"bãi biển bóng")</f>
        <v>bãi biển bóng</v>
      </c>
      <c r="F395" s="3" t="str">
        <f ca="1">IFERROR(__xludf.DUMMYFUNCTION("GOOGLETRANSLATE(C395,""ja"",""vi"")"),"Đấu giá&gt; đồ chơi, trò chơi&gt; chơi trong nước&gt; bóng bãi biển")</f>
        <v>Đấu giá&gt; đồ chơi, trò chơi&gt; chơi trong nước&gt; bóng bãi biển</v>
      </c>
      <c r="G395" s="229" t="str">
        <f t="shared" ca="1" si="45"/>
        <v>"2084042424" : "bãi biển bóng",</v>
      </c>
      <c r="H395" s="229" t="str">
        <f t="shared" si="46"/>
        <v>&lt;li class="col-md-3"&gt;&lt;a class="text-cut" href="javascript:;"(click)="categoryEvent(2084042424)"&gt;{{"2084042424" | translate}}&lt;/a&gt;&lt;/li&gt;</v>
      </c>
    </row>
    <row r="396" spans="1:8" ht="14.25" customHeight="1">
      <c r="A396" s="83">
        <v>2084042422</v>
      </c>
      <c r="B396" s="83" t="s">
        <v>6734</v>
      </c>
      <c r="C396" s="83" t="s">
        <v>7156</v>
      </c>
      <c r="D396" s="169" t="str">
        <f t="shared" si="47"/>
        <v>0,25464,2084042420,2084042422</v>
      </c>
      <c r="E396" s="3" t="str">
        <f ca="1">IFERROR(__xludf.DUMMYFUNCTION("GOOGLETRANSLATE(B396,""ja"",""vi"")"),"giải trí tấm")</f>
        <v>giải trí tấm</v>
      </c>
      <c r="F396" s="3" t="str">
        <f ca="1">IFERROR(__xludf.DUMMYFUNCTION("GOOGLETRANSLATE(C396,""ja"",""vi"")"),"Đấu giá&gt; đồ chơi, trò chơi&gt; chơi trong nước&gt; ghế giải trí")</f>
        <v>Đấu giá&gt; đồ chơi, trò chơi&gt; chơi trong nước&gt; ghế giải trí</v>
      </c>
      <c r="G396" s="229" t="str">
        <f t="shared" ca="1" si="45"/>
        <v>"2084042422" : "giải trí tấm",</v>
      </c>
      <c r="H396" s="229" t="str">
        <f t="shared" si="46"/>
        <v>&lt;li class="col-md-3"&gt;&lt;a class="text-cut" href="javascript:;"(click)="categoryEvent(2084042422)"&gt;{{"2084042422" | translate}}&lt;/a&gt;&lt;/li&gt;</v>
      </c>
    </row>
    <row r="397" spans="1:8" ht="14.25" customHeight="1">
      <c r="A397" s="83">
        <v>2084042421</v>
      </c>
      <c r="B397" s="83" t="s">
        <v>7160</v>
      </c>
      <c r="C397" s="83" t="s">
        <v>7161</v>
      </c>
      <c r="D397" s="169" t="str">
        <f t="shared" si="47"/>
        <v>0,25464,2084042420,2084042421</v>
      </c>
      <c r="E397" s="3" t="str">
        <f ca="1">IFERROR(__xludf.DUMMYFUNCTION("GOOGLETRANSLATE(B397,""ja"",""vi"")"),"hồ bơi gia đình")</f>
        <v>hồ bơi gia đình</v>
      </c>
      <c r="F397" s="3" t="str">
        <f ca="1">IFERROR(__xludf.DUMMYFUNCTION("GOOGLETRANSLATE(C397,""ja"",""vi"")"),"Đấu giá&gt; đồ chơi, trò chơi&gt; chơi trong nước&gt; hồ bơi nhà")</f>
        <v>Đấu giá&gt; đồ chơi, trò chơi&gt; chơi trong nước&gt; hồ bơi nhà</v>
      </c>
      <c r="G397" s="229" t="str">
        <f t="shared" ca="1" si="45"/>
        <v>"2084042421" : "hồ bơi gia đình",</v>
      </c>
      <c r="H397" s="229" t="str">
        <f t="shared" si="46"/>
        <v>&lt;li class="col-md-3"&gt;&lt;a class="text-cut" href="javascript:;"(click)="categoryEvent(2084042421)"&gt;{{"2084042421" | translate}}&lt;/a&gt;&lt;/li&gt;</v>
      </c>
    </row>
    <row r="398" spans="1:8" ht="14.25" customHeight="1">
      <c r="A398" s="83">
        <v>2084042425</v>
      </c>
      <c r="B398" s="83" t="s">
        <v>7165</v>
      </c>
      <c r="C398" s="83" t="s">
        <v>7166</v>
      </c>
      <c r="D398" s="169" t="str">
        <f t="shared" si="47"/>
        <v>0,25464,2084042420,2084042425</v>
      </c>
      <c r="E398" s="3" t="str">
        <f ca="1">IFERROR(__xludf.DUMMYFUNCTION("GOOGLETRANSLATE(B398,""ja"",""vi"")"),"súng nước")</f>
        <v>súng nước</v>
      </c>
      <c r="F398" s="3" t="str">
        <f ca="1">IFERROR(__xludf.DUMMYFUNCTION("GOOGLETRANSLATE(C398,""ja"",""vi"")"),"Đấu giá&gt; đồ chơi, trò chơi&gt; chơi trong nước&gt; súng nước")</f>
        <v>Đấu giá&gt; đồ chơi, trò chơi&gt; chơi trong nước&gt; súng nước</v>
      </c>
      <c r="G398" s="229" t="str">
        <f t="shared" ca="1" si="45"/>
        <v>"2084042425" : "súng nước",</v>
      </c>
      <c r="H398" s="229" t="str">
        <f t="shared" si="46"/>
        <v>&lt;li class="col-md-3"&gt;&lt;a class="text-cut" href="javascript:;"(click)="categoryEvent(2084042425)"&gt;{{"2084042425" | translate}}&lt;/a&gt;&lt;/li&gt;</v>
      </c>
    </row>
    <row r="399" spans="1:8" ht="14.25" customHeight="1">
      <c r="A399" s="83">
        <v>2084042176</v>
      </c>
      <c r="B399" s="83" t="s">
        <v>7172</v>
      </c>
      <c r="C399" s="83" t="s">
        <v>7174</v>
      </c>
      <c r="D399" s="169" t="str">
        <f t="shared" si="47"/>
        <v>0,25464,2084042420,2084042176</v>
      </c>
      <c r="E399" s="3" t="str">
        <f ca="1">IFERROR(__xludf.DUMMYFUNCTION("GOOGLETRANSLATE(B399,""ja"",""vi"")"),"Pool Voucher")</f>
        <v>Pool Voucher</v>
      </c>
      <c r="F399" s="3" t="str">
        <f ca="1">IFERROR(__xludf.DUMMYFUNCTION("GOOGLETRANSLATE(C399,""ja"",""vi"")"),"Đấu giá&gt; Đồ chơi, trò chơi&gt; lội&gt; Chứng từ hồ bơi")</f>
        <v>Đấu giá&gt; Đồ chơi, trò chơi&gt; lội&gt; Chứng từ hồ bơi</v>
      </c>
      <c r="G399" s="229" t="str">
        <f t="shared" ca="1" si="45"/>
        <v>"2084042176" : "Pool Voucher",</v>
      </c>
      <c r="H399" s="229" t="str">
        <f t="shared" si="46"/>
        <v>&lt;li class="col-md-3"&gt;&lt;a class="text-cut" href="javascript:;"(click)="categoryEvent(2084042176)"&gt;{{"2084042176" | translate}}&lt;/a&gt;&lt;/li&gt;</v>
      </c>
    </row>
    <row r="400" spans="1:8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3">
    <mergeCell ref="A325:D325"/>
    <mergeCell ref="A313:D313"/>
    <mergeCell ref="A317:D317"/>
    <mergeCell ref="A380:D380"/>
    <mergeCell ref="A384:D384"/>
    <mergeCell ref="A391:D391"/>
    <mergeCell ref="A329:D329"/>
    <mergeCell ref="A339:D339"/>
    <mergeCell ref="A346:D346"/>
    <mergeCell ref="A354:D354"/>
    <mergeCell ref="A374:D374"/>
    <mergeCell ref="A366:D366"/>
    <mergeCell ref="A291:D291"/>
    <mergeCell ref="A298:D298"/>
    <mergeCell ref="A281:D281"/>
    <mergeCell ref="A223:D223"/>
    <mergeCell ref="A230:D230"/>
    <mergeCell ref="A235:D235"/>
    <mergeCell ref="A250:D250"/>
    <mergeCell ref="A258:D258"/>
    <mergeCell ref="A263:D263"/>
    <mergeCell ref="A41:D41"/>
    <mergeCell ref="A76:D76"/>
    <mergeCell ref="A124:D124"/>
    <mergeCell ref="A164:D164"/>
    <mergeCell ref="A215:D215"/>
    <mergeCell ref="A139:D139"/>
    <mergeCell ref="A153:D153"/>
    <mergeCell ref="A199:D199"/>
    <mergeCell ref="A207:D207"/>
    <mergeCell ref="A176:D176"/>
    <mergeCell ref="A184:D184"/>
    <mergeCell ref="A190:D190"/>
  </mergeCells>
  <pageMargins left="0.7" right="0.7" top="0.75" bottom="0.75" header="0" footer="0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B1" workbookViewId="0">
      <selection activeCell="G2" sqref="G2"/>
    </sheetView>
  </sheetViews>
  <sheetFormatPr defaultColWidth="12.59765625" defaultRowHeight="15" customHeight="1"/>
  <cols>
    <col min="1" max="1" width="20.3984375" customWidth="1"/>
    <col min="2" max="2" width="19" customWidth="1"/>
    <col min="3" max="3" width="30.3984375" customWidth="1"/>
    <col min="4" max="4" width="32.19921875" customWidth="1"/>
    <col min="5" max="5" width="7.59765625" customWidth="1"/>
    <col min="6" max="6" width="38" customWidth="1"/>
    <col min="7" max="7" width="30.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21968</v>
      </c>
      <c r="B2" s="2" t="s">
        <v>380</v>
      </c>
      <c r="C2" s="2" t="s">
        <v>7554</v>
      </c>
      <c r="D2" s="118" t="str">
        <f t="shared" ref="D2:D10" si="0">CONCATENATE("0,","21964,",A2)</f>
        <v>0,21964,21968</v>
      </c>
      <c r="E2" s="3" t="str">
        <f ca="1">IFERROR(__xludf.DUMMYFUNCTION("GOOGLETRANSLATE(B2,""ja"",""vi"")"),"DVD")</f>
        <v>DVD</v>
      </c>
      <c r="F2" s="3" t="str">
        <f ca="1">IFERROR(__xludf.DUMMYFUNCTION("GOOGLETRANSLATE(C2,""ja"",""vi"")"),"Đấu giá&gt; phim, video&gt; DVD")</f>
        <v>Đấu giá&gt; phim, video&gt; DVD</v>
      </c>
      <c r="G2" s="229" t="str">
        <f ca="1">CONCATENATE(CHAR(34)&amp;"",A2,""&amp;CHAR(34)," : ", CHAR(34)&amp;"",E2,""&amp;CHAR(34),",")</f>
        <v>"21968" : "DVD",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href="javascript:;"(click)="categoryEvent(21968)"&gt;{{"21968" | translate}}&lt;/a&gt;&lt;/li&gt;</v>
      </c>
    </row>
    <row r="3" spans="1:8" ht="14.25" customHeight="1">
      <c r="A3" s="4">
        <v>2084239338</v>
      </c>
      <c r="B3" s="4" t="s">
        <v>7558</v>
      </c>
      <c r="C3" s="4" t="s">
        <v>7560</v>
      </c>
      <c r="D3" s="118" t="str">
        <f t="shared" si="0"/>
        <v>0,21964,2084239338</v>
      </c>
      <c r="E3" s="3" t="str">
        <f ca="1">IFERROR(__xludf.DUMMYFUNCTION("GOOGLETRANSLATE(B3,""ja"",""vi"")"),"Blu-ray")</f>
        <v>Blu-ray</v>
      </c>
      <c r="F3" s="3" t="str">
        <f ca="1">IFERROR(__xludf.DUMMYFUNCTION("GOOGLETRANSLATE(C3,""ja"",""vi"")"),"Đấu giá&gt; phim, video&gt; Blu-ray")</f>
        <v>Đấu giá&gt; phim, video&gt; Blu-ray</v>
      </c>
      <c r="G3" s="229" t="str">
        <f t="shared" ref="G3:G65" ca="1" si="1">CONCATENATE(CHAR(34)&amp;"",A3,""&amp;CHAR(34)," : ", CHAR(34)&amp;"",E3,""&amp;CHAR(34),",")</f>
        <v>"2084239338" : "Blu-ray",</v>
      </c>
      <c r="H3" s="229" t="str">
        <f t="shared" ref="H3:H65" si="2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href="javascript:;"(click)="categoryEvent(2084239338)"&gt;{{"2084239338" | translate}}&lt;/a&gt;&lt;/li&gt;</v>
      </c>
    </row>
    <row r="4" spans="1:8" ht="14.25" customHeight="1">
      <c r="A4" s="5">
        <v>2084005503</v>
      </c>
      <c r="B4" s="5" t="s">
        <v>399</v>
      </c>
      <c r="C4" s="5" t="s">
        <v>7564</v>
      </c>
      <c r="D4" s="119" t="str">
        <f t="shared" si="0"/>
        <v>0,21964,2084005503</v>
      </c>
      <c r="E4" s="3" t="str">
        <f ca="1">IFERROR(__xludf.DUMMYFUNCTION("GOOGLETRANSLATE(B4,""ja"",""vi"")"),"VCD")</f>
        <v>VCD</v>
      </c>
      <c r="F4" s="3" t="str">
        <f ca="1">IFERROR(__xludf.DUMMYFUNCTION("GOOGLETRANSLATE(C4,""ja"",""vi"")"),"Đấu giá&gt; phim, video&gt; VCD")</f>
        <v>Đấu giá&gt; phim, video&gt; VCD</v>
      </c>
      <c r="G4" s="229" t="str">
        <f t="shared" ca="1" si="1"/>
        <v>"2084005503" : "VCD",</v>
      </c>
      <c r="H4" s="229" t="str">
        <f t="shared" si="2"/>
        <v>&lt;li class="col-md-3"&gt;&lt;a class="text-cut" href="javascript:;"(click)="categoryEvent(2084005503)"&gt;{{"2084005503" | translate}}&lt;/a&gt;&lt;/li&gt;</v>
      </c>
    </row>
    <row r="5" spans="1:8" ht="14.25" customHeight="1">
      <c r="A5" s="8">
        <v>22072</v>
      </c>
      <c r="B5" s="8" t="s">
        <v>7565</v>
      </c>
      <c r="C5" s="8" t="s">
        <v>7566</v>
      </c>
      <c r="D5" s="120" t="str">
        <f t="shared" si="0"/>
        <v>0,21964,22072</v>
      </c>
      <c r="E5" s="3" t="str">
        <f ca="1">IFERROR(__xludf.DUMMYFUNCTION("GOOGLETRANSLATE(B5,""ja"",""vi"")"),"băng video")</f>
        <v>băng video</v>
      </c>
      <c r="F5" s="3" t="str">
        <f ca="1">IFERROR(__xludf.DUMMYFUNCTION("GOOGLETRANSLATE(C5,""ja"",""vi"")"),"Đấu giá&gt; phim, video&gt; băng video")</f>
        <v>Đấu giá&gt; phim, video&gt; băng video</v>
      </c>
      <c r="G5" s="229" t="str">
        <f t="shared" ca="1" si="1"/>
        <v>"22072" : "băng video",</v>
      </c>
      <c r="H5" s="229" t="str">
        <f t="shared" si="2"/>
        <v>&lt;li class="col-md-3"&gt;&lt;a class="text-cut" href="javascript:;"(click)="categoryEvent(22072)"&gt;{{"22072" | translate}}&lt;/a&gt;&lt;/li&gt;</v>
      </c>
    </row>
    <row r="6" spans="1:8" ht="14.25" customHeight="1">
      <c r="A6" s="6">
        <v>22020</v>
      </c>
      <c r="B6" s="6" t="s">
        <v>393</v>
      </c>
      <c r="C6" s="6" t="s">
        <v>7569</v>
      </c>
      <c r="D6" s="121" t="str">
        <f t="shared" si="0"/>
        <v>0,21964,22020</v>
      </c>
      <c r="E6" s="3" t="str">
        <f ca="1">IFERROR(__xludf.DUMMYFUNCTION("GOOGLETRANSLATE(B6,""ja"",""vi"")"),"đĩa Laser")</f>
        <v>đĩa Laser</v>
      </c>
      <c r="F6" s="3" t="str">
        <f ca="1">IFERROR(__xludf.DUMMYFUNCTION("GOOGLETRANSLATE(C6,""ja"",""vi"")"),"Đấu giá&gt; phim, video&gt; đĩa laze")</f>
        <v>Đấu giá&gt; phim, video&gt; đĩa laze</v>
      </c>
      <c r="G6" s="229" t="str">
        <f t="shared" ca="1" si="1"/>
        <v>"22020" : "đĩa Laser",</v>
      </c>
      <c r="H6" s="229" t="str">
        <f t="shared" si="2"/>
        <v>&lt;li class="col-md-3"&gt;&lt;a class="text-cut" href="javascript:;"(click)="categoryEvent(22020)"&gt;{{"22020" | translate}}&lt;/a&gt;&lt;/li&gt;</v>
      </c>
    </row>
    <row r="7" spans="1:8" ht="14.25" customHeight="1">
      <c r="A7" s="9">
        <v>2084042367</v>
      </c>
      <c r="B7" s="9" t="s">
        <v>7573</v>
      </c>
      <c r="C7" s="9" t="s">
        <v>7574</v>
      </c>
      <c r="D7" s="122" t="str">
        <f t="shared" si="0"/>
        <v>0,21964,2084042367</v>
      </c>
      <c r="E7" s="3" t="str">
        <f ca="1">IFERROR(__xludf.DUMMYFUNCTION("GOOGLETRANSLATE(B7,""ja"",""vi"")"),"phim âm nhạc")</f>
        <v>phim âm nhạc</v>
      </c>
      <c r="F7" s="3" t="str">
        <f ca="1">IFERROR(__xludf.DUMMYFUNCTION("GOOGLETRANSLATE(C7,""ja"",""vi"")"),"Đấu giá&gt; phim, video&gt; nhạc phim")</f>
        <v>Đấu giá&gt; phim, video&gt; nhạc phim</v>
      </c>
      <c r="G7" s="229" t="str">
        <f t="shared" ca="1" si="1"/>
        <v>"2084042367" : "phim âm nhạc",</v>
      </c>
      <c r="H7" s="229" t="str">
        <f t="shared" si="2"/>
        <v>&lt;li class="col-md-3"&gt;&lt;a class="text-cut" href="javascript:;"(click)="categoryEvent(2084042367)"&gt;{{"2084042367" | translate}}&lt;/a&gt;&lt;/li&gt;</v>
      </c>
    </row>
    <row r="8" spans="1:8" ht="14.25" customHeight="1">
      <c r="A8" s="7">
        <v>22124</v>
      </c>
      <c r="B8" s="7" t="s">
        <v>7575</v>
      </c>
      <c r="C8" s="7" t="s">
        <v>7577</v>
      </c>
      <c r="D8" s="124" t="str">
        <f t="shared" si="0"/>
        <v>0,21964,22124</v>
      </c>
      <c r="E8" s="3" t="str">
        <f ca="1">IFERROR(__xludf.DUMMYFUNCTION("GOOGLETRANSLATE(B8,""ja"",""vi"")"),"hàng hóa liên quan đến phim")</f>
        <v>hàng hóa liên quan đến phim</v>
      </c>
      <c r="F8" s="3" t="str">
        <f ca="1">IFERROR(__xludf.DUMMYFUNCTION("GOOGLETRANSLATE(C8,""ja"",""vi"")"),"Đấu giá&gt; phim, video&gt; hàng phim liên quan đến")</f>
        <v>Đấu giá&gt; phim, video&gt; hàng phim liên quan đến</v>
      </c>
      <c r="G8" s="229" t="str">
        <f t="shared" ca="1" si="1"/>
        <v>"22124" : "hàng hóa liên quan đến phim",</v>
      </c>
      <c r="H8" s="229" t="str">
        <f t="shared" si="2"/>
        <v>&lt;li class="col-md-3"&gt;&lt;a class="text-cut" href="javascript:;"(click)="categoryEvent(22124)"&gt;{{"22124" | translate}}&lt;/a&gt;&lt;/li&gt;</v>
      </c>
    </row>
    <row r="9" spans="1:8" ht="14.25" customHeight="1">
      <c r="A9" s="41">
        <v>2084039789</v>
      </c>
      <c r="B9" s="41" t="s">
        <v>378</v>
      </c>
      <c r="C9" s="41" t="s">
        <v>7581</v>
      </c>
      <c r="D9" s="125" t="str">
        <f t="shared" si="0"/>
        <v>0,21964,2084039789</v>
      </c>
      <c r="E9" s="3" t="str">
        <f ca="1">IFERROR(__xludf.DUMMYFUNCTION("GOOGLETRANSLATE(B9,""ja"",""vi"")"),"vé")</f>
        <v>vé</v>
      </c>
      <c r="F9" s="3" t="str">
        <f ca="1">IFERROR(__xludf.DUMMYFUNCTION("GOOGLETRANSLATE(C9,""ja"",""vi"")"),"Đấu giá&gt; phim, video&gt; vé")</f>
        <v>Đấu giá&gt; phim, video&gt; vé</v>
      </c>
      <c r="G9" s="229" t="str">
        <f t="shared" ca="1" si="1"/>
        <v>"2084039789" : "vé",</v>
      </c>
      <c r="H9" s="229" t="str">
        <f t="shared" si="2"/>
        <v>&lt;li class="col-md-3"&gt;&lt;a class="text-cut" href="javascript:;"(click)="categoryEvent(2084039789)"&gt;{{"2084039789" | translate}}&lt;/a&gt;&lt;/li&gt;</v>
      </c>
    </row>
    <row r="10" spans="1:8" ht="14.25" customHeight="1">
      <c r="A10" s="16">
        <v>2084307730</v>
      </c>
      <c r="B10" s="16" t="s">
        <v>7584</v>
      </c>
      <c r="C10" s="16" t="s">
        <v>7585</v>
      </c>
      <c r="D10" s="126" t="str">
        <f t="shared" si="0"/>
        <v>0,21964,2084307730</v>
      </c>
      <c r="E10" s="3" t="str">
        <f ca="1">IFERROR(__xludf.DUMMYFUNCTION("GOOGLETRANSLATE(B10,""ja"",""vi"")"),"sản xuất video")</f>
        <v>sản xuất video</v>
      </c>
      <c r="F10" s="3" t="str">
        <f ca="1">IFERROR(__xludf.DUMMYFUNCTION("GOOGLETRANSLATE(C10,""ja"",""vi"")"),"Đấu giá&gt; phim, video&gt; sản xuất video")</f>
        <v>Đấu giá&gt; phim, video&gt; sản xuất video</v>
      </c>
      <c r="G10" s="229" t="str">
        <f t="shared" ca="1" si="1"/>
        <v>"2084307730" : "sản xuất video",</v>
      </c>
      <c r="H10" s="229" t="str">
        <f t="shared" si="2"/>
        <v>&lt;li class="col-md-3"&gt;&lt;a class="text-cut" href="javascript:;"(click)="categoryEvent(2084307730)"&gt;{{"2084307730" | translate}}&lt;/a&gt;&lt;/li&gt;</v>
      </c>
    </row>
    <row r="11" spans="1:8" ht="14.25" customHeight="1">
      <c r="E11" s="3"/>
      <c r="F11" s="3"/>
      <c r="G11" s="229"/>
      <c r="H11" s="229"/>
    </row>
    <row r="12" spans="1:8" ht="14.25" customHeight="1">
      <c r="E12" s="3"/>
      <c r="F12" s="3"/>
      <c r="G12" s="229"/>
      <c r="H12" s="229"/>
    </row>
    <row r="13" spans="1:8" ht="14.25" customHeight="1">
      <c r="A13" s="289">
        <v>21968</v>
      </c>
      <c r="B13" s="232"/>
      <c r="C13" s="232"/>
      <c r="D13" s="233"/>
      <c r="E13" s="3"/>
      <c r="F13" s="3"/>
      <c r="G13" s="229"/>
      <c r="H13" s="229"/>
    </row>
    <row r="14" spans="1:8" ht="14.25" customHeight="1">
      <c r="A14" s="2">
        <v>2084046970</v>
      </c>
      <c r="B14" s="2" t="s">
        <v>837</v>
      </c>
      <c r="C14" s="84" t="s">
        <v>7595</v>
      </c>
      <c r="D14" s="169" t="str">
        <f t="shared" ref="D14:D25" si="3">CONCATENATE("0,","21964,21968,",A14)</f>
        <v>0,21964,21968,2084046970</v>
      </c>
      <c r="E14" s="3" t="str">
        <f ca="1">IFERROR(__xludf.DUMMYFUNCTION("GOOGLETRANSLATE(B14,""ja"",""vi"")"),"phim")</f>
        <v>phim</v>
      </c>
      <c r="F14" s="3" t="str">
        <f ca="1">IFERROR(__xludf.DUMMYFUNCTION("GOOGLETRANSLATE(C14,""ja"",""vi"")"),"Đấu giá&gt; phim, video&gt; DVD&gt; phim")</f>
        <v>Đấu giá&gt; phim, video&gt; DVD&gt; phim</v>
      </c>
      <c r="G14" s="229" t="str">
        <f t="shared" ca="1" si="1"/>
        <v>"2084046970" : "phim",</v>
      </c>
      <c r="H14" s="229" t="str">
        <f t="shared" si="2"/>
        <v>&lt;li class="col-md-3"&gt;&lt;a class="text-cut" href="javascript:;"(click)="categoryEvent(2084046970)"&gt;{{"2084046970" | translate}}&lt;/a&gt;&lt;/li&gt;</v>
      </c>
    </row>
    <row r="15" spans="1:8" ht="14.25" customHeight="1">
      <c r="A15" s="2">
        <v>21976</v>
      </c>
      <c r="B15" s="2" t="s">
        <v>7598</v>
      </c>
      <c r="C15" s="2" t="s">
        <v>7600</v>
      </c>
      <c r="D15" s="169" t="str">
        <f t="shared" si="3"/>
        <v>0,21964,21968,21976</v>
      </c>
      <c r="E15" s="3" t="str">
        <f ca="1">IFERROR(__xludf.DUMMYFUNCTION("GOOGLETRANSLATE(B15,""ja"",""vi"")"),"Anime")</f>
        <v>Anime</v>
      </c>
      <c r="F15" s="3" t="str">
        <f ca="1">IFERROR(__xludf.DUMMYFUNCTION("GOOGLETRANSLATE(C15,""ja"",""vi"")"),"Đấu giá&gt; phim, video&gt; DVD&gt; phim hoạt hình")</f>
        <v>Đấu giá&gt; phim, video&gt; DVD&gt; phim hoạt hình</v>
      </c>
      <c r="G15" s="229" t="str">
        <f t="shared" ca="1" si="1"/>
        <v>"21976" : "Anime",</v>
      </c>
      <c r="H15" s="229" t="str">
        <f t="shared" si="2"/>
        <v>&lt;li class="col-md-3"&gt;&lt;a class="text-cut" href="javascript:;"(click)="categoryEvent(21976)"&gt;{{"21976" | translate}}&lt;/a&gt;&lt;/li&gt;</v>
      </c>
    </row>
    <row r="16" spans="1:8" ht="14.25" customHeight="1">
      <c r="A16" s="2">
        <v>2084046977</v>
      </c>
      <c r="B16" s="2" t="s">
        <v>7605</v>
      </c>
      <c r="C16" s="2" t="s">
        <v>7606</v>
      </c>
      <c r="D16" s="169" t="str">
        <f t="shared" si="3"/>
        <v>0,21964,21968,2084046977</v>
      </c>
      <c r="E16" s="3" t="str">
        <f ca="1">IFERROR(__xludf.DUMMYFUNCTION("GOOGLETRANSLATE(B16,""ja"",""vi"")"),"TV Drama")</f>
        <v>TV Drama</v>
      </c>
      <c r="F16" s="3" t="str">
        <f ca="1">IFERROR(__xludf.DUMMYFUNCTION("GOOGLETRANSLATE(C16,""ja"",""vi"")"),"Đấu giá&gt; phim, video&gt; DVD&gt; phim truyền hình")</f>
        <v>Đấu giá&gt; phim, video&gt; DVD&gt; phim truyền hình</v>
      </c>
      <c r="G16" s="229" t="str">
        <f t="shared" ca="1" si="1"/>
        <v>"2084046977" : "TV Drama",</v>
      </c>
      <c r="H16" s="229" t="str">
        <f t="shared" si="2"/>
        <v>&lt;li class="col-md-3"&gt;&lt;a class="text-cut" href="javascript:;"(click)="categoryEvent(2084046977)"&gt;{{"2084046977" | translate}}&lt;/a&gt;&lt;/li&gt;</v>
      </c>
    </row>
    <row r="17" spans="1:8" ht="14.25" customHeight="1">
      <c r="A17" s="2">
        <v>2084046976</v>
      </c>
      <c r="B17" s="2" t="s">
        <v>7609</v>
      </c>
      <c r="C17" s="2" t="s">
        <v>7611</v>
      </c>
      <c r="D17" s="169" t="str">
        <f t="shared" si="3"/>
        <v>0,21964,21968,2084046976</v>
      </c>
      <c r="E17" s="3" t="str">
        <f ca="1">IFERROR(__xludf.DUMMYFUNCTION("GOOGLETRANSLATE(B17,""ja"",""vi"")"),"hình tượng")</f>
        <v>hình tượng</v>
      </c>
      <c r="F17" s="3" t="str">
        <f ca="1">IFERROR(__xludf.DUMMYFUNCTION("GOOGLETRANSLATE(C17,""ja"",""vi"")"),"Đấu giá&gt; phim, video&gt; DVD&gt; thần tượng")</f>
        <v>Đấu giá&gt; phim, video&gt; DVD&gt; thần tượng</v>
      </c>
      <c r="G17" s="229" t="str">
        <f t="shared" ca="1" si="1"/>
        <v>"2084046976" : "hình tượng",</v>
      </c>
      <c r="H17" s="229" t="str">
        <f t="shared" si="2"/>
        <v>&lt;li class="col-md-3"&gt;&lt;a class="text-cut" href="javascript:;"(click)="categoryEvent(2084046976)"&gt;{{"2084046976" | translate}}&lt;/a&gt;&lt;/li&gt;</v>
      </c>
    </row>
    <row r="18" spans="1:8" ht="14.25" customHeight="1">
      <c r="A18" s="2">
        <v>2084046974</v>
      </c>
      <c r="B18" s="2" t="s">
        <v>7614</v>
      </c>
      <c r="C18" s="2" t="s">
        <v>7615</v>
      </c>
      <c r="D18" s="169" t="str">
        <f t="shared" si="3"/>
        <v>0,21964,21968,2084046974</v>
      </c>
      <c r="E18" s="3" t="str">
        <f ca="1">IFERROR(__xludf.DUMMYFUNCTION("GOOGLETRANSLATE(B18,""ja"",""vi"")"),"Sở thích, thiết thực")</f>
        <v>Sở thích, thiết thực</v>
      </c>
      <c r="F18" s="3" t="str">
        <f ca="1">IFERROR(__xludf.DUMMYFUNCTION("GOOGLETRANSLATE(C18,""ja"",""vi"")"),"Đấu giá&gt; phim, video&gt; DVD&gt; sở thích, thiết thực")</f>
        <v>Đấu giá&gt; phim, video&gt; DVD&gt; sở thích, thiết thực</v>
      </c>
      <c r="G18" s="229" t="str">
        <f t="shared" ca="1" si="1"/>
        <v>"2084046974" : "Sở thích, thiết thực",</v>
      </c>
      <c r="H18" s="229" t="str">
        <f t="shared" si="2"/>
        <v>&lt;li class="col-md-3"&gt;&lt;a class="text-cut" href="javascript:;"(click)="categoryEvent(2084046974)"&gt;{{"2084046974" | translate}}&lt;/a&gt;&lt;/li&gt;</v>
      </c>
    </row>
    <row r="19" spans="1:8" ht="14.25" customHeight="1">
      <c r="A19" s="2">
        <v>2084047145</v>
      </c>
      <c r="B19" s="2" t="s">
        <v>7619</v>
      </c>
      <c r="C19" s="2" t="s">
        <v>7620</v>
      </c>
      <c r="D19" s="169" t="str">
        <f t="shared" si="3"/>
        <v>0,21964,21968,2084047145</v>
      </c>
      <c r="E19" s="3" t="str">
        <f ca="1">IFERROR(__xludf.DUMMYFUNCTION("GOOGLETRANSLATE(B19,""ja"",""vi"")"),"Hài kịch, đa dạng")</f>
        <v>Hài kịch, đa dạng</v>
      </c>
      <c r="F19" s="3" t="str">
        <f ca="1">IFERROR(__xludf.DUMMYFUNCTION("GOOGLETRANSLATE(C19,""ja"",""vi"")"),"Đấu giá&gt; phim, video&gt; DVD&gt; Comedy, Variety")</f>
        <v>Đấu giá&gt; phim, video&gt; DVD&gt; Comedy, Variety</v>
      </c>
      <c r="G19" s="229" t="str">
        <f t="shared" ca="1" si="1"/>
        <v>"2084047145" : "Hài kịch, đa dạng",</v>
      </c>
      <c r="H19" s="229" t="str">
        <f t="shared" si="2"/>
        <v>&lt;li class="col-md-3"&gt;&lt;a class="text-cut" href="javascript:;"(click)="categoryEvent(2084047145)"&gt;{{"2084047145" | translate}}&lt;/a&gt;&lt;/li&gt;</v>
      </c>
    </row>
    <row r="20" spans="1:8" ht="14.25" customHeight="1">
      <c r="A20" s="2">
        <v>2084046975</v>
      </c>
      <c r="B20" s="2" t="s">
        <v>165</v>
      </c>
      <c r="C20" s="2" t="s">
        <v>7623</v>
      </c>
      <c r="D20" s="169" t="str">
        <f t="shared" si="3"/>
        <v>0,21964,21968,2084046975</v>
      </c>
      <c r="E20" s="3" t="str">
        <f ca="1">IFERROR(__xludf.DUMMYFUNCTION("GOOGLETRANSLATE(B20,""ja"",""vi"")"),"Thể thao, giải trí")</f>
        <v>Thể thao, giải trí</v>
      </c>
      <c r="F20" s="3" t="str">
        <f ca="1">IFERROR(__xludf.DUMMYFUNCTION("GOOGLETRANSLATE(C20,""ja"",""vi"")"),"Đấu giá&gt; phim, video&gt; DVD&gt; thể thao, giải trí")</f>
        <v>Đấu giá&gt; phim, video&gt; DVD&gt; thể thao, giải trí</v>
      </c>
      <c r="G20" s="229" t="str">
        <f t="shared" ca="1" si="1"/>
        <v>"2084046975" : "Thể thao, giải trí",</v>
      </c>
      <c r="H20" s="229" t="str">
        <f t="shared" si="2"/>
        <v>&lt;li class="col-md-3"&gt;&lt;a class="text-cut" href="javascript:;"(click)="categoryEvent(2084046975)"&gt;{{"2084046975" | translate}}&lt;/a&gt;&lt;/li&gt;</v>
      </c>
    </row>
    <row r="21" spans="1:8" ht="14.25" customHeight="1">
      <c r="A21" s="2">
        <v>2084248783</v>
      </c>
      <c r="B21" s="2" t="s">
        <v>7627</v>
      </c>
      <c r="C21" s="2" t="s">
        <v>7628</v>
      </c>
      <c r="D21" s="169" t="str">
        <f t="shared" si="3"/>
        <v>0,21964,21968,2084248783</v>
      </c>
      <c r="E21" s="3" t="str">
        <f ca="1">IFERROR(__xludf.DUMMYFUNCTION("GOOGLETRANSLATE(B21,""ja"",""vi"")"),"Nhà hát, âm nhạc")</f>
        <v>Nhà hát, âm nhạc</v>
      </c>
      <c r="F21" s="3" t="str">
        <f ca="1">IFERROR(__xludf.DUMMYFUNCTION("GOOGLETRANSLATE(C21,""ja"",""vi"")"),"Đấu giá&gt; phim, video&gt; DVD&gt; sân khấu, âm nhạc")</f>
        <v>Đấu giá&gt; phim, video&gt; DVD&gt; sân khấu, âm nhạc</v>
      </c>
      <c r="G21" s="229" t="str">
        <f t="shared" ca="1" si="1"/>
        <v>"2084248783" : "Nhà hát, âm nhạc",</v>
      </c>
      <c r="H21" s="229" t="str">
        <f t="shared" si="2"/>
        <v>&lt;li class="col-md-3"&gt;&lt;a class="text-cut" href="javascript:;"(click)="categoryEvent(2084248783)"&gt;{{"2084248783" | translate}}&lt;/a&gt;&lt;/li&gt;</v>
      </c>
    </row>
    <row r="22" spans="1:8" ht="14.25" customHeight="1">
      <c r="A22" s="2">
        <v>2084256907</v>
      </c>
      <c r="B22" s="2" t="s">
        <v>7633</v>
      </c>
      <c r="C22" s="2" t="s">
        <v>7634</v>
      </c>
      <c r="D22" s="169" t="str">
        <f t="shared" si="3"/>
        <v>0,21964,21968,2084256907</v>
      </c>
      <c r="E22" s="3" t="str">
        <f ca="1">IFERROR(__xludf.DUMMYFUNCTION("GOOGLETRANSLATE(B22,""ja"",""vi"")"),"Trẻ em, gia đình")</f>
        <v>Trẻ em, gia đình</v>
      </c>
      <c r="F22" s="3" t="str">
        <f ca="1">IFERROR(__xludf.DUMMYFUNCTION("GOOGLETRANSLATE(C22,""ja"",""vi"")"),"Đấu giá&gt; phim, video&gt; DVD&gt; Kids, Gia đình")</f>
        <v>Đấu giá&gt; phim, video&gt; DVD&gt; Kids, Gia đình</v>
      </c>
      <c r="G22" s="229" t="str">
        <f t="shared" ca="1" si="1"/>
        <v>"2084256907" : "Trẻ em, gia đình",</v>
      </c>
      <c r="H22" s="229" t="str">
        <f t="shared" si="2"/>
        <v>&lt;li class="col-md-3"&gt;&lt;a class="text-cut" href="javascript:;"(click)="categoryEvent(2084256907)"&gt;{{"2084256907" | translate}}&lt;/a&gt;&lt;/li&gt;</v>
      </c>
    </row>
    <row r="23" spans="1:8" ht="14.25" customHeight="1">
      <c r="A23" s="2">
        <v>2084046929</v>
      </c>
      <c r="B23" s="2" t="s">
        <v>150</v>
      </c>
      <c r="C23" s="2" t="s">
        <v>7637</v>
      </c>
      <c r="D23" s="169" t="str">
        <f t="shared" si="3"/>
        <v>0,21964,21968,2084046929</v>
      </c>
      <c r="E23" s="3" t="str">
        <f ca="1">IFERROR(__xludf.DUMMYFUNCTION("GOOGLETRANSLATE(B23,""ja"",""vi"")"),"nhạc")</f>
        <v>nhạc</v>
      </c>
      <c r="F23" s="3" t="str">
        <f ca="1">IFERROR(__xludf.DUMMYFUNCTION("GOOGLETRANSLATE(C23,""ja"",""vi"")"),"Đấu giá&gt; phim, video&gt; DVD&gt; Âm nhạc")</f>
        <v>Đấu giá&gt; phim, video&gt; DVD&gt; Âm nhạc</v>
      </c>
      <c r="G23" s="229" t="str">
        <f t="shared" ca="1" si="1"/>
        <v>"2084046929" : "nhạc",</v>
      </c>
      <c r="H23" s="229" t="str">
        <f t="shared" si="2"/>
        <v>&lt;li class="col-md-3"&gt;&lt;a class="text-cut" href="javascript:;"(click)="categoryEvent(2084046929)"&gt;{{"2084046929" | translate}}&lt;/a&gt;&lt;/li&gt;</v>
      </c>
    </row>
    <row r="24" spans="1:8" ht="14.25" customHeight="1">
      <c r="A24" s="2">
        <v>2084044647</v>
      </c>
      <c r="B24" s="2" t="s">
        <v>776</v>
      </c>
      <c r="C24" s="2" t="s">
        <v>7638</v>
      </c>
      <c r="D24" s="169" t="str">
        <f t="shared" si="3"/>
        <v>0,21964,21968,2084044647</v>
      </c>
      <c r="E24" s="3" t="str">
        <f ca="1">IFERROR(__xludf.DUMMYFUNCTION("GOOGLETRANSLATE(B24,""ja"",""vi"")"),"hiệu ứng đặc biệt")</f>
        <v>hiệu ứng đặc biệt</v>
      </c>
      <c r="F24" s="3" t="str">
        <f ca="1">IFERROR(__xludf.DUMMYFUNCTION("GOOGLETRANSLATE(C24,""ja"",""vi"")"),"Đấu giá&gt; phim, video&gt; DVD&gt; Hiệu ứng đặc biệt")</f>
        <v>Đấu giá&gt; phim, video&gt; DVD&gt; Hiệu ứng đặc biệt</v>
      </c>
      <c r="G24" s="229" t="str">
        <f t="shared" ca="1" si="1"/>
        <v>"2084044647" : "hiệu ứng đặc biệt",</v>
      </c>
      <c r="H24" s="229" t="str">
        <f t="shared" si="2"/>
        <v>&lt;li class="col-md-3"&gt;&lt;a class="text-cut" href="javascript:;"(click)="categoryEvent(2084044647)"&gt;{{"2084044647" | translate}}&lt;/a&gt;&lt;/li&gt;</v>
      </c>
    </row>
    <row r="25" spans="1:8" ht="14.25" customHeight="1">
      <c r="A25" s="2">
        <v>22016</v>
      </c>
      <c r="B25" s="2" t="s">
        <v>16</v>
      </c>
      <c r="C25" s="2" t="s">
        <v>7641</v>
      </c>
      <c r="D25" s="169" t="str">
        <f t="shared" si="3"/>
        <v>0,21964,21968,22016</v>
      </c>
      <c r="E25" s="3" t="str">
        <f ca="1">IFERROR(__xludf.DUMMYFUNCTION("GOOGLETRANSLATE(B25,""ja"",""vi"")"),"nếu không thì")</f>
        <v>nếu không thì</v>
      </c>
      <c r="F25" s="3" t="str">
        <f ca="1">IFERROR(__xludf.DUMMYFUNCTION("GOOGLETRANSLATE(C25,""ja"",""vi"")"),"Đấu giá&gt; phim, video&gt; DVD&gt; Khác")</f>
        <v>Đấu giá&gt; phim, video&gt; DVD&gt; Khác</v>
      </c>
      <c r="G25" s="229" t="str">
        <f t="shared" ca="1" si="1"/>
        <v>"22016" : "nếu không thì",</v>
      </c>
      <c r="H25" s="229" t="str">
        <f t="shared" si="2"/>
        <v>&lt;li class="col-md-3"&gt;&lt;a class="text-cut" href="javascript:;"(click)="categoryEvent(22016)"&gt;{{"22016" | translate}}&lt;/a&gt;&lt;/li&gt;</v>
      </c>
    </row>
    <row r="26" spans="1:8" ht="14.25" customHeight="1">
      <c r="E26" s="3"/>
      <c r="F26" s="3"/>
      <c r="G26" s="229"/>
      <c r="H26" s="229"/>
    </row>
    <row r="27" spans="1:8" ht="25.5" customHeight="1">
      <c r="A27" s="239">
        <v>2084239338</v>
      </c>
      <c r="B27" s="232"/>
      <c r="C27" s="232"/>
      <c r="D27" s="233"/>
      <c r="E27" s="3"/>
      <c r="F27" s="3"/>
      <c r="G27" s="229"/>
      <c r="H27" s="229"/>
    </row>
    <row r="28" spans="1:8" ht="14.25" customHeight="1">
      <c r="A28" s="2">
        <v>2084249072</v>
      </c>
      <c r="B28" s="2" t="s">
        <v>837</v>
      </c>
      <c r="C28" s="2" t="s">
        <v>7648</v>
      </c>
      <c r="D28" s="169" t="str">
        <f t="shared" ref="D28:D39" si="4">CONCATENATE("0,","21964,2084239338,",A28)</f>
        <v>0,21964,2084239338,2084249072</v>
      </c>
      <c r="E28" s="3" t="str">
        <f ca="1">IFERROR(__xludf.DUMMYFUNCTION("GOOGLETRANSLATE(B28,""ja"",""vi"")"),"phim")</f>
        <v>phim</v>
      </c>
      <c r="F28" s="3" t="str">
        <f ca="1">IFERROR(__xludf.DUMMYFUNCTION("GOOGLETRANSLATE(C28,""ja"",""vi"")"),"Đấu giá&gt; phim, video&gt; Blu-ray&gt; Phim")</f>
        <v>Đấu giá&gt; phim, video&gt; Blu-ray&gt; Phim</v>
      </c>
      <c r="G28" s="229" t="str">
        <f t="shared" ca="1" si="1"/>
        <v>"2084249072" : "phim",</v>
      </c>
      <c r="H28" s="229" t="str">
        <f t="shared" si="2"/>
        <v>&lt;li class="col-md-3"&gt;&lt;a class="text-cut" href="javascript:;"(click)="categoryEvent(2084249072)"&gt;{{"2084249072" | translate}}&lt;/a&gt;&lt;/li&gt;</v>
      </c>
    </row>
    <row r="29" spans="1:8" ht="14.25" customHeight="1">
      <c r="A29" s="2">
        <v>2084249075</v>
      </c>
      <c r="B29" s="2" t="s">
        <v>7605</v>
      </c>
      <c r="C29" s="2" t="s">
        <v>7652</v>
      </c>
      <c r="D29" s="169" t="str">
        <f t="shared" si="4"/>
        <v>0,21964,2084239338,2084249075</v>
      </c>
      <c r="E29" s="3" t="str">
        <f ca="1">IFERROR(__xludf.DUMMYFUNCTION("GOOGLETRANSLATE(B29,""ja"",""vi"")"),"TV Drama")</f>
        <v>TV Drama</v>
      </c>
      <c r="F29" s="3" t="str">
        <f ca="1">IFERROR(__xludf.DUMMYFUNCTION("GOOGLETRANSLATE(C29,""ja"",""vi"")"),"Đấu giá&gt; phim, video&gt; Blu-ray&gt; phim truyền hình")</f>
        <v>Đấu giá&gt; phim, video&gt; Blu-ray&gt; phim truyền hình</v>
      </c>
      <c r="G29" s="229" t="str">
        <f t="shared" ca="1" si="1"/>
        <v>"2084249075" : "TV Drama",</v>
      </c>
      <c r="H29" s="229" t="str">
        <f t="shared" si="2"/>
        <v>&lt;li class="col-md-3"&gt;&lt;a class="text-cut" href="javascript:;"(click)="categoryEvent(2084249075)"&gt;{{"2084249075" | translate}}&lt;/a&gt;&lt;/li&gt;</v>
      </c>
    </row>
    <row r="30" spans="1:8" ht="14.25" customHeight="1">
      <c r="A30" s="2">
        <v>2084249078</v>
      </c>
      <c r="B30" s="2" t="s">
        <v>7598</v>
      </c>
      <c r="C30" s="2" t="s">
        <v>7656</v>
      </c>
      <c r="D30" s="169" t="str">
        <f t="shared" si="4"/>
        <v>0,21964,2084239338,2084249078</v>
      </c>
      <c r="E30" s="3" t="str">
        <f ca="1">IFERROR(__xludf.DUMMYFUNCTION("GOOGLETRANSLATE(B30,""ja"",""vi"")"),"Anime")</f>
        <v>Anime</v>
      </c>
      <c r="F30" s="3" t="str">
        <f ca="1">IFERROR(__xludf.DUMMYFUNCTION("GOOGLETRANSLATE(C30,""ja"",""vi"")"),"Đấu giá&gt; phim, video&gt; Blu-ray&gt; Anime")</f>
        <v>Đấu giá&gt; phim, video&gt; Blu-ray&gt; Anime</v>
      </c>
      <c r="G30" s="229" t="str">
        <f t="shared" ca="1" si="1"/>
        <v>"2084249078" : "Anime",</v>
      </c>
      <c r="H30" s="229" t="str">
        <f t="shared" si="2"/>
        <v>&lt;li class="col-md-3"&gt;&lt;a class="text-cut" href="javascript:;"(click)="categoryEvent(2084249078)"&gt;{{"2084249078" | translate}}&lt;/a&gt;&lt;/li&gt;</v>
      </c>
    </row>
    <row r="31" spans="1:8" ht="14.25" customHeight="1">
      <c r="A31" s="2">
        <v>2084249091</v>
      </c>
      <c r="B31" s="2" t="s">
        <v>7619</v>
      </c>
      <c r="C31" s="2" t="s">
        <v>7658</v>
      </c>
      <c r="D31" s="169" t="str">
        <f t="shared" si="4"/>
        <v>0,21964,2084239338,2084249091</v>
      </c>
      <c r="E31" s="3" t="str">
        <f ca="1">IFERROR(__xludf.DUMMYFUNCTION("GOOGLETRANSLATE(B31,""ja"",""vi"")"),"Hài kịch, đa dạng")</f>
        <v>Hài kịch, đa dạng</v>
      </c>
      <c r="F31" s="3" t="str">
        <f ca="1">IFERROR(__xludf.DUMMYFUNCTION("GOOGLETRANSLATE(C31,""ja"",""vi"")"),"Đấu giá&gt; phim, video&gt; Blu-ray&gt; Comedy, Variety")</f>
        <v>Đấu giá&gt; phim, video&gt; Blu-ray&gt; Comedy, Variety</v>
      </c>
      <c r="G31" s="229" t="str">
        <f t="shared" ca="1" si="1"/>
        <v>"2084249091" : "Hài kịch, đa dạng",</v>
      </c>
      <c r="H31" s="229" t="str">
        <f t="shared" si="2"/>
        <v>&lt;li class="col-md-3"&gt;&lt;a class="text-cut" href="javascript:;"(click)="categoryEvent(2084249091)"&gt;{{"2084249091" | translate}}&lt;/a&gt;&lt;/li&gt;</v>
      </c>
    </row>
    <row r="32" spans="1:8" ht="14.25" customHeight="1">
      <c r="A32" s="2">
        <v>2084249090</v>
      </c>
      <c r="B32" s="2" t="s">
        <v>7661</v>
      </c>
      <c r="C32" s="2" t="s">
        <v>7662</v>
      </c>
      <c r="D32" s="169" t="str">
        <f t="shared" si="4"/>
        <v>0,21964,2084239338,2084249090</v>
      </c>
      <c r="E32" s="3" t="str">
        <f ca="1">IFERROR(__xludf.DUMMYFUNCTION("GOOGLETRANSLATE(B32,""ja"",""vi"")"),"Idol, ống đồng")</f>
        <v>Idol, ống đồng</v>
      </c>
      <c r="F32" s="3" t="str">
        <f ca="1">IFERROR(__xludf.DUMMYFUNCTION("GOOGLETRANSLATE(C32,""ja"",""vi"")"),"Đấu giá&gt; phim, video&gt; Blu-ray&gt; thần tượng, ống đồng")</f>
        <v>Đấu giá&gt; phim, video&gt; Blu-ray&gt; thần tượng, ống đồng</v>
      </c>
      <c r="G32" s="229" t="str">
        <f t="shared" ca="1" si="1"/>
        <v>"2084249090" : "Idol, ống đồng",</v>
      </c>
      <c r="H32" s="229" t="str">
        <f t="shared" si="2"/>
        <v>&lt;li class="col-md-3"&gt;&lt;a class="text-cut" href="javascript:;"(click)="categoryEvent(2084249090)"&gt;{{"2084249090" | translate}}&lt;/a&gt;&lt;/li&gt;</v>
      </c>
    </row>
    <row r="33" spans="1:8" ht="14.25" customHeight="1">
      <c r="A33" s="2">
        <v>2084249088</v>
      </c>
      <c r="B33" s="2" t="s">
        <v>7633</v>
      </c>
      <c r="C33" s="2" t="s">
        <v>7667</v>
      </c>
      <c r="D33" s="169" t="str">
        <f t="shared" si="4"/>
        <v>0,21964,2084239338,2084249088</v>
      </c>
      <c r="E33" s="3" t="str">
        <f ca="1">IFERROR(__xludf.DUMMYFUNCTION("GOOGLETRANSLATE(B33,""ja"",""vi"")"),"Trẻ em, gia đình")</f>
        <v>Trẻ em, gia đình</v>
      </c>
      <c r="F33" s="3" t="str">
        <f ca="1">IFERROR(__xludf.DUMMYFUNCTION("GOOGLETRANSLATE(C33,""ja"",""vi"")"),"Đấu giá&gt; phim, video&gt; Blu-Ray&gt; Kids, Gia đình")</f>
        <v>Đấu giá&gt; phim, video&gt; Blu-Ray&gt; Kids, Gia đình</v>
      </c>
      <c r="G33" s="229" t="str">
        <f t="shared" ca="1" si="1"/>
        <v>"2084249088" : "Trẻ em, gia đình",</v>
      </c>
      <c r="H33" s="229" t="str">
        <f t="shared" si="2"/>
        <v>&lt;li class="col-md-3"&gt;&lt;a class="text-cut" href="javascript:;"(click)="categoryEvent(2084249088)"&gt;{{"2084249088" | translate}}&lt;/a&gt;&lt;/li&gt;</v>
      </c>
    </row>
    <row r="34" spans="1:8" ht="14.25" customHeight="1">
      <c r="A34" s="2">
        <v>2084249092</v>
      </c>
      <c r="B34" s="2" t="s">
        <v>7670</v>
      </c>
      <c r="C34" s="2" t="s">
        <v>7672</v>
      </c>
      <c r="D34" s="169" t="str">
        <f t="shared" si="4"/>
        <v>0,21964,2084239338,2084249092</v>
      </c>
      <c r="E34" s="3" t="str">
        <f ca="1">IFERROR(__xludf.DUMMYFUNCTION("GOOGLETRANSLATE(B34,""ja"",""vi"")"),"Thể thao, thể hình")</f>
        <v>Thể thao, thể hình</v>
      </c>
      <c r="F34" s="3" t="str">
        <f ca="1">IFERROR(__xludf.DUMMYFUNCTION("GOOGLETRANSLATE(C34,""ja"",""vi"")"),"Đấu giá&gt; phim, video&gt; Blu-ray&gt; Thể thao, thể hình")</f>
        <v>Đấu giá&gt; phim, video&gt; Blu-ray&gt; Thể thao, thể hình</v>
      </c>
      <c r="G34" s="229" t="str">
        <f t="shared" ca="1" si="1"/>
        <v>"2084249092" : "Thể thao, thể hình",</v>
      </c>
      <c r="H34" s="229" t="str">
        <f t="shared" si="2"/>
        <v>&lt;li class="col-md-3"&gt;&lt;a class="text-cut" href="javascript:;"(click)="categoryEvent(2084249092)"&gt;{{"2084249092" | translate}}&lt;/a&gt;&lt;/li&gt;</v>
      </c>
    </row>
    <row r="35" spans="1:8" ht="14.25" customHeight="1">
      <c r="A35" s="2">
        <v>2084249093</v>
      </c>
      <c r="B35" s="2" t="s">
        <v>7675</v>
      </c>
      <c r="C35" s="2" t="s">
        <v>7677</v>
      </c>
      <c r="D35" s="169" t="str">
        <f t="shared" si="4"/>
        <v>0,21964,2084239338,2084249093</v>
      </c>
      <c r="E35" s="3" t="str">
        <f ca="1">IFERROR(__xludf.DUMMYFUNCTION("GOOGLETRANSLATE(B35,""ja"",""vi"")"),"không hư cấu")</f>
        <v>không hư cấu</v>
      </c>
      <c r="F35" s="3" t="str">
        <f ca="1">IFERROR(__xludf.DUMMYFUNCTION("GOOGLETRANSLATE(C35,""ja"",""vi"")"),"Đấu giá&gt; phim, video&gt; Blu-ray&gt; Non-fiction")</f>
        <v>Đấu giá&gt; phim, video&gt; Blu-ray&gt; Non-fiction</v>
      </c>
      <c r="G35" s="229" t="str">
        <f t="shared" ca="1" si="1"/>
        <v>"2084249093" : "không hư cấu",</v>
      </c>
      <c r="H35" s="229" t="str">
        <f t="shared" si="2"/>
        <v>&lt;li class="col-md-3"&gt;&lt;a class="text-cut" href="javascript:;"(click)="categoryEvent(2084249093)"&gt;{{"2084249093" | translate}}&lt;/a&gt;&lt;/li&gt;</v>
      </c>
    </row>
    <row r="36" spans="1:8" ht="14.25" customHeight="1">
      <c r="A36" s="2">
        <v>2084249087</v>
      </c>
      <c r="B36" s="2" t="s">
        <v>7627</v>
      </c>
      <c r="C36" s="2" t="s">
        <v>7680</v>
      </c>
      <c r="D36" s="169" t="str">
        <f t="shared" si="4"/>
        <v>0,21964,2084239338,2084249087</v>
      </c>
      <c r="E36" s="3" t="str">
        <f ca="1">IFERROR(__xludf.DUMMYFUNCTION("GOOGLETRANSLATE(B36,""ja"",""vi"")"),"Nhà hát, âm nhạc")</f>
        <v>Nhà hát, âm nhạc</v>
      </c>
      <c r="F36" s="3" t="str">
        <f ca="1">IFERROR(__xludf.DUMMYFUNCTION("GOOGLETRANSLATE(C36,""ja"",""vi"")"),"Đấu giá&gt; phim, video&gt; Blu-ray&gt; sân khấu, âm nhạc")</f>
        <v>Đấu giá&gt; phim, video&gt; Blu-ray&gt; sân khấu, âm nhạc</v>
      </c>
      <c r="G36" s="229" t="str">
        <f t="shared" ca="1" si="1"/>
        <v>"2084249087" : "Nhà hát, âm nhạc",</v>
      </c>
      <c r="H36" s="229" t="str">
        <f t="shared" si="2"/>
        <v>&lt;li class="col-md-3"&gt;&lt;a class="text-cut" href="javascript:;"(click)="categoryEvent(2084249087)"&gt;{{"2084249087" | translate}}&lt;/a&gt;&lt;/li&gt;</v>
      </c>
    </row>
    <row r="37" spans="1:8" ht="14.25" customHeight="1">
      <c r="A37" s="2">
        <v>2084249081</v>
      </c>
      <c r="B37" s="2" t="s">
        <v>150</v>
      </c>
      <c r="C37" s="2" t="s">
        <v>7683</v>
      </c>
      <c r="D37" s="169" t="str">
        <f t="shared" si="4"/>
        <v>0,21964,2084239338,2084249081</v>
      </c>
      <c r="E37" s="3" t="str">
        <f ca="1">IFERROR(__xludf.DUMMYFUNCTION("GOOGLETRANSLATE(B37,""ja"",""vi"")"),"nhạc")</f>
        <v>nhạc</v>
      </c>
      <c r="F37" s="3" t="str">
        <f ca="1">IFERROR(__xludf.DUMMYFUNCTION("GOOGLETRANSLATE(C37,""ja"",""vi"")"),"Đấu giá&gt; phim, video&gt; Blu-ray&gt; Âm nhạc")</f>
        <v>Đấu giá&gt; phim, video&gt; Blu-ray&gt; Âm nhạc</v>
      </c>
      <c r="G37" s="229" t="str">
        <f t="shared" ca="1" si="1"/>
        <v>"2084249081" : "nhạc",</v>
      </c>
      <c r="H37" s="229" t="str">
        <f t="shared" si="2"/>
        <v>&lt;li class="col-md-3"&gt;&lt;a class="text-cut" href="javascript:;"(click)="categoryEvent(2084249081)"&gt;{{"2084249081" | translate}}&lt;/a&gt;&lt;/li&gt;</v>
      </c>
    </row>
    <row r="38" spans="1:8" ht="14.25" customHeight="1">
      <c r="A38" s="2">
        <v>2084249089</v>
      </c>
      <c r="B38" s="2" t="s">
        <v>7614</v>
      </c>
      <c r="C38" s="2" t="s">
        <v>7685</v>
      </c>
      <c r="D38" s="169" t="str">
        <f t="shared" si="4"/>
        <v>0,21964,2084239338,2084249089</v>
      </c>
      <c r="E38" s="3" t="str">
        <f ca="1">IFERROR(__xludf.DUMMYFUNCTION("GOOGLETRANSLATE(B38,""ja"",""vi"")"),"Sở thích, thiết thực")</f>
        <v>Sở thích, thiết thực</v>
      </c>
      <c r="F38" s="3" t="str">
        <f ca="1">IFERROR(__xludf.DUMMYFUNCTION("GOOGLETRANSLATE(C38,""ja"",""vi"")"),"Đấu giá&gt; phim, video&gt; Blu-ray&gt; sở thích, thiết thực")</f>
        <v>Đấu giá&gt; phim, video&gt; Blu-ray&gt; sở thích, thiết thực</v>
      </c>
      <c r="G38" s="229" t="str">
        <f t="shared" ca="1" si="1"/>
        <v>"2084249089" : "Sở thích, thiết thực",</v>
      </c>
      <c r="H38" s="229" t="str">
        <f t="shared" si="2"/>
        <v>&lt;li class="col-md-3"&gt;&lt;a class="text-cut" href="javascript:;"(click)="categoryEvent(2084249089)"&gt;{{"2084249089" | translate}}&lt;/a&gt;&lt;/li&gt;</v>
      </c>
    </row>
    <row r="39" spans="1:8" ht="14.25" customHeight="1">
      <c r="A39" s="2">
        <v>2084249094</v>
      </c>
      <c r="B39" s="2" t="s">
        <v>16</v>
      </c>
      <c r="C39" s="2" t="s">
        <v>7687</v>
      </c>
      <c r="D39" s="169" t="str">
        <f t="shared" si="4"/>
        <v>0,21964,2084239338,2084249094</v>
      </c>
      <c r="E39" s="3" t="str">
        <f ca="1">IFERROR(__xludf.DUMMYFUNCTION("GOOGLETRANSLATE(B39,""ja"",""vi"")"),"nếu không thì")</f>
        <v>nếu không thì</v>
      </c>
      <c r="F39" s="3" t="str">
        <f ca="1">IFERROR(__xludf.DUMMYFUNCTION("GOOGLETRANSLATE(C39,""ja"",""vi"")"),"Đấu giá&gt; phim, video&gt; Blu-ray&gt; Khác")</f>
        <v>Đấu giá&gt; phim, video&gt; Blu-ray&gt; Khác</v>
      </c>
      <c r="G39" s="229" t="str">
        <f t="shared" ca="1" si="1"/>
        <v>"2084249094" : "nếu không thì",</v>
      </c>
      <c r="H39" s="229" t="str">
        <f t="shared" si="2"/>
        <v>&lt;li class="col-md-3"&gt;&lt;a class="text-cut" href="javascript:;"(click)="categoryEvent(2084249094)"&gt;{{"2084249094" | translate}}&lt;/a&gt;&lt;/li&gt;</v>
      </c>
    </row>
    <row r="40" spans="1:8" ht="14.25" customHeight="1">
      <c r="E40" s="3"/>
      <c r="F40" s="3"/>
      <c r="G40" s="229"/>
      <c r="H40" s="229"/>
    </row>
    <row r="41" spans="1:8" ht="14.25" customHeight="1">
      <c r="A41" s="240">
        <v>2084005503</v>
      </c>
      <c r="B41" s="232"/>
      <c r="C41" s="232"/>
      <c r="D41" s="233"/>
      <c r="E41" s="3"/>
      <c r="F41" s="3"/>
      <c r="G41" s="229"/>
      <c r="H41" s="229"/>
    </row>
    <row r="42" spans="1:8" ht="14.25" customHeight="1">
      <c r="A42" s="2">
        <v>2084041455</v>
      </c>
      <c r="B42" s="2" t="s">
        <v>7690</v>
      </c>
      <c r="C42" s="2" t="s">
        <v>7691</v>
      </c>
      <c r="D42" s="169" t="str">
        <f t="shared" ref="D42:D54" si="5">CONCATENATE("0,","21964,2084005503,",A42)</f>
        <v>0,21964,2084005503,2084041455</v>
      </c>
      <c r="E42" s="3" t="str">
        <f ca="1">IFERROR(__xludf.DUMMYFUNCTION("GOOGLETRANSLATE(B42,""ja"",""vi"")"),"SF, Viễn tưởng")</f>
        <v>SF, Viễn tưởng</v>
      </c>
      <c r="F42" s="3" t="str">
        <f ca="1">IFERROR(__xludf.DUMMYFUNCTION("GOOGLETRANSLATE(C42,""ja"",""vi"")"),"Đấu giá&gt; phim, video&gt; VCD&gt; SF, Viễn tưởng")</f>
        <v>Đấu giá&gt; phim, video&gt; VCD&gt; SF, Viễn tưởng</v>
      </c>
      <c r="G42" s="229" t="str">
        <f t="shared" ca="1" si="1"/>
        <v>"2084041455" : "SF, Viễn tưởng",</v>
      </c>
      <c r="H42" s="229" t="str">
        <f t="shared" si="2"/>
        <v>&lt;li class="col-md-3"&gt;&lt;a class="text-cut" href="javascript:;"(click)="categoryEvent(2084041455)"&gt;{{"2084041455" | translate}}&lt;/a&gt;&lt;/li&gt;</v>
      </c>
    </row>
    <row r="43" spans="1:8" ht="14.25" customHeight="1">
      <c r="A43" s="2">
        <v>2084041457</v>
      </c>
      <c r="B43" s="2" t="s">
        <v>7693</v>
      </c>
      <c r="C43" s="2" t="s">
        <v>7694</v>
      </c>
      <c r="D43" s="169" t="str">
        <f t="shared" si="5"/>
        <v>0,21964,2084005503,2084041457</v>
      </c>
      <c r="E43" s="3" t="str">
        <f ca="1">IFERROR(__xludf.DUMMYFUNCTION("GOOGLETRANSLATE(B43,""ja"",""vi"")"),"Hành động, phiêu lưu")</f>
        <v>Hành động, phiêu lưu</v>
      </c>
      <c r="F43" s="3" t="str">
        <f ca="1">IFERROR(__xludf.DUMMYFUNCTION("GOOGLETRANSLATE(C43,""ja"",""vi"")"),"Đấu giá&gt; phim, video&gt; VCD&gt; Hành động, phiêu lưu")</f>
        <v>Đấu giá&gt; phim, video&gt; VCD&gt; Hành động, phiêu lưu</v>
      </c>
      <c r="G43" s="229" t="str">
        <f t="shared" ca="1" si="1"/>
        <v>"2084041457" : "Hành động, phiêu lưu",</v>
      </c>
      <c r="H43" s="229" t="str">
        <f t="shared" si="2"/>
        <v>&lt;li class="col-md-3"&gt;&lt;a class="text-cut" href="javascript:;"(click)="categoryEvent(2084041457)"&gt;{{"2084041457" | translate}}&lt;/a&gt;&lt;/li&gt;</v>
      </c>
    </row>
    <row r="44" spans="1:8" ht="14.25" customHeight="1">
      <c r="A44" s="2">
        <v>2084041458</v>
      </c>
      <c r="B44" s="2" t="s">
        <v>7697</v>
      </c>
      <c r="C44" s="2" t="s">
        <v>7698</v>
      </c>
      <c r="D44" s="169" t="str">
        <f t="shared" si="5"/>
        <v>0,21964,2084005503,2084041458</v>
      </c>
      <c r="E44" s="3" t="str">
        <f ca="1">IFERROR(__xludf.DUMMYFUNCTION("GOOGLETRANSLATE(B44,""ja"",""vi"")"),"Animation")</f>
        <v>Animation</v>
      </c>
      <c r="F44" s="3" t="str">
        <f ca="1">IFERROR(__xludf.DUMMYFUNCTION("GOOGLETRANSLATE(C44,""ja"",""vi"")"),"Đấu giá&gt; phim, video&gt; VCD&gt; hoạt hình")</f>
        <v>Đấu giá&gt; phim, video&gt; VCD&gt; hoạt hình</v>
      </c>
      <c r="G44" s="229" t="str">
        <f t="shared" ca="1" si="1"/>
        <v>"2084041458" : "Animation",</v>
      </c>
      <c r="H44" s="229" t="str">
        <f t="shared" si="2"/>
        <v>&lt;li class="col-md-3"&gt;&lt;a class="text-cut" href="javascript:;"(click)="categoryEvent(2084041458)"&gt;{{"2084041458" | translate}}&lt;/a&gt;&lt;/li&gt;</v>
      </c>
    </row>
    <row r="45" spans="1:8" ht="14.25" customHeight="1">
      <c r="A45" s="2">
        <v>2084041459</v>
      </c>
      <c r="B45" s="2" t="s">
        <v>7701</v>
      </c>
      <c r="C45" s="2" t="s">
        <v>7702</v>
      </c>
      <c r="D45" s="169" t="str">
        <f t="shared" si="5"/>
        <v>0,21964,2084005503,2084041459</v>
      </c>
      <c r="E45" s="3" t="str">
        <f ca="1">IFERROR(__xludf.DUMMYFUNCTION("GOOGLETRANSLATE(B45,""ja"",""vi"")"),"hài kịch")</f>
        <v>hài kịch</v>
      </c>
      <c r="F45" s="3" t="str">
        <f ca="1">IFERROR(__xludf.DUMMYFUNCTION("GOOGLETRANSLATE(C45,""ja"",""vi"")"),"Đấu giá&gt; phim, video&gt; VCD&gt; Comedy")</f>
        <v>Đấu giá&gt; phim, video&gt; VCD&gt; Comedy</v>
      </c>
      <c r="G45" s="229" t="str">
        <f t="shared" ca="1" si="1"/>
        <v>"2084041459" : "hài kịch",</v>
      </c>
      <c r="H45" s="229" t="str">
        <f t="shared" si="2"/>
        <v>&lt;li class="col-md-3"&gt;&lt;a class="text-cut" href="javascript:;"(click)="categoryEvent(2084041459)"&gt;{{"2084041459" | translate}}&lt;/a&gt;&lt;/li&gt;</v>
      </c>
    </row>
    <row r="46" spans="1:8" ht="14.25" customHeight="1">
      <c r="A46" s="2">
        <v>2084041502</v>
      </c>
      <c r="B46" s="2" t="s">
        <v>7705</v>
      </c>
      <c r="C46" s="2" t="s">
        <v>7706</v>
      </c>
      <c r="D46" s="169" t="str">
        <f t="shared" si="5"/>
        <v>0,21964,2084005503,2084041502</v>
      </c>
      <c r="E46" s="3" t="str">
        <f ca="1">IFERROR(__xludf.DUMMYFUNCTION("GOOGLETRANSLATE(B46,""ja"",""vi"")"),"Hồi hộp")</f>
        <v>Hồi hộp</v>
      </c>
      <c r="F46" s="3" t="str">
        <f ca="1">IFERROR(__xludf.DUMMYFUNCTION("GOOGLETRANSLATE(C46,""ja"",""vi"")"),"Đấu giá&gt; phim, video&gt; VCD&gt; Hồi hộp")</f>
        <v>Đấu giá&gt; phim, video&gt; VCD&gt; Hồi hộp</v>
      </c>
      <c r="G46" s="229" t="str">
        <f t="shared" ca="1" si="1"/>
        <v>"2084041502" : "Hồi hộp",</v>
      </c>
      <c r="H46" s="229" t="str">
        <f t="shared" si="2"/>
        <v>&lt;li class="col-md-3"&gt;&lt;a class="text-cut" href="javascript:;"(click)="categoryEvent(2084041502)"&gt;{{"2084041502" | translate}}&lt;/a&gt;&lt;/li&gt;</v>
      </c>
    </row>
    <row r="47" spans="1:8" ht="14.25" customHeight="1">
      <c r="A47" s="2">
        <v>2084041461</v>
      </c>
      <c r="B47" s="2" t="s">
        <v>7709</v>
      </c>
      <c r="C47" s="2" t="s">
        <v>7710</v>
      </c>
      <c r="D47" s="169" t="str">
        <f t="shared" si="5"/>
        <v>0,21964,2084005503,2084041461</v>
      </c>
      <c r="E47" s="3" t="str">
        <f ca="1">IFERROR(__xludf.DUMMYFUNCTION("GOOGLETRANSLATE(B47,""ja"",""vi"")"),"Phim tài liệu")</f>
        <v>Phim tài liệu</v>
      </c>
      <c r="F47" s="3" t="str">
        <f ca="1">IFERROR(__xludf.DUMMYFUNCTION("GOOGLETRANSLATE(C47,""ja"",""vi"")"),"Đấu giá&gt; phim, video&gt; VCD&gt; phim tài liệu")</f>
        <v>Đấu giá&gt; phim, video&gt; VCD&gt; phim tài liệu</v>
      </c>
      <c r="G47" s="229" t="str">
        <f t="shared" ca="1" si="1"/>
        <v>"2084041461" : "Phim tài liệu",</v>
      </c>
      <c r="H47" s="229" t="str">
        <f t="shared" si="2"/>
        <v>&lt;li class="col-md-3"&gt;&lt;a class="text-cut" href="javascript:;"(click)="categoryEvent(2084041461)"&gt;{{"2084041461" | translate}}&lt;/a&gt;&lt;/li&gt;</v>
      </c>
    </row>
    <row r="48" spans="1:8" ht="14.25" customHeight="1">
      <c r="A48" s="2">
        <v>2084041462</v>
      </c>
      <c r="B48" s="2" t="s">
        <v>7711</v>
      </c>
      <c r="C48" s="2" t="s">
        <v>7712</v>
      </c>
      <c r="D48" s="169" t="str">
        <f t="shared" si="5"/>
        <v>0,21964,2084005503,2084041462</v>
      </c>
      <c r="E48" s="3" t="str">
        <f ca="1">IFERROR(__xludf.DUMMYFUNCTION("GOOGLETRANSLATE(B48,""ja"",""vi"")"),"kịch")</f>
        <v>kịch</v>
      </c>
      <c r="F48" s="3" t="str">
        <f ca="1">IFERROR(__xludf.DUMMYFUNCTION("GOOGLETRANSLATE(C48,""ja"",""vi"")"),"Đấu giá&gt; phim, video&gt; VCD&gt; phim")</f>
        <v>Đấu giá&gt; phim, video&gt; VCD&gt; phim</v>
      </c>
      <c r="G48" s="229" t="str">
        <f t="shared" ca="1" si="1"/>
        <v>"2084041462" : "kịch",</v>
      </c>
      <c r="H48" s="229" t="str">
        <f t="shared" si="2"/>
        <v>&lt;li class="col-md-3"&gt;&lt;a class="text-cut" href="javascript:;"(click)="categoryEvent(2084041462)"&gt;{{"2084041462" | translate}}&lt;/a&gt;&lt;/li&gt;</v>
      </c>
    </row>
    <row r="49" spans="1:8" ht="14.25" customHeight="1">
      <c r="A49" s="2">
        <v>2084041465</v>
      </c>
      <c r="B49" s="2" t="s">
        <v>7715</v>
      </c>
      <c r="C49" s="2" t="s">
        <v>7716</v>
      </c>
      <c r="D49" s="169" t="str">
        <f t="shared" si="5"/>
        <v>0,21964,2084005503,2084041465</v>
      </c>
      <c r="E49" s="3" t="str">
        <f ca="1">IFERROR(__xludf.DUMMYFUNCTION("GOOGLETRANSLATE(B49,""ja"",""vi"")"),"rùng rợn")</f>
        <v>rùng rợn</v>
      </c>
      <c r="F49" s="3" t="str">
        <f ca="1">IFERROR(__xludf.DUMMYFUNCTION("GOOGLETRANSLATE(C49,""ja"",""vi"")"),"Đấu giá&gt; phim, video&gt; VCD&gt; Horror")</f>
        <v>Đấu giá&gt; phim, video&gt; VCD&gt; Horror</v>
      </c>
      <c r="G49" s="229" t="str">
        <f t="shared" ca="1" si="1"/>
        <v>"2084041465" : "rùng rợn",</v>
      </c>
      <c r="H49" s="229" t="str">
        <f t="shared" si="2"/>
        <v>&lt;li class="col-md-3"&gt;&lt;a class="text-cut" href="javascript:;"(click)="categoryEvent(2084041465)"&gt;{{"2084041465" | translate}}&lt;/a&gt;&lt;/li&gt;</v>
      </c>
    </row>
    <row r="50" spans="1:8" ht="14.25" customHeight="1">
      <c r="A50" s="2">
        <v>2084041460</v>
      </c>
      <c r="B50" s="2" t="s">
        <v>7719</v>
      </c>
      <c r="C50" s="2" t="s">
        <v>7720</v>
      </c>
      <c r="D50" s="169" t="str">
        <f t="shared" si="5"/>
        <v>0,21964,2084005503,2084041460</v>
      </c>
      <c r="E50" s="3" t="str">
        <f ca="1">IFERROR(__xludf.DUMMYFUNCTION("GOOGLETRANSLATE(B50,""ja"",""vi"")"),"nhạc")</f>
        <v>nhạc</v>
      </c>
      <c r="F50" s="3" t="str">
        <f ca="1">IFERROR(__xludf.DUMMYFUNCTION("GOOGLETRANSLATE(C50,""ja"",""vi"")"),"Đấu giá&gt; phim, video&gt; VCD&gt; Nhạc")</f>
        <v>Đấu giá&gt; phim, video&gt; VCD&gt; Nhạc</v>
      </c>
      <c r="G50" s="229" t="str">
        <f t="shared" ca="1" si="1"/>
        <v>"2084041460" : "nhạc",</v>
      </c>
      <c r="H50" s="229" t="str">
        <f t="shared" si="2"/>
        <v>&lt;li class="col-md-3"&gt;&lt;a class="text-cut" href="javascript:;"(click)="categoryEvent(2084041460)"&gt;{{"2084041460" | translate}}&lt;/a&gt;&lt;/li&gt;</v>
      </c>
    </row>
    <row r="51" spans="1:8" ht="14.25" customHeight="1">
      <c r="A51" s="2">
        <v>2084041463</v>
      </c>
      <c r="B51" s="2" t="s">
        <v>7723</v>
      </c>
      <c r="C51" s="2" t="s">
        <v>7725</v>
      </c>
      <c r="D51" s="169" t="str">
        <f t="shared" si="5"/>
        <v>0,21964,2084005503,2084041463</v>
      </c>
      <c r="E51" s="3" t="str">
        <f ca="1">IFERROR(__xludf.DUMMYFUNCTION("GOOGLETRANSLATE(B51,""ja"",""vi"")"),"Tây")</f>
        <v>Tây</v>
      </c>
      <c r="F51" s="3" t="str">
        <f ca="1">IFERROR(__xludf.DUMMYFUNCTION("GOOGLETRANSLATE(C51,""ja"",""vi"")"),"Đấu giá&gt; phim, video&gt; VCD&gt; cao bồi miền Tây")</f>
        <v>Đấu giá&gt; phim, video&gt; VCD&gt; cao bồi miền Tây</v>
      </c>
      <c r="G51" s="229" t="str">
        <f t="shared" ca="1" si="1"/>
        <v>"2084041463" : "Tây",</v>
      </c>
      <c r="H51" s="229" t="str">
        <f t="shared" si="2"/>
        <v>&lt;li class="col-md-3"&gt;&lt;a class="text-cut" href="javascript:;"(click)="categoryEvent(2084041463)"&gt;{{"2084041463" | translate}}&lt;/a&gt;&lt;/li&gt;</v>
      </c>
    </row>
    <row r="52" spans="1:8" ht="14.25" customHeight="1">
      <c r="A52" s="2">
        <v>2084041518</v>
      </c>
      <c r="B52" s="2" t="s">
        <v>7728</v>
      </c>
      <c r="C52" s="2" t="s">
        <v>7729</v>
      </c>
      <c r="D52" s="169" t="str">
        <f t="shared" si="5"/>
        <v>0,21964,2084005503,2084041518</v>
      </c>
      <c r="E52" s="3" t="str">
        <f ca="1">IFERROR(__xludf.DUMMYFUNCTION("GOOGLETRANSLATE(B52,""ja"",""vi"")"),"chiến tranh")</f>
        <v>chiến tranh</v>
      </c>
      <c r="F52" s="3" t="str">
        <f ca="1">IFERROR(__xludf.DUMMYFUNCTION("GOOGLETRANSLATE(C52,""ja"",""vi"")"),"Đấu giá&gt; phim, video&gt; VCD&gt; Chiến tranh")</f>
        <v>Đấu giá&gt; phim, video&gt; VCD&gt; Chiến tranh</v>
      </c>
      <c r="G52" s="229" t="str">
        <f t="shared" ca="1" si="1"/>
        <v>"2084041518" : "chiến tranh",</v>
      </c>
      <c r="H52" s="229" t="str">
        <f t="shared" si="2"/>
        <v>&lt;li class="col-md-3"&gt;&lt;a class="text-cut" href="javascript:;"(click)="categoryEvent(2084041518)"&gt;{{"2084041518" | translate}}&lt;/a&gt;&lt;/li&gt;</v>
      </c>
    </row>
    <row r="53" spans="1:8" ht="14.25" customHeight="1">
      <c r="A53" s="2">
        <v>2084041537</v>
      </c>
      <c r="B53" s="2" t="s">
        <v>776</v>
      </c>
      <c r="C53" s="2" t="s">
        <v>7732</v>
      </c>
      <c r="D53" s="169" t="str">
        <f t="shared" si="5"/>
        <v>0,21964,2084005503,2084041537</v>
      </c>
      <c r="E53" s="3" t="str">
        <f ca="1">IFERROR(__xludf.DUMMYFUNCTION("GOOGLETRANSLATE(B53,""ja"",""vi"")"),"hiệu ứng đặc biệt")</f>
        <v>hiệu ứng đặc biệt</v>
      </c>
      <c r="F53" s="3" t="str">
        <f ca="1">IFERROR(__xludf.DUMMYFUNCTION("GOOGLETRANSLATE(C53,""ja"",""vi"")"),"Đấu giá&gt; phim, video&gt; VCD&gt; hiệu ứng đặc biệt")</f>
        <v>Đấu giá&gt; phim, video&gt; VCD&gt; hiệu ứng đặc biệt</v>
      </c>
      <c r="G53" s="229" t="str">
        <f t="shared" ca="1" si="1"/>
        <v>"2084041537" : "hiệu ứng đặc biệt",</v>
      </c>
      <c r="H53" s="229" t="str">
        <f t="shared" si="2"/>
        <v>&lt;li class="col-md-3"&gt;&lt;a class="text-cut" href="javascript:;"(click)="categoryEvent(2084041537)"&gt;{{"2084041537" | translate}}&lt;/a&gt;&lt;/li&gt;</v>
      </c>
    </row>
    <row r="54" spans="1:8" ht="14.25" customHeight="1">
      <c r="A54" s="2">
        <v>2084041456</v>
      </c>
      <c r="B54" s="2" t="s">
        <v>16</v>
      </c>
      <c r="C54" s="2" t="s">
        <v>7734</v>
      </c>
      <c r="D54" s="169" t="str">
        <f t="shared" si="5"/>
        <v>0,21964,2084005503,2084041456</v>
      </c>
      <c r="E54" s="3" t="str">
        <f ca="1">IFERROR(__xludf.DUMMYFUNCTION("GOOGLETRANSLATE(B54,""ja"",""vi"")"),"nếu không thì")</f>
        <v>nếu không thì</v>
      </c>
      <c r="F54" s="3" t="str">
        <f ca="1">IFERROR(__xludf.DUMMYFUNCTION("GOOGLETRANSLATE(C54,""ja"",""vi"")"),"Đấu giá&gt; phim, video&gt; VCD&gt; Khác")</f>
        <v>Đấu giá&gt; phim, video&gt; VCD&gt; Khác</v>
      </c>
      <c r="G54" s="229" t="str">
        <f t="shared" ca="1" si="1"/>
        <v>"2084041456" : "nếu không thì",</v>
      </c>
      <c r="H54" s="229" t="str">
        <f t="shared" si="2"/>
        <v>&lt;li class="col-md-3"&gt;&lt;a class="text-cut" href="javascript:;"(click)="categoryEvent(2084041456)"&gt;{{"2084041456" | translate}}&lt;/a&gt;&lt;/li&gt;</v>
      </c>
    </row>
    <row r="55" spans="1:8" ht="14.25" customHeight="1">
      <c r="E55" s="3"/>
      <c r="F55" s="3"/>
      <c r="G55" s="229"/>
      <c r="H55" s="229"/>
    </row>
    <row r="56" spans="1:8" ht="14.25" customHeight="1">
      <c r="A56" s="237">
        <v>22072</v>
      </c>
      <c r="B56" s="232"/>
      <c r="C56" s="232"/>
      <c r="D56" s="233"/>
      <c r="E56" s="3"/>
      <c r="F56" s="3"/>
      <c r="G56" s="229"/>
      <c r="H56" s="229"/>
    </row>
    <row r="57" spans="1:8" ht="14.25" customHeight="1">
      <c r="A57" s="2">
        <v>2084046984</v>
      </c>
      <c r="B57" s="2" t="s">
        <v>7609</v>
      </c>
      <c r="C57" s="2" t="s">
        <v>7739</v>
      </c>
      <c r="D57" s="169" t="str">
        <f t="shared" ref="D57:D65" si="6">CONCATENATE("0,","21964,22072,",A57)</f>
        <v>0,21964,22072,2084046984</v>
      </c>
      <c r="E57" s="3" t="str">
        <f ca="1">IFERROR(__xludf.DUMMYFUNCTION("GOOGLETRANSLATE(B57,""ja"",""vi"")"),"hình tượng")</f>
        <v>hình tượng</v>
      </c>
      <c r="F57" s="3" t="str">
        <f ca="1">IFERROR(__xludf.DUMMYFUNCTION("GOOGLETRANSLATE(C57,""ja"",""vi"")"),"Đấu giá&gt; phim, video&gt; băng video&gt; thần tượng")</f>
        <v>Đấu giá&gt; phim, video&gt; băng video&gt; thần tượng</v>
      </c>
      <c r="G57" s="229" t="str">
        <f t="shared" ca="1" si="1"/>
        <v>"2084046984" : "hình tượng",</v>
      </c>
      <c r="H57" s="229" t="str">
        <f t="shared" si="2"/>
        <v>&lt;li class="col-md-3"&gt;&lt;a class="text-cut" href="javascript:;"(click)="categoryEvent(2084046984)"&gt;{{"2084046984" | translate}}&lt;/a&gt;&lt;/li&gt;</v>
      </c>
    </row>
    <row r="58" spans="1:8" ht="14.25" customHeight="1">
      <c r="A58" s="2">
        <v>22080</v>
      </c>
      <c r="B58" s="2" t="s">
        <v>7598</v>
      </c>
      <c r="C58" s="2" t="s">
        <v>7742</v>
      </c>
      <c r="D58" s="169" t="str">
        <f t="shared" si="6"/>
        <v>0,21964,22072,22080</v>
      </c>
      <c r="E58" s="3" t="str">
        <f ca="1">IFERROR(__xludf.DUMMYFUNCTION("GOOGLETRANSLATE(B58,""ja"",""vi"")"),"Anime")</f>
        <v>Anime</v>
      </c>
      <c r="F58" s="3" t="str">
        <f ca="1">IFERROR(__xludf.DUMMYFUNCTION("GOOGLETRANSLATE(C58,""ja"",""vi"")"),"Đấu giá&gt; phim, video&gt; băng video&gt; phim hoạt hình")</f>
        <v>Đấu giá&gt; phim, video&gt; băng video&gt; phim hoạt hình</v>
      </c>
      <c r="G58" s="229" t="str">
        <f t="shared" ca="1" si="1"/>
        <v>"22080" : "Anime",</v>
      </c>
      <c r="H58" s="229" t="str">
        <f t="shared" si="2"/>
        <v>&lt;li class="col-md-3"&gt;&lt;a class="text-cut" href="javascript:;"(click)="categoryEvent(22080)"&gt;{{"22080" | translate}}&lt;/a&gt;&lt;/li&gt;</v>
      </c>
    </row>
    <row r="59" spans="1:8" ht="14.25" customHeight="1">
      <c r="A59" s="2">
        <v>2084046982</v>
      </c>
      <c r="B59" s="2" t="s">
        <v>165</v>
      </c>
      <c r="C59" s="2" t="s">
        <v>7744</v>
      </c>
      <c r="D59" s="169" t="str">
        <f t="shared" si="6"/>
        <v>0,21964,22072,2084046982</v>
      </c>
      <c r="E59" s="3" t="str">
        <f ca="1">IFERROR(__xludf.DUMMYFUNCTION("GOOGLETRANSLATE(B59,""ja"",""vi"")"),"Thể thao, giải trí")</f>
        <v>Thể thao, giải trí</v>
      </c>
      <c r="F59" s="3" t="str">
        <f ca="1">IFERROR(__xludf.DUMMYFUNCTION("GOOGLETRANSLATE(C59,""ja"",""vi"")"),"Đấu giá&gt; phim, video&gt; băng video&gt; thể thao, giải trí")</f>
        <v>Đấu giá&gt; phim, video&gt; băng video&gt; thể thao, giải trí</v>
      </c>
      <c r="G59" s="229" t="str">
        <f t="shared" ca="1" si="1"/>
        <v>"2084046982" : "Thể thao, giải trí",</v>
      </c>
      <c r="H59" s="229" t="str">
        <f t="shared" si="2"/>
        <v>&lt;li class="col-md-3"&gt;&lt;a class="text-cut" href="javascript:;"(click)="categoryEvent(2084046982)"&gt;{{"2084046982" | translate}}&lt;/a&gt;&lt;/li&gt;</v>
      </c>
    </row>
    <row r="60" spans="1:8" ht="14.25" customHeight="1">
      <c r="A60" s="2">
        <v>2084046985</v>
      </c>
      <c r="B60" s="2" t="s">
        <v>7605</v>
      </c>
      <c r="C60" s="2" t="s">
        <v>7748</v>
      </c>
      <c r="D60" s="169" t="str">
        <f t="shared" si="6"/>
        <v>0,21964,22072,2084046985</v>
      </c>
      <c r="E60" s="3" t="str">
        <f ca="1">IFERROR(__xludf.DUMMYFUNCTION("GOOGLETRANSLATE(B60,""ja"",""vi"")"),"TV Drama")</f>
        <v>TV Drama</v>
      </c>
      <c r="F60" s="3" t="str">
        <f ca="1">IFERROR(__xludf.DUMMYFUNCTION("GOOGLETRANSLATE(C60,""ja"",""vi"")"),"Đấu giá&gt; phim, video&gt; băng video&gt; phim truyền hình")</f>
        <v>Đấu giá&gt; phim, video&gt; băng video&gt; phim truyền hình</v>
      </c>
      <c r="G60" s="229" t="str">
        <f t="shared" ca="1" si="1"/>
        <v>"2084046985" : "TV Drama",</v>
      </c>
      <c r="H60" s="229" t="str">
        <f t="shared" si="2"/>
        <v>&lt;li class="col-md-3"&gt;&lt;a class="text-cut" href="javascript:;"(click)="categoryEvent(2084046985)"&gt;{{"2084046985" | translate}}&lt;/a&gt;&lt;/li&gt;</v>
      </c>
    </row>
    <row r="61" spans="1:8" ht="14.25" customHeight="1">
      <c r="A61" s="2">
        <v>2084046983</v>
      </c>
      <c r="B61" s="2" t="s">
        <v>195</v>
      </c>
      <c r="C61" s="2" t="s">
        <v>7752</v>
      </c>
      <c r="D61" s="169" t="str">
        <f t="shared" si="6"/>
        <v>0,21964,22072,2084046983</v>
      </c>
      <c r="E61" s="3" t="str">
        <f ca="1">IFERROR(__xludf.DUMMYFUNCTION("GOOGLETRANSLATE(B61,""ja"",""vi"")"),"Sở thích, Văn hóa")</f>
        <v>Sở thích, Văn hóa</v>
      </c>
      <c r="F61" s="3" t="str">
        <f ca="1">IFERROR(__xludf.DUMMYFUNCTION("GOOGLETRANSLATE(C61,""ja"",""vi"")"),"Đấu giá&gt; phim, video&gt; băng video&gt; sở thích, văn hóa")</f>
        <v>Đấu giá&gt; phim, video&gt; băng video&gt; sở thích, văn hóa</v>
      </c>
      <c r="G61" s="229" t="str">
        <f t="shared" ca="1" si="1"/>
        <v>"2084046983" : "Sở thích, Văn hóa",</v>
      </c>
      <c r="H61" s="229" t="str">
        <f t="shared" si="2"/>
        <v>&lt;li class="col-md-3"&gt;&lt;a class="text-cut" href="javascript:;"(click)="categoryEvent(2084046983)"&gt;{{"2084046983" | translate}}&lt;/a&gt;&lt;/li&gt;</v>
      </c>
    </row>
    <row r="62" spans="1:8" ht="14.25" customHeight="1">
      <c r="A62" s="2">
        <v>2084046978</v>
      </c>
      <c r="B62" s="2" t="s">
        <v>837</v>
      </c>
      <c r="C62" s="2" t="s">
        <v>7756</v>
      </c>
      <c r="D62" s="169" t="str">
        <f t="shared" si="6"/>
        <v>0,21964,22072,2084046978</v>
      </c>
      <c r="E62" s="3" t="str">
        <f ca="1">IFERROR(__xludf.DUMMYFUNCTION("GOOGLETRANSLATE(B62,""ja"",""vi"")"),"phim")</f>
        <v>phim</v>
      </c>
      <c r="F62" s="3" t="str">
        <f ca="1">IFERROR(__xludf.DUMMYFUNCTION("GOOGLETRANSLATE(C62,""ja"",""vi"")"),"Đấu giá&gt; phim, video&gt; băng video&gt; phim")</f>
        <v>Đấu giá&gt; phim, video&gt; băng video&gt; phim</v>
      </c>
      <c r="G62" s="229" t="str">
        <f t="shared" ca="1" si="1"/>
        <v>"2084046978" : "phim",</v>
      </c>
      <c r="H62" s="229" t="str">
        <f t="shared" si="2"/>
        <v>&lt;li class="col-md-3"&gt;&lt;a class="text-cut" href="javascript:;"(click)="categoryEvent(2084046978)"&gt;{{"2084046978" | translate}}&lt;/a&gt;&lt;/li&gt;</v>
      </c>
    </row>
    <row r="63" spans="1:8" ht="14.25" customHeight="1">
      <c r="A63" s="2">
        <v>22244</v>
      </c>
      <c r="B63" s="2" t="s">
        <v>150</v>
      </c>
      <c r="C63" s="2" t="s">
        <v>7759</v>
      </c>
      <c r="D63" s="169" t="str">
        <f t="shared" si="6"/>
        <v>0,21964,22072,22244</v>
      </c>
      <c r="E63" s="3" t="str">
        <f ca="1">IFERROR(__xludf.DUMMYFUNCTION("GOOGLETRANSLATE(B63,""ja"",""vi"")"),"nhạc")</f>
        <v>nhạc</v>
      </c>
      <c r="F63" s="3" t="str">
        <f ca="1">IFERROR(__xludf.DUMMYFUNCTION("GOOGLETRANSLATE(C63,""ja"",""vi"")"),"Đấu giá&gt; phim, video&gt; băng video&gt; Âm nhạc")</f>
        <v>Đấu giá&gt; phim, video&gt; băng video&gt; Âm nhạc</v>
      </c>
      <c r="G63" s="229" t="str">
        <f t="shared" ca="1" si="1"/>
        <v>"22244" : "nhạc",</v>
      </c>
      <c r="H63" s="229" t="str">
        <f t="shared" si="2"/>
        <v>&lt;li class="col-md-3"&gt;&lt;a class="text-cut" href="javascript:;"(click)="categoryEvent(22244)"&gt;{{"22244" | translate}}&lt;/a&gt;&lt;/li&gt;</v>
      </c>
    </row>
    <row r="64" spans="1:8" ht="14.25" customHeight="1">
      <c r="A64" s="2">
        <v>2084041544</v>
      </c>
      <c r="B64" s="2" t="s">
        <v>776</v>
      </c>
      <c r="C64" s="2" t="s">
        <v>7764</v>
      </c>
      <c r="D64" s="169" t="str">
        <f t="shared" si="6"/>
        <v>0,21964,22072,2084041544</v>
      </c>
      <c r="E64" s="3" t="str">
        <f ca="1">IFERROR(__xludf.DUMMYFUNCTION("GOOGLETRANSLATE(B64,""ja"",""vi"")"),"hiệu ứng đặc biệt")</f>
        <v>hiệu ứng đặc biệt</v>
      </c>
      <c r="F64" s="3" t="str">
        <f ca="1">IFERROR(__xludf.DUMMYFUNCTION("GOOGLETRANSLATE(C64,""ja"",""vi"")"),"Đấu giá&gt; phim, video&gt; băng video&gt; hiệu ứng đặc biệt")</f>
        <v>Đấu giá&gt; phim, video&gt; băng video&gt; hiệu ứng đặc biệt</v>
      </c>
      <c r="G64" s="229" t="str">
        <f t="shared" ca="1" si="1"/>
        <v>"2084041544" : "hiệu ứng đặc biệt",</v>
      </c>
      <c r="H64" s="229" t="str">
        <f t="shared" si="2"/>
        <v>&lt;li class="col-md-3"&gt;&lt;a class="text-cut" href="javascript:;"(click)="categoryEvent(2084041544)"&gt;{{"2084041544" | translate}}&lt;/a&gt;&lt;/li&gt;</v>
      </c>
    </row>
    <row r="65" spans="1:8" ht="14.25" customHeight="1">
      <c r="A65" s="2">
        <v>22120</v>
      </c>
      <c r="B65" s="2" t="s">
        <v>16</v>
      </c>
      <c r="C65" s="2" t="s">
        <v>7768</v>
      </c>
      <c r="D65" s="169" t="str">
        <f t="shared" si="6"/>
        <v>0,21964,22072,22120</v>
      </c>
      <c r="E65" s="3" t="str">
        <f ca="1">IFERROR(__xludf.DUMMYFUNCTION("GOOGLETRANSLATE(B65,""ja"",""vi"")"),"nếu không thì")</f>
        <v>nếu không thì</v>
      </c>
      <c r="F65" s="3" t="str">
        <f ca="1">IFERROR(__xludf.DUMMYFUNCTION("GOOGLETRANSLATE(C65,""ja"",""vi"")"),"Đấu giá&gt; phim, video&gt; băng video&gt; Khác")</f>
        <v>Đấu giá&gt; phim, video&gt; băng video&gt; Khác</v>
      </c>
      <c r="G65" s="229" t="str">
        <f t="shared" ca="1" si="1"/>
        <v>"22120" : "nếu không thì",</v>
      </c>
      <c r="H65" s="229" t="str">
        <f t="shared" si="2"/>
        <v>&lt;li class="col-md-3"&gt;&lt;a class="text-cut" href="javascript:;"(click)="categoryEvent(22120)"&gt;{{"22120" | translate}}&lt;/a&gt;&lt;/li&gt;</v>
      </c>
    </row>
    <row r="66" spans="1:8" ht="14.25" customHeight="1">
      <c r="E66" s="3"/>
      <c r="F66" s="3"/>
      <c r="G66" s="229"/>
      <c r="H66" s="229"/>
    </row>
    <row r="67" spans="1:8" ht="14.25" customHeight="1">
      <c r="A67" s="241">
        <v>22020</v>
      </c>
      <c r="B67" s="232"/>
      <c r="C67" s="232"/>
      <c r="D67" s="233"/>
      <c r="E67" s="3"/>
      <c r="F67" s="3"/>
      <c r="G67" s="229"/>
      <c r="H67" s="229"/>
    </row>
    <row r="68" spans="1:8" ht="14.25" customHeight="1">
      <c r="A68" s="2">
        <v>2084041545</v>
      </c>
      <c r="B68" s="2" t="s">
        <v>7690</v>
      </c>
      <c r="C68" s="2" t="s">
        <v>7774</v>
      </c>
      <c r="D68" s="169" t="str">
        <f t="shared" ref="D68:D86" si="7">CONCATENATE("0,","21964,22020,",A68)</f>
        <v>0,21964,22020,2084041545</v>
      </c>
      <c r="E68" s="3" t="str">
        <f ca="1">IFERROR(__xludf.DUMMYFUNCTION("GOOGLETRANSLATE(B68,""ja"",""vi"")"),"SF, Viễn tưởng")</f>
        <v>SF, Viễn tưởng</v>
      </c>
      <c r="F68" s="3" t="str">
        <f ca="1">IFERROR(__xludf.DUMMYFUNCTION("GOOGLETRANSLATE(C68,""ja"",""vi"")"),"Đấu giá&gt; phim, video&gt; đĩa laze&gt; SF, Viễn tưởng")</f>
        <v>Đấu giá&gt; phim, video&gt; đĩa laze&gt; SF, Viễn tưởng</v>
      </c>
      <c r="G68" s="229" t="str">
        <f t="shared" ref="G68:G110" ca="1" si="8">CONCATENATE(CHAR(34)&amp;"",A68,""&amp;CHAR(34)," : ", CHAR(34)&amp;"",E68,""&amp;CHAR(34),",")</f>
        <v>"2084041545" : "SF, Viễn tưởng",</v>
      </c>
      <c r="H68" s="229" t="str">
        <f t="shared" ref="H68:H110" si="9">CONCATENATE("&lt;li class=",CHAR(34)&amp;"","col-md-3",""&amp;CHAR(34),"&gt;","&lt;a class=",CHAR(34)&amp;"","text-cut",""&amp;CHAR(34)," href=",CHAR(34)&amp;"","javascript:;",""&amp;CHAR(34), "(click)=",CHAR(34)&amp;"","categoryEvent(",A68,")",""&amp;CHAR(34),"&gt;{{",CHAR(34)&amp;"",A68,""&amp;CHAR(34)," | translate}}&lt;/a&gt;&lt;/li&gt;")</f>
        <v>&lt;li class="col-md-3"&gt;&lt;a class="text-cut" href="javascript:;"(click)="categoryEvent(2084041545)"&gt;{{"2084041545" | translate}}&lt;/a&gt;&lt;/li&gt;</v>
      </c>
    </row>
    <row r="69" spans="1:8" ht="14.25" customHeight="1">
      <c r="A69" s="2">
        <v>22024</v>
      </c>
      <c r="B69" s="2" t="s">
        <v>7693</v>
      </c>
      <c r="C69" s="2" t="s">
        <v>7779</v>
      </c>
      <c r="D69" s="169" t="str">
        <f t="shared" si="7"/>
        <v>0,21964,22020,22024</v>
      </c>
      <c r="E69" s="3" t="str">
        <f ca="1">IFERROR(__xludf.DUMMYFUNCTION("GOOGLETRANSLATE(B69,""ja"",""vi"")"),"Hành động, phiêu lưu")</f>
        <v>Hành động, phiêu lưu</v>
      </c>
      <c r="F69" s="3" t="str">
        <f ca="1">IFERROR(__xludf.DUMMYFUNCTION("GOOGLETRANSLATE(C69,""ja"",""vi"")"),"Đấu giá&gt; phim, video&gt; đĩa laze&gt; Hành động, phiêu lưu")</f>
        <v>Đấu giá&gt; phim, video&gt; đĩa laze&gt; Hành động, phiêu lưu</v>
      </c>
      <c r="G69" s="229" t="str">
        <f t="shared" ca="1" si="8"/>
        <v>"22024" : "Hành động, phiêu lưu",</v>
      </c>
      <c r="H69" s="229" t="str">
        <f t="shared" si="9"/>
        <v>&lt;li class="col-md-3"&gt;&lt;a class="text-cut" href="javascript:;"(click)="categoryEvent(22024)"&gt;{{"22024" | translate}}&lt;/a&gt;&lt;/li&gt;</v>
      </c>
    </row>
    <row r="70" spans="1:8" ht="14.25" customHeight="1">
      <c r="A70" s="2">
        <v>22028</v>
      </c>
      <c r="B70" s="2" t="s">
        <v>7697</v>
      </c>
      <c r="C70" s="2" t="s">
        <v>7783</v>
      </c>
      <c r="D70" s="169" t="str">
        <f t="shared" si="7"/>
        <v>0,21964,22020,22028</v>
      </c>
      <c r="E70" s="3" t="str">
        <f ca="1">IFERROR(__xludf.DUMMYFUNCTION("GOOGLETRANSLATE(B70,""ja"",""vi"")"),"Animation")</f>
        <v>Animation</v>
      </c>
      <c r="F70" s="3" t="str">
        <f ca="1">IFERROR(__xludf.DUMMYFUNCTION("GOOGLETRANSLATE(C70,""ja"",""vi"")"),"Đấu giá&gt; phim, video&gt; đĩa laze&gt; hoạt hình")</f>
        <v>Đấu giá&gt; phim, video&gt; đĩa laze&gt; hoạt hình</v>
      </c>
      <c r="G70" s="229" t="str">
        <f t="shared" ca="1" si="8"/>
        <v>"22028" : "Animation",</v>
      </c>
      <c r="H70" s="229" t="str">
        <f t="shared" si="9"/>
        <v>&lt;li class="col-md-3"&gt;&lt;a class="text-cut" href="javascript:;"(click)="categoryEvent(22028)"&gt;{{"22028" | translate}}&lt;/a&gt;&lt;/li&gt;</v>
      </c>
    </row>
    <row r="71" spans="1:8" ht="14.25" customHeight="1">
      <c r="A71" s="2">
        <v>22040</v>
      </c>
      <c r="B71" s="2" t="s">
        <v>7701</v>
      </c>
      <c r="C71" s="2" t="s">
        <v>7791</v>
      </c>
      <c r="D71" s="169" t="str">
        <f t="shared" si="7"/>
        <v>0,21964,22020,22040</v>
      </c>
      <c r="E71" s="3" t="str">
        <f ca="1">IFERROR(__xludf.DUMMYFUNCTION("GOOGLETRANSLATE(B71,""ja"",""vi"")"),"hài kịch")</f>
        <v>hài kịch</v>
      </c>
      <c r="F71" s="3" t="str">
        <f ca="1">IFERROR(__xludf.DUMMYFUNCTION("GOOGLETRANSLATE(C71,""ja"",""vi"")"),"Đấu giá&gt; phim, video&gt; đĩa laze&gt; Comedy")</f>
        <v>Đấu giá&gt; phim, video&gt; đĩa laze&gt; Comedy</v>
      </c>
      <c r="G71" s="229" t="str">
        <f t="shared" ca="1" si="8"/>
        <v>"22040" : "hài kịch",</v>
      </c>
      <c r="H71" s="229" t="str">
        <f t="shared" si="9"/>
        <v>&lt;li class="col-md-3"&gt;&lt;a class="text-cut" href="javascript:;"(click)="categoryEvent(22040)"&gt;{{"22040" | translate}}&lt;/a&gt;&lt;/li&gt;</v>
      </c>
    </row>
    <row r="72" spans="1:8" ht="14.25" customHeight="1">
      <c r="A72" s="2">
        <v>22060</v>
      </c>
      <c r="B72" s="2" t="s">
        <v>7795</v>
      </c>
      <c r="C72" s="2" t="s">
        <v>7796</v>
      </c>
      <c r="D72" s="169" t="str">
        <f t="shared" si="7"/>
        <v>0,21964,22020,22060</v>
      </c>
      <c r="E72" s="3" t="str">
        <f ca="1">IFERROR(__xludf.DUMMYFUNCTION("GOOGLETRANSLATE(B72,""ja"",""vi"")"),"im lặng")</f>
        <v>im lặng</v>
      </c>
      <c r="F72" s="3" t="str">
        <f ca="1">IFERROR(__xludf.DUMMYFUNCTION("GOOGLETRANSLATE(C72,""ja"",""vi"")"),"Đấu giá&gt; phim, video&gt; đĩa laze&gt; im lặng")</f>
        <v>Đấu giá&gt; phim, video&gt; đĩa laze&gt; im lặng</v>
      </c>
      <c r="G72" s="229" t="str">
        <f t="shared" ca="1" si="8"/>
        <v>"22060" : "im lặng",</v>
      </c>
      <c r="H72" s="229" t="str">
        <f t="shared" si="9"/>
        <v>&lt;li class="col-md-3"&gt;&lt;a class="text-cut" href="javascript:;"(click)="categoryEvent(22060)"&gt;{{"22060" | translate}}&lt;/a&gt;&lt;/li&gt;</v>
      </c>
    </row>
    <row r="73" spans="1:8" ht="14.25" customHeight="1">
      <c r="A73" s="2">
        <v>2084041553</v>
      </c>
      <c r="B73" s="2" t="s">
        <v>7705</v>
      </c>
      <c r="C73" s="2" t="s">
        <v>7800</v>
      </c>
      <c r="D73" s="169" t="str">
        <f t="shared" si="7"/>
        <v>0,21964,22020,2084041553</v>
      </c>
      <c r="E73" s="3" t="str">
        <f ca="1">IFERROR(__xludf.DUMMYFUNCTION("GOOGLETRANSLATE(B73,""ja"",""vi"")"),"Hồi hộp")</f>
        <v>Hồi hộp</v>
      </c>
      <c r="F73" s="3" t="str">
        <f ca="1">IFERROR(__xludf.DUMMYFUNCTION("GOOGLETRANSLATE(C73,""ja"",""vi"")"),"Đấu giá&gt; phim, video&gt; đĩa laze&gt; hồi hộp")</f>
        <v>Đấu giá&gt; phim, video&gt; đĩa laze&gt; hồi hộp</v>
      </c>
      <c r="G73" s="229" t="str">
        <f t="shared" ca="1" si="8"/>
        <v>"2084041553" : "Hồi hộp",</v>
      </c>
      <c r="H73" s="229" t="str">
        <f t="shared" si="9"/>
        <v>&lt;li class="col-md-3"&gt;&lt;a class="text-cut" href="javascript:;"(click)="categoryEvent(2084041553)"&gt;{{"2084041553" | translate}}&lt;/a&gt;&lt;/li&gt;</v>
      </c>
    </row>
    <row r="74" spans="1:8" ht="14.25" customHeight="1">
      <c r="A74" s="2">
        <v>22044</v>
      </c>
      <c r="B74" s="2" t="s">
        <v>7709</v>
      </c>
      <c r="C74" s="2" t="s">
        <v>7802</v>
      </c>
      <c r="D74" s="169" t="str">
        <f t="shared" si="7"/>
        <v>0,21964,22020,22044</v>
      </c>
      <c r="E74" s="3" t="str">
        <f ca="1">IFERROR(__xludf.DUMMYFUNCTION("GOOGLETRANSLATE(B74,""ja"",""vi"")"),"Phim tài liệu")</f>
        <v>Phim tài liệu</v>
      </c>
      <c r="F74" s="3" t="str">
        <f ca="1">IFERROR(__xludf.DUMMYFUNCTION("GOOGLETRANSLATE(C74,""ja"",""vi"")"),"Đấu giá&gt; phim, video&gt; đĩa laze&gt; phim tài liệu")</f>
        <v>Đấu giá&gt; phim, video&gt; đĩa laze&gt; phim tài liệu</v>
      </c>
      <c r="G74" s="229" t="str">
        <f t="shared" ca="1" si="8"/>
        <v>"22044" : "Phim tài liệu",</v>
      </c>
      <c r="H74" s="229" t="str">
        <f t="shared" si="9"/>
        <v>&lt;li class="col-md-3"&gt;&lt;a class="text-cut" href="javascript:;"(click)="categoryEvent(22044)"&gt;{{"22044" | translate}}&lt;/a&gt;&lt;/li&gt;</v>
      </c>
    </row>
    <row r="75" spans="1:8" ht="14.25" customHeight="1">
      <c r="A75" s="2">
        <v>22048</v>
      </c>
      <c r="B75" s="2" t="s">
        <v>7711</v>
      </c>
      <c r="C75" s="2" t="s">
        <v>7806</v>
      </c>
      <c r="D75" s="169" t="str">
        <f t="shared" si="7"/>
        <v>0,21964,22020,22048</v>
      </c>
      <c r="E75" s="3" t="str">
        <f ca="1">IFERROR(__xludf.DUMMYFUNCTION("GOOGLETRANSLATE(B75,""ja"",""vi"")"),"kịch")</f>
        <v>kịch</v>
      </c>
      <c r="F75" s="3" t="str">
        <f ca="1">IFERROR(__xludf.DUMMYFUNCTION("GOOGLETRANSLATE(C75,""ja"",""vi"")"),"Đấu giá&gt; phim, video&gt; đĩa laze&gt; phim")</f>
        <v>Đấu giá&gt; phim, video&gt; đĩa laze&gt; phim</v>
      </c>
      <c r="G75" s="229" t="str">
        <f t="shared" ca="1" si="8"/>
        <v>"22048" : "kịch",</v>
      </c>
      <c r="H75" s="229" t="str">
        <f t="shared" si="9"/>
        <v>&lt;li class="col-md-3"&gt;&lt;a class="text-cut" href="javascript:;"(click)="categoryEvent(22048)"&gt;{{"22048" | translate}}&lt;/a&gt;&lt;/li&gt;</v>
      </c>
    </row>
    <row r="76" spans="1:8" ht="14.25" customHeight="1">
      <c r="A76" s="2">
        <v>22036</v>
      </c>
      <c r="B76" s="2" t="s">
        <v>7811</v>
      </c>
      <c r="C76" s="2" t="s">
        <v>7812</v>
      </c>
      <c r="D76" s="169" t="str">
        <f t="shared" si="7"/>
        <v>0,21964,22020,22036</v>
      </c>
      <c r="E76" s="3" t="str">
        <f ca="1">IFERROR(__xludf.DUMMYFUNCTION("GOOGLETRANSLATE(B76,""ja"",""vi"")"),"Hollywood cổ điển")</f>
        <v>Hollywood cổ điển</v>
      </c>
      <c r="F76" s="3" t="str">
        <f ca="1">IFERROR(__xludf.DUMMYFUNCTION("GOOGLETRANSLATE(C76,""ja"",""vi"")"),"Đấu giá&gt; phim, video&gt; đĩa laze&gt; Hollywood cổ điển")</f>
        <v>Đấu giá&gt; phim, video&gt; đĩa laze&gt; Hollywood cổ điển</v>
      </c>
      <c r="G76" s="229" t="str">
        <f t="shared" ca="1" si="8"/>
        <v>"22036" : "Hollywood cổ điển",</v>
      </c>
      <c r="H76" s="229" t="str">
        <f t="shared" si="9"/>
        <v>&lt;li class="col-md-3"&gt;&lt;a class="text-cut" href="javascript:;"(click)="categoryEvent(22036)"&gt;{{"22036" | translate}}&lt;/a&gt;&lt;/li&gt;</v>
      </c>
    </row>
    <row r="77" spans="1:8" ht="14.25" customHeight="1">
      <c r="A77" s="2">
        <v>2084041546</v>
      </c>
      <c r="B77" s="2" t="s">
        <v>7715</v>
      </c>
      <c r="C77" s="2" t="s">
        <v>7817</v>
      </c>
      <c r="D77" s="169" t="str">
        <f t="shared" si="7"/>
        <v>0,21964,22020,2084041546</v>
      </c>
      <c r="E77" s="3" t="str">
        <f ca="1">IFERROR(__xludf.DUMMYFUNCTION("GOOGLETRANSLATE(B77,""ja"",""vi"")"),"rùng rợn")</f>
        <v>rùng rợn</v>
      </c>
      <c r="F77" s="3" t="str">
        <f ca="1">IFERROR(__xludf.DUMMYFUNCTION("GOOGLETRANSLATE(C77,""ja"",""vi"")"),"Đấu giá&gt; phim, video&gt; đĩa laze&gt; Horror")</f>
        <v>Đấu giá&gt; phim, video&gt; đĩa laze&gt; Horror</v>
      </c>
      <c r="G77" s="229" t="str">
        <f t="shared" ca="1" si="8"/>
        <v>"2084041546" : "rùng rợn",</v>
      </c>
      <c r="H77" s="229" t="str">
        <f t="shared" si="9"/>
        <v>&lt;li class="col-md-3"&gt;&lt;a class="text-cut" href="javascript:;"(click)="categoryEvent(2084041546)"&gt;{{"2084041546" | translate}}&lt;/a&gt;&lt;/li&gt;</v>
      </c>
    </row>
    <row r="78" spans="1:8" ht="14.25" customHeight="1">
      <c r="A78" s="2">
        <v>22056</v>
      </c>
      <c r="B78" s="2" t="s">
        <v>7719</v>
      </c>
      <c r="C78" s="2" t="s">
        <v>7824</v>
      </c>
      <c r="D78" s="169" t="str">
        <f t="shared" si="7"/>
        <v>0,21964,22020,22056</v>
      </c>
      <c r="E78" s="3" t="str">
        <f ca="1">IFERROR(__xludf.DUMMYFUNCTION("GOOGLETRANSLATE(B78,""ja"",""vi"")"),"nhạc")</f>
        <v>nhạc</v>
      </c>
      <c r="F78" s="3" t="str">
        <f ca="1">IFERROR(__xludf.DUMMYFUNCTION("GOOGLETRANSLATE(C78,""ja"",""vi"")"),"Đấu giá&gt; phim, video&gt; đĩa laze&gt; Nhạc")</f>
        <v>Đấu giá&gt; phim, video&gt; đĩa laze&gt; Nhạc</v>
      </c>
      <c r="G78" s="229" t="str">
        <f t="shared" ca="1" si="8"/>
        <v>"22056" : "nhạc",</v>
      </c>
      <c r="H78" s="229" t="str">
        <f t="shared" si="9"/>
        <v>&lt;li class="col-md-3"&gt;&lt;a class="text-cut" href="javascript:;"(click)="categoryEvent(22056)"&gt;{{"22056" | translate}}&lt;/a&gt;&lt;/li&gt;</v>
      </c>
    </row>
    <row r="79" spans="1:8" ht="14.25" customHeight="1">
      <c r="A79" s="2">
        <v>2084005202</v>
      </c>
      <c r="B79" s="2" t="s">
        <v>150</v>
      </c>
      <c r="C79" s="2" t="s">
        <v>7830</v>
      </c>
      <c r="D79" s="169" t="str">
        <f t="shared" si="7"/>
        <v>0,21964,22020,2084005202</v>
      </c>
      <c r="E79" s="3" t="str">
        <f ca="1">IFERROR(__xludf.DUMMYFUNCTION("GOOGLETRANSLATE(B79,""ja"",""vi"")"),"nhạc")</f>
        <v>nhạc</v>
      </c>
      <c r="F79" s="3" t="str">
        <f ca="1">IFERROR(__xludf.DUMMYFUNCTION("GOOGLETRANSLATE(C79,""ja"",""vi"")"),"Đấu giá&gt; phim, video&gt; đĩa laze&gt; Âm nhạc")</f>
        <v>Đấu giá&gt; phim, video&gt; đĩa laze&gt; Âm nhạc</v>
      </c>
      <c r="G79" s="229" t="str">
        <f t="shared" ca="1" si="8"/>
        <v>"2084005202" : "nhạc",</v>
      </c>
      <c r="H79" s="229" t="str">
        <f t="shared" si="9"/>
        <v>&lt;li class="col-md-3"&gt;&lt;a class="text-cut" href="javascript:;"(click)="categoryEvent(2084005202)"&gt;{{"2084005202" | translate}}&lt;/a&gt;&lt;/li&gt;</v>
      </c>
    </row>
    <row r="80" spans="1:8" ht="14.25" customHeight="1">
      <c r="A80" s="2">
        <v>22032</v>
      </c>
      <c r="B80" s="2" t="s">
        <v>7835</v>
      </c>
      <c r="C80" s="2" t="s">
        <v>7837</v>
      </c>
      <c r="D80" s="169" t="str">
        <f t="shared" si="7"/>
        <v>0,21964,22020,22032</v>
      </c>
      <c r="E80" s="3" t="str">
        <f ca="1">IFERROR(__xludf.DUMMYFUNCTION("GOOGLETRANSLATE(B80,""ja"",""vi"")"),"Đối với trẻ em")</f>
        <v>Đối với trẻ em</v>
      </c>
      <c r="F80" s="3" t="str">
        <f ca="1">IFERROR(__xludf.DUMMYFUNCTION("GOOGLETRANSLATE(C80,""ja"",""vi"")"),"Đấu giá&gt; phim, video&gt; đĩa laze&gt; cho trẻ em")</f>
        <v>Đấu giá&gt; phim, video&gt; đĩa laze&gt; cho trẻ em</v>
      </c>
      <c r="G80" s="229" t="str">
        <f t="shared" ca="1" si="8"/>
        <v>"22032" : "Đối với trẻ em",</v>
      </c>
      <c r="H80" s="229" t="str">
        <f t="shared" si="9"/>
        <v>&lt;li class="col-md-3"&gt;&lt;a class="text-cut" href="javascript:;"(click)="categoryEvent(22032)"&gt;{{"22032" | translate}}&lt;/a&gt;&lt;/li&gt;</v>
      </c>
    </row>
    <row r="81" spans="1:8" ht="14.25" customHeight="1">
      <c r="A81" s="2">
        <v>2084041552</v>
      </c>
      <c r="B81" s="2" t="s">
        <v>827</v>
      </c>
      <c r="C81" s="2" t="s">
        <v>7842</v>
      </c>
      <c r="D81" s="169" t="str">
        <f t="shared" si="7"/>
        <v>0,21964,22020,2084041552</v>
      </c>
      <c r="E81" s="3" t="str">
        <f ca="1">IFERROR(__xludf.DUMMYFUNCTION("GOOGLETRANSLATE(B81,""ja"",""vi"")"),"chơi lịch sử")</f>
        <v>chơi lịch sử</v>
      </c>
      <c r="F81" s="3" t="str">
        <f ca="1">IFERROR(__xludf.DUMMYFUNCTION("GOOGLETRANSLATE(C81,""ja"",""vi"")"),"Đấu giá&gt; phim, video&gt; đĩa laze&gt; phim kỷ nguyên")</f>
        <v>Đấu giá&gt; phim, video&gt; đĩa laze&gt; phim kỷ nguyên</v>
      </c>
      <c r="G81" s="229" t="str">
        <f t="shared" ca="1" si="8"/>
        <v>"2084041552" : "chơi lịch sử",</v>
      </c>
      <c r="H81" s="229" t="str">
        <f t="shared" si="9"/>
        <v>&lt;li class="col-md-3"&gt;&lt;a class="text-cut" href="javascript:;"(click)="categoryEvent(2084041552)"&gt;{{"2084041552" | translate}}&lt;/a&gt;&lt;/li&gt;</v>
      </c>
    </row>
    <row r="82" spans="1:8" ht="14.25" customHeight="1">
      <c r="A82" s="2">
        <v>22064</v>
      </c>
      <c r="B82" s="2" t="s">
        <v>7723</v>
      </c>
      <c r="C82" s="2" t="s">
        <v>7845</v>
      </c>
      <c r="D82" s="169" t="str">
        <f t="shared" si="7"/>
        <v>0,21964,22020,22064</v>
      </c>
      <c r="E82" s="3" t="str">
        <f ca="1">IFERROR(__xludf.DUMMYFUNCTION("GOOGLETRANSLATE(B82,""ja"",""vi"")"),"Tây")</f>
        <v>Tây</v>
      </c>
      <c r="F82" s="3" t="str">
        <f ca="1">IFERROR(__xludf.DUMMYFUNCTION("GOOGLETRANSLATE(C82,""ja"",""vi"")"),"Đấu giá&gt; phim, video&gt; đĩa laze&gt; cao bồi miền Tây")</f>
        <v>Đấu giá&gt; phim, video&gt; đĩa laze&gt; cao bồi miền Tây</v>
      </c>
      <c r="G82" s="229" t="str">
        <f t="shared" ca="1" si="8"/>
        <v>"22064" : "Tây",</v>
      </c>
      <c r="H82" s="229" t="str">
        <f t="shared" si="9"/>
        <v>&lt;li class="col-md-3"&gt;&lt;a class="text-cut" href="javascript:;"(click)="categoryEvent(22064)"&gt;{{"22064" | translate}}&lt;/a&gt;&lt;/li&gt;</v>
      </c>
    </row>
    <row r="83" spans="1:8" ht="14.25" customHeight="1">
      <c r="A83" s="2">
        <v>2084041554</v>
      </c>
      <c r="B83" s="2" t="s">
        <v>7728</v>
      </c>
      <c r="C83" s="2" t="s">
        <v>7850</v>
      </c>
      <c r="D83" s="169" t="str">
        <f t="shared" si="7"/>
        <v>0,21964,22020,2084041554</v>
      </c>
      <c r="E83" s="3" t="str">
        <f ca="1">IFERROR(__xludf.DUMMYFUNCTION("GOOGLETRANSLATE(B83,""ja"",""vi"")"),"chiến tranh")</f>
        <v>chiến tranh</v>
      </c>
      <c r="F83" s="3" t="str">
        <f ca="1">IFERROR(__xludf.DUMMYFUNCTION("GOOGLETRANSLATE(C83,""ja"",""vi"")"),"Đấu giá&gt; phim, video&gt; đĩa laze&gt; Chiến tranh")</f>
        <v>Đấu giá&gt; phim, video&gt; đĩa laze&gt; Chiến tranh</v>
      </c>
      <c r="G83" s="229" t="str">
        <f t="shared" ca="1" si="8"/>
        <v>"2084041554" : "chiến tranh",</v>
      </c>
      <c r="H83" s="229" t="str">
        <f t="shared" si="9"/>
        <v>&lt;li class="col-md-3"&gt;&lt;a class="text-cut" href="javascript:;"(click)="categoryEvent(2084041554)"&gt;{{"2084041554" | translate}}&lt;/a&gt;&lt;/li&gt;</v>
      </c>
    </row>
    <row r="84" spans="1:8" ht="14.25" customHeight="1">
      <c r="A84" s="2">
        <v>2084041555</v>
      </c>
      <c r="B84" s="2" t="s">
        <v>776</v>
      </c>
      <c r="C84" s="2" t="s">
        <v>7855</v>
      </c>
      <c r="D84" s="169" t="str">
        <f t="shared" si="7"/>
        <v>0,21964,22020,2084041555</v>
      </c>
      <c r="E84" s="3" t="str">
        <f ca="1">IFERROR(__xludf.DUMMYFUNCTION("GOOGLETRANSLATE(B84,""ja"",""vi"")"),"hiệu ứng đặc biệt")</f>
        <v>hiệu ứng đặc biệt</v>
      </c>
      <c r="F84" s="3" t="str">
        <f ca="1">IFERROR(__xludf.DUMMYFUNCTION("GOOGLETRANSLATE(C84,""ja"",""vi"")"),"Đấu giá&gt; phim, video&gt; đĩa laze&gt; hiệu ứng đặc biệt")</f>
        <v>Đấu giá&gt; phim, video&gt; đĩa laze&gt; hiệu ứng đặc biệt</v>
      </c>
      <c r="G84" s="229" t="str">
        <f t="shared" ca="1" si="8"/>
        <v>"2084041555" : "hiệu ứng đặc biệt",</v>
      </c>
      <c r="H84" s="229" t="str">
        <f t="shared" si="9"/>
        <v>&lt;li class="col-md-3"&gt;&lt;a class="text-cut" href="javascript:;"(click)="categoryEvent(2084041555)"&gt;{{"2084041555" | translate}}&lt;/a&gt;&lt;/li&gt;</v>
      </c>
    </row>
    <row r="85" spans="1:8" ht="14.25" customHeight="1">
      <c r="A85" s="2">
        <v>2084047956</v>
      </c>
      <c r="B85" s="2" t="s">
        <v>7858</v>
      </c>
      <c r="C85" s="2" t="s">
        <v>7859</v>
      </c>
      <c r="D85" s="169" t="str">
        <f t="shared" si="7"/>
        <v>0,21964,22020,2084047956</v>
      </c>
      <c r="E85" s="3" t="str">
        <f ca="1">IFERROR(__xludf.DUMMYFUNCTION("GOOGLETRANSLATE(B85,""ja"",""vi"")"),"hội đồng quản trị nhập khẩu")</f>
        <v>hội đồng quản trị nhập khẩu</v>
      </c>
      <c r="F85" s="3" t="str">
        <f ca="1">IFERROR(__xludf.DUMMYFUNCTION("GOOGLETRANSLATE(C85,""ja"",""vi"")"),"Đấu giá&gt; phim, video&gt; đĩa laze&gt; bảng nhập khẩu")</f>
        <v>Đấu giá&gt; phim, video&gt; đĩa laze&gt; bảng nhập khẩu</v>
      </c>
      <c r="G85" s="229" t="str">
        <f t="shared" ca="1" si="8"/>
        <v>"2084047956" : "hội đồng quản trị nhập khẩu",</v>
      </c>
      <c r="H85" s="229" t="str">
        <f t="shared" si="9"/>
        <v>&lt;li class="col-md-3"&gt;&lt;a class="text-cut" href="javascript:;"(click)="categoryEvent(2084047956)"&gt;{{"2084047956" | translate}}&lt;/a&gt;&lt;/li&gt;</v>
      </c>
    </row>
    <row r="86" spans="1:8" ht="14.25" customHeight="1">
      <c r="A86" s="2">
        <v>22068</v>
      </c>
      <c r="B86" s="2" t="s">
        <v>16</v>
      </c>
      <c r="C86" s="2" t="s">
        <v>7862</v>
      </c>
      <c r="D86" s="169" t="str">
        <f t="shared" si="7"/>
        <v>0,21964,22020,22068</v>
      </c>
      <c r="E86" s="3" t="str">
        <f ca="1">IFERROR(__xludf.DUMMYFUNCTION("GOOGLETRANSLATE(B86,""ja"",""vi"")"),"nếu không thì")</f>
        <v>nếu không thì</v>
      </c>
      <c r="F86" s="3" t="str">
        <f ca="1">IFERROR(__xludf.DUMMYFUNCTION("GOOGLETRANSLATE(C86,""ja"",""vi"")"),"Đấu giá&gt; phim, video&gt; đĩa laze&gt; Khác")</f>
        <v>Đấu giá&gt; phim, video&gt; đĩa laze&gt; Khác</v>
      </c>
      <c r="G86" s="229" t="str">
        <f t="shared" ca="1" si="8"/>
        <v>"22068" : "nếu không thì",</v>
      </c>
      <c r="H86" s="229" t="str">
        <f t="shared" si="9"/>
        <v>&lt;li class="col-md-3"&gt;&lt;a class="text-cut" href="javascript:;"(click)="categoryEvent(22068)"&gt;{{"22068" | translate}}&lt;/a&gt;&lt;/li&gt;</v>
      </c>
    </row>
    <row r="87" spans="1:8" ht="14.25" customHeight="1">
      <c r="E87" s="3"/>
      <c r="F87" s="3"/>
      <c r="G87" s="229"/>
      <c r="H87" s="229"/>
    </row>
    <row r="88" spans="1:8" ht="14.25" customHeight="1">
      <c r="A88" s="242">
        <v>2084042367</v>
      </c>
      <c r="B88" s="232"/>
      <c r="C88" s="232"/>
      <c r="D88" s="233"/>
      <c r="E88" s="3"/>
      <c r="F88" s="3"/>
      <c r="G88" s="229"/>
      <c r="H88" s="229"/>
    </row>
    <row r="89" spans="1:8" ht="14.25" customHeight="1">
      <c r="A89" s="2">
        <v>22228</v>
      </c>
      <c r="B89" s="2" t="s">
        <v>7873</v>
      </c>
      <c r="C89" s="2" t="s">
        <v>7874</v>
      </c>
      <c r="D89" s="169" t="str">
        <f t="shared" ref="D89:D93" si="10">CONCATENATE("0,","21964,2084042367,",A89)</f>
        <v>0,21964,2084042367,22228</v>
      </c>
      <c r="E89" s="3" t="str">
        <f ca="1">IFERROR(__xludf.DUMMYFUNCTION("GOOGLETRANSLATE(B89,""ja"",""vi"")"),"CD")</f>
        <v>CD</v>
      </c>
      <c r="F89" s="3" t="str">
        <f ca="1">IFERROR(__xludf.DUMMYFUNCTION("GOOGLETRANSLATE(C89,""ja"",""vi"")"),"Đấu giá&gt; phim, video&gt; Phim Âm nhạc&gt; CD")</f>
        <v>Đấu giá&gt; phim, video&gt; Phim Âm nhạc&gt; CD</v>
      </c>
      <c r="G89" s="229" t="str">
        <f t="shared" ca="1" si="8"/>
        <v>"22228" : "CD",</v>
      </c>
      <c r="H89" s="229" t="str">
        <f t="shared" si="9"/>
        <v>&lt;li class="col-md-3"&gt;&lt;a class="text-cut" href="javascript:;"(click)="categoryEvent(22228)"&gt;{{"22228" | translate}}&lt;/a&gt;&lt;/li&gt;</v>
      </c>
    </row>
    <row r="90" spans="1:8" ht="14.25" customHeight="1">
      <c r="A90" s="2">
        <v>22380</v>
      </c>
      <c r="B90" s="2" t="s">
        <v>414</v>
      </c>
      <c r="C90" s="2" t="s">
        <v>7884</v>
      </c>
      <c r="D90" s="169" t="str">
        <f t="shared" si="10"/>
        <v>0,21964,2084042367,22380</v>
      </c>
      <c r="E90" s="3" t="str">
        <f ca="1">IFERROR(__xludf.DUMMYFUNCTION("GOOGLETRANSLATE(B90,""ja"",""vi"")"),"băng cassette")</f>
        <v>băng cassette</v>
      </c>
      <c r="F90" s="3" t="str">
        <f ca="1">IFERROR(__xludf.DUMMYFUNCTION("GOOGLETRANSLATE(C90,""ja"",""vi"")"),"Đấu giá&gt; phim, video&gt; nhạc phim&gt; băng cassette")</f>
        <v>Đấu giá&gt; phim, video&gt; nhạc phim&gt; băng cassette</v>
      </c>
      <c r="G90" s="229" t="str">
        <f t="shared" ca="1" si="8"/>
        <v>"22380" : "băng cassette",</v>
      </c>
      <c r="H90" s="229" t="str">
        <f t="shared" si="9"/>
        <v>&lt;li class="col-md-3"&gt;&lt;a class="text-cut" href="javascript:;"(click)="categoryEvent(22380)"&gt;{{"22380" | translate}}&lt;/a&gt;&lt;/li&gt;</v>
      </c>
    </row>
    <row r="91" spans="1:8" ht="14.25" customHeight="1">
      <c r="A91" s="2">
        <v>2084006996</v>
      </c>
      <c r="B91" s="2" t="s">
        <v>386</v>
      </c>
      <c r="C91" s="2" t="s">
        <v>7890</v>
      </c>
      <c r="D91" s="169" t="str">
        <f t="shared" si="10"/>
        <v>0,21964,2084042367,2084006996</v>
      </c>
      <c r="E91" s="3" t="str">
        <f ca="1">IFERROR(__xludf.DUMMYFUNCTION("GOOGLETRANSLATE(B91,""ja"",""vi"")"),"video")</f>
        <v>video</v>
      </c>
      <c r="F91" s="3" t="str">
        <f ca="1">IFERROR(__xludf.DUMMYFUNCTION("GOOGLETRANSLATE(C91,""ja"",""vi"")"),"Đấu giá&gt; phim, video&gt; Phim Âm nhạc&gt; Video")</f>
        <v>Đấu giá&gt; phim, video&gt; Phim Âm nhạc&gt; Video</v>
      </c>
      <c r="G91" s="229" t="str">
        <f t="shared" ca="1" si="8"/>
        <v>"2084006996" : "video",</v>
      </c>
      <c r="H91" s="229" t="str">
        <f t="shared" si="9"/>
        <v>&lt;li class="col-md-3"&gt;&lt;a class="text-cut" href="javascript:;"(click)="categoryEvent(2084006996)"&gt;{{"2084006996" | translate}}&lt;/a&gt;&lt;/li&gt;</v>
      </c>
    </row>
    <row r="92" spans="1:8" ht="14.25" customHeight="1">
      <c r="A92" s="2">
        <v>2084007013</v>
      </c>
      <c r="B92" s="2" t="s">
        <v>393</v>
      </c>
      <c r="C92" s="2" t="s">
        <v>7895</v>
      </c>
      <c r="D92" s="169" t="str">
        <f t="shared" si="10"/>
        <v>0,21964,2084042367,2084007013</v>
      </c>
      <c r="E92" s="3" t="str">
        <f ca="1">IFERROR(__xludf.DUMMYFUNCTION("GOOGLETRANSLATE(B92,""ja"",""vi"")"),"đĩa Laser")</f>
        <v>đĩa Laser</v>
      </c>
      <c r="F92" s="3" t="str">
        <f ca="1">IFERROR(__xludf.DUMMYFUNCTION("GOOGLETRANSLATE(C92,""ja"",""vi"")"),"Đấu giá&gt; phim, video&gt; nhạc phim&gt; đĩa laze")</f>
        <v>Đấu giá&gt; phim, video&gt; nhạc phim&gt; đĩa laze</v>
      </c>
      <c r="G92" s="229" t="str">
        <f t="shared" ca="1" si="8"/>
        <v>"2084007013" : "đĩa Laser",</v>
      </c>
      <c r="H92" s="229" t="str">
        <f t="shared" si="9"/>
        <v>&lt;li class="col-md-3"&gt;&lt;a class="text-cut" href="javascript:;"(click)="categoryEvent(2084007013)"&gt;{{"2084007013" | translate}}&lt;/a&gt;&lt;/li&gt;</v>
      </c>
    </row>
    <row r="93" spans="1:8" ht="14.25" customHeight="1">
      <c r="A93" s="2">
        <v>22296</v>
      </c>
      <c r="B93" s="2" t="s">
        <v>410</v>
      </c>
      <c r="C93" s="2" t="s">
        <v>7901</v>
      </c>
      <c r="D93" s="169" t="str">
        <f t="shared" si="10"/>
        <v>0,21964,2084042367,22296</v>
      </c>
      <c r="E93" s="3" t="str">
        <f ca="1">IFERROR(__xludf.DUMMYFUNCTION("GOOGLETRANSLATE(B93,""ja"",""vi"")"),"kỷ lục")</f>
        <v>kỷ lục</v>
      </c>
      <c r="F93" s="3" t="str">
        <f ca="1">IFERROR(__xludf.DUMMYFUNCTION("GOOGLETRANSLATE(C93,""ja"",""vi"")"),"Đấu giá&gt; phim, video&gt; nhạc phim&gt; kỷ lục")</f>
        <v>Đấu giá&gt; phim, video&gt; nhạc phim&gt; kỷ lục</v>
      </c>
      <c r="G93" s="229" t="str">
        <f t="shared" ca="1" si="8"/>
        <v>"22296" : "kỷ lục",</v>
      </c>
      <c r="H93" s="229" t="str">
        <f t="shared" si="9"/>
        <v>&lt;li class="col-md-3"&gt;&lt;a class="text-cut" href="javascript:;"(click)="categoryEvent(22296)"&gt;{{"22296" | translate}}&lt;/a&gt;&lt;/li&gt;</v>
      </c>
    </row>
    <row r="94" spans="1:8" ht="14.25" customHeight="1">
      <c r="E94" s="3"/>
      <c r="F94" s="3"/>
      <c r="G94" s="229"/>
      <c r="H94" s="229"/>
    </row>
    <row r="95" spans="1:8" ht="14.25" customHeight="1">
      <c r="A95" s="238">
        <v>22124</v>
      </c>
      <c r="B95" s="232"/>
      <c r="C95" s="232"/>
      <c r="D95" s="233"/>
      <c r="E95" s="3"/>
      <c r="F95" s="3"/>
      <c r="G95" s="229"/>
      <c r="H95" s="229"/>
    </row>
    <row r="96" spans="1:8" ht="14.25" customHeight="1">
      <c r="A96" s="2">
        <v>22128</v>
      </c>
      <c r="B96" s="2" t="s">
        <v>339</v>
      </c>
      <c r="C96" s="2" t="s">
        <v>7909</v>
      </c>
      <c r="D96" s="169" t="str">
        <f t="shared" ref="D96:D105" si="11">CONCATENATE("0,","21964,22124,",A96)</f>
        <v>0,21964,22124,22128</v>
      </c>
      <c r="E96" s="3" t="str">
        <f ca="1">IFERROR(__xludf.DUMMYFUNCTION("GOOGLETRANSLATE(B96,""ja"",""vi"")"),"dấu")</f>
        <v>dấu</v>
      </c>
      <c r="F96" s="3" t="str">
        <f ca="1">IFERROR(__xludf.DUMMYFUNCTION("GOOGLETRANSLATE(C96,""ja"",""vi"")"),"Đấu giá&gt; phim, video&gt; hàng phim liên quan đến dấu&gt;")</f>
        <v>Đấu giá&gt; phim, video&gt; hàng phim liên quan đến dấu&gt;</v>
      </c>
      <c r="G96" s="229" t="str">
        <f t="shared" ca="1" si="8"/>
        <v>"22128" : "dấu",</v>
      </c>
      <c r="H96" s="229" t="str">
        <f t="shared" si="9"/>
        <v>&lt;li class="col-md-3"&gt;&lt;a class="text-cut" href="javascript:;"(click)="categoryEvent(22128)"&gt;{{"22128" | translate}}&lt;/a&gt;&lt;/li&gt;</v>
      </c>
    </row>
    <row r="97" spans="1:8" ht="14.25" customHeight="1">
      <c r="A97" s="2">
        <v>2084006168</v>
      </c>
      <c r="B97" s="2" t="s">
        <v>1005</v>
      </c>
      <c r="C97" s="2" t="s">
        <v>7916</v>
      </c>
      <c r="D97" s="169" t="str">
        <f t="shared" si="11"/>
        <v>0,21964,22124,2084006168</v>
      </c>
      <c r="E97" s="3" t="str">
        <f ca="1">IFERROR(__xludf.DUMMYFUNCTION("GOOGLETRANSLATE(B97,""ja"",""vi"")"),"tờ rơi")</f>
        <v>tờ rơi</v>
      </c>
      <c r="F97" s="3" t="str">
        <f ca="1">IFERROR(__xludf.DUMMYFUNCTION("GOOGLETRANSLATE(C97,""ja"",""vi"")"),"Đấu giá&gt; Phim ảnh, video&gt; hàng phim liên quan đến&gt; tờ rơi quảng cáo")</f>
        <v>Đấu giá&gt; Phim ảnh, video&gt; hàng phim liên quan đến&gt; tờ rơi quảng cáo</v>
      </c>
      <c r="G97" s="229" t="str">
        <f t="shared" ca="1" si="8"/>
        <v>"2084006168" : "tờ rơi",</v>
      </c>
      <c r="H97" s="229" t="str">
        <f t="shared" si="9"/>
        <v>&lt;li class="col-md-3"&gt;&lt;a class="text-cut" href="javascript:;"(click)="categoryEvent(2084006168)"&gt;{{"2084006168" | translate}}&lt;/a&gt;&lt;/li&gt;</v>
      </c>
    </row>
    <row r="98" spans="1:8" ht="14.25" customHeight="1">
      <c r="A98" s="2">
        <v>2084005122</v>
      </c>
      <c r="B98" s="2" t="s">
        <v>389</v>
      </c>
      <c r="C98" s="2" t="s">
        <v>7919</v>
      </c>
      <c r="D98" s="169" t="str">
        <f t="shared" si="11"/>
        <v>0,21964,22124,2084005122</v>
      </c>
      <c r="E98" s="3" t="str">
        <f ca="1">IFERROR(__xludf.DUMMYFUNCTION("GOOGLETRANSLATE(B98,""ja"",""vi"")"),"thẻ điện thoại")</f>
        <v>thẻ điện thoại</v>
      </c>
      <c r="F98" s="3" t="str">
        <f ca="1">IFERROR(__xludf.DUMMYFUNCTION("GOOGLETRANSLATE(C98,""ja"",""vi"")"),"Đấu giá&gt; phim, video&gt; hàng phim liên quan đến&gt; Thẻ điện thoại")</f>
        <v>Đấu giá&gt; phim, video&gt; hàng phim liên quan đến&gt; Thẻ điện thoại</v>
      </c>
      <c r="G98" s="229" t="str">
        <f t="shared" ca="1" si="8"/>
        <v>"2084005122" : "thẻ điện thoại",</v>
      </c>
      <c r="H98" s="229" t="str">
        <f t="shared" si="9"/>
        <v>&lt;li class="col-md-3"&gt;&lt;a class="text-cut" href="javascript:;"(click)="categoryEvent(2084005122)"&gt;{{"2084005122" | translate}}&lt;/a&gt;&lt;/li&gt;</v>
      </c>
    </row>
    <row r="99" spans="1:8" ht="14.25" customHeight="1">
      <c r="A99" s="2">
        <v>2084005354</v>
      </c>
      <c r="B99" s="2" t="s">
        <v>1016</v>
      </c>
      <c r="C99" s="2" t="s">
        <v>7923</v>
      </c>
      <c r="D99" s="169" t="str">
        <f t="shared" si="11"/>
        <v>0,21964,22124,2084005354</v>
      </c>
      <c r="E99" s="3" t="str">
        <f ca="1">IFERROR(__xludf.DUMMYFUNCTION("GOOGLETRANSLATE(B99,""ja"",""vi"")"),"Brochure")</f>
        <v>Brochure</v>
      </c>
      <c r="F99" s="3" t="str">
        <f ca="1">IFERROR(__xludf.DUMMYFUNCTION("GOOGLETRANSLATE(C99,""ja"",""vi"")"),"Đấu giá&gt; phim, video&gt; hàng phim liên quan đến&gt; cuốn sách nhỏ")</f>
        <v>Đấu giá&gt; phim, video&gt; hàng phim liên quan đến&gt; cuốn sách nhỏ</v>
      </c>
      <c r="G99" s="229" t="str">
        <f t="shared" ca="1" si="8"/>
        <v>"2084005354" : "Brochure",</v>
      </c>
      <c r="H99" s="229" t="str">
        <f t="shared" si="9"/>
        <v>&lt;li class="col-md-3"&gt;&lt;a class="text-cut" href="javascript:;"(click)="categoryEvent(2084005354)"&gt;{{"2084005354" | translate}}&lt;/a&gt;&lt;/li&gt;</v>
      </c>
    </row>
    <row r="100" spans="1:8" ht="14.25" customHeight="1">
      <c r="A100" s="2">
        <v>2084006167</v>
      </c>
      <c r="B100" s="2" t="s">
        <v>427</v>
      </c>
      <c r="C100" s="2" t="s">
        <v>7929</v>
      </c>
      <c r="D100" s="169" t="str">
        <f t="shared" si="11"/>
        <v>0,21964,22124,2084006167</v>
      </c>
      <c r="E100" s="3" t="str">
        <f ca="1">IFERROR(__xludf.DUMMYFUNCTION("GOOGLETRANSLATE(B100,""ja"",""vi"")"),"poster")</f>
        <v>poster</v>
      </c>
      <c r="F100" s="3" t="str">
        <f ca="1">IFERROR(__xludf.DUMMYFUNCTION("GOOGLETRANSLATE(C100,""ja"",""vi"")"),"Đấu giá&gt; phim, video&gt; hàng phim liên quan đến&gt; tấm áp phích")</f>
        <v>Đấu giá&gt; phim, video&gt; hàng phim liên quan đến&gt; tấm áp phích</v>
      </c>
      <c r="G100" s="229" t="str">
        <f t="shared" ca="1" si="8"/>
        <v>"2084006167" : "poster",</v>
      </c>
      <c r="H100" s="229" t="str">
        <f t="shared" si="9"/>
        <v>&lt;li class="col-md-3"&gt;&lt;a class="text-cut" href="javascript:;"(click)="categoryEvent(2084006167)"&gt;{{"2084006167" | translate}}&lt;/a&gt;&lt;/li&gt;</v>
      </c>
    </row>
    <row r="101" spans="1:8" ht="14.25" customHeight="1">
      <c r="A101" s="2">
        <v>22144</v>
      </c>
      <c r="B101" s="2" t="s">
        <v>355</v>
      </c>
      <c r="C101" s="2" t="s">
        <v>7936</v>
      </c>
      <c r="D101" s="169" t="str">
        <f t="shared" si="11"/>
        <v>0,21964,22124,22144</v>
      </c>
      <c r="E101" s="3" t="str">
        <f ca="1">IFERROR(__xludf.DUMMYFUNCTION("GOOGLETRANSLATE(B101,""ja"",""vi"")"),"ảnh")</f>
        <v>ảnh</v>
      </c>
      <c r="F101" s="3" t="str">
        <f ca="1">IFERROR(__xludf.DUMMYFUNCTION("GOOGLETRANSLATE(C101,""ja"",""vi"")"),"Đấu giá&gt; phim, video&gt; hàng phim liên quan đến&gt; Ảnh")</f>
        <v>Đấu giá&gt; phim, video&gt; hàng phim liên quan đến&gt; Ảnh</v>
      </c>
      <c r="G101" s="229" t="str">
        <f t="shared" ca="1" si="8"/>
        <v>"22144" : "ảnh",</v>
      </c>
      <c r="H101" s="229" t="str">
        <f t="shared" si="9"/>
        <v>&lt;li class="col-md-3"&gt;&lt;a class="text-cut" href="javascript:;"(click)="categoryEvent(22144)"&gt;{{"22144" | translate}}&lt;/a&gt;&lt;/li&gt;</v>
      </c>
    </row>
    <row r="102" spans="1:8" ht="14.25" customHeight="1">
      <c r="A102" s="2">
        <v>22136</v>
      </c>
      <c r="B102" s="2" t="s">
        <v>7939</v>
      </c>
      <c r="C102" s="2" t="s">
        <v>7940</v>
      </c>
      <c r="D102" s="169" t="str">
        <f t="shared" si="11"/>
        <v>0,21964,22124,22136</v>
      </c>
      <c r="E102" s="3" t="str">
        <f ca="1">IFERROR(__xludf.DUMMYFUNCTION("GOOGLETRANSLATE(B102,""ja"",""vi"")"),"Đạo cụ, trang phục")</f>
        <v>Đạo cụ, trang phục</v>
      </c>
      <c r="F102" s="3" t="str">
        <f ca="1">IFERROR(__xludf.DUMMYFUNCTION("GOOGLETRANSLATE(C102,""ja"",""vi"")"),"Đấu giá&gt; phim, video&gt; hàng phim liên quan đến&gt; đạo cụ, trang phục")</f>
        <v>Đấu giá&gt; phim, video&gt; hàng phim liên quan đến&gt; đạo cụ, trang phục</v>
      </c>
      <c r="G102" s="229" t="str">
        <f t="shared" ca="1" si="8"/>
        <v>"22136" : "Đạo cụ, trang phục",</v>
      </c>
      <c r="H102" s="229" t="str">
        <f t="shared" si="9"/>
        <v>&lt;li class="col-md-3"&gt;&lt;a class="text-cut" href="javascript:;"(click)="categoryEvent(22136)"&gt;{{"22136" | translate}}&lt;/a&gt;&lt;/li&gt;</v>
      </c>
    </row>
    <row r="103" spans="1:8" ht="14.25" customHeight="1">
      <c r="A103" s="2">
        <v>2084006174</v>
      </c>
      <c r="B103" s="2" t="s">
        <v>331</v>
      </c>
      <c r="C103" s="2" t="s">
        <v>7947</v>
      </c>
      <c r="D103" s="169" t="str">
        <f t="shared" si="11"/>
        <v>0,21964,22124,2084006174</v>
      </c>
      <c r="E103" s="3" t="str">
        <f ca="1">IFERROR(__xludf.DUMMYFUNCTION("GOOGLETRANSLATE(B103,""ja"",""vi"")"),"cắt giảm")</f>
        <v>cắt giảm</v>
      </c>
      <c r="F103" s="3" t="str">
        <f ca="1">IFERROR(__xludf.DUMMYFUNCTION("GOOGLETRANSLATE(C103,""ja"",""vi"")"),"Đấu giá&gt; phim, video&gt; hàng phim liên quan đến&gt; cut-out")</f>
        <v>Đấu giá&gt; phim, video&gt; hàng phim liên quan đến&gt; cut-out</v>
      </c>
      <c r="G103" s="229" t="str">
        <f t="shared" ca="1" si="8"/>
        <v>"2084006174" : "cắt giảm",</v>
      </c>
      <c r="H103" s="229" t="str">
        <f t="shared" si="9"/>
        <v>&lt;li class="col-md-3"&gt;&lt;a class="text-cut" href="javascript:;"(click)="categoryEvent(2084006174)"&gt;{{"2084006174" | translate}}&lt;/a&gt;&lt;/li&gt;</v>
      </c>
    </row>
    <row r="104" spans="1:8" ht="14.25" customHeight="1">
      <c r="A104" s="2">
        <v>2084047694</v>
      </c>
      <c r="B104" s="2" t="s">
        <v>7951</v>
      </c>
      <c r="C104" s="2" t="s">
        <v>7952</v>
      </c>
      <c r="D104" s="169" t="str">
        <f t="shared" si="11"/>
        <v>0,21964,22124,2084047694</v>
      </c>
      <c r="E104" s="3" t="str">
        <f ca="1">IFERROR(__xludf.DUMMYFUNCTION("GOOGLETRANSLATE(B104,""ja"",""vi"")"),"văn ca kịch")</f>
        <v>văn ca kịch</v>
      </c>
      <c r="F104" s="3" t="str">
        <f ca="1">IFERROR(__xludf.DUMMYFUNCTION("GOOGLETRANSLATE(C104,""ja"",""vi"")"),"Đấu giá&gt; phim, video&gt; hàng phim liên quan đến&gt; libretto")</f>
        <v>Đấu giá&gt; phim, video&gt; hàng phim liên quan đến&gt; libretto</v>
      </c>
      <c r="G104" s="229" t="str">
        <f t="shared" ca="1" si="8"/>
        <v>"2084047694" : "văn ca kịch",</v>
      </c>
      <c r="H104" s="229" t="str">
        <f t="shared" si="9"/>
        <v>&lt;li class="col-md-3"&gt;&lt;a class="text-cut" href="javascript:;"(click)="categoryEvent(2084047694)"&gt;{{"2084047694" | translate}}&lt;/a&gt;&lt;/li&gt;</v>
      </c>
    </row>
    <row r="105" spans="1:8" ht="14.25" customHeight="1">
      <c r="A105" s="2">
        <v>22148</v>
      </c>
      <c r="B105" s="2" t="s">
        <v>16</v>
      </c>
      <c r="C105" s="2" t="s">
        <v>7956</v>
      </c>
      <c r="D105" s="169" t="str">
        <f t="shared" si="11"/>
        <v>0,21964,22124,22148</v>
      </c>
      <c r="E105" s="3" t="str">
        <f ca="1">IFERROR(__xludf.DUMMYFUNCTION("GOOGLETRANSLATE(B105,""ja"",""vi"")"),"nếu không thì")</f>
        <v>nếu không thì</v>
      </c>
      <c r="F105" s="3" t="str">
        <f ca="1">IFERROR(__xludf.DUMMYFUNCTION("GOOGLETRANSLATE(C105,""ja"",""vi"")"),"Đấu giá&gt; phim, video&gt; hàng phim liên quan đến&gt; Khác")</f>
        <v>Đấu giá&gt; phim, video&gt; hàng phim liên quan đến&gt; Khác</v>
      </c>
      <c r="G105" s="229" t="str">
        <f t="shared" ca="1" si="8"/>
        <v>"22148" : "nếu không thì",</v>
      </c>
      <c r="H105" s="229" t="str">
        <f t="shared" si="9"/>
        <v>&lt;li class="col-md-3"&gt;&lt;a class="text-cut" href="javascript:;"(click)="categoryEvent(22148)"&gt;{{"22148" | translate}}&lt;/a&gt;&lt;/li&gt;</v>
      </c>
    </row>
    <row r="106" spans="1:8" ht="14.25" customHeight="1">
      <c r="E106" s="3"/>
      <c r="F106" s="3"/>
      <c r="G106" s="229"/>
      <c r="H106" s="229"/>
    </row>
    <row r="107" spans="1:8" ht="14.25" customHeight="1">
      <c r="A107" s="256">
        <v>2084039789</v>
      </c>
      <c r="B107" s="232"/>
      <c r="C107" s="232"/>
      <c r="D107" s="233"/>
      <c r="E107" s="3"/>
      <c r="F107" s="3"/>
      <c r="G107" s="229"/>
      <c r="H107" s="229"/>
    </row>
    <row r="108" spans="1:8" ht="14.25" customHeight="1">
      <c r="A108" s="2">
        <v>2084060556</v>
      </c>
      <c r="B108" s="2" t="s">
        <v>7963</v>
      </c>
      <c r="C108" s="2" t="s">
        <v>7964</v>
      </c>
      <c r="D108" s="169" t="str">
        <f t="shared" ref="D108:D110" si="12">CONCATENATE("0,","2084043920,22748,2084039789,",A108)</f>
        <v>0,2084043920,22748,2084039789,2084060556</v>
      </c>
      <c r="E108" s="3" t="str">
        <f ca="1">IFERROR(__xludf.DUMMYFUNCTION("GOOGLETRANSLATE(B108,""ja"",""vi"")"),"bộ phim Nhật Bản")</f>
        <v>bộ phim Nhật Bản</v>
      </c>
      <c r="F108" s="3" t="str">
        <f ca="1">IFERROR(__xludf.DUMMYFUNCTION("GOOGLETRANSLATE(C108,""ja"",""vi"")"),"Đấu giá&gt; vé, chứng từ, đặt phòng khách sạn&gt; vé vui chơi giải trí&gt; phim&gt; Phim Nhật Bản")</f>
        <v>Đấu giá&gt; vé, chứng từ, đặt phòng khách sạn&gt; vé vui chơi giải trí&gt; phim&gt; Phim Nhật Bản</v>
      </c>
      <c r="G108" s="229" t="str">
        <f t="shared" ca="1" si="8"/>
        <v>"2084060556" : "bộ phim Nhật Bản",</v>
      </c>
      <c r="H108" s="229" t="str">
        <f t="shared" si="9"/>
        <v>&lt;li class="col-md-3"&gt;&lt;a class="text-cut" href="javascript:;"(click)="categoryEvent(2084060556)"&gt;{{"2084060556" | translate}}&lt;/a&gt;&lt;/li&gt;</v>
      </c>
    </row>
    <row r="109" spans="1:8" ht="14.25" customHeight="1">
      <c r="A109" s="2">
        <v>2084060557</v>
      </c>
      <c r="B109" s="2" t="s">
        <v>7968</v>
      </c>
      <c r="C109" s="2" t="s">
        <v>7970</v>
      </c>
      <c r="D109" s="169" t="str">
        <f t="shared" si="12"/>
        <v>0,2084043920,22748,2084039789,2084060557</v>
      </c>
      <c r="E109" s="3" t="str">
        <f ca="1">IFERROR(__xludf.DUMMYFUNCTION("GOOGLETRANSLATE(B109,""ja"",""vi"")"),"phim")</f>
        <v>phim</v>
      </c>
      <c r="F109" s="3" t="str">
        <f ca="1">IFERROR(__xludf.DUMMYFUNCTION("GOOGLETRANSLATE(C109,""ja"",""vi"")"),"Đấu giá&gt; vé, chứng từ, đặt phòng khách sạn&gt; vé vui chơi giải trí&gt; Điện ảnh&gt; Phim")</f>
        <v>Đấu giá&gt; vé, chứng từ, đặt phòng khách sạn&gt; vé vui chơi giải trí&gt; Điện ảnh&gt; Phim</v>
      </c>
      <c r="G109" s="229" t="str">
        <f t="shared" ca="1" si="8"/>
        <v>"2084060557" : "phim",</v>
      </c>
      <c r="H109" s="229" t="str">
        <f t="shared" si="9"/>
        <v>&lt;li class="col-md-3"&gt;&lt;a class="text-cut" href="javascript:;"(click)="categoryEvent(2084060557)"&gt;{{"2084060557" | translate}}&lt;/a&gt;&lt;/li&gt;</v>
      </c>
    </row>
    <row r="110" spans="1:8" ht="14.25" customHeight="1">
      <c r="A110" s="2">
        <v>2084060558</v>
      </c>
      <c r="B110" s="2" t="s">
        <v>16</v>
      </c>
      <c r="C110" s="2" t="s">
        <v>7974</v>
      </c>
      <c r="D110" s="169" t="str">
        <f t="shared" si="12"/>
        <v>0,2084043920,22748,2084039789,2084060558</v>
      </c>
      <c r="E110" s="3" t="str">
        <f ca="1">IFERROR(__xludf.DUMMYFUNCTION("GOOGLETRANSLATE(B110,""ja"",""vi"")"),"nếu không thì")</f>
        <v>nếu không thì</v>
      </c>
      <c r="F110" s="3" t="str">
        <f ca="1">IFERROR(__xludf.DUMMYFUNCTION("GOOGLETRANSLATE(C110,""ja"",""vi"")"),"Đấu giá&gt; vé, chứng từ, đặt phòng khách sạn&gt; vé vui chơi giải trí&gt; phim&gt; Khác")</f>
        <v>Đấu giá&gt; vé, chứng từ, đặt phòng khách sạn&gt; vé vui chơi giải trí&gt; phim&gt; Khác</v>
      </c>
      <c r="G110" s="229" t="str">
        <f t="shared" ca="1" si="8"/>
        <v>"2084060558" : "nếu không thì",</v>
      </c>
      <c r="H110" s="229" t="str">
        <f t="shared" si="9"/>
        <v>&lt;li class="col-md-3"&gt;&lt;a class="text-cut" href="javascript:;"(click)="categoryEvent(2084060558)"&gt;{{"2084060558" | translate}}&lt;/a&gt;&lt;/li&gt;</v>
      </c>
    </row>
    <row r="111" spans="1:8" ht="14.25" customHeight="1"/>
    <row r="112" spans="1:8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95:D95"/>
    <mergeCell ref="A107:D107"/>
    <mergeCell ref="A13:D13"/>
    <mergeCell ref="A27:D27"/>
    <mergeCell ref="A41:D41"/>
    <mergeCell ref="A56:D56"/>
    <mergeCell ref="A67:D67"/>
    <mergeCell ref="A88:D88"/>
  </mergeCells>
  <pageMargins left="0.7" right="0.7" top="0.75" bottom="0.75" header="0" footer="0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topLeftCell="F1" workbookViewId="0">
      <selection activeCell="H2" sqref="H2"/>
    </sheetView>
  </sheetViews>
  <sheetFormatPr defaultColWidth="12.59765625" defaultRowHeight="15" customHeight="1"/>
  <cols>
    <col min="1" max="1" width="13.19921875" customWidth="1"/>
    <col min="2" max="2" width="17.69921875" customWidth="1"/>
    <col min="3" max="3" width="19.09765625" customWidth="1"/>
    <col min="4" max="4" width="17.8984375" customWidth="1"/>
    <col min="5" max="5" width="21.8984375" customWidth="1"/>
    <col min="6" max="6" width="32.69921875" customWidth="1"/>
    <col min="7" max="7" width="46.0976562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73">
        <v>2084039759</v>
      </c>
      <c r="B2" s="73" t="s">
        <v>8520</v>
      </c>
      <c r="C2" s="73" t="s">
        <v>8521</v>
      </c>
      <c r="D2" s="70" t="str">
        <f t="shared" ref="D2:D19" si="0">CONCATENATE("0,","23336,",A2)</f>
        <v>0,23336,2084039759</v>
      </c>
      <c r="E2" s="3" t="str">
        <f ca="1">IFERROR(__xludf.DUMMYFUNCTION("GOOGLETRANSLATE(B2,""ja"",""vi"")"),"PC")</f>
        <v>PC</v>
      </c>
      <c r="F2" s="3" t="str">
        <f ca="1">IFERROR(__xludf.DUMMYFUNCTION("GOOGLETRANSLATE(C2,""ja"",""vi"")"),"Đấu giá&gt; máy tính&gt; máy tính cá nhân")</f>
        <v>Đấu giá&gt; máy tính&gt; máy tính cá nhân</v>
      </c>
      <c r="G2" s="227" t="str">
        <f ca="1">CONCATENATE(CHAR(34)&amp;"",A2,""&amp;CHAR(34)," : ", CHAR(34)&amp;"",E2,""&amp;CHAR(34),",")</f>
        <v>"2084039759" : "PC",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href="javascript:;"(click)="categoryEvent(2084039759)"&gt;{{"2084039759" | translate}}&lt;/a&gt;&lt;/li&gt;</v>
      </c>
    </row>
    <row r="3" spans="1:8" ht="14.25" customHeight="1">
      <c r="A3" s="22">
        <v>2084292086</v>
      </c>
      <c r="B3" s="219" t="s">
        <v>8529</v>
      </c>
      <c r="C3" s="22" t="s">
        <v>8533</v>
      </c>
      <c r="D3" s="216" t="str">
        <f t="shared" si="0"/>
        <v>0,23336,2084292086</v>
      </c>
      <c r="E3" s="3" t="str">
        <f ca="1">IFERROR(__xludf.DUMMYFUNCTION("GOOGLETRANSLATE(B3,""ja"",""vi"")"),"&gt; Tablet")</f>
        <v>&gt; Tablet</v>
      </c>
      <c r="F3" s="3" t="str">
        <f ca="1">IFERROR(__xludf.DUMMYFUNCTION("GOOGLETRANSLATE(C3,""ja"",""vi"")"),"Đấu giá&gt; máy tính&gt; tablet")</f>
        <v>Đấu giá&gt; máy tính&gt; tablet</v>
      </c>
      <c r="G3" s="227" t="str">
        <f t="shared" ref="G3:G66" ca="1" si="1">CONCATENATE(CHAR(34)&amp;"",A3,""&amp;CHAR(34)," : ", CHAR(34)&amp;"",E3,""&amp;CHAR(34),",")</f>
        <v>"2084292086" : "&gt; Tablet",</v>
      </c>
      <c r="H3" s="229" t="str">
        <f t="shared" ref="H3:H19" si="2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href="javascript:;"(click)="categoryEvent(2084292086)"&gt;{{"2084292086" | translate}}&lt;/a&gt;&lt;/li&gt;</v>
      </c>
    </row>
    <row r="4" spans="1:8" ht="14.25" customHeight="1">
      <c r="A4" s="23">
        <v>2084005067</v>
      </c>
      <c r="B4" s="23" t="s">
        <v>8538</v>
      </c>
      <c r="C4" s="23" t="s">
        <v>8539</v>
      </c>
      <c r="D4" s="25" t="str">
        <f t="shared" si="0"/>
        <v>0,23336,2084005067</v>
      </c>
      <c r="E4" s="3" t="str">
        <f ca="1">IFERROR(__xludf.DUMMYFUNCTION("GOOGLETRANSLATE(B4,""ja"",""vi"")"),"điện thoại thông minh, điện thoại di động")</f>
        <v>điện thoại thông minh, điện thoại di động</v>
      </c>
      <c r="F4" s="3" t="str">
        <f ca="1">IFERROR(__xludf.DUMMYFUNCTION("GOOGLETRANSLATE(C4,""ja"",""vi"")"),"Đấu giá&gt; máy tính&gt; điện thoại thông minh, điện thoại di động")</f>
        <v>Đấu giá&gt; máy tính&gt; điện thoại thông minh, điện thoại di động</v>
      </c>
      <c r="G4" s="227" t="str">
        <f t="shared" ca="1" si="1"/>
        <v>"2084005067" : "điện thoại thông minh, điện thoại di động",</v>
      </c>
      <c r="H4" s="229" t="str">
        <f t="shared" si="2"/>
        <v>&lt;li class="col-md-3"&gt;&lt;a class="text-cut" href="javascript:;"(click)="categoryEvent(2084005067)"&gt;{{"2084005067" | translate}}&lt;/a&gt;&lt;/li&gt;</v>
      </c>
    </row>
    <row r="5" spans="1:8" ht="14.25" customHeight="1">
      <c r="A5" s="28">
        <v>2084288672</v>
      </c>
      <c r="B5" s="28" t="s">
        <v>8544</v>
      </c>
      <c r="C5" s="28" t="s">
        <v>8546</v>
      </c>
      <c r="D5" s="29" t="str">
        <f t="shared" si="0"/>
        <v>0,23336,2084288672</v>
      </c>
      <c r="E5" s="3" t="str">
        <f ca="1">IFERROR(__xludf.DUMMYFUNCTION("GOOGLETRANSLATE(B5,""ja"",""vi"")"),"E-book reader")</f>
        <v>E-book reader</v>
      </c>
      <c r="F5" s="3" t="str">
        <f ca="1">IFERROR(__xludf.DUMMYFUNCTION("GOOGLETRANSLATE(C5,""ja"",""vi"")"),"Đấu giá&gt; Computer&gt; e-book reader")</f>
        <v>Đấu giá&gt; Computer&gt; e-book reader</v>
      </c>
      <c r="G5" s="227" t="str">
        <f t="shared" ca="1" si="1"/>
        <v>"2084288672" : "E-book reader",</v>
      </c>
      <c r="H5" s="229" t="str">
        <f t="shared" si="2"/>
        <v>&lt;li class="col-md-3"&gt;&lt;a class="text-cut" href="javascript:;"(click)="categoryEvent(2084288672)"&gt;{{"2084288672" | translate}}&lt;/a&gt;&lt;/li&gt;</v>
      </c>
    </row>
    <row r="6" spans="1:8" ht="14.25" customHeight="1">
      <c r="A6" s="220">
        <v>2084261633</v>
      </c>
      <c r="B6" s="220" t="s">
        <v>8435</v>
      </c>
      <c r="C6" s="220" t="s">
        <v>8550</v>
      </c>
      <c r="D6" s="221" t="str">
        <f t="shared" si="0"/>
        <v>0,23336,2084261633</v>
      </c>
      <c r="E6" s="3" t="str">
        <f ca="1">IFERROR(__xludf.DUMMYFUNCTION("GOOGLETRANSLATE(B6,""ja"",""vi"")"),"máy ảnh kỹ thuật số")</f>
        <v>máy ảnh kỹ thuật số</v>
      </c>
      <c r="F6" s="3" t="str">
        <f ca="1">IFERROR(__xludf.DUMMYFUNCTION("GOOGLETRANSLATE(C6,""ja"",""vi"")"),"Đấu giá&gt; Máy vi tính&gt; máy ảnh kỹ thuật số")</f>
        <v>Đấu giá&gt; Máy vi tính&gt; máy ảnh kỹ thuật số</v>
      </c>
      <c r="G6" s="227" t="str">
        <f t="shared" ca="1" si="1"/>
        <v>"2084261633" : "máy ảnh kỹ thuật số",</v>
      </c>
      <c r="H6" s="229" t="str">
        <f t="shared" si="2"/>
        <v>&lt;li class="col-md-3"&gt;&lt;a class="text-cut" href="javascript:;"(click)="categoryEvent(2084261633)"&gt;{{"2084261633" | translate}}&lt;/a&gt;&lt;/li&gt;</v>
      </c>
    </row>
    <row r="7" spans="1:8" ht="14.25" customHeight="1">
      <c r="A7" s="30">
        <v>2084039561</v>
      </c>
      <c r="B7" s="30" t="s">
        <v>8555</v>
      </c>
      <c r="C7" s="30" t="s">
        <v>8556</v>
      </c>
      <c r="D7" s="31" t="str">
        <f t="shared" si="0"/>
        <v>0,23336,2084039561</v>
      </c>
      <c r="E7" s="3" t="str">
        <f ca="1">IFERROR(__xludf.DUMMYFUNCTION("GOOGLETRANSLATE(B7,""ja"",""vi"")"),"chu vi")</f>
        <v>chu vi</v>
      </c>
      <c r="F7" s="3" t="str">
        <f ca="1">IFERROR(__xludf.DUMMYFUNCTION("GOOGLETRANSLATE(C7,""ja"",""vi"")"),"Đấu giá&gt; máy tính&gt; thiết bị ngoại vi")</f>
        <v>Đấu giá&gt; máy tính&gt; thiết bị ngoại vi</v>
      </c>
      <c r="G7" s="227" t="str">
        <f t="shared" ca="1" si="1"/>
        <v>"2084039561" : "chu vi",</v>
      </c>
      <c r="H7" s="229" t="str">
        <f t="shared" si="2"/>
        <v>&lt;li class="col-md-3"&gt;&lt;a class="text-cut" href="javascript:;"(click)="categoryEvent(2084039561)"&gt;{{"2084039561" | translate}}&lt;/a&gt;&lt;/li&gt;</v>
      </c>
    </row>
    <row r="8" spans="1:8" ht="14.25" customHeight="1">
      <c r="A8" s="32">
        <v>23568</v>
      </c>
      <c r="B8" s="32" t="s">
        <v>5007</v>
      </c>
      <c r="C8" s="32" t="s">
        <v>8559</v>
      </c>
      <c r="D8" s="33" t="str">
        <f t="shared" si="0"/>
        <v>0,23336,23568</v>
      </c>
      <c r="E8" s="3" t="str">
        <f ca="1">IFERROR(__xludf.DUMMYFUNCTION("GOOGLETRANSLATE(B8,""ja"",""vi"")"),"phần mềm")</f>
        <v>phần mềm</v>
      </c>
      <c r="F8" s="3" t="str">
        <f ca="1">IFERROR(__xludf.DUMMYFUNCTION("GOOGLETRANSLATE(C8,""ja"",""vi"")"),"Đấu giá&gt; máy tính&gt; Phần mềm")</f>
        <v>Đấu giá&gt; máy tính&gt; Phần mềm</v>
      </c>
      <c r="G8" s="227" t="str">
        <f t="shared" ca="1" si="1"/>
        <v>"23568" : "phần mềm",</v>
      </c>
      <c r="H8" s="229" t="str">
        <f t="shared" si="2"/>
        <v>&lt;li class="col-md-3"&gt;&lt;a class="text-cut" href="javascript:;"(click)="categoryEvent(23568)"&gt;{{"23568" | translate}}&lt;/a&gt;&lt;/li&gt;</v>
      </c>
    </row>
    <row r="9" spans="1:8" ht="14.25" customHeight="1">
      <c r="A9" s="222">
        <v>2084039461</v>
      </c>
      <c r="B9" s="222" t="s">
        <v>8561</v>
      </c>
      <c r="C9" s="222" t="s">
        <v>8563</v>
      </c>
      <c r="D9" s="223" t="str">
        <f t="shared" si="0"/>
        <v>0,23336,2084039461</v>
      </c>
      <c r="E9" s="3" t="str">
        <f ca="1">IFERROR(__xludf.DUMMYFUNCTION("GOOGLETRANSLATE(B9,""ja"",""vi"")"),"cung cấp")</f>
        <v>cung cấp</v>
      </c>
      <c r="F9" s="3" t="str">
        <f ca="1">IFERROR(__xludf.DUMMYFUNCTION("GOOGLETRANSLATE(C9,""ja"",""vi"")"),"Đấu giá&gt; máy tính&gt; cung cấp")</f>
        <v>Đấu giá&gt; máy tính&gt; cung cấp</v>
      </c>
      <c r="G9" s="227" t="str">
        <f t="shared" ca="1" si="1"/>
        <v>"2084039461" : "cung cấp",</v>
      </c>
      <c r="H9" s="229" t="str">
        <f t="shared" si="2"/>
        <v>&lt;li class="col-md-3"&gt;&lt;a class="text-cut" href="javascript:;"(click)="categoryEvent(2084039461)"&gt;{{"2084039461" | translate}}&lt;/a&gt;&lt;/li&gt;</v>
      </c>
    </row>
    <row r="10" spans="1:8" ht="14.25" customHeight="1">
      <c r="A10" s="224">
        <v>2084039480</v>
      </c>
      <c r="B10" s="224" t="s">
        <v>3876</v>
      </c>
      <c r="C10" s="224" t="s">
        <v>8567</v>
      </c>
      <c r="D10" s="225" t="str">
        <f t="shared" si="0"/>
        <v>0,23336,2084039480</v>
      </c>
      <c r="E10" s="3" t="str">
        <f ca="1">IFERROR(__xludf.DUMMYFUNCTION("GOOGLETRANSLATE(B10,""ja"",""vi"")"),"bộ phận")</f>
        <v>bộ phận</v>
      </c>
      <c r="F10" s="3" t="str">
        <f ca="1">IFERROR(__xludf.DUMMYFUNCTION("GOOGLETRANSLATE(C10,""ja"",""vi"")"),"Đấu giá&gt; máy tính&gt; phụ tùng")</f>
        <v>Đấu giá&gt; máy tính&gt; phụ tùng</v>
      </c>
      <c r="G10" s="227" t="str">
        <f t="shared" ca="1" si="1"/>
        <v>"2084039480" : "bộ phận",</v>
      </c>
      <c r="H10" s="229" t="str">
        <f t="shared" si="2"/>
        <v>&lt;li class="col-md-3"&gt;&lt;a class="text-cut" href="javascript:;"(click)="categoryEvent(2084039480)"&gt;{{"2084039480" | translate}}&lt;/a&gt;&lt;/li&gt;</v>
      </c>
    </row>
    <row r="11" spans="1:8" ht="14.25" customHeight="1">
      <c r="A11" s="34">
        <v>2084049588</v>
      </c>
      <c r="B11" s="34" t="s">
        <v>8570</v>
      </c>
      <c r="C11" s="34" t="s">
        <v>8571</v>
      </c>
      <c r="D11" s="35" t="str">
        <f t="shared" si="0"/>
        <v>0,23336,2084049588</v>
      </c>
      <c r="E11" s="3" t="str">
        <f ca="1">IFERROR(__xludf.DUMMYFUNCTION("GOOGLETRANSLATE(B11,""ja"",""vi"")"),"máy chủ")</f>
        <v>máy chủ</v>
      </c>
      <c r="F11" s="3" t="str">
        <f ca="1">IFERROR(__xludf.DUMMYFUNCTION("GOOGLETRANSLATE(C11,""ja"",""vi"")"),"Đấu giá&gt; máy tính&gt; Máy chủ")</f>
        <v>Đấu giá&gt; máy tính&gt; Máy chủ</v>
      </c>
      <c r="G11" s="227" t="str">
        <f t="shared" ca="1" si="1"/>
        <v>"2084049588" : "máy chủ",</v>
      </c>
      <c r="H11" s="229" t="str">
        <f t="shared" si="2"/>
        <v>&lt;li class="col-md-3"&gt;&lt;a class="text-cut" href="javascript:;"(click)="categoryEvent(2084049588)"&gt;{{"2084049588" | translate}}&lt;/a&gt;&lt;/li&gt;</v>
      </c>
    </row>
    <row r="12" spans="1:8" ht="14.25" customHeight="1">
      <c r="A12" s="36">
        <v>23560</v>
      </c>
      <c r="B12" s="36" t="s">
        <v>8574</v>
      </c>
      <c r="C12" s="36" t="s">
        <v>8575</v>
      </c>
      <c r="D12" s="37" t="str">
        <f t="shared" si="0"/>
        <v>0,23336,23560</v>
      </c>
      <c r="E12" s="3" t="str">
        <f ca="1">IFERROR(__xludf.DUMMYFUNCTION("GOOGLETRANSLATE(B12,""ja"",""vi"")"),"Workstation")</f>
        <v>Workstation</v>
      </c>
      <c r="F12" s="3" t="str">
        <f ca="1">IFERROR(__xludf.DUMMYFUNCTION("GOOGLETRANSLATE(C12,""ja"",""vi"")"),"Đấu giá&gt; máy tính&gt; máy trạm")</f>
        <v>Đấu giá&gt; máy tính&gt; máy trạm</v>
      </c>
      <c r="G12" s="227" t="str">
        <f t="shared" ca="1" si="1"/>
        <v>"23560" : "Workstation",</v>
      </c>
      <c r="H12" s="229" t="str">
        <f t="shared" si="2"/>
        <v>&lt;li class="col-md-3"&gt;&lt;a class="text-cut" href="javascript:;"(click)="categoryEvent(23560)"&gt;{{"23560" | translate}}&lt;/a&gt;&lt;/li&gt;</v>
      </c>
    </row>
    <row r="13" spans="1:8" ht="14.25" customHeight="1">
      <c r="A13" s="38">
        <v>23557</v>
      </c>
      <c r="B13" s="38" t="s">
        <v>8578</v>
      </c>
      <c r="C13" s="38" t="s">
        <v>8579</v>
      </c>
      <c r="D13" s="39" t="str">
        <f t="shared" si="0"/>
        <v>0,23336,23557</v>
      </c>
      <c r="E13" s="3" t="str">
        <f ca="1">IFERROR(__xludf.DUMMYFUNCTION("GOOGLETRANSLATE(B13,""ja"",""vi"")"),"PDA")</f>
        <v>PDA</v>
      </c>
      <c r="F13" s="3" t="str">
        <f ca="1">IFERROR(__xludf.DUMMYFUNCTION("GOOGLETRANSLATE(C13,""ja"",""vi"")"),"Đấu giá&gt; máy tính&gt; PDA")</f>
        <v>Đấu giá&gt; máy tính&gt; PDA</v>
      </c>
      <c r="G13" s="227" t="str">
        <f t="shared" ca="1" si="1"/>
        <v>"23557" : "PDA",</v>
      </c>
      <c r="H13" s="229" t="str">
        <f t="shared" si="2"/>
        <v>&lt;li class="col-md-3"&gt;&lt;a class="text-cut" href="javascript:;"(click)="categoryEvent(23557)"&gt;{{"23557" | translate}}&lt;/a&gt;&lt;/li&gt;</v>
      </c>
    </row>
    <row r="14" spans="1:8" ht="14.25" customHeight="1">
      <c r="A14" s="40">
        <v>2084039460</v>
      </c>
      <c r="B14" s="40" t="s">
        <v>8580</v>
      </c>
      <c r="C14" s="40" t="s">
        <v>8581</v>
      </c>
      <c r="D14" s="42" t="str">
        <f t="shared" si="0"/>
        <v>0,23336,2084039460</v>
      </c>
      <c r="E14" s="3" t="str">
        <f ca="1">IFERROR(__xludf.DUMMYFUNCTION("GOOGLETRANSLATE(B14,""ja"",""vi"")"),"Pocket máy tính")</f>
        <v>Pocket máy tính</v>
      </c>
      <c r="F14" s="3" t="str">
        <f ca="1">IFERROR(__xludf.DUMMYFUNCTION("GOOGLETRANSLATE(C14,""ja"",""vi"")"),"Đấu giá&gt; Máy vi tính&gt; máy tính bỏ túi")</f>
        <v>Đấu giá&gt; Máy vi tính&gt; máy tính bỏ túi</v>
      </c>
      <c r="G14" s="227" t="str">
        <f t="shared" ca="1" si="1"/>
        <v>"2084039460" : "Pocket máy tính",</v>
      </c>
      <c r="H14" s="229" t="str">
        <f t="shared" si="2"/>
        <v>&lt;li class="col-md-3"&gt;&lt;a class="text-cut" href="javascript:;"(click)="categoryEvent(2084039460)"&gt;{{"2084039460" | translate}}&lt;/a&gt;&lt;/li&gt;</v>
      </c>
    </row>
    <row r="15" spans="1:8" ht="14.25" customHeight="1">
      <c r="A15" s="44">
        <v>27751</v>
      </c>
      <c r="B15" s="44" t="s">
        <v>8583</v>
      </c>
      <c r="C15" s="44" t="s">
        <v>8584</v>
      </c>
      <c r="D15" s="46" t="str">
        <f t="shared" si="0"/>
        <v>0,23336,27751</v>
      </c>
      <c r="E15" s="3" t="str">
        <f ca="1">IFERROR(__xludf.DUMMYFUNCTION("GOOGLETRANSLATE(B15,""ja"",""vi"")"),"tên miền")</f>
        <v>tên miền</v>
      </c>
      <c r="F15" s="3" t="str">
        <f ca="1">IFERROR(__xludf.DUMMYFUNCTION("GOOGLETRANSLATE(C15,""ja"",""vi"")"),"Đấu giá&gt; máy tính&gt; tên miền")</f>
        <v>Đấu giá&gt; máy tính&gt; tên miền</v>
      </c>
      <c r="G15" s="227" t="str">
        <f t="shared" ca="1" si="1"/>
        <v>"27751" : "tên miền",</v>
      </c>
      <c r="H15" s="229" t="str">
        <f t="shared" si="2"/>
        <v>&lt;li class="col-md-3"&gt;&lt;a class="text-cut" href="javascript:;"(click)="categoryEvent(27751)"&gt;{{"27751" | translate}}&lt;/a&gt;&lt;/li&gt;</v>
      </c>
    </row>
    <row r="16" spans="1:8" ht="14.25" customHeight="1">
      <c r="A16" s="47">
        <v>2084048038</v>
      </c>
      <c r="B16" s="47" t="s">
        <v>8585</v>
      </c>
      <c r="C16" s="47" t="s">
        <v>8586</v>
      </c>
      <c r="D16" s="49" t="str">
        <f t="shared" si="0"/>
        <v>0,23336,2084048038</v>
      </c>
      <c r="E16" s="3" t="str">
        <f ca="1">IFERROR(__xludf.DUMMYFUNCTION("GOOGLETRANSLATE(B16,""ja"",""vi"")"),"bàn máy tính")</f>
        <v>bàn máy tính</v>
      </c>
      <c r="F16" s="3" t="str">
        <f ca="1">IFERROR(__xludf.DUMMYFUNCTION("GOOGLETRANSLATE(C16,""ja"",""vi"")"),"Đấu giá&gt; máy tính&gt; máy tính bàn")</f>
        <v>Đấu giá&gt; máy tính&gt; máy tính bàn</v>
      </c>
      <c r="G16" s="227" t="str">
        <f t="shared" ca="1" si="1"/>
        <v>"2084048038" : "bàn máy tính",</v>
      </c>
      <c r="H16" s="229" t="str">
        <f t="shared" si="2"/>
        <v>&lt;li class="col-md-3"&gt;&lt;a class="text-cut" href="javascript:;"(click)="categoryEvent(2084048038)"&gt;{{"2084048038" | translate}}&lt;/a&gt;&lt;/li&gt;</v>
      </c>
    </row>
    <row r="17" spans="1:8" ht="14.25" customHeight="1">
      <c r="A17" s="51">
        <v>21908</v>
      </c>
      <c r="B17" s="51" t="s">
        <v>8590</v>
      </c>
      <c r="C17" s="51" t="s">
        <v>8591</v>
      </c>
      <c r="D17" s="52" t="str">
        <f t="shared" si="0"/>
        <v>0,23336,21908</v>
      </c>
      <c r="E17" s="3" t="str">
        <f ca="1">IFERROR(__xludf.DUMMYFUNCTION("GOOGLETRANSLATE(B17,""ja"",""vi"")"),"Máy tính, tạp chí Internet")</f>
        <v>Máy tính, tạp chí Internet</v>
      </c>
      <c r="F17" s="3" t="str">
        <f ca="1">IFERROR(__xludf.DUMMYFUNCTION("GOOGLETRANSLATE(C17,""ja"",""vi"")"),"Đấu giá&gt; máy tính&gt; máy tính, tạp chí Internet")</f>
        <v>Đấu giá&gt; máy tính&gt; máy tính, tạp chí Internet</v>
      </c>
      <c r="G17" s="227" t="str">
        <f t="shared" ca="1" si="1"/>
        <v>"21908" : "Máy tính, tạp chí Internet",</v>
      </c>
      <c r="H17" s="229" t="str">
        <f t="shared" si="2"/>
        <v>&lt;li class="col-md-3"&gt;&lt;a class="text-cut" href="javascript:;"(click)="categoryEvent(21908)"&gt;{{"21908" | translate}}&lt;/a&gt;&lt;/li&gt;</v>
      </c>
    </row>
    <row r="18" spans="1:8" ht="14.25" customHeight="1">
      <c r="A18" s="54">
        <v>21700</v>
      </c>
      <c r="B18" s="54" t="s">
        <v>5274</v>
      </c>
      <c r="C18" s="54" t="s">
        <v>8595</v>
      </c>
      <c r="D18" s="55" t="str">
        <f t="shared" si="0"/>
        <v>0,23336,21700</v>
      </c>
      <c r="E18" s="3" t="str">
        <f ca="1">IFERROR(__xludf.DUMMYFUNCTION("GOOGLETRANSLATE(B18,""ja"",""vi"")"),"điều này")</f>
        <v>điều này</v>
      </c>
      <c r="F18" s="3" t="str">
        <f ca="1">IFERROR(__xludf.DUMMYFUNCTION("GOOGLETRANSLATE(C18,""ja"",""vi"")"),"Đấu giá&gt; máy tính&gt; Sách")</f>
        <v>Đấu giá&gt; máy tính&gt; Sách</v>
      </c>
      <c r="G18" s="227" t="str">
        <f t="shared" ca="1" si="1"/>
        <v>"21700" : "điều này",</v>
      </c>
      <c r="H18" s="229" t="str">
        <f t="shared" si="2"/>
        <v>&lt;li class="col-md-3"&gt;&lt;a class="text-cut" href="javascript:;"(click)="categoryEvent(21700)"&gt;{{"21700" | translate}}&lt;/a&gt;&lt;/li&gt;</v>
      </c>
    </row>
    <row r="19" spans="1:8" ht="14.25" customHeight="1">
      <c r="A19" s="57">
        <v>23564</v>
      </c>
      <c r="B19" s="57" t="s">
        <v>16</v>
      </c>
      <c r="C19" s="57" t="s">
        <v>8600</v>
      </c>
      <c r="D19" s="58" t="str">
        <f t="shared" si="0"/>
        <v>0,23336,23564</v>
      </c>
      <c r="E19" s="3" t="str">
        <f ca="1">IFERROR(__xludf.DUMMYFUNCTION("GOOGLETRANSLATE(B19,""ja"",""vi"")"),"nếu không thì")</f>
        <v>nếu không thì</v>
      </c>
      <c r="F19" s="3" t="str">
        <f ca="1">IFERROR(__xludf.DUMMYFUNCTION("GOOGLETRANSLATE(C19,""ja"",""vi"")"),"Đấu giá&gt; máy tính&gt; Khác")</f>
        <v>Đấu giá&gt; máy tính&gt; Khác</v>
      </c>
      <c r="G19" s="227" t="str">
        <f t="shared" ca="1" si="1"/>
        <v>"23564" : "nếu không thì",</v>
      </c>
      <c r="H19" s="229" t="str">
        <f t="shared" si="2"/>
        <v>&lt;li class="col-md-3"&gt;&lt;a class="text-cut" href="javascript:;"(click)="categoryEvent(23564)"&gt;{{"23564" | translate}}&lt;/a&gt;&lt;/li&gt;</v>
      </c>
    </row>
    <row r="20" spans="1:8" ht="14.25" customHeight="1">
      <c r="E20" s="3"/>
      <c r="F20" s="3"/>
      <c r="G20" s="227"/>
    </row>
    <row r="21" spans="1:8" ht="14.25" customHeight="1">
      <c r="E21" s="3"/>
      <c r="F21" s="3"/>
      <c r="G21" s="227"/>
    </row>
    <row r="22" spans="1:8" ht="14.25" customHeight="1">
      <c r="A22" s="299">
        <v>2084039759</v>
      </c>
      <c r="B22" s="258"/>
      <c r="C22" s="258"/>
      <c r="D22" s="258"/>
      <c r="E22" s="3"/>
      <c r="F22" s="3"/>
      <c r="G22" s="227"/>
    </row>
    <row r="23" spans="1:8" ht="14.25" customHeight="1">
      <c r="A23" s="73">
        <v>2084039792</v>
      </c>
      <c r="B23" s="73" t="s">
        <v>8609</v>
      </c>
      <c r="C23" s="73" t="s">
        <v>8610</v>
      </c>
      <c r="D23" s="11" t="str">
        <f t="shared" ref="D23:D29" si="3">CONCATENATE("0,","23336,2084039759,",A23)</f>
        <v>0,23336,2084039759,2084039792</v>
      </c>
      <c r="E23" s="3" t="str">
        <f ca="1">IFERROR(__xludf.DUMMYFUNCTION("GOOGLETRANSLATE(B23,""ja"",""vi"")"),"cửa sổ")</f>
        <v>cửa sổ</v>
      </c>
      <c r="F23" s="3" t="str">
        <f ca="1">IFERROR(__xludf.DUMMYFUNCTION("GOOGLETRANSLATE(C23,""ja"",""vi"")"),"Đấu giá&gt; máy tính&gt; máy tính cá nhân&gt; Windows")</f>
        <v>Đấu giá&gt; máy tính&gt; máy tính cá nhân&gt; Windows</v>
      </c>
      <c r="G23" s="227" t="str">
        <f t="shared" ca="1" si="1"/>
        <v>"2084039792" : "cửa sổ",</v>
      </c>
      <c r="H23" s="229" t="str">
        <f t="shared" ref="H23:H29" si="4">CONCATENATE("&lt;li class=",CHAR(34)&amp;"","col-md-3",""&amp;CHAR(34),"&gt;","&lt;a class=",CHAR(34)&amp;"","text-cut",""&amp;CHAR(34)," href=",CHAR(34)&amp;"","javascript:;",""&amp;CHAR(34), "(click)=",CHAR(34)&amp;"","categoryEvent(",A23,")",""&amp;CHAR(34),"&gt;{{",CHAR(34)&amp;"",A23,""&amp;CHAR(34)," | translate}}&lt;/a&gt;&lt;/li&gt;")</f>
        <v>&lt;li class="col-md-3"&gt;&lt;a class="text-cut" href="javascript:;"(click)="categoryEvent(2084039792)"&gt;{{"2084039792" | translate}}&lt;/a&gt;&lt;/li&gt;</v>
      </c>
    </row>
    <row r="24" spans="1:8" ht="14.25" customHeight="1">
      <c r="A24" s="73">
        <v>2084039798</v>
      </c>
      <c r="B24" s="73" t="s">
        <v>8101</v>
      </c>
      <c r="C24" s="73" t="s">
        <v>8614</v>
      </c>
      <c r="D24" s="11" t="str">
        <f t="shared" si="3"/>
        <v>0,23336,2084039759,2084039798</v>
      </c>
      <c r="E24" s="3" t="str">
        <f ca="1">IFERROR(__xludf.DUMMYFUNCTION("GOOGLETRANSLATE(B24,""ja"",""vi"")"),"Mac")</f>
        <v>Mac</v>
      </c>
      <c r="F24" s="3" t="str">
        <f ca="1">IFERROR(__xludf.DUMMYFUNCTION("GOOGLETRANSLATE(C24,""ja"",""vi"")"),"Đấu giá&gt; máy tính&gt; máy tính cá nhân&gt; Mac")</f>
        <v>Đấu giá&gt; máy tính&gt; máy tính cá nhân&gt; Mac</v>
      </c>
      <c r="G24" s="227" t="str">
        <f t="shared" ca="1" si="1"/>
        <v>"2084039798" : "Mac",</v>
      </c>
      <c r="H24" s="229" t="str">
        <f t="shared" si="4"/>
        <v>&lt;li class="col-md-3"&gt;&lt;a class="text-cut" href="javascript:;"(click)="categoryEvent(2084039798)"&gt;{{"2084039798" | translate}}&lt;/a&gt;&lt;/li&gt;</v>
      </c>
    </row>
    <row r="25" spans="1:8" ht="14.25" customHeight="1">
      <c r="A25" s="73">
        <v>2084039763</v>
      </c>
      <c r="B25" s="73" t="s">
        <v>8616</v>
      </c>
      <c r="C25" s="73" t="s">
        <v>8617</v>
      </c>
      <c r="D25" s="11" t="str">
        <f t="shared" si="3"/>
        <v>0,23336,2084039759,2084039763</v>
      </c>
      <c r="E25" s="3" t="str">
        <f ca="1">IFERROR(__xludf.DUMMYFUNCTION("GOOGLETRANSLATE(B25,""ja"",""vi"")"),"PC-98")</f>
        <v>PC-98</v>
      </c>
      <c r="F25" s="3" t="str">
        <f ca="1">IFERROR(__xludf.DUMMYFUNCTION("GOOGLETRANSLATE(C25,""ja"",""vi"")"),"Đấu giá&gt; máy tính&gt; máy tính cá nhân&gt; PC-98")</f>
        <v>Đấu giá&gt; máy tính&gt; máy tính cá nhân&gt; PC-98</v>
      </c>
      <c r="G25" s="227" t="str">
        <f t="shared" ca="1" si="1"/>
        <v>"2084039763" : "PC-98",</v>
      </c>
      <c r="H25" s="229" t="str">
        <f t="shared" si="4"/>
        <v>&lt;li class="col-md-3"&gt;&lt;a class="text-cut" href="javascript:;"(click)="categoryEvent(2084039763)"&gt;{{"2084039763" | translate}}&lt;/a&gt;&lt;/li&gt;</v>
      </c>
    </row>
    <row r="26" spans="1:8" ht="14.25" customHeight="1">
      <c r="A26" s="73">
        <v>2084039765</v>
      </c>
      <c r="B26" s="73" t="s">
        <v>8618</v>
      </c>
      <c r="C26" s="73" t="s">
        <v>8619</v>
      </c>
      <c r="D26" s="11" t="str">
        <f t="shared" si="3"/>
        <v>0,23336,2084039759,2084039765</v>
      </c>
      <c r="E26" s="3" t="str">
        <f ca="1">IFERROR(__xludf.DUMMYFUNCTION("GOOGLETRANSLATE(B26,""ja"",""vi"")"),"FM TOWNS")</f>
        <v>FM TOWNS</v>
      </c>
      <c r="F26" s="3" t="str">
        <f ca="1">IFERROR(__xludf.DUMMYFUNCTION("GOOGLETRANSLATE(C26,""ja"",""vi"")"),"Đấu giá&gt; máy tính&gt; máy tính cá nhân&gt; TOWNS FM")</f>
        <v>Đấu giá&gt; máy tính&gt; máy tính cá nhân&gt; TOWNS FM</v>
      </c>
      <c r="G26" s="227" t="str">
        <f t="shared" ca="1" si="1"/>
        <v>"2084039765" : "FM TOWNS",</v>
      </c>
      <c r="H26" s="229" t="str">
        <f t="shared" si="4"/>
        <v>&lt;li class="col-md-3"&gt;&lt;a class="text-cut" href="javascript:;"(click)="categoryEvent(2084039765)"&gt;{{"2084039765" | translate}}&lt;/a&gt;&lt;/li&gt;</v>
      </c>
    </row>
    <row r="27" spans="1:8" ht="14.25" customHeight="1">
      <c r="A27" s="73">
        <v>2084039773</v>
      </c>
      <c r="B27" s="73" t="s">
        <v>8621</v>
      </c>
      <c r="C27" s="73" t="s">
        <v>8622</v>
      </c>
      <c r="D27" s="11" t="str">
        <f t="shared" si="3"/>
        <v>0,23336,2084039759,2084039773</v>
      </c>
      <c r="E27" s="3" t="str">
        <f ca="1">IFERROR(__xludf.DUMMYFUNCTION("GOOGLETRANSLATE(B27,""ja"",""vi"")"),"X68000")</f>
        <v>X68000</v>
      </c>
      <c r="F27" s="3" t="str">
        <f ca="1">IFERROR(__xludf.DUMMYFUNCTION("GOOGLETRANSLATE(C27,""ja"",""vi"")"),"Đấu giá&gt; máy tính&gt; máy tính cá nhân&gt; X68000")</f>
        <v>Đấu giá&gt; máy tính&gt; máy tính cá nhân&gt; X68000</v>
      </c>
      <c r="G27" s="227" t="str">
        <f t="shared" ca="1" si="1"/>
        <v>"2084039773" : "X68000",</v>
      </c>
      <c r="H27" s="229" t="str">
        <f t="shared" si="4"/>
        <v>&lt;li class="col-md-3"&gt;&lt;a class="text-cut" href="javascript:;"(click)="categoryEvent(2084039773)"&gt;{{"2084039773" | translate}}&lt;/a&gt;&lt;/li&gt;</v>
      </c>
    </row>
    <row r="28" spans="1:8" ht="14.25" customHeight="1">
      <c r="A28" s="73">
        <v>2084039771</v>
      </c>
      <c r="B28" s="73" t="s">
        <v>8625</v>
      </c>
      <c r="C28" s="73" t="s">
        <v>8627</v>
      </c>
      <c r="D28" s="11" t="str">
        <f t="shared" si="3"/>
        <v>0,23336,2084039759,2084039771</v>
      </c>
      <c r="E28" s="3" t="str">
        <f ca="1">IFERROR(__xludf.DUMMYFUNCTION("GOOGLETRANSLATE(B28,""ja"",""vi"")"),"MSX")</f>
        <v>MSX</v>
      </c>
      <c r="F28" s="3" t="str">
        <f ca="1">IFERROR(__xludf.DUMMYFUNCTION("GOOGLETRANSLATE(C28,""ja"",""vi"")"),"Đấu giá&gt; máy tính&gt; máy tính cá nhân&gt; MSX")</f>
        <v>Đấu giá&gt; máy tính&gt; máy tính cá nhân&gt; MSX</v>
      </c>
      <c r="G28" s="227" t="str">
        <f t="shared" ca="1" si="1"/>
        <v>"2084039771" : "MSX",</v>
      </c>
      <c r="H28" s="229" t="str">
        <f t="shared" si="4"/>
        <v>&lt;li class="col-md-3"&gt;&lt;a class="text-cut" href="javascript:;"(click)="categoryEvent(2084039771)"&gt;{{"2084039771" | translate}}&lt;/a&gt;&lt;/li&gt;</v>
      </c>
    </row>
    <row r="29" spans="1:8" ht="14.25" customHeight="1">
      <c r="A29" s="73">
        <v>2084039776</v>
      </c>
      <c r="B29" s="73" t="s">
        <v>16</v>
      </c>
      <c r="C29" s="73" t="s">
        <v>8628</v>
      </c>
      <c r="D29" s="11" t="str">
        <f t="shared" si="3"/>
        <v>0,23336,2084039759,2084039776</v>
      </c>
      <c r="E29" s="3" t="str">
        <f ca="1">IFERROR(__xludf.DUMMYFUNCTION("GOOGLETRANSLATE(B29,""ja"",""vi"")"),"nếu không thì")</f>
        <v>nếu không thì</v>
      </c>
      <c r="F29" s="3" t="str">
        <f ca="1">IFERROR(__xludf.DUMMYFUNCTION("GOOGLETRANSLATE(C29,""ja"",""vi"")"),"Đấu giá&gt; máy tính&gt; máy tính cá nhân&gt; Khác")</f>
        <v>Đấu giá&gt; máy tính&gt; máy tính cá nhân&gt; Khác</v>
      </c>
      <c r="G29" s="227" t="str">
        <f t="shared" ca="1" si="1"/>
        <v>"2084039776" : "nếu không thì",</v>
      </c>
      <c r="H29" s="229" t="str">
        <f t="shared" si="4"/>
        <v>&lt;li class="col-md-3"&gt;&lt;a class="text-cut" href="javascript:;"(click)="categoryEvent(2084039776)"&gt;{{"2084039776" | translate}}&lt;/a&gt;&lt;/li&gt;</v>
      </c>
    </row>
    <row r="30" spans="1:8" ht="14.25" customHeight="1">
      <c r="E30" s="3"/>
      <c r="F30" s="3"/>
      <c r="G30" s="227"/>
    </row>
    <row r="31" spans="1:8" ht="14.25" customHeight="1">
      <c r="E31" s="3"/>
      <c r="F31" s="3"/>
      <c r="G31" s="227"/>
    </row>
    <row r="32" spans="1:8" ht="14.25" customHeight="1">
      <c r="A32" s="300">
        <v>2084292086</v>
      </c>
      <c r="B32" s="232"/>
      <c r="C32" s="232"/>
      <c r="D32" s="233"/>
      <c r="E32" s="3"/>
      <c r="F32" s="3"/>
      <c r="G32" s="227"/>
    </row>
    <row r="33" spans="1:8" ht="14.25" customHeight="1">
      <c r="A33" s="73">
        <v>2084257082</v>
      </c>
      <c r="B33" s="73" t="s">
        <v>8633</v>
      </c>
      <c r="C33" s="73" t="s">
        <v>8634</v>
      </c>
      <c r="D33" s="11" t="str">
        <f t="shared" ref="D33:D36" si="5">CONCATENATE("0,","23336,2084292086,",A33)</f>
        <v>0,23336,2084292086,2084257082</v>
      </c>
      <c r="E33" s="3" t="str">
        <f ca="1">IFERROR(__xludf.DUMMYFUNCTION("GOOGLETRANSLATE(B33,""ja"",""vi"")"),"táo")</f>
        <v>táo</v>
      </c>
      <c r="F33" s="3" t="str">
        <f ca="1">IFERROR(__xludf.DUMMYFUNCTION("GOOGLETRANSLATE(C33,""ja"",""vi"")"),"Đấu giá&gt; máy tính&gt; máy tính bảng&gt; của Apple")</f>
        <v>Đấu giá&gt; máy tính&gt; máy tính bảng&gt; của Apple</v>
      </c>
      <c r="G33" s="227" t="str">
        <f t="shared" ca="1" si="1"/>
        <v>"2084257082" : "táo",</v>
      </c>
      <c r="H33" s="229" t="str">
        <f t="shared" ref="H33:H36" si="6">CONCATENATE("&lt;li class=",CHAR(34)&amp;"","col-md-3",""&amp;CHAR(34),"&gt;","&lt;a class=",CHAR(34)&amp;"","text-cut",""&amp;CHAR(34)," href=",CHAR(34)&amp;"","javascript:;",""&amp;CHAR(34), "(click)=",CHAR(34)&amp;"","categoryEvent(",A33,")",""&amp;CHAR(34),"&gt;{{",CHAR(34)&amp;"",A33,""&amp;CHAR(34)," | translate}}&lt;/a&gt;&lt;/li&gt;")</f>
        <v>&lt;li class="col-md-3"&gt;&lt;a class="text-cut" href="javascript:;"(click)="categoryEvent(2084257082)"&gt;{{"2084257082" | translate}}&lt;/a&gt;&lt;/li&gt;</v>
      </c>
    </row>
    <row r="34" spans="1:8" ht="14.25" customHeight="1">
      <c r="A34" s="73">
        <v>2084292087</v>
      </c>
      <c r="B34" s="73" t="s">
        <v>8637</v>
      </c>
      <c r="C34" s="73" t="s">
        <v>8638</v>
      </c>
      <c r="D34" s="11" t="str">
        <f t="shared" si="5"/>
        <v>0,23336,2084292086,2084292087</v>
      </c>
      <c r="E34" s="3" t="str">
        <f ca="1">IFERROR(__xludf.DUMMYFUNCTION("GOOGLETRANSLATE(B34,""ja"",""vi"")"),"Android")</f>
        <v>Android</v>
      </c>
      <c r="F34" s="3" t="str">
        <f ca="1">IFERROR(__xludf.DUMMYFUNCTION("GOOGLETRANSLATE(C34,""ja"",""vi"")"),"Đấu giá&gt; máy tính&gt; máy tính bảng&gt; Android")</f>
        <v>Đấu giá&gt; máy tính&gt; máy tính bảng&gt; Android</v>
      </c>
      <c r="G34" s="227" t="str">
        <f t="shared" ca="1" si="1"/>
        <v>"2084292087" : "Android",</v>
      </c>
      <c r="H34" s="229" t="str">
        <f t="shared" si="6"/>
        <v>&lt;li class="col-md-3"&gt;&lt;a class="text-cut" href="javascript:;"(click)="categoryEvent(2084292087)"&gt;{{"2084292087" | translate}}&lt;/a&gt;&lt;/li&gt;</v>
      </c>
    </row>
    <row r="35" spans="1:8" ht="14.25" customHeight="1">
      <c r="A35" s="73">
        <v>2084239342</v>
      </c>
      <c r="B35" s="73" t="s">
        <v>8609</v>
      </c>
      <c r="C35" s="73" t="s">
        <v>8641</v>
      </c>
      <c r="D35" s="11" t="str">
        <f t="shared" si="5"/>
        <v>0,23336,2084292086,2084239342</v>
      </c>
      <c r="E35" s="3" t="str">
        <f ca="1">IFERROR(__xludf.DUMMYFUNCTION("GOOGLETRANSLATE(B35,""ja"",""vi"")"),"cửa sổ")</f>
        <v>cửa sổ</v>
      </c>
      <c r="F35" s="3" t="str">
        <f ca="1">IFERROR(__xludf.DUMMYFUNCTION("GOOGLETRANSLATE(C35,""ja"",""vi"")"),"Đấu giá&gt; máy tính&gt; máy tính bảng&gt; của Windows")</f>
        <v>Đấu giá&gt; máy tính&gt; máy tính bảng&gt; của Windows</v>
      </c>
      <c r="G35" s="227" t="str">
        <f t="shared" ca="1" si="1"/>
        <v>"2084239342" : "cửa sổ",</v>
      </c>
      <c r="H35" s="229" t="str">
        <f t="shared" si="6"/>
        <v>&lt;li class="col-md-3"&gt;&lt;a class="text-cut" href="javascript:;"(click)="categoryEvent(2084239342)"&gt;{{"2084239342" | translate}}&lt;/a&gt;&lt;/li&gt;</v>
      </c>
    </row>
    <row r="36" spans="1:8" ht="14.25" customHeight="1">
      <c r="A36" s="73">
        <v>2084288672</v>
      </c>
      <c r="B36" s="73" t="s">
        <v>8544</v>
      </c>
      <c r="C36" s="73" t="s">
        <v>8644</v>
      </c>
      <c r="D36" s="11" t="str">
        <f t="shared" si="5"/>
        <v>0,23336,2084292086,2084288672</v>
      </c>
      <c r="E36" s="3" t="str">
        <f ca="1">IFERROR(__xludf.DUMMYFUNCTION("GOOGLETRANSLATE(B36,""ja"",""vi"")"),"E-book reader")</f>
        <v>E-book reader</v>
      </c>
      <c r="F36" s="3" t="str">
        <f ca="1">IFERROR(__xludf.DUMMYFUNCTION("GOOGLETRANSLATE(C36,""ja"",""vi"")"),"Đấu giá&gt; máy tính&gt; máy tính bảng&gt; e-book reader")</f>
        <v>Đấu giá&gt; máy tính&gt; máy tính bảng&gt; e-book reader</v>
      </c>
      <c r="G36" s="227" t="str">
        <f t="shared" ca="1" si="1"/>
        <v>"2084288672" : "E-book reader",</v>
      </c>
      <c r="H36" s="229" t="str">
        <f t="shared" si="6"/>
        <v>&lt;li class="col-md-3"&gt;&lt;a class="text-cut" href="javascript:;"(click)="categoryEvent(2084288672)"&gt;{{"2084288672" | translate}}&lt;/a&gt;&lt;/li&gt;</v>
      </c>
    </row>
    <row r="37" spans="1:8" ht="14.25" customHeight="1">
      <c r="E37" s="3"/>
      <c r="F37" s="3"/>
      <c r="G37" s="227"/>
    </row>
    <row r="38" spans="1:8" ht="14.25" customHeight="1">
      <c r="E38" s="3"/>
      <c r="F38" s="3"/>
      <c r="G38" s="227"/>
    </row>
    <row r="39" spans="1:8" ht="14.25" customHeight="1">
      <c r="A39" s="301">
        <v>2084005067</v>
      </c>
      <c r="B39" s="232"/>
      <c r="C39" s="232"/>
      <c r="D39" s="233"/>
      <c r="E39" s="3"/>
      <c r="F39" s="3"/>
      <c r="G39" s="227"/>
    </row>
    <row r="40" spans="1:8" ht="14.25" customHeight="1">
      <c r="A40" s="73">
        <v>2084008397</v>
      </c>
      <c r="B40" s="73" t="s">
        <v>8648</v>
      </c>
      <c r="C40" s="73" t="s">
        <v>8649</v>
      </c>
      <c r="D40" s="11" t="str">
        <f t="shared" ref="D40:D46" si="7">CONCATENATE("0,","23632,23960,2084005067,",A40)</f>
        <v>0,23632,23960,2084005067,2084008397</v>
      </c>
      <c r="E40" s="3" t="str">
        <f ca="1">IFERROR(__xludf.DUMMYFUNCTION("GOOGLETRANSLATE(B40,""ja"",""vi"")"),"NTT DoCoMo")</f>
        <v>NTT DoCoMo</v>
      </c>
      <c r="F40" s="3" t="str">
        <f ca="1">IFERROR(__xludf.DUMMYFUNCTION("GOOGLETRANSLATE(C40,""ja"",""vi"")"),"Đấu giá&gt; thiết bị điện tử tiêu dùng, AV, camera&gt; điện thoại di động, điện thoại thông minh&gt; cơ thể điện thoại di động&gt; NTT DoCoMo")</f>
        <v>Đấu giá&gt; thiết bị điện tử tiêu dùng, AV, camera&gt; điện thoại di động, điện thoại thông minh&gt; cơ thể điện thoại di động&gt; NTT DoCoMo</v>
      </c>
      <c r="G40" s="227" t="str">
        <f t="shared" ca="1" si="1"/>
        <v>"2084008397" : "NTT DoCoMo",</v>
      </c>
      <c r="H40" s="229" t="str">
        <f t="shared" ref="H40:H46" si="8">CONCATENATE("&lt;li class=",CHAR(34)&amp;"","col-md-3",""&amp;CHAR(34),"&gt;","&lt;a class=",CHAR(34)&amp;"","text-cut",""&amp;CHAR(34)," href=",CHAR(34)&amp;"","javascript:;",""&amp;CHAR(34), "(click)=",CHAR(34)&amp;"","categoryEvent(",A40,")",""&amp;CHAR(34),"&gt;{{",CHAR(34)&amp;"",A40,""&amp;CHAR(34)," | translate}}&lt;/a&gt;&lt;/li&gt;")</f>
        <v>&lt;li class="col-md-3"&gt;&lt;a class="text-cut" href="javascript:;"(click)="categoryEvent(2084008397)"&gt;{{"2084008397" | translate}}&lt;/a&gt;&lt;/li&gt;</v>
      </c>
    </row>
    <row r="41" spans="1:8" ht="14.25" customHeight="1">
      <c r="A41" s="73">
        <v>2084008398</v>
      </c>
      <c r="B41" s="73" t="s">
        <v>8650</v>
      </c>
      <c r="C41" s="73" t="s">
        <v>8651</v>
      </c>
      <c r="D41" s="11" t="str">
        <f t="shared" si="7"/>
        <v>0,23632,23960,2084005067,2084008398</v>
      </c>
      <c r="E41" s="3" t="str">
        <f ca="1">IFERROR(__xludf.DUMMYFUNCTION("GOOGLETRANSLATE(B41,""ja"",""vi"")"),"au")</f>
        <v>au</v>
      </c>
      <c r="F41" s="3" t="str">
        <f ca="1">IFERROR(__xludf.DUMMYFUNCTION("GOOGLETRANSLATE(C41,""ja"",""vi"")"),"Đấu giá&gt; thiết bị điện tử tiêu dùng, AV, camera&gt; điện thoại di động, điện thoại thông minh&gt; cơ thể điện thoại di động&gt; au")</f>
        <v>Đấu giá&gt; thiết bị điện tử tiêu dùng, AV, camera&gt; điện thoại di động, điện thoại thông minh&gt; cơ thể điện thoại di động&gt; au</v>
      </c>
      <c r="G41" s="227" t="str">
        <f t="shared" ca="1" si="1"/>
        <v>"2084008398" : "au",</v>
      </c>
      <c r="H41" s="229" t="str">
        <f t="shared" si="8"/>
        <v>&lt;li class="col-md-3"&gt;&lt;a class="text-cut" href="javascript:;"(click)="categoryEvent(2084008398)"&gt;{{"2084008398" | translate}}&lt;/a&gt;&lt;/li&gt;</v>
      </c>
    </row>
    <row r="42" spans="1:8" ht="14.25" customHeight="1">
      <c r="A42" s="73">
        <v>2084008399</v>
      </c>
      <c r="B42" s="73" t="s">
        <v>8653</v>
      </c>
      <c r="C42" s="73" t="s">
        <v>8654</v>
      </c>
      <c r="D42" s="11" t="str">
        <f t="shared" si="7"/>
        <v>0,23632,23960,2084005067,2084008399</v>
      </c>
      <c r="E42" s="3" t="str">
        <f ca="1">IFERROR(__xludf.DUMMYFUNCTION("GOOGLETRANSLATE(B42,""ja"",""vi"")"),"Softbank")</f>
        <v>Softbank</v>
      </c>
      <c r="F42" s="3" t="str">
        <f ca="1">IFERROR(__xludf.DUMMYFUNCTION("GOOGLETRANSLATE(C42,""ja"",""vi"")"),"Đấu giá&gt; thiết bị điện tử tiêu dùng, AV, camera&gt; điện thoại di động, điện thoại thông minh&gt; cơ thể điện thoại di động&gt; Softbank")</f>
        <v>Đấu giá&gt; thiết bị điện tử tiêu dùng, AV, camera&gt; điện thoại di động, điện thoại thông minh&gt; cơ thể điện thoại di động&gt; Softbank</v>
      </c>
      <c r="G42" s="227" t="str">
        <f t="shared" ca="1" si="1"/>
        <v>"2084008399" : "Softbank",</v>
      </c>
      <c r="H42" s="229" t="str">
        <f t="shared" si="8"/>
        <v>&lt;li class="col-md-3"&gt;&lt;a class="text-cut" href="javascript:;"(click)="categoryEvent(2084008399)"&gt;{{"2084008399" | translate}}&lt;/a&gt;&lt;/li&gt;</v>
      </c>
    </row>
    <row r="43" spans="1:8" ht="14.25" customHeight="1">
      <c r="A43" s="73">
        <v>2084235873</v>
      </c>
      <c r="B43" s="73" t="s">
        <v>8656</v>
      </c>
      <c r="C43" s="73" t="s">
        <v>8657</v>
      </c>
      <c r="D43" s="11" t="str">
        <f t="shared" si="7"/>
        <v>0,23632,23960,2084005067,2084235873</v>
      </c>
      <c r="E43" s="3" t="str">
        <f ca="1">IFERROR(__xludf.DUMMYFUNCTION("GOOGLETRANSLATE(B43,""ja"",""vi"")"),"Ymobile")</f>
        <v>Ymobile</v>
      </c>
      <c r="F43" s="3" t="str">
        <f ca="1">IFERROR(__xludf.DUMMYFUNCTION("GOOGLETRANSLATE(C43,""ja"",""vi"")"),"Đấu giá&gt; thiết bị điện tử tiêu dùng, AV, camera&gt; điện thoại di động, điện thoại thông minh&gt; cơ thể điện thoại di động&gt; Ymobile")</f>
        <v>Đấu giá&gt; thiết bị điện tử tiêu dùng, AV, camera&gt; điện thoại di động, điện thoại thông minh&gt; cơ thể điện thoại di động&gt; Ymobile</v>
      </c>
      <c r="G43" s="227" t="str">
        <f t="shared" ca="1" si="1"/>
        <v>"2084235873" : "Ymobile",</v>
      </c>
      <c r="H43" s="229" t="str">
        <f t="shared" si="8"/>
        <v>&lt;li class="col-md-3"&gt;&lt;a class="text-cut" href="javascript:;"(click)="categoryEvent(2084235873)"&gt;{{"2084235873" | translate}}&lt;/a&gt;&lt;/li&gt;</v>
      </c>
    </row>
    <row r="44" spans="1:8" ht="14.25" customHeight="1">
      <c r="A44" s="73">
        <v>2084221688</v>
      </c>
      <c r="B44" s="73" t="s">
        <v>8658</v>
      </c>
      <c r="C44" s="73" t="s">
        <v>8659</v>
      </c>
      <c r="D44" s="11" t="str">
        <f t="shared" si="7"/>
        <v>0,23632,23960,2084005067,2084221688</v>
      </c>
      <c r="E44" s="3" t="str">
        <f ca="1">IFERROR(__xludf.DUMMYFUNCTION("GOOGLETRANSLATE(B44,""ja"",""vi"")"),"WILLCOM")</f>
        <v>WILLCOM</v>
      </c>
      <c r="F44" s="3" t="str">
        <f ca="1">IFERROR(__xludf.DUMMYFUNCTION("GOOGLETRANSLATE(C44,""ja"",""vi"")"),"Đấu giá&gt; thiết bị điện tử tiêu dùng, AV, camera&gt; điện thoại di động, điện thoại thông minh&gt; mobile phone body&gt; WILLCOM")</f>
        <v>Đấu giá&gt; thiết bị điện tử tiêu dùng, AV, camera&gt; điện thoại di động, điện thoại thông minh&gt; mobile phone body&gt; WILLCOM</v>
      </c>
      <c r="G44" s="227" t="str">
        <f t="shared" ca="1" si="1"/>
        <v>"2084221688" : "WILLCOM",</v>
      </c>
      <c r="H44" s="229" t="str">
        <f t="shared" si="8"/>
        <v>&lt;li class="col-md-3"&gt;&lt;a class="text-cut" href="javascript:;"(click)="categoryEvent(2084221688)"&gt;{{"2084221688" | translate}}&lt;/a&gt;&lt;/li&gt;</v>
      </c>
    </row>
    <row r="45" spans="1:8" ht="14.25" customHeight="1">
      <c r="A45" s="73">
        <v>2084239153</v>
      </c>
      <c r="B45" s="73" t="s">
        <v>8660</v>
      </c>
      <c r="C45" s="73" t="s">
        <v>8661</v>
      </c>
      <c r="D45" s="11" t="str">
        <f t="shared" si="7"/>
        <v>0,23632,23960,2084005067,2084239153</v>
      </c>
      <c r="E45" s="3" t="str">
        <f ca="1">IFERROR(__xludf.DUMMYFUNCTION("GOOGLETRANSLATE(B45,""ja"",""vi"")"),"di động ở nước ngoài")</f>
        <v>di động ở nước ngoài</v>
      </c>
      <c r="F45" s="3" t="str">
        <f ca="1">IFERROR(__xludf.DUMMYFUNCTION("GOOGLETRANSLATE(C45,""ja"",""vi"")"),"Đấu giá&gt; thiết bị điện tử tiêu dùng, AV, camera&gt; điện thoại di động, điện thoại thông minh&gt; cơ thể điện thoại di động&gt; Thiết bị ra nước ngoài")</f>
        <v>Đấu giá&gt; thiết bị điện tử tiêu dùng, AV, camera&gt; điện thoại di động, điện thoại thông minh&gt; cơ thể điện thoại di động&gt; Thiết bị ra nước ngoài</v>
      </c>
      <c r="G45" s="227" t="str">
        <f t="shared" ca="1" si="1"/>
        <v>"2084239153" : "di động ở nước ngoài",</v>
      </c>
      <c r="H45" s="229" t="str">
        <f t="shared" si="8"/>
        <v>&lt;li class="col-md-3"&gt;&lt;a class="text-cut" href="javascript:;"(click)="categoryEvent(2084239153)"&gt;{{"2084239153" | translate}}&lt;/a&gt;&lt;/li&gt;</v>
      </c>
    </row>
    <row r="46" spans="1:8" ht="14.25" customHeight="1">
      <c r="A46" s="73">
        <v>2084298965</v>
      </c>
      <c r="B46" s="73" t="s">
        <v>8524</v>
      </c>
      <c r="C46" s="73" t="s">
        <v>8663</v>
      </c>
      <c r="D46" s="11" t="str">
        <f t="shared" si="7"/>
        <v>0,23632,23960,2084005067,2084298965</v>
      </c>
      <c r="E46" s="3" t="str">
        <f ca="1">IFERROR(__xludf.DUMMYFUNCTION("GOOGLETRANSLATE(B46,""ja"",""vi"")"),"Điện thoại thông minh cơ thể")</f>
        <v>Điện thoại thông minh cơ thể</v>
      </c>
      <c r="F46" s="3" t="str">
        <f ca="1">IFERROR(__xludf.DUMMYFUNCTION("GOOGLETRANSLATE(C46,""ja"",""vi"")"),"Đấu giá&gt; thiết bị điện tử tiêu dùng, AV, camera&gt; điện thoại di động, điện thoại thông minh&gt; cơ thể điện thoại di động&gt; Điện thoại thông minh cơ thể")</f>
        <v>Đấu giá&gt; thiết bị điện tử tiêu dùng, AV, camera&gt; điện thoại di động, điện thoại thông minh&gt; cơ thể điện thoại di động&gt; Điện thoại thông minh cơ thể</v>
      </c>
      <c r="G46" s="227" t="str">
        <f t="shared" ca="1" si="1"/>
        <v>"2084298965" : "Điện thoại thông minh cơ thể",</v>
      </c>
      <c r="H46" s="229" t="str">
        <f t="shared" si="8"/>
        <v>&lt;li class="col-md-3"&gt;&lt;a class="text-cut" href="javascript:;"(click)="categoryEvent(2084298965)"&gt;{{"2084298965" | translate}}&lt;/a&gt;&lt;/li&gt;</v>
      </c>
    </row>
    <row r="47" spans="1:8" ht="14.25" customHeight="1">
      <c r="E47" s="3"/>
      <c r="F47" s="3"/>
      <c r="G47" s="227"/>
    </row>
    <row r="48" spans="1:8" ht="14.25" customHeight="1">
      <c r="E48" s="3"/>
      <c r="F48" s="3"/>
      <c r="G48" s="227"/>
    </row>
    <row r="49" spans="1:8" ht="14.25" customHeight="1">
      <c r="A49" s="302">
        <v>2084261633</v>
      </c>
      <c r="B49" s="232"/>
      <c r="C49" s="232"/>
      <c r="D49" s="233"/>
      <c r="E49" s="3"/>
      <c r="F49" s="3"/>
      <c r="G49" s="227"/>
    </row>
    <row r="50" spans="1:8" ht="14.25" customHeight="1">
      <c r="A50" s="73">
        <v>2084261634</v>
      </c>
      <c r="B50" s="73" t="s">
        <v>8667</v>
      </c>
      <c r="C50" s="73" t="s">
        <v>8668</v>
      </c>
      <c r="D50" s="11" t="str">
        <f t="shared" ref="D50:D59" si="9">CONCATENATE("0,","23632,23636,2084261633,",A50)</f>
        <v>0,23632,23636,2084261633,2084261634</v>
      </c>
      <c r="E50" s="3" t="str">
        <f ca="1">IFERROR(__xludf.DUMMYFUNCTION("GOOGLETRANSLATE(B50,""ja"",""vi"")"),"Digital SLR")</f>
        <v>Digital SLR</v>
      </c>
      <c r="F50" s="3" t="str">
        <f ca="1">IFERROR(__xludf.DUMMYFUNCTION("GOOGLETRANSLATE(C50,""ja"",""vi"")"),"Đấu giá&gt; thiết bị điện tử tiêu dùng, AV, máy ảnh&gt; máy ảnh, thiết bị quang học&gt; máy ảnh kỹ thuật số&gt; digital single-lens")</f>
        <v>Đấu giá&gt; thiết bị điện tử tiêu dùng, AV, máy ảnh&gt; máy ảnh, thiết bị quang học&gt; máy ảnh kỹ thuật số&gt; digital single-lens</v>
      </c>
      <c r="G50" s="227" t="str">
        <f t="shared" ca="1" si="1"/>
        <v>"2084261634" : "Digital SLR",</v>
      </c>
      <c r="H50" s="229" t="str">
        <f t="shared" ref="H50:H59" si="10">CONCATENATE("&lt;li class=",CHAR(34)&amp;"","col-md-3",""&amp;CHAR(34),"&gt;","&lt;a class=",CHAR(34)&amp;"","text-cut",""&amp;CHAR(34)," href=",CHAR(34)&amp;"","javascript:;",""&amp;CHAR(34), "(click)=",CHAR(34)&amp;"","categoryEvent(",A50,")",""&amp;CHAR(34),"&gt;{{",CHAR(34)&amp;"",A50,""&amp;CHAR(34)," | translate}}&lt;/a&gt;&lt;/li&gt;")</f>
        <v>&lt;li class="col-md-3"&gt;&lt;a class="text-cut" href="javascript:;"(click)="categoryEvent(2084261634)"&gt;{{"2084261634" | translate}}&lt;/a&gt;&lt;/li&gt;</v>
      </c>
    </row>
    <row r="51" spans="1:8" ht="14.25" customHeight="1">
      <c r="A51" s="73">
        <v>2084305443</v>
      </c>
      <c r="B51" s="73" t="s">
        <v>8671</v>
      </c>
      <c r="C51" s="73" t="s">
        <v>8672</v>
      </c>
      <c r="D51" s="11" t="str">
        <f t="shared" si="9"/>
        <v>0,23632,23636,2084261633,2084305443</v>
      </c>
      <c r="E51" s="3" t="str">
        <f ca="1">IFERROR(__xludf.DUMMYFUNCTION("GOOGLETRANSLATE(B51,""ja"",""vi"")"),"không gương lật ống kính đơn")</f>
        <v>không gương lật ống kính đơn</v>
      </c>
      <c r="F51" s="3" t="str">
        <f ca="1">IFERROR(__xludf.DUMMYFUNCTION("GOOGLETRANSLATE(C51,""ja"",""vi"")"),"Đấu giá&gt; thiết bị điện G95tử tiêu dùng, AV, máy ảnh&gt; máy ảnh, thiết bị quang học&gt; máy ảnh kỹ thuật số&gt; single-lens không gương lật")</f>
        <v>Đấu giá&gt; thiết bị điện G95tử tiêu dùng, AV, máy ảnh&gt; máy ảnh, thiết bị quang học&gt; máy ảnh kỹ thuật số&gt; single-lens không gương lật</v>
      </c>
      <c r="G51" s="227" t="str">
        <f t="shared" ca="1" si="1"/>
        <v>"2084305443" : "không gương lật ống kính đơn",</v>
      </c>
      <c r="H51" s="229" t="str">
        <f t="shared" si="10"/>
        <v>&lt;li class="col-md-3"&gt;&lt;a class="text-cut" href="javascript:;"(click)="categoryEvent(2084305443)"&gt;{{"2084305443" | translate}}&lt;/a&gt;&lt;/li&gt;</v>
      </c>
    </row>
    <row r="52" spans="1:8" ht="14.25" customHeight="1">
      <c r="A52" s="73">
        <v>2084261642</v>
      </c>
      <c r="B52" s="73" t="s">
        <v>8673</v>
      </c>
      <c r="C52" s="73" t="s">
        <v>8674</v>
      </c>
      <c r="D52" s="11" t="str">
        <f t="shared" si="9"/>
        <v>0,23632,23636,2084261633,2084261642</v>
      </c>
      <c r="E52" s="3" t="str">
        <f ca="1">IFERROR(__xludf.DUMMYFUNCTION("GOOGLETRANSLATE(B52,""ja"",""vi"")"),"máy ảnh kỹ thuật số nhỏ gọn")</f>
        <v>máy ảnh kỹ thuật số nhỏ gọn</v>
      </c>
      <c r="F52" s="3" t="str">
        <f ca="1">IFERROR(__xludf.DUMMYFUNCTION("GOOGLETRANSLATE(C52,""ja"",""vi"")"),"Đấu giá&gt; thiết bị điện tử tiêu dùng, AV, máy ảnh&gt; máy ảnh, thiết bị quang học&gt; máy ảnh kỹ thuật số&gt; Máy ảnh kỹ thuật số nhỏ gọn")</f>
        <v>Đấu giá&gt; thiết bị điện tử tiêu dùng, AV, máy ảnh&gt; máy ảnh, thiết bị quang học&gt; máy ảnh kỹ thuật số&gt; Máy ảnh kỹ thuật số nhỏ gọn</v>
      </c>
      <c r="G52" s="227" t="str">
        <f t="shared" ca="1" si="1"/>
        <v>"2084261642" : "máy ảnh kỹ thuật số nhỏ gọn",</v>
      </c>
      <c r="H52" s="229" t="str">
        <f t="shared" si="10"/>
        <v>&lt;li class="col-md-3"&gt;&lt;a class="text-cut" href="javascript:;"(click)="categoryEvent(2084261642)"&gt;{{"2084261642" | translate}}&lt;/a&gt;&lt;/li&gt;</v>
      </c>
    </row>
    <row r="53" spans="1:8" ht="14.25" customHeight="1">
      <c r="A53" s="73">
        <v>2084261659</v>
      </c>
      <c r="B53" s="73" t="s">
        <v>7370</v>
      </c>
      <c r="C53" s="73" t="s">
        <v>8677</v>
      </c>
      <c r="D53" s="11" t="str">
        <f t="shared" si="9"/>
        <v>0,23632,23636,2084261633,2084261659</v>
      </c>
      <c r="E53" s="3" t="str">
        <f ca="1">IFERROR(__xludf.DUMMYFUNCTION("GOOGLETRANSLATE(B53,""ja"",""vi"")"),"Pin, sạc")</f>
        <v>Pin, sạc</v>
      </c>
      <c r="F53" s="3" t="str">
        <f ca="1">IFERROR(__xludf.DUMMYFUNCTION("GOOGLETRANSLATE(C53,""ja"",""vi"")"),"Đấu giá&gt; thiết bị điện tử tiêu dùng, AV, máy ảnh&gt; máy ảnh, thiết bị quang học&gt; máy ảnh kỹ thuật số&gt; pin, sạc")</f>
        <v>Đấu giá&gt; thiết bị điện tử tiêu dùng, AV, máy ảnh&gt; máy ảnh, thiết bị quang học&gt; máy ảnh kỹ thuật số&gt; pin, sạc</v>
      </c>
      <c r="G53" s="227" t="str">
        <f t="shared" ca="1" si="1"/>
        <v>"2084261659" : "Pin, sạc",</v>
      </c>
      <c r="H53" s="229" t="str">
        <f t="shared" si="10"/>
        <v>&lt;li class="col-md-3"&gt;&lt;a class="text-cut" href="javascript:;"(click)="categoryEvent(2084261659)"&gt;{{"2084261659" | translate}}&lt;/a&gt;&lt;/li&gt;</v>
      </c>
    </row>
    <row r="54" spans="1:8" ht="14.25" customHeight="1">
      <c r="A54" s="73">
        <v>2084261658</v>
      </c>
      <c r="B54" s="73" t="s">
        <v>8678</v>
      </c>
      <c r="C54" s="73" t="s">
        <v>8679</v>
      </c>
      <c r="D54" s="11" t="str">
        <f t="shared" si="9"/>
        <v>0,23632,23636,2084261633,2084261658</v>
      </c>
      <c r="E54" s="3" t="str">
        <f ca="1">IFERROR(__xludf.DUMMYFUNCTION("GOOGLETRANSLATE(B54,""ja"",""vi"")"),"PC Connection Kit")</f>
        <v>PC Connection Kit</v>
      </c>
      <c r="F54" s="3" t="str">
        <f ca="1">IFERROR(__xludf.DUMMYFUNCTION("GOOGLETRANSLATE(C54,""ja"",""vi"")"),"Đấu giá&gt; thiết bị điện tử tiêu dùng, AV, máy ảnh&gt; máy ảnh, thiết bị quang học&gt; máy ảnh kỹ thuật số&gt; kit kết nối PC")</f>
        <v>Đấu giá&gt; thiết bị điện tử tiêu dùng, AV, máy ảnh&gt; máy ảnh, thiết bị quang học&gt; máy ảnh kỹ thuật số&gt; kit kết nối PC</v>
      </c>
      <c r="G54" s="227" t="str">
        <f t="shared" ca="1" si="1"/>
        <v>"2084261658" : "PC Connection Kit",</v>
      </c>
      <c r="H54" s="229" t="str">
        <f t="shared" si="10"/>
        <v>&lt;li class="col-md-3"&gt;&lt;a class="text-cut" href="javascript:;"(click)="categoryEvent(2084261658)"&gt;{{"2084261658" | translate}}&lt;/a&gt;&lt;/li&gt;</v>
      </c>
    </row>
    <row r="55" spans="1:8" ht="14.25" customHeight="1">
      <c r="A55" s="73">
        <v>2084052265</v>
      </c>
      <c r="B55" s="73" t="s">
        <v>8473</v>
      </c>
      <c r="C55" s="73" t="s">
        <v>8680</v>
      </c>
      <c r="D55" s="11" t="str">
        <f t="shared" si="9"/>
        <v>0,23632,23636,2084261633,2084052265</v>
      </c>
      <c r="E55" s="3" t="str">
        <f ca="1">IFERROR(__xludf.DUMMYFUNCTION("GOOGLETRANSLATE(B55,""ja"",""vi"")"),"hướng dẫn")</f>
        <v>hướng dẫn</v>
      </c>
      <c r="F55" s="3" t="str">
        <f ca="1">IFERROR(__xludf.DUMMYFUNCTION("GOOGLETRANSLATE(C55,""ja"",""vi"")"),"Đấu giá&gt; thiết bị điện tử tiêu dùng, AV, máy ảnh&gt; máy ảnh, thiết bị quang học&gt; máy ảnh kỹ thuật số&gt; Manual")</f>
        <v>Đấu giá&gt; thiết bị điện tử tiêu dùng, AV, máy ảnh&gt; máy ảnh, thiết bị quang học&gt; máy ảnh kỹ thuật số&gt; Manual</v>
      </c>
      <c r="G55" s="227" t="str">
        <f t="shared" ca="1" si="1"/>
        <v>"2084052265" : "hướng dẫn",</v>
      </c>
      <c r="H55" s="229" t="str">
        <f t="shared" si="10"/>
        <v>&lt;li class="col-md-3"&gt;&lt;a class="text-cut" href="javascript:;"(click)="categoryEvent(2084052265)"&gt;{{"2084052265" | translate}}&lt;/a&gt;&lt;/li&gt;</v>
      </c>
    </row>
    <row r="56" spans="1:8" ht="14.25" customHeight="1">
      <c r="A56" s="73">
        <v>2084313032</v>
      </c>
      <c r="B56" s="73" t="s">
        <v>8478</v>
      </c>
      <c r="C56" s="73" t="s">
        <v>8683</v>
      </c>
      <c r="D56" s="11" t="str">
        <f t="shared" si="9"/>
        <v>0,23632,23636,2084261633,2084313032</v>
      </c>
      <c r="E56" s="3" t="str">
        <f ca="1">IFERROR(__xludf.DUMMYFUNCTION("GOOGLETRANSLATE(B56,""ja"",""vi"")"),"mục lục")</f>
        <v>mục lục</v>
      </c>
      <c r="F56" s="3" t="str">
        <f ca="1">IFERROR(__xludf.DUMMYFUNCTION("GOOGLETRANSLATE(C56,""ja"",""vi"")"),"Đấu giá&gt; thiết bị điện tử tiêu dùng, AV, máy ảnh&gt; máy ảnh, thiết bị quang học&gt; máy ảnh kỹ thuật số&gt; Danh mục hàng")</f>
        <v>Đấu giá&gt; thiết bị điện tử tiêu dùng, AV, máy ảnh&gt; máy ảnh, thiết bị quang học&gt; máy ảnh kỹ thuật số&gt; Danh mục hàng</v>
      </c>
      <c r="G56" s="227" t="str">
        <f t="shared" ca="1" si="1"/>
        <v>"2084313032" : "mục lục",</v>
      </c>
      <c r="H56" s="229" t="str">
        <f t="shared" si="10"/>
        <v>&lt;li class="col-md-3"&gt;&lt;a class="text-cut" href="javascript:;"(click)="categoryEvent(2084313032)"&gt;{{"2084313032" | translate}}&lt;/a&gt;&lt;/li&gt;</v>
      </c>
    </row>
    <row r="57" spans="1:8" ht="14.25" customHeight="1">
      <c r="A57" s="73">
        <v>2084042337</v>
      </c>
      <c r="B57" s="73" t="s">
        <v>8684</v>
      </c>
      <c r="C57" s="73" t="s">
        <v>8685</v>
      </c>
      <c r="D57" s="11" t="str">
        <f t="shared" si="9"/>
        <v>0,23632,23636,2084261633,2084042337</v>
      </c>
      <c r="E57" s="3" t="str">
        <f ca="1">IFERROR(__xludf.DUMMYFUNCTION("GOOGLETRANSLATE(B57,""ja"",""vi"")"),"card Reader")</f>
        <v>card Reader</v>
      </c>
      <c r="F57" s="3" t="str">
        <f ca="1">IFERROR(__xludf.DUMMYFUNCTION("GOOGLETRANSLATE(C57,""ja"",""vi"")"),"Đấu giá&gt; thiết bị điện tử tiêu dùng, AV, máy ảnh&gt; máy ảnh, thiết bị quang học&gt; máy ảnh kỹ thuật số&gt; Card Reader")</f>
        <v>Đấu giá&gt; thiết bị điện tử tiêu dùng, AV, máy ảnh&gt; máy ảnh, thiết bị quang học&gt; máy ảnh kỹ thuật số&gt; Card Reader</v>
      </c>
      <c r="G57" s="227" t="str">
        <f t="shared" ca="1" si="1"/>
        <v>"2084042337" : "card Reader",</v>
      </c>
      <c r="H57" s="229" t="str">
        <f t="shared" si="10"/>
        <v>&lt;li class="col-md-3"&gt;&lt;a class="text-cut" href="javascript:;"(click)="categoryEvent(2084042337)"&gt;{{"2084042337" | translate}}&lt;/a&gt;&lt;/li&gt;</v>
      </c>
    </row>
    <row r="58" spans="1:8" ht="14.25" customHeight="1">
      <c r="A58" s="73">
        <v>2084039469</v>
      </c>
      <c r="B58" s="73" t="s">
        <v>8460</v>
      </c>
      <c r="C58" s="73" t="s">
        <v>8687</v>
      </c>
      <c r="D58" s="11" t="str">
        <f t="shared" si="9"/>
        <v>0,23632,23636,2084261633,2084039469</v>
      </c>
      <c r="E58" s="3" t="str">
        <f ca="1">IFERROR(__xludf.DUMMYFUNCTION("GOOGLETRANSLATE(B58,""ja"",""vi"")"),"bộ nhớ ghi âm")</f>
        <v>bộ nhớ ghi âm</v>
      </c>
      <c r="F58" s="3" t="str">
        <f ca="1">IFERROR(__xludf.DUMMYFUNCTION("GOOGLETRANSLATE(C58,""ja"",""vi"")"),"Đấu giá&gt; thiết bị điện tử tiêu dùng, AV, máy ảnh&gt; máy ảnh, thiết bị quang học&gt; máy ảnh kỹ thuật số&gt; ghi nhớ")</f>
        <v>Đấu giá&gt; thiết bị điện tử tiêu dùng, AV, máy ảnh&gt; máy ảnh, thiết bị quang học&gt; máy ảnh kỹ thuật số&gt; ghi nhớ</v>
      </c>
      <c r="G58" s="227" t="str">
        <f t="shared" ca="1" si="1"/>
        <v>"2084039469" : "bộ nhớ ghi âm",</v>
      </c>
      <c r="H58" s="229" t="str">
        <f t="shared" si="10"/>
        <v>&lt;li class="col-md-3"&gt;&lt;a class="text-cut" href="javascript:;"(click)="categoryEvent(2084039469)"&gt;{{"2084039469" | translate}}&lt;/a&gt;&lt;/li&gt;</v>
      </c>
    </row>
    <row r="59" spans="1:8" ht="14.25" customHeight="1">
      <c r="A59" s="73">
        <v>2084231456</v>
      </c>
      <c r="B59" s="73" t="s">
        <v>8465</v>
      </c>
      <c r="C59" s="73" t="s">
        <v>8689</v>
      </c>
      <c r="D59" s="11" t="str">
        <f t="shared" si="9"/>
        <v>0,23632,23636,2084261633,2084231456</v>
      </c>
      <c r="E59" s="3" t="str">
        <f ca="1">IFERROR(__xludf.DUMMYFUNCTION("GOOGLETRANSLATE(B59,""ja"",""vi"")"),"Ảnh kỹ thuật số Khung")</f>
        <v>Ảnh kỹ thuật số Khung</v>
      </c>
      <c r="F59" s="3" t="str">
        <f ca="1">IFERROR(__xludf.DUMMYFUNCTION("GOOGLETRANSLATE(C59,""ja"",""vi"")"),"Đấu giá&gt; thiết bị điện tử tiêu dùng, AV, máy ảnh&gt; máy ảnh, thiết bị quang học&gt; máy ảnh kỹ thuật số&gt; khung ảnh kỹ thuật số")</f>
        <v>Đấu giá&gt; thiết bị điện tử tiêu dùng, AV, máy ảnh&gt; máy ảnh, thiết bị quang học&gt; máy ảnh kỹ thuật số&gt; khung ảnh kỹ thuật số</v>
      </c>
      <c r="G59" s="227" t="str">
        <f t="shared" ca="1" si="1"/>
        <v>"2084231456" : "Ảnh kỹ thuật số Khung",</v>
      </c>
      <c r="H59" s="229" t="str">
        <f t="shared" si="10"/>
        <v>&lt;li class="col-md-3"&gt;&lt;a class="text-cut" href="javascript:;"(click)="categoryEvent(2084231456)"&gt;{{"2084231456" | translate}}&lt;/a&gt;&lt;/li&gt;</v>
      </c>
    </row>
    <row r="60" spans="1:8" ht="14.25" customHeight="1">
      <c r="E60" s="3"/>
      <c r="F60" s="3"/>
      <c r="G60" s="227"/>
    </row>
    <row r="61" spans="1:8" ht="14.25" customHeight="1">
      <c r="E61" s="3"/>
      <c r="F61" s="3"/>
      <c r="G61" s="227"/>
    </row>
    <row r="62" spans="1:8" ht="14.25" customHeight="1">
      <c r="A62" s="303">
        <v>2084039561</v>
      </c>
      <c r="B62" s="232"/>
      <c r="C62" s="232"/>
      <c r="D62" s="233"/>
      <c r="E62" s="3"/>
      <c r="F62" s="3"/>
      <c r="G62" s="227"/>
    </row>
    <row r="63" spans="1:8" ht="14.25" customHeight="1">
      <c r="A63" s="73">
        <v>23450</v>
      </c>
      <c r="B63" s="73" t="s">
        <v>8692</v>
      </c>
      <c r="C63" s="73" t="s">
        <v>8693</v>
      </c>
      <c r="D63" s="11" t="str">
        <f t="shared" ref="D63:D83" si="11">CONCATENATE("0,","23336,2084039561,",A63)</f>
        <v>0,23336,2084039561,23450</v>
      </c>
      <c r="E63" s="3" t="str">
        <f ca="1">IFERROR(__xludf.DUMMYFUNCTION("GOOGLETRANSLATE(B63,""ja"",""vi"")"),"đĩa cứng")</f>
        <v>đĩa cứng</v>
      </c>
      <c r="F63" s="3" t="str">
        <f ca="1">IFERROR(__xludf.DUMMYFUNCTION("GOOGLETRANSLATE(C63,""ja"",""vi"")"),"Đấu giá&gt; máy tính&gt; thiết bị ngoại vi&gt; đĩa cứng")</f>
        <v>Đấu giá&gt; máy tính&gt; thiết bị ngoại vi&gt; đĩa cứng</v>
      </c>
      <c r="G63" s="227" t="str">
        <f t="shared" ca="1" si="1"/>
        <v>"23450" : "đĩa cứng",</v>
      </c>
      <c r="H63" s="229" t="str">
        <f t="shared" ref="H63:H83" si="12">CONCATENATE("&lt;li class=",CHAR(34)&amp;"","col-md-3",""&amp;CHAR(34),"&gt;","&lt;a class=",CHAR(34)&amp;"","text-cut",""&amp;CHAR(34)," href=",CHAR(34)&amp;"","javascript:;",""&amp;CHAR(34), "(click)=",CHAR(34)&amp;"","categoryEvent(",A63,")",""&amp;CHAR(34),"&gt;{{",CHAR(34)&amp;"",A63,""&amp;CHAR(34)," | translate}}&lt;/a&gt;&lt;/li&gt;")</f>
        <v>&lt;li class="col-md-3"&gt;&lt;a class="text-cut" href="javascript:;"(click)="categoryEvent(23450)"&gt;{{"23450" | translate}}&lt;/a&gt;&lt;/li&gt;</v>
      </c>
    </row>
    <row r="64" spans="1:8" ht="14.25" customHeight="1">
      <c r="A64" s="73">
        <v>2084239902</v>
      </c>
      <c r="B64" s="73" t="s">
        <v>8696</v>
      </c>
      <c r="C64" s="73" t="s">
        <v>8697</v>
      </c>
      <c r="D64" s="11" t="str">
        <f t="shared" si="11"/>
        <v>0,23336,2084039561,2084239902</v>
      </c>
      <c r="E64" s="3" t="str">
        <f ca="1">IFERROR(__xludf.DUMMYFUNCTION("GOOGLETRANSLATE(B64,""ja"",""vi"")"),"SSD")</f>
        <v>SSD</v>
      </c>
      <c r="F64" s="3" t="str">
        <f ca="1">IFERROR(__xludf.DUMMYFUNCTION("GOOGLETRANSLATE(C64,""ja"",""vi"")"),"Đấu giá&gt; máy tính&gt; thiết bị ngoại vi&gt; SSD")</f>
        <v>Đấu giá&gt; máy tính&gt; thiết bị ngoại vi&gt; SSD</v>
      </c>
      <c r="G64" s="227" t="str">
        <f t="shared" ca="1" si="1"/>
        <v>"2084239902" : "SSD",</v>
      </c>
      <c r="H64" s="229" t="str">
        <f t="shared" si="12"/>
        <v>&lt;li class="col-md-3"&gt;&lt;a class="text-cut" href="javascript:;"(click)="categoryEvent(2084239902)"&gt;{{"2084239902" | translate}}&lt;/a&gt;&lt;/li&gt;</v>
      </c>
    </row>
    <row r="65" spans="1:8" ht="14.25" customHeight="1">
      <c r="A65" s="73">
        <v>2084039469</v>
      </c>
      <c r="B65" s="73" t="s">
        <v>8460</v>
      </c>
      <c r="C65" s="73" t="s">
        <v>8698</v>
      </c>
      <c r="D65" s="11" t="str">
        <f t="shared" si="11"/>
        <v>0,23336,2084039561,2084039469</v>
      </c>
      <c r="E65" s="3" t="str">
        <f ca="1">IFERROR(__xludf.DUMMYFUNCTION("GOOGLETRANSLATE(B65,""ja"",""vi"")"),"bộ nhớ ghi âm")</f>
        <v>bộ nhớ ghi âm</v>
      </c>
      <c r="F65" s="3" t="str">
        <f ca="1">IFERROR(__xludf.DUMMYFUNCTION("GOOGLETRANSLATE(C65,""ja"",""vi"")"),"Đấu giá&gt; máy tính&gt; thiết bị ngoại vi&gt; ghi nhớ")</f>
        <v>Đấu giá&gt; máy tính&gt; thiết bị ngoại vi&gt; ghi nhớ</v>
      </c>
      <c r="G65" s="227" t="str">
        <f t="shared" ca="1" si="1"/>
        <v>"2084039469" : "bộ nhớ ghi âm",</v>
      </c>
      <c r="H65" s="229" t="str">
        <f t="shared" si="12"/>
        <v>&lt;li class="col-md-3"&gt;&lt;a class="text-cut" href="javascript:;"(click)="categoryEvent(2084039469)"&gt;{{"2084039469" | translate}}&lt;/a&gt;&lt;/li&gt;</v>
      </c>
    </row>
    <row r="66" spans="1:8" ht="14.25" customHeight="1">
      <c r="A66" s="73">
        <v>2084247695</v>
      </c>
      <c r="B66" s="73" t="s">
        <v>8699</v>
      </c>
      <c r="C66" s="73" t="s">
        <v>8700</v>
      </c>
      <c r="D66" s="11" t="str">
        <f t="shared" si="11"/>
        <v>0,23336,2084039561,2084247695</v>
      </c>
      <c r="E66" s="3" t="str">
        <f ca="1">IFERROR(__xludf.DUMMYFUNCTION("GOOGLETRANSLATE(B66,""ja"",""vi"")"),"Blu-ray ổ đĩa")</f>
        <v>Blu-ray ổ đĩa</v>
      </c>
      <c r="F66" s="3" t="str">
        <f ca="1">IFERROR(__xludf.DUMMYFUNCTION("GOOGLETRANSLATE(C66,""ja"",""vi"")"),"Đấu giá&gt; máy tính&gt; thiết bị ngoại vi&gt; ổ đĩa Blu-ray")</f>
        <v>Đấu giá&gt; máy tính&gt; thiết bị ngoại vi&gt; ổ đĩa Blu-ray</v>
      </c>
      <c r="G66" s="227" t="str">
        <f t="shared" ca="1" si="1"/>
        <v>"2084247695" : "Blu-ray ổ đĩa",</v>
      </c>
      <c r="H66" s="229" t="str">
        <f t="shared" si="12"/>
        <v>&lt;li class="col-md-3"&gt;&lt;a class="text-cut" href="javascript:;"(click)="categoryEvent(2084247695)"&gt;{{"2084247695" | translate}}&lt;/a&gt;&lt;/li&gt;</v>
      </c>
    </row>
    <row r="67" spans="1:8" ht="14.25" customHeight="1">
      <c r="A67" s="73">
        <v>2084284892</v>
      </c>
      <c r="B67" s="73" t="s">
        <v>8703</v>
      </c>
      <c r="C67" s="73" t="s">
        <v>8704</v>
      </c>
      <c r="D67" s="11" t="str">
        <f t="shared" si="11"/>
        <v>0,23336,2084039561,2084284892</v>
      </c>
      <c r="E67" s="3" t="str">
        <f ca="1">IFERROR(__xludf.DUMMYFUNCTION("GOOGLETRANSLATE(B67,""ja"",""vi"")"),"ổ đĩa DVD")</f>
        <v>ổ đĩa DVD</v>
      </c>
      <c r="F67" s="3" t="str">
        <f ca="1">IFERROR(__xludf.DUMMYFUNCTION("GOOGLETRANSLATE(C67,""ja"",""vi"")"),"Đấu giá&gt; máy tính&gt; thiết bị ngoại vi&gt; ổ đĩa DVD")</f>
        <v>Đấu giá&gt; máy tính&gt; thiết bị ngoại vi&gt; ổ đĩa DVD</v>
      </c>
      <c r="G67" s="227" t="str">
        <f t="shared" ref="G67:G128" ca="1" si="13">CONCATENATE(CHAR(34)&amp;"",A67,""&amp;CHAR(34)," : ", CHAR(34)&amp;"",E67,""&amp;CHAR(34),",")</f>
        <v>"2084284892" : "ổ đĩa DVD",</v>
      </c>
      <c r="H67" s="229" t="str">
        <f t="shared" si="12"/>
        <v>&lt;li class="col-md-3"&gt;&lt;a class="text-cut" href="javascript:;"(click)="categoryEvent(2084284892)"&gt;{{"2084284892" | translate}}&lt;/a&gt;&lt;/li&gt;</v>
      </c>
    </row>
    <row r="68" spans="1:8" ht="14.25" customHeight="1">
      <c r="A68" s="73">
        <v>2084284905</v>
      </c>
      <c r="B68" s="73" t="s">
        <v>8705</v>
      </c>
      <c r="C68" s="73" t="s">
        <v>8706</v>
      </c>
      <c r="D68" s="11" t="str">
        <f t="shared" si="11"/>
        <v>0,23336,2084039561,2084284905</v>
      </c>
      <c r="E68" s="3" t="str">
        <f ca="1">IFERROR(__xludf.DUMMYFUNCTION("GOOGLETRANSLATE(B68,""ja"",""vi"")"),"ổ đĩa CD")</f>
        <v>ổ đĩa CD</v>
      </c>
      <c r="F68" s="3" t="str">
        <f ca="1">IFERROR(__xludf.DUMMYFUNCTION("GOOGLETRANSLATE(C68,""ja"",""vi"")"),"Đấu giá&gt; máy tính&gt; thiết bị ngoại vi&gt; ổ đĩa CD")</f>
        <v>Đấu giá&gt; máy tính&gt; thiết bị ngoại vi&gt; ổ đĩa CD</v>
      </c>
      <c r="G68" s="227" t="str">
        <f t="shared" ca="1" si="13"/>
        <v>"2084284905" : "ổ đĩa CD",</v>
      </c>
      <c r="H68" s="229" t="str">
        <f t="shared" si="12"/>
        <v>&lt;li class="col-md-3"&gt;&lt;a class="text-cut" href="javascript:;"(click)="categoryEvent(2084284905)"&gt;{{"2084284905" | translate}}&lt;/a&gt;&lt;/li&gt;</v>
      </c>
    </row>
    <row r="69" spans="1:8" ht="14.25" customHeight="1">
      <c r="A69" s="73">
        <v>2084039601</v>
      </c>
      <c r="B69" s="73" t="s">
        <v>8707</v>
      </c>
      <c r="C69" s="73" t="s">
        <v>8708</v>
      </c>
      <c r="D69" s="11" t="str">
        <f t="shared" si="11"/>
        <v>0,23336,2084039561,2084039601</v>
      </c>
      <c r="E69" s="3" t="str">
        <f ca="1">IFERROR(__xludf.DUMMYFUNCTION("GOOGLETRANSLATE(B69,""ja"",""vi"")"),"ổ MO")</f>
        <v>ổ MO</v>
      </c>
      <c r="F69" s="3" t="str">
        <f ca="1">IFERROR(__xludf.DUMMYFUNCTION("GOOGLETRANSLATE(C69,""ja"",""vi"")"),"Đấu giá&gt; máy tính&gt; thiết bị ngoại vi&gt; ổ MO")</f>
        <v>Đấu giá&gt; máy tính&gt; thiết bị ngoại vi&gt; ổ MO</v>
      </c>
      <c r="G69" s="227" t="str">
        <f t="shared" ca="1" si="13"/>
        <v>"2084039601" : "ổ MO",</v>
      </c>
      <c r="H69" s="229" t="str">
        <f t="shared" si="12"/>
        <v>&lt;li class="col-md-3"&gt;&lt;a class="text-cut" href="javascript:;"(click)="categoryEvent(2084039601)"&gt;{{"2084039601" | translate}}&lt;/a&gt;&lt;/li&gt;</v>
      </c>
    </row>
    <row r="70" spans="1:8" ht="14.25" customHeight="1">
      <c r="A70" s="73">
        <v>23451</v>
      </c>
      <c r="B70" s="73" t="s">
        <v>8709</v>
      </c>
      <c r="C70" s="73" t="s">
        <v>8710</v>
      </c>
      <c r="D70" s="11" t="str">
        <f t="shared" si="11"/>
        <v>0,23336,2084039561,23451</v>
      </c>
      <c r="E70" s="3" t="str">
        <f ca="1">IFERROR(__xludf.DUMMYFUNCTION("GOOGLETRANSLATE(B70,""ja"",""vi"")"),"thiết bị băng")</f>
        <v>thiết bị băng</v>
      </c>
      <c r="F70" s="3" t="str">
        <f ca="1">IFERROR(__xludf.DUMMYFUNCTION("GOOGLETRANSLATE(C70,""ja"",""vi"")"),"Đấu giá&gt; máy tính&gt; thiết bị ngoại vi&gt; Thiết bị băng")</f>
        <v>Đấu giá&gt; máy tính&gt; thiết bị ngoại vi&gt; Thiết bị băng</v>
      </c>
      <c r="G70" s="227" t="str">
        <f t="shared" ca="1" si="13"/>
        <v>"23451" : "thiết bị băng",</v>
      </c>
      <c r="H70" s="229" t="str">
        <f t="shared" si="12"/>
        <v>&lt;li class="col-md-3"&gt;&lt;a class="text-cut" href="javascript:;"(click)="categoryEvent(23451)"&gt;{{"23451" | translate}}&lt;/a&gt;&lt;/li&gt;</v>
      </c>
    </row>
    <row r="71" spans="1:8" ht="14.25" customHeight="1">
      <c r="A71" s="73">
        <v>23449</v>
      </c>
      <c r="B71" s="73" t="s">
        <v>8712</v>
      </c>
      <c r="C71" s="73" t="s">
        <v>8713</v>
      </c>
      <c r="D71" s="11" t="str">
        <f t="shared" si="11"/>
        <v>0,23336,2084039561,23449</v>
      </c>
      <c r="E71" s="3" t="str">
        <f ca="1">IFERROR(__xludf.DUMMYFUNCTION("GOOGLETRANSLATE(B71,""ja"",""vi"")"),"Ổ đĩa mềm")</f>
        <v>Ổ đĩa mềm</v>
      </c>
      <c r="F71" s="3" t="str">
        <f ca="1">IFERROR(__xludf.DUMMYFUNCTION("GOOGLETRANSLATE(C71,""ja"",""vi"")"),"Đấu giá&gt; máy tính&gt; thiết bị ngoại vi&gt; ổ đĩa mềm")</f>
        <v>Đấu giá&gt; máy tính&gt; thiết bị ngoại vi&gt; ổ đĩa mềm</v>
      </c>
      <c r="G71" s="227" t="str">
        <f t="shared" ca="1" si="13"/>
        <v>"23449" : "Ổ đĩa mềm",</v>
      </c>
      <c r="H71" s="229" t="str">
        <f t="shared" si="12"/>
        <v>&lt;li class="col-md-3"&gt;&lt;a class="text-cut" href="javascript:;"(click)="categoryEvent(23449)"&gt;{{"23449" | translate}}&lt;/a&gt;&lt;/li&gt;</v>
      </c>
    </row>
    <row r="72" spans="1:8" ht="14.25" customHeight="1">
      <c r="A72" s="73">
        <v>23563</v>
      </c>
      <c r="B72" s="73" t="s">
        <v>8715</v>
      </c>
      <c r="C72" s="73" t="s">
        <v>8717</v>
      </c>
      <c r="D72" s="11" t="str">
        <f t="shared" si="11"/>
        <v>0,23336,2084039561,23563</v>
      </c>
      <c r="E72" s="3" t="str">
        <f ca="1">IFERROR(__xludf.DUMMYFUNCTION("GOOGLETRANSLATE(B72,""ja"",""vi"")"),"Monitor")</f>
        <v>Monitor</v>
      </c>
      <c r="F72" s="3" t="str">
        <f ca="1">IFERROR(__xludf.DUMMYFUNCTION("GOOGLETRANSLATE(C72,""ja"",""vi"")"),"Đấu giá&gt; máy tính&gt; thiết bị ngoại vi&gt; màn hình")</f>
        <v>Đấu giá&gt; máy tính&gt; thiết bị ngoại vi&gt; màn hình</v>
      </c>
      <c r="G72" s="227" t="str">
        <f t="shared" ca="1" si="13"/>
        <v>"23563" : "Monitor",</v>
      </c>
      <c r="H72" s="229" t="str">
        <f t="shared" si="12"/>
        <v>&lt;li class="col-md-3"&gt;&lt;a class="text-cut" href="javascript:;"(click)="categoryEvent(23563)"&gt;{{"23563" | translate}}&lt;/a&gt;&lt;/li&gt;</v>
      </c>
    </row>
    <row r="73" spans="1:8" ht="14.25" customHeight="1">
      <c r="A73" s="73">
        <v>2084039568</v>
      </c>
      <c r="B73" s="73" t="s">
        <v>8718</v>
      </c>
      <c r="C73" s="73" t="s">
        <v>8719</v>
      </c>
      <c r="D73" s="11" t="str">
        <f t="shared" si="11"/>
        <v>0,23336,2084039561,2084039568</v>
      </c>
      <c r="E73" s="3" t="str">
        <f ca="1">IFERROR(__xludf.DUMMYFUNCTION("GOOGLETRANSLATE(B73,""ja"",""vi"")"),"Máy in, máy vẽ")</f>
        <v>Máy in, máy vẽ</v>
      </c>
      <c r="F73" s="3" t="str">
        <f ca="1">IFERROR(__xludf.DUMMYFUNCTION("GOOGLETRANSLATE(C73,""ja"",""vi"")"),"Đấu giá&gt; máy tính&gt; thiết bị ngoại vi&gt; máy in, máy vẽ")</f>
        <v>Đấu giá&gt; máy tính&gt; thiết bị ngoại vi&gt; máy in, máy vẽ</v>
      </c>
      <c r="G73" s="227" t="str">
        <f t="shared" ca="1" si="13"/>
        <v>"2084039568" : "Máy in, máy vẽ",</v>
      </c>
      <c r="H73" s="229" t="str">
        <f t="shared" si="12"/>
        <v>&lt;li class="col-md-3"&gt;&lt;a class="text-cut" href="javascript:;"(click)="categoryEvent(2084039568)"&gt;{{"2084039568" | translate}}&lt;/a&gt;&lt;/li&gt;</v>
      </c>
    </row>
    <row r="74" spans="1:8" ht="14.25" customHeight="1">
      <c r="A74" s="73">
        <v>2084059821</v>
      </c>
      <c r="B74" s="73" t="s">
        <v>8720</v>
      </c>
      <c r="C74" s="73" t="s">
        <v>8721</v>
      </c>
      <c r="D74" s="11" t="str">
        <f t="shared" si="11"/>
        <v>0,23336,2084039561,2084059821</v>
      </c>
      <c r="E74" s="3" t="str">
        <f ca="1">IFERROR(__xludf.DUMMYFUNCTION("GOOGLETRANSLATE(B74,""ja"",""vi"")"),"MFP")</f>
        <v>MFP</v>
      </c>
      <c r="F74" s="3" t="str">
        <f ca="1">IFERROR(__xludf.DUMMYFUNCTION("GOOGLETRANSLATE(C74,""ja"",""vi"")"),"Đấu giá&gt; máy tính&gt; thiết bị ngoại vi&gt; Máy đa chức năng")</f>
        <v>Đấu giá&gt; máy tính&gt; thiết bị ngoại vi&gt; Máy đa chức năng</v>
      </c>
      <c r="G74" s="227" t="str">
        <f t="shared" ca="1" si="13"/>
        <v>"2084059821" : "MFP",</v>
      </c>
      <c r="H74" s="229" t="str">
        <f t="shared" si="12"/>
        <v>&lt;li class="col-md-3"&gt;&lt;a class="text-cut" href="javascript:;"(click)="categoryEvent(2084059821)"&gt;{{"2084059821" | translate}}&lt;/a&gt;&lt;/li&gt;</v>
      </c>
    </row>
    <row r="75" spans="1:8" ht="14.25" customHeight="1">
      <c r="A75" s="73">
        <v>26400</v>
      </c>
      <c r="B75" s="73" t="s">
        <v>8723</v>
      </c>
      <c r="C75" s="73" t="s">
        <v>8724</v>
      </c>
      <c r="D75" s="11" t="str">
        <f t="shared" si="11"/>
        <v>0,23336,2084039561,26400</v>
      </c>
      <c r="E75" s="3" t="str">
        <f ca="1">IFERROR(__xludf.DUMMYFUNCTION("GOOGLETRANSLATE(B75,""ja"",""vi"")"),"mạng")</f>
        <v>mạng</v>
      </c>
      <c r="F75" s="3" t="str">
        <f ca="1">IFERROR(__xludf.DUMMYFUNCTION("GOOGLETRANSLATE(C75,""ja"",""vi"")"),"Đấu giá&gt; máy tính&gt; thiết bị ngoại vi&gt; mạng")</f>
        <v>Đấu giá&gt; máy tính&gt; thiết bị ngoại vi&gt; mạng</v>
      </c>
      <c r="G75" s="227" t="str">
        <f t="shared" ca="1" si="13"/>
        <v>"26400" : "mạng",</v>
      </c>
      <c r="H75" s="229" t="str">
        <f t="shared" si="12"/>
        <v>&lt;li class="col-md-3"&gt;&lt;a class="text-cut" href="javascript:;"(click)="categoryEvent(26400)"&gt;{{"26400" | translate}}&lt;/a&gt;&lt;/li&gt;</v>
      </c>
    </row>
    <row r="76" spans="1:8" ht="14.25" customHeight="1">
      <c r="A76" s="73">
        <v>2084039607</v>
      </c>
      <c r="B76" s="73" t="s">
        <v>8725</v>
      </c>
      <c r="C76" s="73" t="s">
        <v>8726</v>
      </c>
      <c r="D76" s="11" t="str">
        <f t="shared" si="11"/>
        <v>0,23336,2084039561,2084039607</v>
      </c>
      <c r="E76" s="3" t="str">
        <f ca="1">IFERROR(__xludf.DUMMYFUNCTION("GOOGLETRANSLATE(B76,""ja"",""vi"")"),"thiết bị đầu vào")</f>
        <v>thiết bị đầu vào</v>
      </c>
      <c r="F76" s="3" t="str">
        <f ca="1">IFERROR(__xludf.DUMMYFUNCTION("GOOGLETRANSLATE(C76,""ja"",""vi"")"),"Đấu giá&gt; máy tính&gt; thiết bị ngoại vi&gt; thiết bị đầu vào")</f>
        <v>Đấu giá&gt; máy tính&gt; thiết bị ngoại vi&gt; thiết bị đầu vào</v>
      </c>
      <c r="G76" s="227" t="str">
        <f t="shared" ca="1" si="13"/>
        <v>"2084039607" : "thiết bị đầu vào",</v>
      </c>
      <c r="H76" s="229" t="str">
        <f t="shared" si="12"/>
        <v>&lt;li class="col-md-3"&gt;&lt;a class="text-cut" href="javascript:;"(click)="categoryEvent(2084039607)"&gt;{{"2084039607" | translate}}&lt;/a&gt;&lt;/li&gt;</v>
      </c>
    </row>
    <row r="77" spans="1:8" ht="14.25" customHeight="1">
      <c r="A77" s="73">
        <v>23440</v>
      </c>
      <c r="B77" s="73" t="s">
        <v>8727</v>
      </c>
      <c r="C77" s="73" t="s">
        <v>8728</v>
      </c>
      <c r="D77" s="11" t="str">
        <f t="shared" si="11"/>
        <v>0,23336,2084039561,23440</v>
      </c>
      <c r="E77" s="3" t="str">
        <f ca="1">IFERROR(__xludf.DUMMYFUNCTION("GOOGLETRANSLATE(B77,""ja"",""vi"")"),"Scanner")</f>
        <v>Scanner</v>
      </c>
      <c r="F77" s="3" t="str">
        <f ca="1">IFERROR(__xludf.DUMMYFUNCTION("GOOGLETRANSLATE(C77,""ja"",""vi"")"),"Đấu giá&gt; máy tính&gt; thiết bị ngoại vi&gt; máy quét")</f>
        <v>Đấu giá&gt; máy tính&gt; thiết bị ngoại vi&gt; máy quét</v>
      </c>
      <c r="G77" s="227" t="str">
        <f t="shared" ca="1" si="13"/>
        <v>"23440" : "Scanner",</v>
      </c>
      <c r="H77" s="229" t="str">
        <f t="shared" si="12"/>
        <v>&lt;li class="col-md-3"&gt;&lt;a class="text-cut" href="javascript:;"(click)="categoryEvent(23440)"&gt;{{"23440" | translate}}&lt;/a&gt;&lt;/li&gt;</v>
      </c>
    </row>
    <row r="78" spans="1:8" ht="14.25" customHeight="1">
      <c r="A78" s="73">
        <v>2084039703</v>
      </c>
      <c r="B78" s="73" t="s">
        <v>7466</v>
      </c>
      <c r="C78" s="73" t="s">
        <v>8729</v>
      </c>
      <c r="D78" s="11" t="str">
        <f t="shared" si="11"/>
        <v>0,23336,2084039561,2084039703</v>
      </c>
      <c r="E78" s="3" t="str">
        <f ca="1">IFERROR(__xludf.DUMMYFUNCTION("GOOGLETRANSLATE(B78,""ja"",""vi"")"),"Sound")</f>
        <v>Sound</v>
      </c>
      <c r="F78" s="3" t="str">
        <f ca="1">IFERROR(__xludf.DUMMYFUNCTION("GOOGLETRANSLATE(C78,""ja"",""vi"")"),"Đấu giá&gt; máy tính&gt; thiết bị ngoại vi&gt; Sound")</f>
        <v>Đấu giá&gt; máy tính&gt; thiết bị ngoại vi&gt; Sound</v>
      </c>
      <c r="G78" s="227" t="str">
        <f t="shared" ca="1" si="13"/>
        <v>"2084039703" : "Sound",</v>
      </c>
      <c r="H78" s="229" t="str">
        <f t="shared" si="12"/>
        <v>&lt;li class="col-md-3"&gt;&lt;a class="text-cut" href="javascript:;"(click)="categoryEvent(2084039703)"&gt;{{"2084039703" | translate}}&lt;/a&gt;&lt;/li&gt;</v>
      </c>
    </row>
    <row r="79" spans="1:8" ht="14.25" customHeight="1">
      <c r="A79" s="73">
        <v>2084039724</v>
      </c>
      <c r="B79" s="73" t="s">
        <v>8730</v>
      </c>
      <c r="C79" s="73" t="s">
        <v>8731</v>
      </c>
      <c r="D79" s="11" t="str">
        <f t="shared" si="11"/>
        <v>0,23336,2084039561,2084039724</v>
      </c>
      <c r="E79" s="3" t="str">
        <f ca="1">IFERROR(__xludf.DUMMYFUNCTION("GOOGLETRANSLATE(B79,""ja"",""vi"")"),"thiết bị video kỹ thuật số")</f>
        <v>thiết bị video kỹ thuật số</v>
      </c>
      <c r="F79" s="3" t="str">
        <f ca="1">IFERROR(__xludf.DUMMYFUNCTION("GOOGLETRANSLATE(C79,""ja"",""vi"")"),"Đấu giá&gt; máy tính&gt; thiết bị ngoại vi&gt; thiết bị video kỹ thuật số")</f>
        <v>Đấu giá&gt; máy tính&gt; thiết bị ngoại vi&gt; thiết bị video kỹ thuật số</v>
      </c>
      <c r="G79" s="227" t="str">
        <f t="shared" ca="1" si="13"/>
        <v>"2084039724" : "thiết bị video kỹ thuật số",</v>
      </c>
      <c r="H79" s="229" t="str">
        <f t="shared" si="12"/>
        <v>&lt;li class="col-md-3"&gt;&lt;a class="text-cut" href="javascript:;"(click)="categoryEvent(2084039724)"&gt;{{"2084039724" | translate}}&lt;/a&gt;&lt;/li&gt;</v>
      </c>
    </row>
    <row r="80" spans="1:8" ht="14.25" customHeight="1">
      <c r="A80" s="73">
        <v>2084039702</v>
      </c>
      <c r="B80" s="73" t="s">
        <v>8732</v>
      </c>
      <c r="C80" s="73" t="s">
        <v>8733</v>
      </c>
      <c r="D80" s="11" t="str">
        <f t="shared" si="11"/>
        <v>0,23336,2084039561,2084039702</v>
      </c>
      <c r="E80" s="3" t="str">
        <f ca="1">IFERROR(__xludf.DUMMYFUNCTION("GOOGLETRANSLATE(B80,""ja"",""vi"")"),"UPS, cung cấp điện liên tục")</f>
        <v>UPS, cung cấp điện liên tục</v>
      </c>
      <c r="F80" s="3" t="str">
        <f ca="1">IFERROR(__xludf.DUMMYFUNCTION("GOOGLETRANSLATE(C80,""ja"",""vi"")"),"Đấu giá&gt; máy tính&gt; thiết bị ngoại vi&gt; UPS, cung cấp điện liên tục")</f>
        <v>Đấu giá&gt; máy tính&gt; thiết bị ngoại vi&gt; UPS, cung cấp điện liên tục</v>
      </c>
      <c r="G80" s="227" t="str">
        <f t="shared" ca="1" si="13"/>
        <v>"2084039702" : "UPS, cung cấp điện liên tục",</v>
      </c>
      <c r="H80" s="229" t="str">
        <f t="shared" si="12"/>
        <v>&lt;li class="col-md-3"&gt;&lt;a class="text-cut" href="javascript:;"(click)="categoryEvent(2084039702)"&gt;{{"2084039702" | translate}}&lt;/a&gt;&lt;/li&gt;</v>
      </c>
    </row>
    <row r="81" spans="1:8" ht="14.25" customHeight="1">
      <c r="A81" s="73">
        <v>2084041642</v>
      </c>
      <c r="B81" s="73" t="s">
        <v>8734</v>
      </c>
      <c r="C81" s="73" t="s">
        <v>8735</v>
      </c>
      <c r="D81" s="11" t="str">
        <f t="shared" si="11"/>
        <v>0,23336,2084039561,2084041642</v>
      </c>
      <c r="E81" s="3" t="str">
        <f ca="1">IFERROR(__xludf.DUMMYFUNCTION("GOOGLETRANSLATE(B81,""ja"",""vi"")"),"Đối với Mac")</f>
        <v>Đối với Mac</v>
      </c>
      <c r="F81" s="3" t="str">
        <f ca="1">IFERROR(__xludf.DUMMYFUNCTION("GOOGLETRANSLATE(C81,""ja"",""vi"")"),"Đấu giá&gt; máy tính&gt; thiết bị ngoại vi&gt; dành cho Mac")</f>
        <v>Đấu giá&gt; máy tính&gt; thiết bị ngoại vi&gt; dành cho Mac</v>
      </c>
      <c r="G81" s="227" t="str">
        <f t="shared" ca="1" si="13"/>
        <v>"2084041642" : "Đối với Mac",</v>
      </c>
      <c r="H81" s="229" t="str">
        <f t="shared" si="12"/>
        <v>&lt;li class="col-md-3"&gt;&lt;a class="text-cut" href="javascript:;"(click)="categoryEvent(2084041642)"&gt;{{"2084041642" | translate}}&lt;/a&gt;&lt;/li&gt;</v>
      </c>
    </row>
    <row r="82" spans="1:8" ht="14.25" customHeight="1">
      <c r="A82" s="73">
        <v>2084047094</v>
      </c>
      <c r="B82" s="73" t="s">
        <v>8737</v>
      </c>
      <c r="C82" s="73" t="s">
        <v>8739</v>
      </c>
      <c r="D82" s="11" t="str">
        <f t="shared" si="11"/>
        <v>0,23336,2084039561,2084047094</v>
      </c>
      <c r="E82" s="3" t="str">
        <f ca="1">IFERROR(__xludf.DUMMYFUNCTION("GOOGLETRANSLATE(B82,""ja"",""vi"")"),"cho máy trạm")</f>
        <v>cho máy trạm</v>
      </c>
      <c r="F82" s="3" t="str">
        <f ca="1">IFERROR(__xludf.DUMMYFUNCTION("GOOGLETRANSLATE(C82,""ja"",""vi"")"),"Đấu giá&gt; máy tính&gt; thiết bị ngoại vi&gt; cho máy trạm")</f>
        <v>Đấu giá&gt; máy tính&gt; thiết bị ngoại vi&gt; cho máy trạm</v>
      </c>
      <c r="G82" s="227" t="str">
        <f t="shared" ca="1" si="13"/>
        <v>"2084047094" : "cho máy trạm",</v>
      </c>
      <c r="H82" s="229" t="str">
        <f t="shared" si="12"/>
        <v>&lt;li class="col-md-3"&gt;&lt;a class="text-cut" href="javascript:;"(click)="categoryEvent(2084047094)"&gt;{{"2084047094" | translate}}&lt;/a&gt;&lt;/li&gt;</v>
      </c>
    </row>
    <row r="83" spans="1:8" ht="14.25" customHeight="1">
      <c r="A83" s="73">
        <v>2084048551</v>
      </c>
      <c r="B83" s="73" t="s">
        <v>16</v>
      </c>
      <c r="C83" s="73" t="s">
        <v>8740</v>
      </c>
      <c r="D83" s="11" t="str">
        <f t="shared" si="11"/>
        <v>0,23336,2084039561,2084048551</v>
      </c>
      <c r="E83" s="3" t="str">
        <f ca="1">IFERROR(__xludf.DUMMYFUNCTION("GOOGLETRANSLATE(B83,""ja"",""vi"")"),"nếu không thì")</f>
        <v>nếu không thì</v>
      </c>
      <c r="F83" s="3" t="str">
        <f ca="1">IFERROR(__xludf.DUMMYFUNCTION("GOOGLETRANSLATE(C83,""ja"",""vi"")"),"Đấu giá&gt; máy tính&gt; thiết bị ngoại vi&gt; Khác")</f>
        <v>Đấu giá&gt; máy tính&gt; thiết bị ngoại vi&gt; Khác</v>
      </c>
      <c r="G83" s="227" t="str">
        <f t="shared" ca="1" si="13"/>
        <v>"2084048551" : "nếu không thì",</v>
      </c>
      <c r="H83" s="229" t="str">
        <f t="shared" si="12"/>
        <v>&lt;li class="col-md-3"&gt;&lt;a class="text-cut" href="javascript:;"(click)="categoryEvent(2084048551)"&gt;{{"2084048551" | translate}}&lt;/a&gt;&lt;/li&gt;</v>
      </c>
    </row>
    <row r="84" spans="1:8" ht="14.25" customHeight="1">
      <c r="E84" s="3"/>
      <c r="F84" s="3"/>
      <c r="G84" s="227"/>
    </row>
    <row r="85" spans="1:8" ht="14.25" customHeight="1">
      <c r="E85" s="3"/>
      <c r="F85" s="3"/>
      <c r="G85" s="227"/>
    </row>
    <row r="86" spans="1:8" ht="14.25" customHeight="1">
      <c r="A86" s="293">
        <v>23568</v>
      </c>
      <c r="B86" s="232"/>
      <c r="C86" s="232"/>
      <c r="D86" s="233"/>
      <c r="E86" s="3"/>
      <c r="F86" s="3"/>
      <c r="G86" s="227"/>
    </row>
    <row r="87" spans="1:8" ht="14.25" customHeight="1">
      <c r="A87" s="73">
        <v>2084316262</v>
      </c>
      <c r="B87" s="73" t="s">
        <v>8746</v>
      </c>
      <c r="C87" s="73" t="s">
        <v>8747</v>
      </c>
      <c r="D87" s="11" t="str">
        <f t="shared" ref="D87:D88" si="14">CONCATENATE("0,","23336,23568,",A87)</f>
        <v>0,23336,23568,2084316262</v>
      </c>
      <c r="E87" s="3" t="str">
        <f ca="1">IFERROR(__xludf.DUMMYFUNCTION("GOOGLETRANSLATE(B87,""ja"",""vi"")"),"Tải về phiên bản")</f>
        <v>Tải về phiên bản</v>
      </c>
      <c r="F87" s="3" t="str">
        <f ca="1">IFERROR(__xludf.DUMMYFUNCTION("GOOGLETRANSLATE(C87,""ja"",""vi"")"),"Đấu giá&gt; máy tính&gt; Phần mềm&gt; phiên bản tải về")</f>
        <v>Đấu giá&gt; máy tính&gt; Phần mềm&gt; phiên bản tải về</v>
      </c>
      <c r="G87" s="227" t="str">
        <f t="shared" ca="1" si="13"/>
        <v>"2084316262" : "Tải về phiên bản",</v>
      </c>
      <c r="H87" s="229" t="str">
        <f t="shared" ref="H87:H88" si="15">CONCATENATE("&lt;li class=",CHAR(34)&amp;"","col-md-3",""&amp;CHAR(34),"&gt;","&lt;a class=",CHAR(34)&amp;"","text-cut",""&amp;CHAR(34)," href=",CHAR(34)&amp;"","javascript:;",""&amp;CHAR(34), "(click)=",CHAR(34)&amp;"","categoryEvent(",A87,")",""&amp;CHAR(34),"&gt;{{",CHAR(34)&amp;"",A87,""&amp;CHAR(34)," | translate}}&lt;/a&gt;&lt;/li&gt;")</f>
        <v>&lt;li class="col-md-3"&gt;&lt;a class="text-cut" href="javascript:;"(click)="categoryEvent(2084316262)"&gt;{{"2084316262" | translate}}&lt;/a&gt;&lt;/li&gt;</v>
      </c>
    </row>
    <row r="88" spans="1:8" ht="14.25" customHeight="1">
      <c r="A88" s="73">
        <v>2084316263</v>
      </c>
      <c r="B88" s="73" t="s">
        <v>8749</v>
      </c>
      <c r="C88" s="73" t="s">
        <v>8752</v>
      </c>
      <c r="D88" s="11" t="str">
        <f t="shared" si="14"/>
        <v>0,23336,23568,2084316263</v>
      </c>
      <c r="E88" s="3" t="str">
        <f ca="1">IFERROR(__xludf.DUMMYFUNCTION("GOOGLETRANSLATE(B88,""ja"",""vi"")"),"phiên bản gói")</f>
        <v>phiên bản gói</v>
      </c>
      <c r="F88" s="3" t="str">
        <f ca="1">IFERROR(__xludf.DUMMYFUNCTION("GOOGLETRANSLATE(C88,""ja"",""vi"")"),"Đấu giá&gt; máy tính&gt; Phần mềm&gt; gói phiên bản &lt;")</f>
        <v>Đấu giá&gt; máy tính&gt; Phần mềm&gt; gói phiên bản &lt;</v>
      </c>
      <c r="G88" s="227" t="str">
        <f t="shared" ca="1" si="13"/>
        <v>"2084316263" : "phiên bản gói",</v>
      </c>
      <c r="H88" s="229" t="str">
        <f t="shared" si="15"/>
        <v>&lt;li class="col-md-3"&gt;&lt;a class="text-cut" href="javascript:;"(click)="categoryEvent(2084316263)"&gt;{{"2084316263" | translate}}&lt;/a&gt;&lt;/li&gt;</v>
      </c>
    </row>
    <row r="89" spans="1:8" ht="14.25" customHeight="1">
      <c r="E89" s="3"/>
      <c r="F89" s="3"/>
      <c r="G89" s="227"/>
    </row>
    <row r="90" spans="1:8" ht="14.25" customHeight="1">
      <c r="E90" s="3"/>
      <c r="F90" s="3"/>
      <c r="G90" s="227"/>
    </row>
    <row r="91" spans="1:8" ht="14.25" customHeight="1">
      <c r="A91" s="294">
        <v>2084039461</v>
      </c>
      <c r="B91" s="232"/>
      <c r="C91" s="232"/>
      <c r="D91" s="233"/>
      <c r="E91" s="3"/>
      <c r="F91" s="3"/>
      <c r="G91" s="227"/>
    </row>
    <row r="92" spans="1:8" ht="14.25" customHeight="1">
      <c r="A92" s="73">
        <v>23420</v>
      </c>
      <c r="B92" s="73" t="s">
        <v>8756</v>
      </c>
      <c r="C92" s="73" t="s">
        <v>8757</v>
      </c>
      <c r="D92" s="11" t="str">
        <f t="shared" ref="D92:D98" si="16">CONCATENATE("0,","23336,2084039461,",A92)</f>
        <v>0,23336,2084039461,23420</v>
      </c>
      <c r="E92" s="3" t="str">
        <f ca="1">IFERROR(__xludf.DUMMYFUNCTION("GOOGLETRANSLATE(B92,""ja"",""vi"")"),"Vật tư cho máy in")</f>
        <v>Vật tư cho máy in</v>
      </c>
      <c r="F92" s="3" t="str">
        <f ca="1">IFERROR(__xludf.DUMMYFUNCTION("GOOGLETRANSLATE(C92,""ja"",""vi"")"),"Đấu giá&gt; máy tính&gt; cung cấp&gt; cung cấp cho máy in")</f>
        <v>Đấu giá&gt; máy tính&gt; cung cấp&gt; cung cấp cho máy in</v>
      </c>
      <c r="G92" s="227" t="str">
        <f t="shared" ca="1" si="13"/>
        <v>"23420" : "Vật tư cho máy in",</v>
      </c>
      <c r="H92" s="229" t="str">
        <f t="shared" ref="H92:H98" si="17">CONCATENATE("&lt;li class=",CHAR(34)&amp;"","col-md-3",""&amp;CHAR(34),"&gt;","&lt;a class=",CHAR(34)&amp;"","text-cut",""&amp;CHAR(34)," href=",CHAR(34)&amp;"","javascript:;",""&amp;CHAR(34), "(click)=",CHAR(34)&amp;"","categoryEvent(",A92,")",""&amp;CHAR(34),"&gt;{{",CHAR(34)&amp;"",A92,""&amp;CHAR(34)," | translate}}&lt;/a&gt;&lt;/li&gt;")</f>
        <v>&lt;li class="col-md-3"&gt;&lt;a class="text-cut" href="javascript:;"(click)="categoryEvent(23420)"&gt;{{"23420" | translate}}&lt;/a&gt;&lt;/li&gt;</v>
      </c>
    </row>
    <row r="93" spans="1:8" ht="14.25" customHeight="1">
      <c r="A93" s="73">
        <v>2084039469</v>
      </c>
      <c r="B93" s="74" t="s">
        <v>8759</v>
      </c>
      <c r="C93" s="73" t="s">
        <v>8760</v>
      </c>
      <c r="D93" s="11" t="str">
        <f t="shared" si="16"/>
        <v>0,23336,2084039461,2084039469</v>
      </c>
      <c r="E93" s="3" t="str">
        <f ca="1">IFERROR(__xludf.DUMMYFUNCTION("GOOGLETRANSLATE(B93,""ja"",""vi"")"),"&gt; Bộ nhớ Recording")</f>
        <v>&gt; Bộ nhớ Recording</v>
      </c>
      <c r="F93" s="3" t="str">
        <f ca="1">IFERROR(__xludf.DUMMYFUNCTION("GOOGLETRANSLATE(C93,""ja"",""vi"")"),"Đấu giá&gt; máy tính&gt; cung cấp&gt; bộ nhớ để ghi âm")</f>
        <v>Đấu giá&gt; máy tính&gt; cung cấp&gt; bộ nhớ để ghi âm</v>
      </c>
      <c r="G93" s="227" t="str">
        <f t="shared" ca="1" si="13"/>
        <v>"2084039469" : "&gt; Bộ nhớ Recording",</v>
      </c>
      <c r="H93" s="229" t="str">
        <f t="shared" si="17"/>
        <v>&lt;li class="col-md-3"&gt;&lt;a class="text-cut" href="javascript:;"(click)="categoryEvent(2084039469)"&gt;{{"2084039469" | translate}}&lt;/a&gt;&lt;/li&gt;</v>
      </c>
    </row>
    <row r="94" spans="1:8" ht="14.25" customHeight="1">
      <c r="A94" s="73">
        <v>2084039462</v>
      </c>
      <c r="B94" s="73" t="s">
        <v>8761</v>
      </c>
      <c r="C94" s="73" t="s">
        <v>8762</v>
      </c>
      <c r="D94" s="11" t="str">
        <f t="shared" si="16"/>
        <v>0,23336,2084039461,2084039462</v>
      </c>
      <c r="E94" s="3" t="str">
        <f ca="1">IFERROR(__xludf.DUMMYFUNCTION("GOOGLETRANSLATE(B94,""ja"",""vi"")"),"đĩa ghi âm")</f>
        <v>đĩa ghi âm</v>
      </c>
      <c r="F94" s="3" t="str">
        <f ca="1">IFERROR(__xludf.DUMMYFUNCTION("GOOGLETRANSLATE(C94,""ja"",""vi"")"),"Đấu giá&gt; máy tính&gt; cung cấp&gt; đĩa ghi âm")</f>
        <v>Đấu giá&gt; máy tính&gt; cung cấp&gt; đĩa ghi âm</v>
      </c>
      <c r="G94" s="227" t="str">
        <f t="shared" ca="1" si="13"/>
        <v>"2084039462" : "đĩa ghi âm",</v>
      </c>
      <c r="H94" s="229" t="str">
        <f t="shared" si="17"/>
        <v>&lt;li class="col-md-3"&gt;&lt;a class="text-cut" href="javascript:;"(click)="categoryEvent(2084039462)"&gt;{{"2084039462" | translate}}&lt;/a&gt;&lt;/li&gt;</v>
      </c>
    </row>
    <row r="95" spans="1:8" ht="14.25" customHeight="1">
      <c r="A95" s="73">
        <v>2084049581</v>
      </c>
      <c r="B95" s="73" t="s">
        <v>8763</v>
      </c>
      <c r="C95" s="73" t="s">
        <v>8764</v>
      </c>
      <c r="D95" s="11" t="str">
        <f t="shared" si="16"/>
        <v>0,23336,2084039461,2084049581</v>
      </c>
      <c r="E95" s="3" t="str">
        <f ca="1">IFERROR(__xludf.DUMMYFUNCTION("GOOGLETRANSLATE(B95,""ja"",""vi"")"),"trường hợp")</f>
        <v>trường hợp</v>
      </c>
      <c r="F95" s="3" t="str">
        <f ca="1">IFERROR(__xludf.DUMMYFUNCTION("GOOGLETRANSLATE(C95,""ja"",""vi"")"),"Đấu giá&gt; máy tính&gt; cung cấp&gt; trường hợp")</f>
        <v>Đấu giá&gt; máy tính&gt; cung cấp&gt; trường hợp</v>
      </c>
      <c r="G95" s="227" t="str">
        <f t="shared" ca="1" si="13"/>
        <v>"2084049581" : "trường hợp",</v>
      </c>
      <c r="H95" s="229" t="str">
        <f t="shared" si="17"/>
        <v>&lt;li class="col-md-3"&gt;&lt;a class="text-cut" href="javascript:;"(click)="categoryEvent(2084049581)"&gt;{{"2084049581" | translate}}&lt;/a&gt;&lt;/li&gt;</v>
      </c>
    </row>
    <row r="96" spans="1:8" ht="14.25" customHeight="1">
      <c r="A96" s="73">
        <v>2084313798</v>
      </c>
      <c r="B96" s="73" t="s">
        <v>8765</v>
      </c>
      <c r="C96" s="73" t="s">
        <v>8766</v>
      </c>
      <c r="D96" s="11" t="str">
        <f t="shared" si="16"/>
        <v>0,23336,2084039461,2084313798</v>
      </c>
      <c r="E96" s="3" t="str">
        <f ca="1">IFERROR(__xludf.DUMMYFUNCTION("GOOGLETRANSLATE(B96,""ja"",""vi"")"),"Seal, dán")</f>
        <v>Seal, dán</v>
      </c>
      <c r="F96" s="3" t="str">
        <f ca="1">IFERROR(__xludf.DUMMYFUNCTION("GOOGLETRANSLATE(C96,""ja"",""vi"")"),"Đấu giá&gt; máy tính&gt; cung cấp&gt; con dấu, nhãn dán")</f>
        <v>Đấu giá&gt; máy tính&gt; cung cấp&gt; con dấu, nhãn dán</v>
      </c>
      <c r="G96" s="227" t="str">
        <f t="shared" ca="1" si="13"/>
        <v>"2084313798" : "Seal, dán",</v>
      </c>
      <c r="H96" s="229" t="str">
        <f t="shared" si="17"/>
        <v>&lt;li class="col-md-3"&gt;&lt;a class="text-cut" href="javascript:;"(click)="categoryEvent(2084313798)"&gt;{{"2084313798" | translate}}&lt;/a&gt;&lt;/li&gt;</v>
      </c>
    </row>
    <row r="97" spans="1:8" ht="14.25" customHeight="1">
      <c r="A97" s="73">
        <v>2084313797</v>
      </c>
      <c r="B97" s="73" t="s">
        <v>8767</v>
      </c>
      <c r="C97" s="73" t="s">
        <v>8768</v>
      </c>
      <c r="D97" s="11" t="str">
        <f t="shared" si="16"/>
        <v>0,23336,2084039461,2084313797</v>
      </c>
      <c r="E97" s="3" t="str">
        <f ca="1">IFERROR(__xludf.DUMMYFUNCTION("GOOGLETRANSLATE(B97,""ja"",""vi"")"),"Cleaner, sản phẩm làm sạch")</f>
        <v>Cleaner, sản phẩm làm sạch</v>
      </c>
      <c r="F97" s="3" t="str">
        <f ca="1">IFERROR(__xludf.DUMMYFUNCTION("GOOGLETRANSLATE(C97,""ja"",""vi"")"),"Đấu giá&gt; máy tính&gt; cung cấp&gt; sạch, các sản phẩm làm sạch")</f>
        <v>Đấu giá&gt; máy tính&gt; cung cấp&gt; sạch, các sản phẩm làm sạch</v>
      </c>
      <c r="G97" s="227" t="str">
        <f t="shared" ca="1" si="13"/>
        <v>"2084313797" : "Cleaner, sản phẩm làm sạch",</v>
      </c>
      <c r="H97" s="229" t="str">
        <f t="shared" si="17"/>
        <v>&lt;li class="col-md-3"&gt;&lt;a class="text-cut" href="javascript:;"(click)="categoryEvent(2084313797)"&gt;{{"2084313797" | translate}}&lt;/a&gt;&lt;/li&gt;</v>
      </c>
    </row>
    <row r="98" spans="1:8" ht="14.25" customHeight="1">
      <c r="A98" s="73">
        <v>2084047166</v>
      </c>
      <c r="B98" s="73" t="s">
        <v>8771</v>
      </c>
      <c r="C98" s="73" t="s">
        <v>8772</v>
      </c>
      <c r="D98" s="11" t="str">
        <f t="shared" si="16"/>
        <v>0,23336,2084039461,2084047166</v>
      </c>
      <c r="E98" s="3" t="str">
        <f ca="1">IFERROR(__xludf.DUMMYFUNCTION("GOOGLETRANSLATE(B98,""ja"",""vi"")"),"chuột pad")</f>
        <v>chuột pad</v>
      </c>
      <c r="F98" s="3" t="str">
        <f ca="1">IFERROR(__xludf.DUMMYFUNCTION("GOOGLETRANSLATE(C98,""ja"",""vi"")"),"Đấu giá&gt; máy tính&gt; cung cấp&gt; mouse pad")</f>
        <v>Đấu giá&gt; máy tính&gt; cung cấp&gt; mouse pad</v>
      </c>
      <c r="G98" s="227" t="str">
        <f t="shared" ca="1" si="13"/>
        <v>"2084047166" : "chuột pad",</v>
      </c>
      <c r="H98" s="229" t="str">
        <f t="shared" si="17"/>
        <v>&lt;li class="col-md-3"&gt;&lt;a class="text-cut" href="javascript:;"(click)="categoryEvent(2084047166)"&gt;{{"2084047166" | translate}}&lt;/a&gt;&lt;/li&gt;</v>
      </c>
    </row>
    <row r="99" spans="1:8" ht="14.25" customHeight="1">
      <c r="E99" s="3"/>
      <c r="F99" s="3"/>
      <c r="G99" s="227"/>
    </row>
    <row r="100" spans="1:8" ht="14.25" customHeight="1">
      <c r="E100" s="3"/>
      <c r="F100" s="3"/>
      <c r="G100" s="227"/>
    </row>
    <row r="101" spans="1:8" ht="14.25" customHeight="1">
      <c r="A101" s="295">
        <v>2084039480</v>
      </c>
      <c r="B101" s="232"/>
      <c r="C101" s="232"/>
      <c r="D101" s="233"/>
      <c r="E101" s="3"/>
      <c r="F101" s="3"/>
      <c r="G101" s="227"/>
    </row>
    <row r="102" spans="1:8" ht="14.25" customHeight="1">
      <c r="A102" s="73">
        <v>23400</v>
      </c>
      <c r="B102" s="73" t="s">
        <v>8780</v>
      </c>
      <c r="C102" s="73" t="s">
        <v>8781</v>
      </c>
      <c r="D102" s="11" t="str">
        <f t="shared" ref="D102:D111" si="18">CONCATENATE("0,","23336,2084039480,",A102)</f>
        <v>0,23336,2084039480,23400</v>
      </c>
      <c r="E102" s="3" t="str">
        <f ca="1">IFERROR(__xludf.DUMMYFUNCTION("GOOGLETRANSLATE(B102,""ja"",""vi"")"),"CPU")</f>
        <v>CPU</v>
      </c>
      <c r="F102" s="3" t="str">
        <f ca="1">IFERROR(__xludf.DUMMYFUNCTION("GOOGLETRANSLATE(C102,""ja"",""vi"")"),"Đấu giá&gt; máy tính&gt; phụ tùng&gt; CPU")</f>
        <v>Đấu giá&gt; máy tính&gt; phụ tùng&gt; CPU</v>
      </c>
      <c r="G102" s="227" t="str">
        <f t="shared" ca="1" si="13"/>
        <v>"23400" : "CPU",</v>
      </c>
      <c r="H102" s="229" t="str">
        <f t="shared" ref="H102:H111" si="19">CONCATENATE("&lt;li class=",CHAR(34)&amp;"","col-md-3",""&amp;CHAR(34),"&gt;","&lt;a class=",CHAR(34)&amp;"","text-cut",""&amp;CHAR(34)," href=",CHAR(34)&amp;"","javascript:;",""&amp;CHAR(34), "(click)=",CHAR(34)&amp;"","categoryEvent(",A102,")",""&amp;CHAR(34),"&gt;{{",CHAR(34)&amp;"",A102,""&amp;CHAR(34)," | translate}}&lt;/a&gt;&lt;/li&gt;")</f>
        <v>&lt;li class="col-md-3"&gt;&lt;a class="text-cut" href="javascript:;"(click)="categoryEvent(23400)"&gt;{{"23400" | translate}}&lt;/a&gt;&lt;/li&gt;</v>
      </c>
    </row>
    <row r="103" spans="1:8" ht="14.25" customHeight="1">
      <c r="A103" s="73">
        <v>2084039543</v>
      </c>
      <c r="B103" s="73" t="s">
        <v>8782</v>
      </c>
      <c r="C103" s="73" t="s">
        <v>8783</v>
      </c>
      <c r="D103" s="11" t="str">
        <f t="shared" si="18"/>
        <v>0,23336,2084039480,2084039543</v>
      </c>
      <c r="E103" s="3" t="str">
        <f ca="1">IFERROR(__xludf.DUMMYFUNCTION("GOOGLETRANSLATE(B103,""ja"",""vi"")"),"ký ức")</f>
        <v>ký ức</v>
      </c>
      <c r="F103" s="3" t="str">
        <f ca="1">IFERROR(__xludf.DUMMYFUNCTION("GOOGLETRANSLATE(C103,""ja"",""vi"")"),"Đấu giá&gt; máy tính&gt; phụ tùng&gt; bộ nhớ")</f>
        <v>Đấu giá&gt; máy tính&gt; phụ tùng&gt; bộ nhớ</v>
      </c>
      <c r="G103" s="227" t="str">
        <f t="shared" ca="1" si="13"/>
        <v>"2084039543" : "ký ức",</v>
      </c>
      <c r="H103" s="229" t="str">
        <f t="shared" si="19"/>
        <v>&lt;li class="col-md-3"&gt;&lt;a class="text-cut" href="javascript:;"(click)="categoryEvent(2084039543)"&gt;{{"2084039543" | translate}}&lt;/a&gt;&lt;/li&gt;</v>
      </c>
    </row>
    <row r="104" spans="1:8" ht="14.25" customHeight="1">
      <c r="A104" s="73">
        <v>2084039481</v>
      </c>
      <c r="B104" s="73" t="s">
        <v>8786</v>
      </c>
      <c r="C104" s="73" t="s">
        <v>8787</v>
      </c>
      <c r="D104" s="11" t="str">
        <f t="shared" si="18"/>
        <v>0,23336,2084039480,2084039481</v>
      </c>
      <c r="E104" s="3" t="str">
        <f ca="1">IFERROR(__xludf.DUMMYFUNCTION("GOOGLETRANSLATE(B104,""ja"",""vi"")"),"thẻ")</f>
        <v>thẻ</v>
      </c>
      <c r="F104" s="3" t="str">
        <f ca="1">IFERROR(__xludf.DUMMYFUNCTION("GOOGLETRANSLATE(C104,""ja"",""vi"")"),"Đấu giá&gt; máy tính&gt; phụ tùng&gt; thẻ")</f>
        <v>Đấu giá&gt; máy tính&gt; phụ tùng&gt; thẻ</v>
      </c>
      <c r="G104" s="227" t="str">
        <f t="shared" ca="1" si="13"/>
        <v>"2084039481" : "thẻ",</v>
      </c>
      <c r="H104" s="229" t="str">
        <f t="shared" si="19"/>
        <v>&lt;li class="col-md-3"&gt;&lt;a class="text-cut" href="javascript:;"(click)="categoryEvent(2084039481)"&gt;{{"2084039481" | translate}}&lt;/a&gt;&lt;/li&gt;</v>
      </c>
    </row>
    <row r="105" spans="1:8" ht="14.25" customHeight="1">
      <c r="A105" s="73">
        <v>23457</v>
      </c>
      <c r="B105" s="73" t="s">
        <v>8763</v>
      </c>
      <c r="C105" s="73" t="s">
        <v>8789</v>
      </c>
      <c r="D105" s="11" t="str">
        <f t="shared" si="18"/>
        <v>0,23336,2084039480,23457</v>
      </c>
      <c r="E105" s="3" t="str">
        <f ca="1">IFERROR(__xludf.DUMMYFUNCTION("GOOGLETRANSLATE(B105,""ja"",""vi"")"),"trường hợp")</f>
        <v>trường hợp</v>
      </c>
      <c r="F105" s="3" t="str">
        <f ca="1">IFERROR(__xludf.DUMMYFUNCTION("GOOGLETRANSLATE(C105,""ja"",""vi"")"),"Đấu giá&gt; máy tính&gt; phụ tùng&gt; trường hợp")</f>
        <v>Đấu giá&gt; máy tính&gt; phụ tùng&gt; trường hợp</v>
      </c>
      <c r="G105" s="227" t="str">
        <f t="shared" ca="1" si="13"/>
        <v>"23457" : "trường hợp",</v>
      </c>
      <c r="H105" s="229" t="str">
        <f t="shared" si="19"/>
        <v>&lt;li class="col-md-3"&gt;&lt;a class="text-cut" href="javascript:;"(click)="categoryEvent(23457)"&gt;{{"23457" | translate}}&lt;/a&gt;&lt;/li&gt;</v>
      </c>
    </row>
    <row r="106" spans="1:8" ht="14.25" customHeight="1">
      <c r="A106" s="73">
        <v>23458</v>
      </c>
      <c r="B106" s="73" t="s">
        <v>8790</v>
      </c>
      <c r="C106" s="73" t="s">
        <v>8792</v>
      </c>
      <c r="D106" s="11" t="str">
        <f t="shared" si="18"/>
        <v>0,23336,2084039480,23458</v>
      </c>
      <c r="E106" s="3" t="str">
        <f ca="1">IFERROR(__xludf.DUMMYFUNCTION("GOOGLETRANSLATE(B106,""ja"",""vi"")"),"Nguồn cung cấp, AC adapter")</f>
        <v>Nguồn cung cấp, AC adapter</v>
      </c>
      <c r="F106" s="3" t="str">
        <f ca="1">IFERROR(__xludf.DUMMYFUNCTION("GOOGLETRANSLATE(C106,""ja"",""vi"")"),"Đấu giá&gt; máy tính&gt; phụ tùng&gt; cung cấp điện, AC adapter")</f>
        <v>Đấu giá&gt; máy tính&gt; phụ tùng&gt; cung cấp điện, AC adapter</v>
      </c>
      <c r="G106" s="227" t="str">
        <f t="shared" ca="1" si="13"/>
        <v>"23458" : "Nguồn cung cấp, AC adapter",</v>
      </c>
      <c r="H106" s="229" t="str">
        <f t="shared" si="19"/>
        <v>&lt;li class="col-md-3"&gt;&lt;a class="text-cut" href="javascript:;"(click)="categoryEvent(23458)"&gt;{{"23458" | translate}}&lt;/a&gt;&lt;/li&gt;</v>
      </c>
    </row>
    <row r="107" spans="1:8" ht="14.25" customHeight="1">
      <c r="A107" s="73">
        <v>23455</v>
      </c>
      <c r="B107" s="73" t="s">
        <v>8795</v>
      </c>
      <c r="C107" s="73" t="s">
        <v>8796</v>
      </c>
      <c r="D107" s="11" t="str">
        <f t="shared" si="18"/>
        <v>0,23336,2084039480,23455</v>
      </c>
      <c r="E107" s="3" t="str">
        <f ca="1">IFERROR(__xludf.DUMMYFUNCTION("GOOGLETRANSLATE(B107,""ja"",""vi"")"),"Cáp, đầu nối")</f>
        <v>Cáp, đầu nối</v>
      </c>
      <c r="F107" s="3" t="str">
        <f ca="1">IFERROR(__xludf.DUMMYFUNCTION("GOOGLETRANSLATE(C107,""ja"",""vi"")"),"Đấu giá&gt; máy tính&gt; phụ tùng&gt; cáp, đầu nối")</f>
        <v>Đấu giá&gt; máy tính&gt; phụ tùng&gt; cáp, đầu nối</v>
      </c>
      <c r="G107" s="227" t="str">
        <f t="shared" ca="1" si="13"/>
        <v>"23455" : "Cáp, đầu nối",</v>
      </c>
      <c r="H107" s="229" t="str">
        <f t="shared" si="19"/>
        <v>&lt;li class="col-md-3"&gt;&lt;a class="text-cut" href="javascript:;"(click)="categoryEvent(23455)"&gt;{{"23455" | translate}}&lt;/a&gt;&lt;/li&gt;</v>
      </c>
    </row>
    <row r="108" spans="1:8" ht="14.25" customHeight="1">
      <c r="A108" s="73">
        <v>2084041637</v>
      </c>
      <c r="B108" s="73" t="s">
        <v>8734</v>
      </c>
      <c r="C108" s="73" t="s">
        <v>8797</v>
      </c>
      <c r="D108" s="11" t="str">
        <f t="shared" si="18"/>
        <v>0,23336,2084039480,2084041637</v>
      </c>
      <c r="E108" s="3" t="str">
        <f ca="1">IFERROR(__xludf.DUMMYFUNCTION("GOOGLETRANSLATE(B108,""ja"",""vi"")"),"Đối với Mac")</f>
        <v>Đối với Mac</v>
      </c>
      <c r="F108" s="3" t="str">
        <f ca="1">IFERROR(__xludf.DUMMYFUNCTION("GOOGLETRANSLATE(C108,""ja"",""vi"")"),"Đấu giá&gt; máy tính&gt; phụ tùng&gt; dành cho Mac")</f>
        <v>Đấu giá&gt; máy tính&gt; phụ tùng&gt; dành cho Mac</v>
      </c>
      <c r="G108" s="227" t="str">
        <f t="shared" ca="1" si="13"/>
        <v>"2084041637" : "Đối với Mac",</v>
      </c>
      <c r="H108" s="229" t="str">
        <f t="shared" si="19"/>
        <v>&lt;li class="col-md-3"&gt;&lt;a class="text-cut" href="javascript:;"(click)="categoryEvent(2084041637)"&gt;{{"2084041637" | translate}}&lt;/a&gt;&lt;/li&gt;</v>
      </c>
    </row>
    <row r="109" spans="1:8" ht="14.25" customHeight="1">
      <c r="A109" s="73">
        <v>2084047559</v>
      </c>
      <c r="B109" s="73" t="s">
        <v>8799</v>
      </c>
      <c r="C109" s="73" t="s">
        <v>8800</v>
      </c>
      <c r="D109" s="11" t="str">
        <f t="shared" si="18"/>
        <v>0,23336,2084039480,2084047559</v>
      </c>
      <c r="E109" s="3" t="str">
        <f ca="1">IFERROR(__xludf.DUMMYFUNCTION("GOOGLETRANSLATE(B109,""ja"",""vi"")"),"máy tính Barebone")</f>
        <v>máy tính Barebone</v>
      </c>
      <c r="F109" s="3" t="str">
        <f ca="1">IFERROR(__xludf.DUMMYFUNCTION("GOOGLETRANSLATE(C109,""ja"",""vi"")"),"Đấu giá&gt; máy tính&gt; phụ tùng&gt; máy tính barebone")</f>
        <v>Đấu giá&gt; máy tính&gt; phụ tùng&gt; máy tính barebone</v>
      </c>
      <c r="G109" s="227" t="str">
        <f t="shared" ca="1" si="13"/>
        <v>"2084047559" : "máy tính Barebone",</v>
      </c>
      <c r="H109" s="229" t="str">
        <f t="shared" si="19"/>
        <v>&lt;li class="col-md-3"&gt;&lt;a class="text-cut" href="javascript:;"(click)="categoryEvent(2084047559)"&gt;{{"2084047559" | translate}}&lt;/a&gt;&lt;/li&gt;</v>
      </c>
    </row>
    <row r="110" spans="1:8" ht="14.25" customHeight="1">
      <c r="A110" s="73">
        <v>2084047096</v>
      </c>
      <c r="B110" s="73" t="s">
        <v>8737</v>
      </c>
      <c r="C110" s="73" t="s">
        <v>8802</v>
      </c>
      <c r="D110" s="11" t="str">
        <f t="shared" si="18"/>
        <v>0,23336,2084039480,2084047096</v>
      </c>
      <c r="E110" s="3" t="str">
        <f ca="1">IFERROR(__xludf.DUMMYFUNCTION("GOOGLETRANSLATE(B110,""ja"",""vi"")"),"cho máy trạm")</f>
        <v>cho máy trạm</v>
      </c>
      <c r="F110" s="3" t="str">
        <f ca="1">IFERROR(__xludf.DUMMYFUNCTION("GOOGLETRANSLATE(C110,""ja"",""vi"")"),"Đấu giá&gt; máy tính&gt; phụ tùng&gt; cho máy trạm")</f>
        <v>Đấu giá&gt; máy tính&gt; phụ tùng&gt; cho máy trạm</v>
      </c>
      <c r="G110" s="227" t="str">
        <f t="shared" ca="1" si="13"/>
        <v>"2084047096" : "cho máy trạm",</v>
      </c>
      <c r="H110" s="229" t="str">
        <f t="shared" si="19"/>
        <v>&lt;li class="col-md-3"&gt;&lt;a class="text-cut" href="javascript:;"(click)="categoryEvent(2084047096)"&gt;{{"2084047096" | translate}}&lt;/a&gt;&lt;/li&gt;</v>
      </c>
    </row>
    <row r="111" spans="1:8" ht="14.25" customHeight="1">
      <c r="A111" s="73">
        <v>2084047828</v>
      </c>
      <c r="B111" s="73" t="s">
        <v>8803</v>
      </c>
      <c r="C111" s="73" t="s">
        <v>8804</v>
      </c>
      <c r="D111" s="11" t="str">
        <f t="shared" si="18"/>
        <v>0,23336,2084039480,2084047828</v>
      </c>
      <c r="E111" s="3" t="str">
        <f ca="1">IFERROR(__xludf.DUMMYFUNCTION("GOOGLETRANSLATE(B111,""ja"",""vi"")"),"Máy làm mát")</f>
        <v>Máy làm mát</v>
      </c>
      <c r="F111" s="3" t="str">
        <f ca="1">IFERROR(__xludf.DUMMYFUNCTION("GOOGLETRANSLATE(C111,""ja"",""vi"")"),"Đấu giá&gt; máy tính&gt; phụ tùng&gt; thiết bị làm mát")</f>
        <v>Đấu giá&gt; máy tính&gt; phụ tùng&gt; thiết bị làm mát</v>
      </c>
      <c r="G111" s="227" t="str">
        <f t="shared" ca="1" si="13"/>
        <v>"2084047828" : "Máy làm mát",</v>
      </c>
      <c r="H111" s="229" t="str">
        <f t="shared" si="19"/>
        <v>&lt;li class="col-md-3"&gt;&lt;a class="text-cut" href="javascript:;"(click)="categoryEvent(2084047828)"&gt;{{"2084047828" | translate}}&lt;/a&gt;&lt;/li&gt;</v>
      </c>
    </row>
    <row r="112" spans="1:8" ht="14.25" customHeight="1">
      <c r="E112" s="3"/>
      <c r="F112" s="3"/>
      <c r="G112" s="227"/>
    </row>
    <row r="113" spans="1:8" ht="14.25" customHeight="1">
      <c r="E113" s="3"/>
      <c r="F113" s="3"/>
      <c r="G113" s="227"/>
    </row>
    <row r="114" spans="1:8" ht="14.25" customHeight="1">
      <c r="A114" s="296">
        <v>2084049588</v>
      </c>
      <c r="B114" s="232"/>
      <c r="C114" s="232"/>
      <c r="D114" s="233"/>
      <c r="E114" s="3"/>
      <c r="F114" s="3"/>
      <c r="G114" s="227"/>
    </row>
    <row r="115" spans="1:8" ht="14.25" customHeight="1">
      <c r="A115" s="73">
        <v>2084219502</v>
      </c>
      <c r="B115" s="73" t="s">
        <v>8805</v>
      </c>
      <c r="C115" s="73" t="s">
        <v>8806</v>
      </c>
      <c r="D115" s="11" t="str">
        <f t="shared" ref="D115:D117" si="20">CONCATENATE("0,","23336,2084049588,",A115)</f>
        <v>0,23336,2084049588,2084219502</v>
      </c>
      <c r="E115" s="3" t="str">
        <f ca="1">IFERROR(__xludf.DUMMYFUNCTION("GOOGLETRANSLATE(B115,""ja"",""vi"")"),"Các máy chủ bản thân")</f>
        <v>Các máy chủ bản thân</v>
      </c>
      <c r="F115" s="3" t="str">
        <f ca="1">IFERROR(__xludf.DUMMYFUNCTION("GOOGLETRANSLATE(C115,""ja"",""vi"")"),"Đấu giá&gt; máy tính&gt; Máy chủ&gt; cơ thể máy chủ")</f>
        <v>Đấu giá&gt; máy tính&gt; Máy chủ&gt; cơ thể máy chủ</v>
      </c>
      <c r="G115" s="227" t="str">
        <f t="shared" ca="1" si="13"/>
        <v>"2084219502" : "Các máy chủ bản thân",</v>
      </c>
      <c r="H115" s="229" t="str">
        <f t="shared" ref="H115:H117" si="21">CONCATENATE("&lt;li class=",CHAR(34)&amp;"","col-md-3",""&amp;CHAR(34),"&gt;","&lt;a class=",CHAR(34)&amp;"","text-cut",""&amp;CHAR(34)," href=",CHAR(34)&amp;"","javascript:;",""&amp;CHAR(34), "(click)=",CHAR(34)&amp;"","categoryEvent(",A115,")",""&amp;CHAR(34),"&gt;{{",CHAR(34)&amp;"",A115,""&amp;CHAR(34)," | translate}}&lt;/a&gt;&lt;/li&gt;")</f>
        <v>&lt;li class="col-md-3"&gt;&lt;a class="text-cut" href="javascript:;"(click)="categoryEvent(2084219502)"&gt;{{"2084219502" | translate}}&lt;/a&gt;&lt;/li&gt;</v>
      </c>
    </row>
    <row r="116" spans="1:8" ht="14.25" customHeight="1">
      <c r="A116" s="73">
        <v>2084219503</v>
      </c>
      <c r="B116" s="73" t="s">
        <v>8807</v>
      </c>
      <c r="C116" s="73" t="s">
        <v>8808</v>
      </c>
      <c r="D116" s="11" t="str">
        <f t="shared" si="20"/>
        <v>0,23336,2084049588,2084219503</v>
      </c>
      <c r="E116" s="3" t="str">
        <f ca="1">IFERROR(__xludf.DUMMYFUNCTION("GOOGLETRANSLATE(B116,""ja"",""vi"")"),"máy chủ rack")</f>
        <v>máy chủ rack</v>
      </c>
      <c r="F116" s="3" t="str">
        <f ca="1">IFERROR(__xludf.DUMMYFUNCTION("GOOGLETRANSLATE(C116,""ja"",""vi"")"),"Đấu giá&gt; máy tính&gt; Máy chủ&gt; máy chủ rack")</f>
        <v>Đấu giá&gt; máy tính&gt; Máy chủ&gt; máy chủ rack</v>
      </c>
      <c r="G116" s="227" t="str">
        <f t="shared" ca="1" si="13"/>
        <v>"2084219503" : "máy chủ rack",</v>
      </c>
      <c r="H116" s="229" t="str">
        <f t="shared" si="21"/>
        <v>&lt;li class="col-md-3"&gt;&lt;a class="text-cut" href="javascript:;"(click)="categoryEvent(2084219503)"&gt;{{"2084219503" | translate}}&lt;/a&gt;&lt;/li&gt;</v>
      </c>
    </row>
    <row r="117" spans="1:8" ht="14.25" customHeight="1">
      <c r="A117" s="73">
        <v>2084219504</v>
      </c>
      <c r="B117" s="73" t="s">
        <v>16</v>
      </c>
      <c r="C117" s="73" t="s">
        <v>8809</v>
      </c>
      <c r="D117" s="11" t="str">
        <f t="shared" si="20"/>
        <v>0,23336,2084049588,2084219504</v>
      </c>
      <c r="E117" s="3" t="str">
        <f ca="1">IFERROR(__xludf.DUMMYFUNCTION("GOOGLETRANSLATE(B117,""ja"",""vi"")"),"nếu không thì")</f>
        <v>nếu không thì</v>
      </c>
      <c r="F117" s="3" t="str">
        <f ca="1">IFERROR(__xludf.DUMMYFUNCTION("GOOGLETRANSLATE(C117,""ja"",""vi"")"),"Đấu giá&gt; máy tính&gt; Máy chủ&gt; Khác")</f>
        <v>Đấu giá&gt; máy tính&gt; Máy chủ&gt; Khác</v>
      </c>
      <c r="G117" s="227" t="str">
        <f t="shared" ca="1" si="13"/>
        <v>"2084219504" : "nếu không thì",</v>
      </c>
      <c r="H117" s="229" t="str">
        <f t="shared" si="21"/>
        <v>&lt;li class="col-md-3"&gt;&lt;a class="text-cut" href="javascript:;"(click)="categoryEvent(2084219504)"&gt;{{"2084219504" | translate}}&lt;/a&gt;&lt;/li&gt;</v>
      </c>
    </row>
    <row r="118" spans="1:8" ht="14.25" customHeight="1">
      <c r="E118" s="3"/>
      <c r="F118" s="3"/>
      <c r="G118" s="227"/>
    </row>
    <row r="119" spans="1:8" ht="14.25" customHeight="1">
      <c r="E119" s="3"/>
      <c r="F119" s="3"/>
      <c r="G119" s="227"/>
    </row>
    <row r="120" spans="1:8" ht="14.25" customHeight="1">
      <c r="A120" s="297">
        <v>23560</v>
      </c>
      <c r="B120" s="232"/>
      <c r="C120" s="232"/>
      <c r="D120" s="233"/>
      <c r="E120" s="3"/>
      <c r="F120" s="3"/>
      <c r="G120" s="227"/>
    </row>
    <row r="121" spans="1:8" ht="14.25" customHeight="1">
      <c r="A121" s="73">
        <v>2084284116</v>
      </c>
      <c r="B121" s="73" t="s">
        <v>8812</v>
      </c>
      <c r="C121" s="73" t="s">
        <v>8813</v>
      </c>
      <c r="D121" s="11" t="str">
        <f t="shared" ref="D121:D128" si="22">CONCATENATE("0,","23336,23560,",A121)</f>
        <v>0,23336,23560,2084284116</v>
      </c>
      <c r="E121" s="3" t="str">
        <f ca="1">IFERROR(__xludf.DUMMYFUNCTION("GOOGLETRANSLATE(B121,""ja"",""vi"")"),"thung lũng nhỏ")</f>
        <v>thung lũng nhỏ</v>
      </c>
      <c r="F121" s="3" t="str">
        <f ca="1">IFERROR(__xludf.DUMMYFUNCTION("GOOGLETRANSLATE(C121,""ja"",""vi"")"),"Đấu giá&gt; máy tính&gt; máy trạm&gt; del")</f>
        <v>Đấu giá&gt; máy tính&gt; máy trạm&gt; del</v>
      </c>
      <c r="G121" s="227" t="str">
        <f t="shared" ca="1" si="13"/>
        <v>"2084284116" : "thung lũng nhỏ",</v>
      </c>
      <c r="H121" s="229" t="str">
        <f t="shared" ref="H121:H136" si="23">CONCATENATE("&lt;li class=",CHAR(34)&amp;"","col-md-3",""&amp;CHAR(34),"&gt;","&lt;a class=",CHAR(34)&amp;"","text-cut",""&amp;CHAR(34)," href=",CHAR(34)&amp;"","javascript:;",""&amp;CHAR(34), "(click)=",CHAR(34)&amp;"","categoryEvent(",A121,")",""&amp;CHAR(34),"&gt;{{",CHAR(34)&amp;"",A121,""&amp;CHAR(34)," | translate}}&lt;/a&gt;&lt;/li&gt;")</f>
        <v>&lt;li class="col-md-3"&gt;&lt;a class="text-cut" href="javascript:;"(click)="categoryEvent(2084284116)"&gt;{{"2084284116" | translate}}&lt;/a&gt;&lt;/li&gt;</v>
      </c>
    </row>
    <row r="122" spans="1:8" ht="14.25" customHeight="1">
      <c r="A122" s="73">
        <v>2084284117</v>
      </c>
      <c r="B122" s="73" t="s">
        <v>8816</v>
      </c>
      <c r="C122" s="73" t="s">
        <v>8817</v>
      </c>
      <c r="D122" s="11" t="str">
        <f t="shared" si="22"/>
        <v>0,23336,23560,2084284117</v>
      </c>
      <c r="E122" s="3" t="str">
        <f ca="1">IFERROR(__xludf.DUMMYFUNCTION("GOOGLETRANSLATE(B122,""ja"",""vi"")"),"HP")</f>
        <v>HP</v>
      </c>
      <c r="F122" s="3" t="str">
        <f ca="1">IFERROR(__xludf.DUMMYFUNCTION("GOOGLETRANSLATE(C122,""ja"",""vi"")"),"Đấu giá&gt; máy tính&gt; máy trạm&gt; HP")</f>
        <v>Đấu giá&gt; máy tính&gt; máy trạm&gt; HP</v>
      </c>
      <c r="G122" s="227" t="str">
        <f t="shared" ca="1" si="13"/>
        <v>"2084284117" : "HP",</v>
      </c>
      <c r="H122" s="229" t="str">
        <f t="shared" si="23"/>
        <v>&lt;li class="col-md-3"&gt;&lt;a class="text-cut" href="javascript:;"(click)="categoryEvent(2084284117)"&gt;{{"2084284117" | translate}}&lt;/a&gt;&lt;/li&gt;</v>
      </c>
    </row>
    <row r="123" spans="1:8" ht="14.25" customHeight="1">
      <c r="A123" s="73">
        <v>2084045762</v>
      </c>
      <c r="B123" s="73" t="s">
        <v>8818</v>
      </c>
      <c r="C123" s="73" t="s">
        <v>8819</v>
      </c>
      <c r="D123" s="11" t="str">
        <f t="shared" si="22"/>
        <v>0,23336,23560,2084045762</v>
      </c>
      <c r="E123" s="3" t="str">
        <f ca="1">IFERROR(__xludf.DUMMYFUNCTION("GOOGLETRANSLATE(B123,""ja"",""vi"")"),"SUN")</f>
        <v>SUN</v>
      </c>
      <c r="F123" s="3" t="str">
        <f ca="1">IFERROR(__xludf.DUMMYFUNCTION("GOOGLETRANSLATE(C123,""ja"",""vi"")"),"Đấu giá&gt; máy tính&gt; máy trạm&gt; SUN")</f>
        <v>Đấu giá&gt; máy tính&gt; máy trạm&gt; SUN</v>
      </c>
      <c r="G123" s="227" t="str">
        <f t="shared" ca="1" si="13"/>
        <v>"2084045762" : "SUN",</v>
      </c>
      <c r="H123" s="229" t="str">
        <f t="shared" si="23"/>
        <v>&lt;li class="col-md-3"&gt;&lt;a class="text-cut" href="javascript:;"(click)="categoryEvent(2084045762)"&gt;{{"2084045762" | translate}}&lt;/a&gt;&lt;/li&gt;</v>
      </c>
    </row>
    <row r="124" spans="1:8" ht="14.25" customHeight="1">
      <c r="A124" s="73">
        <v>2084284118</v>
      </c>
      <c r="B124" s="73" t="s">
        <v>8821</v>
      </c>
      <c r="C124" s="73" t="s">
        <v>8822</v>
      </c>
      <c r="D124" s="11" t="str">
        <f t="shared" si="22"/>
        <v>0,23336,23560,2084284118</v>
      </c>
      <c r="E124" s="3" t="str">
        <f ca="1">IFERROR(__xludf.DUMMYFUNCTION("GOOGLETRANSLATE(B124,""ja"",""vi"")"),"IBM, Lenovo")</f>
        <v>IBM, Lenovo</v>
      </c>
      <c r="F124" s="3" t="str">
        <f ca="1">IFERROR(__xludf.DUMMYFUNCTION("GOOGLETRANSLATE(C124,""ja"",""vi"")"),"Đấu giá&gt; máy tính&gt; máy trạm&gt; IBM, Lenovo")</f>
        <v>Đấu giá&gt; máy tính&gt; máy trạm&gt; IBM, Lenovo</v>
      </c>
      <c r="G124" s="227" t="str">
        <f t="shared" ca="1" si="13"/>
        <v>"2084284118" : "IBM, Lenovo",</v>
      </c>
      <c r="H124" s="229" t="str">
        <f t="shared" si="23"/>
        <v>&lt;li class="col-md-3"&gt;&lt;a class="text-cut" href="javascript:;"(click)="categoryEvent(2084284118)"&gt;{{"2084284118" | translate}}&lt;/a&gt;&lt;/li&gt;</v>
      </c>
    </row>
    <row r="125" spans="1:8" ht="14.25" customHeight="1">
      <c r="A125" s="73">
        <v>2084045763</v>
      </c>
      <c r="B125" s="73" t="s">
        <v>8824</v>
      </c>
      <c r="C125" s="73" t="s">
        <v>8825</v>
      </c>
      <c r="D125" s="11" t="str">
        <f t="shared" si="22"/>
        <v>0,23336,23560,2084045763</v>
      </c>
      <c r="E125" s="3" t="str">
        <f ca="1">IFERROR(__xludf.DUMMYFUNCTION("GOOGLETRANSLATE(B125,""ja"",""vi"")"),"SGI")</f>
        <v>SGI</v>
      </c>
      <c r="F125" s="3" t="str">
        <f ca="1">IFERROR(__xludf.DUMMYFUNCTION("GOOGLETRANSLATE(C125,""ja"",""vi"")"),"Đấu giá&gt; máy tính&gt; máy trạm&gt; SGI")</f>
        <v>Đấu giá&gt; máy tính&gt; máy trạm&gt; SGI</v>
      </c>
      <c r="G125" s="227" t="str">
        <f t="shared" ca="1" si="13"/>
        <v>"2084045763" : "SGI",</v>
      </c>
      <c r="H125" s="229" t="str">
        <f t="shared" si="23"/>
        <v>&lt;li class="col-md-3"&gt;&lt;a class="text-cut" href="javascript:;"(click)="categoryEvent(2084045763)"&gt;{{"2084045763" | translate}}&lt;/a&gt;&lt;/li&gt;</v>
      </c>
    </row>
    <row r="126" spans="1:8" ht="14.25" customHeight="1">
      <c r="A126" s="73">
        <v>2084047096</v>
      </c>
      <c r="B126" s="74" t="s">
        <v>8826</v>
      </c>
      <c r="C126" s="73" t="s">
        <v>8827</v>
      </c>
      <c r="D126" s="11" t="str">
        <f t="shared" si="22"/>
        <v>0,23336,23560,2084047096</v>
      </c>
      <c r="E126" s="3" t="str">
        <f ca="1">IFERROR(__xludf.DUMMYFUNCTION("GOOGLETRANSLATE(B126,""ja"",""vi"")"),"&gt; Linh kiện")</f>
        <v>&gt; Linh kiện</v>
      </c>
      <c r="F126" s="3" t="str">
        <f ca="1">IFERROR(__xludf.DUMMYFUNCTION("GOOGLETRANSLATE(C126,""ja"",""vi"")"),"Đấu giá&gt; máy tính&gt; máy trạm&gt; Linh kiện")</f>
        <v>Đấu giá&gt; máy tính&gt; máy trạm&gt; Linh kiện</v>
      </c>
      <c r="G126" s="227" t="str">
        <f t="shared" ca="1" si="13"/>
        <v>"2084047096" : "&gt; Linh kiện",</v>
      </c>
      <c r="H126" s="229" t="str">
        <f t="shared" si="23"/>
        <v>&lt;li class="col-md-3"&gt;&lt;a class="text-cut" href="javascript:;"(click)="categoryEvent(2084047096)"&gt;{{"2084047096" | translate}}&lt;/a&gt;&lt;/li&gt;</v>
      </c>
    </row>
    <row r="127" spans="1:8" ht="14.25" customHeight="1">
      <c r="A127" s="73">
        <v>2084047094</v>
      </c>
      <c r="B127" s="73" t="s">
        <v>8555</v>
      </c>
      <c r="C127" s="73" t="s">
        <v>8829</v>
      </c>
      <c r="D127" s="11" t="str">
        <f t="shared" si="22"/>
        <v>0,23336,23560,2084047094</v>
      </c>
      <c r="E127" s="3" t="str">
        <f ca="1">IFERROR(__xludf.DUMMYFUNCTION("GOOGLETRANSLATE(B127,""ja"",""vi"")"),"chu vi")</f>
        <v>chu vi</v>
      </c>
      <c r="F127" s="3" t="str">
        <f ca="1">IFERROR(__xludf.DUMMYFUNCTION("GOOGLETRANSLATE(C127,""ja"",""vi"")"),"Đấu giá&gt; máy tính&gt; máy trạm&gt; Thiết bị ngoại vi")</f>
        <v>Đấu giá&gt; máy tính&gt; máy trạm&gt; Thiết bị ngoại vi</v>
      </c>
      <c r="G127" s="227" t="str">
        <f t="shared" ca="1" si="13"/>
        <v>"2084047094" : "chu vi",</v>
      </c>
      <c r="H127" s="229" t="str">
        <f t="shared" si="23"/>
        <v>&lt;li class="col-md-3"&gt;&lt;a class="text-cut" href="javascript:;"(click)="categoryEvent(2084047094)"&gt;{{"2084047094" | translate}}&lt;/a&gt;&lt;/li&gt;</v>
      </c>
    </row>
    <row r="128" spans="1:8" ht="14.25" customHeight="1">
      <c r="A128" s="73">
        <v>2084045764</v>
      </c>
      <c r="B128" s="73" t="s">
        <v>16</v>
      </c>
      <c r="C128" s="73" t="s">
        <v>8830</v>
      </c>
      <c r="D128" s="11" t="str">
        <f t="shared" si="22"/>
        <v>0,23336,23560,2084045764</v>
      </c>
      <c r="E128" s="3" t="str">
        <f ca="1">IFERROR(__xludf.DUMMYFUNCTION("GOOGLETRANSLATE(B128,""ja"",""vi"")"),"nếu không thì")</f>
        <v>nếu không thì</v>
      </c>
      <c r="F128" s="3" t="str">
        <f ca="1">IFERROR(__xludf.DUMMYFUNCTION("GOOGLETRANSLATE(C128,""ja"",""vi"")"),"Đấu giá&gt; máy tính&gt; máy trạm&gt; Khác")</f>
        <v>Đấu giá&gt; máy tính&gt; máy trạm&gt; Khác</v>
      </c>
      <c r="G128" s="227" t="str">
        <f t="shared" ca="1" si="13"/>
        <v>"2084045764" : "nếu không thì",</v>
      </c>
      <c r="H128" s="229" t="str">
        <f t="shared" si="23"/>
        <v>&lt;li class="col-md-3"&gt;&lt;a class="text-cut" href="javascript:;"(click)="categoryEvent(2084045764)"&gt;{{"2084045764" | translate}}&lt;/a&gt;&lt;/li&gt;</v>
      </c>
    </row>
    <row r="129" spans="1:8" ht="36" customHeight="1">
      <c r="A129" s="298">
        <v>23557</v>
      </c>
      <c r="B129" s="232"/>
      <c r="C129" s="232"/>
      <c r="D129" s="233"/>
      <c r="E129" s="3"/>
      <c r="F129" s="3"/>
      <c r="G129" s="227"/>
    </row>
    <row r="130" spans="1:8" ht="14.25" customHeight="1">
      <c r="A130" s="73">
        <v>23557</v>
      </c>
      <c r="B130" s="73" t="s">
        <v>8833</v>
      </c>
      <c r="C130" s="73" t="s">
        <v>8834</v>
      </c>
      <c r="D130" s="11" t="str">
        <f t="shared" ref="D130:D136" si="24">CONCATENATE("0,","23336,23557,",A130)</f>
        <v>0,23336,23557,23557</v>
      </c>
      <c r="E130" s="3" t="str">
        <f ca="1">IFERROR(__xludf.DUMMYFUNCTION("GOOGLETRANSLATE(B132,""ja"",""vi"")"),"CLIE")</f>
        <v>CLIE</v>
      </c>
      <c r="F130" s="3" t="str">
        <f ca="1">IFERROR(__xludf.DUMMYFUNCTION("GOOGLETRANSLATE(C132,""ja"",""vi"")"),"Đấu giá&gt; máy tính&gt; PDA&gt; CLIE")</f>
        <v>Đấu giá&gt; máy tính&gt; PDA&gt; CLIE</v>
      </c>
      <c r="G130" s="227" t="str">
        <f t="shared" ref="G130:G166" ca="1" si="25">CONCATENATE(CHAR(34)&amp;"",A130,""&amp;CHAR(34)," : ", CHAR(34)&amp;"",E130,""&amp;CHAR(34),",")</f>
        <v>"23557" : "CLIE",</v>
      </c>
      <c r="H130" s="229" t="str">
        <f t="shared" si="23"/>
        <v>&lt;li class="col-md-3"&gt;&lt;a class="text-cut" href="javascript:;"(click)="categoryEvent(23557)"&gt;{{"23557" | translate}}&lt;/a&gt;&lt;/li&gt;</v>
      </c>
    </row>
    <row r="131" spans="1:8" ht="14.25" customHeight="1">
      <c r="A131" s="73">
        <v>2084049582</v>
      </c>
      <c r="B131" s="73" t="s">
        <v>8837</v>
      </c>
      <c r="C131" s="73" t="s">
        <v>8838</v>
      </c>
      <c r="D131" s="11" t="str">
        <f t="shared" si="24"/>
        <v>0,23336,23557,2084049582</v>
      </c>
      <c r="E131" s="3" t="str">
        <f ca="1">IFERROR(__xludf.DUMMYFUNCTION("GOOGLETRANSLATE(B134,""ja"",""vi"")"),"Trường hợp cho PDA")</f>
        <v>Trường hợp cho PDA</v>
      </c>
      <c r="F131" s="3" t="str">
        <f ca="1">IFERROR(__xludf.DUMMYFUNCTION("GOOGLETRANSLATE(C134,""ja"",""vi"")"),"Đấu giá&gt; máy tính&gt; PDA&gt; Case cho PDA")</f>
        <v>Đấu giá&gt; máy tính&gt; PDA&gt; Case cho PDA</v>
      </c>
      <c r="G131" s="227" t="str">
        <f t="shared" ca="1" si="25"/>
        <v>"2084049582" : "Trường hợp cho PDA",</v>
      </c>
      <c r="H131" s="229" t="str">
        <f t="shared" si="23"/>
        <v>&lt;li class="col-md-3"&gt;&lt;a class="text-cut" href="javascript:;"(click)="categoryEvent(2084049582)"&gt;{{"2084049582" | translate}}&lt;/a&gt;&lt;/li&gt;</v>
      </c>
    </row>
    <row r="132" spans="1:8" ht="14.25" customHeight="1">
      <c r="A132" s="73">
        <v>44385</v>
      </c>
      <c r="B132" s="73" t="s">
        <v>8840</v>
      </c>
      <c r="C132" s="73" t="s">
        <v>8841</v>
      </c>
      <c r="D132" s="11" t="str">
        <f t="shared" si="24"/>
        <v>0,23336,23557,44385</v>
      </c>
      <c r="E132" s="3" t="str">
        <f ca="1">IFERROR(__xludf.DUMMYFUNCTION("GOOGLETRANSLATE(B135,""ja"",""vi"")"),"Palm Dòng")</f>
        <v>Palm Dòng</v>
      </c>
      <c r="F132" s="3" t="str">
        <f ca="1">IFERROR(__xludf.DUMMYFUNCTION("GOOGLETRANSLATE(C135,""ja"",""vi"")"),"Đấu giá&gt; máy tính&gt; PDA&gt; loạt Palm")</f>
        <v>Đấu giá&gt; máy tính&gt; PDA&gt; loạt Palm</v>
      </c>
      <c r="G132" s="227" t="str">
        <f t="shared" ca="1" si="25"/>
        <v>"44385" : "Palm Dòng",</v>
      </c>
      <c r="H132" s="229" t="str">
        <f t="shared" si="23"/>
        <v>&lt;li class="col-md-3"&gt;&lt;a class="text-cut" href="javascript:;"(click)="categoryEvent(44385)"&gt;{{"44385" | translate}}&lt;/a&gt;&lt;/li&gt;</v>
      </c>
    </row>
    <row r="133" spans="1:8" ht="14.25" customHeight="1">
      <c r="A133" s="73">
        <v>44389</v>
      </c>
      <c r="B133" s="73" t="s">
        <v>8843</v>
      </c>
      <c r="C133" s="73" t="s">
        <v>8844</v>
      </c>
      <c r="D133" s="11" t="str">
        <f t="shared" si="24"/>
        <v>0,23336,23557,44389</v>
      </c>
      <c r="E133" s="3" t="str">
        <f ca="1">IFERROR(__xludf.DUMMYFUNCTION("GOOGLETRANSLATE(B136,""ja"",""vi"")"),"windows CE")</f>
        <v>windows CE</v>
      </c>
      <c r="F133" s="3" t="str">
        <f ca="1">IFERROR(__xludf.DUMMYFUNCTION("GOOGLETRANSLATE(C136,""ja"",""vi"")"),"Đấu giá&gt; máy tính&gt; PDA&gt; Windows CE")</f>
        <v>Đấu giá&gt; máy tính&gt; PDA&gt; Windows CE</v>
      </c>
      <c r="G133" s="227" t="str">
        <f t="shared" ca="1" si="25"/>
        <v>"44389" : "windows CE",</v>
      </c>
      <c r="H133" s="229" t="str">
        <f t="shared" si="23"/>
        <v>&lt;li class="col-md-3"&gt;&lt;a class="text-cut" href="javascript:;"(click)="categoryEvent(44389)"&gt;{{"44389" | translate}}&lt;/a&gt;&lt;/li&gt;</v>
      </c>
    </row>
    <row r="134" spans="1:8" ht="14.25" customHeight="1">
      <c r="A134" s="73">
        <v>2084005095</v>
      </c>
      <c r="B134" s="73" t="s">
        <v>8846</v>
      </c>
      <c r="C134" s="73" t="s">
        <v>8847</v>
      </c>
      <c r="D134" s="11" t="str">
        <f t="shared" si="24"/>
        <v>0,23336,23557,2084005095</v>
      </c>
      <c r="E134" s="3" t="str">
        <f ca="1">IFERROR(__xludf.DUMMYFUNCTION("GOOGLETRANSLATE(B137,""ja"",""vi"")"),"Zaurus")</f>
        <v>Zaurus</v>
      </c>
      <c r="F134" s="3" t="str">
        <f ca="1">IFERROR(__xludf.DUMMYFUNCTION("GOOGLETRANSLATE(C137,""ja"",""vi"")"),"Đấu giá&gt; máy tính&gt; PDA&gt; Zaurus")</f>
        <v>Đấu giá&gt; máy tính&gt; PDA&gt; Zaurus</v>
      </c>
      <c r="G134" s="227" t="str">
        <f t="shared" ca="1" si="25"/>
        <v>"2084005095" : "Zaurus",</v>
      </c>
      <c r="H134" s="229" t="str">
        <f t="shared" si="23"/>
        <v>&lt;li class="col-md-3"&gt;&lt;a class="text-cut" href="javascript:;"(click)="categoryEvent(2084005095)"&gt;{{"2084005095" | translate}}&lt;/a&gt;&lt;/li&gt;</v>
      </c>
    </row>
    <row r="135" spans="1:8" ht="14.25" customHeight="1">
      <c r="A135" s="73">
        <v>2084005096</v>
      </c>
      <c r="B135" s="73" t="s">
        <v>8849</v>
      </c>
      <c r="C135" s="73" t="s">
        <v>8850</v>
      </c>
      <c r="D135" s="11" t="str">
        <f t="shared" si="24"/>
        <v>0,23336,23557,2084005096</v>
      </c>
      <c r="E135" s="3" t="str">
        <f ca="1">IFERROR(__xludf.DUMMYFUNCTION("GOOGLETRANSLATE(B138,""ja"",""vi"")"),"Pocket bảng")</f>
        <v>Pocket bảng</v>
      </c>
      <c r="F135" s="3" t="str">
        <f ca="1">IFERROR(__xludf.DUMMYFUNCTION("GOOGLETRANSLATE(C138,""ja"",""vi"")"),"Đấu giá&gt; máy tính&gt; PDA&gt; board túi")</f>
        <v>Đấu giá&gt; máy tính&gt; PDA&gt; board túi</v>
      </c>
      <c r="G135" s="227" t="str">
        <f t="shared" ca="1" si="25"/>
        <v>"2084005096" : "Pocket bảng",</v>
      </c>
      <c r="H135" s="229" t="str">
        <f t="shared" si="23"/>
        <v>&lt;li class="col-md-3"&gt;&lt;a class="text-cut" href="javascript:;"(click)="categoryEvent(2084005096)"&gt;{{"2084005096" | translate}}&lt;/a&gt;&lt;/li&gt;</v>
      </c>
    </row>
    <row r="136" spans="1:8" ht="14.25" customHeight="1">
      <c r="A136" s="73">
        <v>44390</v>
      </c>
      <c r="B136" s="73" t="s">
        <v>16</v>
      </c>
      <c r="C136" s="74" t="s">
        <v>8851</v>
      </c>
      <c r="D136" s="11" t="str">
        <f t="shared" si="24"/>
        <v>0,23336,23557,44390</v>
      </c>
      <c r="E136" s="3" t="str">
        <f ca="1">IFERROR(__xludf.DUMMYFUNCTION("GOOGLETRANSLATE(B139,""ja"",""vi"")"),"nếu không thì")</f>
        <v>nếu không thì</v>
      </c>
      <c r="F136" s="3" t="str">
        <f ca="1">IFERROR(__xludf.DUMMYFUNCTION("GOOGLETRANSLATE(C139,""ja"",""vi"")"),"&gt; Đấu giá&gt; máy tính&gt; PDA&gt; Khác")</f>
        <v>&gt; Đấu giá&gt; máy tính&gt; PDA&gt; Khác</v>
      </c>
      <c r="G136" s="227" t="str">
        <f t="shared" ca="1" si="25"/>
        <v>"44390" : "nếu không thì",</v>
      </c>
      <c r="H136" s="229" t="str">
        <f t="shared" si="23"/>
        <v>&lt;li class="col-md-3"&gt;&lt;a class="text-cut" href="javascript:;"(click)="categoryEvent(44390)"&gt;{{"44390" | translate}}&lt;/a&gt;&lt;/li&gt;</v>
      </c>
    </row>
    <row r="137" spans="1:8" ht="14.25" customHeight="1">
      <c r="E137" s="3"/>
      <c r="F137" s="3"/>
      <c r="G137" s="227"/>
    </row>
    <row r="138" spans="1:8" ht="14.25" customHeight="1">
      <c r="E138" s="3"/>
      <c r="F138" s="3"/>
      <c r="G138" s="227"/>
    </row>
    <row r="139" spans="1:8" ht="25.2" customHeight="1">
      <c r="A139" s="291">
        <v>2084048038</v>
      </c>
      <c r="B139" s="232"/>
      <c r="C139" s="232"/>
      <c r="D139" s="233"/>
      <c r="E139" s="3"/>
      <c r="F139" s="3"/>
      <c r="G139" s="227"/>
    </row>
    <row r="140" spans="1:8" ht="14.25" customHeight="1">
      <c r="A140" s="73">
        <v>2084063583</v>
      </c>
      <c r="B140" s="73" t="s">
        <v>2605</v>
      </c>
      <c r="C140" s="73" t="s">
        <v>8854</v>
      </c>
      <c r="D140" s="11" t="str">
        <f t="shared" ref="D140:D143" si="26">CONCATENATE("0,","24198,24230,2084005509,2084048038,",A140)</f>
        <v>0,24198,24230,2084005509,2084048038,2084063583</v>
      </c>
      <c r="E140" s="3" t="str">
        <f ca="1">IFERROR(__xludf.DUMMYFUNCTION("GOOGLETRANSLATE(B143,""ja"",""vi"")"),"bộ")</f>
        <v>bộ</v>
      </c>
      <c r="F140" s="3" t="str">
        <f ca="1">IFERROR(__xludf.DUMMYFUNCTION("GOOGLETRANSLATE(C143,""ja"",""vi"")"),"Đấu giá&gt; nhà, nội thất&gt; nội thất, nội thất&gt; bàn&gt; bàn máy tính&gt; bộ")</f>
        <v>Đấu giá&gt; nhà, nội thất&gt; nội thất, nội thất&gt; bàn&gt; bàn máy tính&gt; bộ</v>
      </c>
      <c r="G140" s="227" t="str">
        <f t="shared" ca="1" si="25"/>
        <v>"2084063583" : "bộ",</v>
      </c>
      <c r="H140" s="229" t="str">
        <f t="shared" ref="H140:H143" si="27">CONCATENATE("&lt;li class=",CHAR(34)&amp;"","col-md-3",""&amp;CHAR(34),"&gt;","&lt;a class=",CHAR(34)&amp;"","text-cut",""&amp;CHAR(34)," href=",CHAR(34)&amp;"","javascript:;",""&amp;CHAR(34), "(click)=",CHAR(34)&amp;"","categoryEvent(",A140,")",""&amp;CHAR(34),"&gt;{{",CHAR(34)&amp;"",A140,""&amp;CHAR(34)," | translate}}&lt;/a&gt;&lt;/li&gt;")</f>
        <v>&lt;li class="col-md-3"&gt;&lt;a class="text-cut" href="javascript:;"(click)="categoryEvent(2084063583)"&gt;{{"2084063583" | translate}}&lt;/a&gt;&lt;/li&gt;</v>
      </c>
    </row>
    <row r="141" spans="1:8" ht="14.25" customHeight="1">
      <c r="A141" s="73">
        <v>2084062773</v>
      </c>
      <c r="B141" s="73" t="s">
        <v>1842</v>
      </c>
      <c r="C141" s="73" t="s">
        <v>8857</v>
      </c>
      <c r="D141" s="11" t="str">
        <f t="shared" si="26"/>
        <v>0,24198,24230,2084005509,2084048038,2084062773</v>
      </c>
      <c r="E141" s="3" t="str">
        <f ca="1">IFERROR(__xludf.DUMMYFUNCTION("GOOGLETRANSLATE(B144,""ja"",""vi"")"),"chung")</f>
        <v>chung</v>
      </c>
      <c r="F141" s="3" t="str">
        <f ca="1">IFERROR(__xludf.DUMMYFUNCTION("GOOGLETRANSLATE(C144,""ja"",""vi"")"),"Đấu giá&gt; nhà, nội thất&gt; nội thất, nội thất&gt; bàn&gt; bàn máy tính&gt; chung")</f>
        <v>Đấu giá&gt; nhà, nội thất&gt; nội thất, nội thất&gt; bàn&gt; bàn máy tính&gt; chung</v>
      </c>
      <c r="G141" s="227" t="str">
        <f t="shared" ca="1" si="25"/>
        <v>"2084062773" : "chung",</v>
      </c>
      <c r="H141" s="229" t="str">
        <f t="shared" si="27"/>
        <v>&lt;li class="col-md-3"&gt;&lt;a class="text-cut" href="javascript:;"(click)="categoryEvent(2084062773)"&gt;{{"2084062773" | translate}}&lt;/a&gt;&lt;/li&gt;</v>
      </c>
    </row>
    <row r="142" spans="1:8" ht="14.25" customHeight="1">
      <c r="A142" s="73">
        <v>2084062774</v>
      </c>
      <c r="B142" s="73" t="s">
        <v>8858</v>
      </c>
      <c r="C142" s="73" t="s">
        <v>8859</v>
      </c>
      <c r="D142" s="11" t="str">
        <f t="shared" si="26"/>
        <v>0,24198,24230,2084005509,2084048038,2084062774</v>
      </c>
      <c r="E142" s="3" t="str">
        <f ca="1">IFERROR(__xludf.DUMMYFUNCTION("GOOGLETRANSLATE(B145,""ja"",""vi"")"),"bàn thấp")</f>
        <v>bàn thấp</v>
      </c>
      <c r="F142" s="3" t="str">
        <f ca="1">IFERROR(__xludf.DUMMYFUNCTION("GOOGLETRANSLATE(C145,""ja"",""vi"")"),"Đấu giá&gt; nhà, nội thất&gt; nội thất, nội thất&gt; bàn&gt; bàn máy tính&gt; bàn thấp")</f>
        <v>Đấu giá&gt; nhà, nội thất&gt; nội thất, nội thất&gt; bàn&gt; bàn máy tính&gt; bàn thấp</v>
      </c>
      <c r="G142" s="227" t="str">
        <f t="shared" ca="1" si="25"/>
        <v>"2084062774" : "bàn thấp",</v>
      </c>
      <c r="H142" s="229" t="str">
        <f t="shared" si="27"/>
        <v>&lt;li class="col-md-3"&gt;&lt;a class="text-cut" href="javascript:;"(click)="categoryEvent(2084062774)"&gt;{{"2084062774" | translate}}&lt;/a&gt;&lt;/li&gt;</v>
      </c>
    </row>
    <row r="143" spans="1:8" ht="14.25" customHeight="1">
      <c r="A143" s="73">
        <v>2084063577</v>
      </c>
      <c r="B143" s="73" t="s">
        <v>8862</v>
      </c>
      <c r="C143" s="73" t="s">
        <v>8863</v>
      </c>
      <c r="D143" s="11" t="str">
        <f t="shared" si="26"/>
        <v>0,24198,24230,2084005509,2084048038,2084063577</v>
      </c>
      <c r="E143" s="3" t="str">
        <f ca="1">IFERROR(__xludf.DUMMYFUNCTION("GOOGLETRANSLATE(B146,""ja"",""vi"")"),"Tủ, bàn toa xe")</f>
        <v>Tủ, bàn toa xe</v>
      </c>
      <c r="F143" s="3" t="str">
        <f ca="1">IFERROR(__xludf.DUMMYFUNCTION("GOOGLETRANSLATE(C146,""ja"",""vi"")"),"Đấu giá&gt; nhà, nội thất&gt; nội thất, nội thất&gt; bàn&gt; bàn máy tính&gt; tủ, bàn toa xe")</f>
        <v>Đấu giá&gt; nhà, nội thất&gt; nội thất, nội thất&gt; bàn&gt; bàn máy tính&gt; tủ, bàn toa xe</v>
      </c>
      <c r="G143" s="227" t="str">
        <f t="shared" ca="1" si="25"/>
        <v>"2084063577" : "Tủ, bàn toa xe",</v>
      </c>
      <c r="H143" s="229" t="str">
        <f t="shared" si="27"/>
        <v>&lt;li class="col-md-3"&gt;&lt;a class="text-cut" href="javascript:;"(click)="categoryEvent(2084063577)"&gt;{{"2084063577" | translate}}&lt;/a&gt;&lt;/li&gt;</v>
      </c>
    </row>
    <row r="144" spans="1:8" ht="14.25" customHeight="1">
      <c r="A144" s="73"/>
      <c r="B144" s="73"/>
      <c r="C144" s="73"/>
      <c r="E144" s="3"/>
      <c r="F144" s="3"/>
      <c r="G144" s="227"/>
    </row>
    <row r="145" spans="1:8" ht="14.25" customHeight="1">
      <c r="A145" s="73"/>
      <c r="B145" s="73"/>
      <c r="C145" s="73"/>
      <c r="E145" s="3"/>
      <c r="F145" s="3"/>
      <c r="G145" s="227"/>
    </row>
    <row r="146" spans="1:8" ht="3" customHeight="1">
      <c r="E146" s="3"/>
      <c r="F146" s="3"/>
      <c r="G146" s="227"/>
    </row>
    <row r="147" spans="1:8" ht="28.2" customHeight="1">
      <c r="A147" s="292">
        <v>21908</v>
      </c>
      <c r="B147" s="232"/>
      <c r="C147" s="232"/>
      <c r="D147" s="233"/>
      <c r="E147" s="3"/>
      <c r="F147" s="3"/>
      <c r="G147" s="227"/>
    </row>
    <row r="148" spans="1:8" ht="14.25" customHeight="1">
      <c r="A148" s="73">
        <v>2084008024</v>
      </c>
      <c r="B148" s="73" t="s">
        <v>8866</v>
      </c>
      <c r="C148" s="73" t="s">
        <v>8867</v>
      </c>
      <c r="D148" s="11" t="str">
        <f t="shared" ref="D148:D153" si="28">CONCATENATE("0,","21600,21884,21908,",A148)</f>
        <v>0,21600,21884,21908,2084008024</v>
      </c>
      <c r="E148" s="3" t="str">
        <f ca="1">IFERROR(__xludf.DUMMYFUNCTION("GOOGLETRANSLATE(B151,""ja"",""vi"")"),"PC chung")</f>
        <v>PC chung</v>
      </c>
      <c r="F148" s="3" t="str">
        <f ca="1">IFERROR(__xludf.DUMMYFUNCTION("GOOGLETRANSLATE(C151,""ja"",""vi"")"),"Đấu giá&gt; cuốn sách, tạp chí&gt; Tạp chí&gt; máy tính và internet&gt; chung máy tính cá nhân")</f>
        <v>Đấu giá&gt; cuốn sách, tạp chí&gt; Tạp chí&gt; máy tính và internet&gt; chung máy tính cá nhân</v>
      </c>
      <c r="G148" s="227" t="str">
        <f t="shared" ca="1" si="25"/>
        <v>"2084008024" : "PC chung",</v>
      </c>
      <c r="H148" s="229" t="str">
        <f t="shared" ref="H148:H153" si="29">CONCATENATE("&lt;li class=",CHAR(34)&amp;"","col-md-3",""&amp;CHAR(34),"&gt;","&lt;a class=",CHAR(34)&amp;"","text-cut",""&amp;CHAR(34)," href=",CHAR(34)&amp;"","javascript:;",""&amp;CHAR(34), "(click)=",CHAR(34)&amp;"","categoryEvent(",A148,")",""&amp;CHAR(34),"&gt;{{",CHAR(34)&amp;"",A148,""&amp;CHAR(34)," | translate}}&lt;/a&gt;&lt;/li&gt;")</f>
        <v>&lt;li class="col-md-3"&gt;&lt;a class="text-cut" href="javascript:;"(click)="categoryEvent(2084008024)"&gt;{{"2084008024" | translate}}&lt;/a&gt;&lt;/li&gt;</v>
      </c>
    </row>
    <row r="149" spans="1:8" ht="14.25" customHeight="1">
      <c r="A149" s="73">
        <v>2084008026</v>
      </c>
      <c r="B149" s="73" t="s">
        <v>8870</v>
      </c>
      <c r="C149" s="73" t="s">
        <v>8871</v>
      </c>
      <c r="D149" s="11" t="str">
        <f t="shared" si="28"/>
        <v>0,21600,21884,21908,2084008026</v>
      </c>
      <c r="E149" s="3" t="str">
        <f ca="1">IFERROR(__xludf.DUMMYFUNCTION("GOOGLETRANSLATE(B152,""ja"",""vi"")"),"tạp chí dành cho Mac &lt;")</f>
        <v>tạp chí dành cho Mac &lt;</v>
      </c>
      <c r="F149" s="3" t="str">
        <f ca="1">IFERROR(__xludf.DUMMYFUNCTION("GOOGLETRANSLATE(C152,""ja"",""vi"")"),"Đấu giá&gt; cuốn sách, tạp chí&gt; Tạp chí&gt; máy tính và internet&gt; Mac tạp chí liên quan")</f>
        <v>Đấu giá&gt; cuốn sách, tạp chí&gt; Tạp chí&gt; máy tính và internet&gt; Mac tạp chí liên quan</v>
      </c>
      <c r="G149" s="227" t="str">
        <f t="shared" ca="1" si="25"/>
        <v>"2084008026" : "tạp chí dành cho Mac &lt;",</v>
      </c>
      <c r="H149" s="229" t="str">
        <f t="shared" si="29"/>
        <v>&lt;li class="col-md-3"&gt;&lt;a class="text-cut" href="javascript:;"(click)="categoryEvent(2084008026)"&gt;{{"2084008026" | translate}}&lt;/a&gt;&lt;/li&gt;</v>
      </c>
    </row>
    <row r="150" spans="1:8" ht="14.25" customHeight="1">
      <c r="A150" s="73">
        <v>2084008027</v>
      </c>
      <c r="B150" s="73" t="s">
        <v>8873</v>
      </c>
      <c r="C150" s="73" t="s">
        <v>8874</v>
      </c>
      <c r="D150" s="11" t="str">
        <f t="shared" si="28"/>
        <v>0,21600,21884,21908,2084008027</v>
      </c>
      <c r="E150" s="3" t="str">
        <f ca="1">IFERROR(__xludf.DUMMYFUNCTION("GOOGLETRANSLATE(B153,""ja"",""vi"")"),"tạp chí có liên quan của Windows")</f>
        <v>tạp chí có liên quan của Windows</v>
      </c>
      <c r="F150" s="3" t="str">
        <f ca="1">IFERROR(__xludf.DUMMYFUNCTION("GOOGLETRANSLATE(C153,""ja"",""vi"")"),"Đấu giá&gt; cuốn sách, tạp chí&gt; Tạp chí&gt; máy tính và internet&gt; tạp chí có liên quan của Windows")</f>
        <v>Đấu giá&gt; cuốn sách, tạp chí&gt; Tạp chí&gt; máy tính và internet&gt; tạp chí có liên quan của Windows</v>
      </c>
      <c r="G150" s="227" t="str">
        <f t="shared" ca="1" si="25"/>
        <v>"2084008027" : "tạp chí có liên quan của Windows",</v>
      </c>
      <c r="H150" s="229" t="str">
        <f t="shared" si="29"/>
        <v>&lt;li class="col-md-3"&gt;&lt;a class="text-cut" href="javascript:;"(click)="categoryEvent(2084008027)"&gt;{{"2084008027" | translate}}&lt;/a&gt;&lt;/li&gt;</v>
      </c>
    </row>
    <row r="151" spans="1:8" ht="14.25" customHeight="1">
      <c r="A151" s="73">
        <v>2084008028</v>
      </c>
      <c r="B151" s="73" t="s">
        <v>8118</v>
      </c>
      <c r="C151" s="73" t="s">
        <v>8876</v>
      </c>
      <c r="D151" s="11" t="str">
        <f t="shared" si="28"/>
        <v>0,21600,21884,21908,2084008028</v>
      </c>
      <c r="E151" s="3" t="str">
        <f ca="1">IFERROR(__xludf.DUMMYFUNCTION("GOOGLETRANSLATE(B154,""ja"",""vi"")"),"Internet, truyền thông")</f>
        <v>Internet, truyền thông</v>
      </c>
      <c r="F151" s="3" t="str">
        <f ca="1">IFERROR(__xludf.DUMMYFUNCTION("GOOGLETRANSLATE(C154,""ja"",""vi"")"),"Đấu giá&gt; cuốn sách, tạp chí&gt; Tạp chí&gt; máy tính và internet&gt; Internet, thông tin liên lạc")</f>
        <v>Đấu giá&gt; cuốn sách, tạp chí&gt; Tạp chí&gt; máy tính và internet&gt; Internet, thông tin liên lạc</v>
      </c>
      <c r="G151" s="227" t="str">
        <f t="shared" ca="1" si="25"/>
        <v>"2084008028" : "Internet, truyền thông",</v>
      </c>
      <c r="H151" s="229" t="str">
        <f t="shared" si="29"/>
        <v>&lt;li class="col-md-3"&gt;&lt;a class="text-cut" href="javascript:;"(click)="categoryEvent(2084008028)"&gt;{{"2084008028" | translate}}&lt;/a&gt;&lt;/li&gt;</v>
      </c>
    </row>
    <row r="152" spans="1:8" ht="14.25" customHeight="1">
      <c r="A152" s="73">
        <v>2084008029</v>
      </c>
      <c r="B152" s="73" t="s">
        <v>8877</v>
      </c>
      <c r="C152" s="73" t="s">
        <v>8878</v>
      </c>
      <c r="D152" s="11" t="str">
        <f t="shared" si="28"/>
        <v>0,21600,21884,21908,2084008029</v>
      </c>
      <c r="E152" s="3" t="str">
        <f ca="1">IFERROR(__xludf.DUMMYFUNCTION("GOOGLETRANSLATE(B155,""ja"",""vi"")"),"nhạc máy tính, DTM")</f>
        <v>nhạc máy tính, DTM</v>
      </c>
      <c r="F152" s="3" t="str">
        <f ca="1">IFERROR(__xludf.DUMMYFUNCTION("GOOGLETRANSLATE(C155,""ja"",""vi"")"),"Đấu giá&gt; cuốn sách, tạp chí&gt; Tạp chí&gt; máy tính và internet&gt; nhạc máy tính, DTM")</f>
        <v>Đấu giá&gt; cuốn sách, tạp chí&gt; Tạp chí&gt; máy tính và internet&gt; nhạc máy tính, DTM</v>
      </c>
      <c r="G152" s="227" t="str">
        <f t="shared" ca="1" si="25"/>
        <v>"2084008029" : "nhạc máy tính, DTM",</v>
      </c>
      <c r="H152" s="229" t="str">
        <f t="shared" si="29"/>
        <v>&lt;li class="col-md-3"&gt;&lt;a class="text-cut" href="javascript:;"(click)="categoryEvent(2084008029)"&gt;{{"2084008029" | translate}}&lt;/a&gt;&lt;/li&gt;</v>
      </c>
    </row>
    <row r="153" spans="1:8" ht="14.25" customHeight="1">
      <c r="A153" s="73">
        <v>2084008025</v>
      </c>
      <c r="B153" s="73" t="s">
        <v>8881</v>
      </c>
      <c r="C153" s="73" t="s">
        <v>8882</v>
      </c>
      <c r="D153" s="11" t="str">
        <f t="shared" si="28"/>
        <v>0,21600,21884,21908,2084008025</v>
      </c>
      <c r="E153" s="3" t="str">
        <f ca="1">IFERROR(__xludf.DUMMYFUNCTION("GOOGLETRANSLATE(B156,""ja"",""vi"")"),"PC Games")</f>
        <v>PC Games</v>
      </c>
      <c r="F153" s="3" t="str">
        <f ca="1">IFERROR(__xludf.DUMMYFUNCTION("GOOGLETRANSLATE(C156,""ja"",""vi"")"),"Đấu giá&gt; cuốn sách, tạp chí&gt; Tạp chí&gt; máy tính và internet&gt; trò chơi máy tính cá nhân")</f>
        <v>Đấu giá&gt; cuốn sách, tạp chí&gt; Tạp chí&gt; máy tính và internet&gt; trò chơi máy tính cá nhân</v>
      </c>
      <c r="G153" s="227" t="str">
        <f t="shared" ca="1" si="25"/>
        <v>"2084008025" : "PC Games",</v>
      </c>
      <c r="H153" s="229" t="str">
        <f t="shared" si="29"/>
        <v>&lt;li class="col-md-3"&gt;&lt;a class="text-cut" href="javascript:;"(click)="categoryEvent(2084008025)"&gt;{{"2084008025" | translate}}&lt;/a&gt;&lt;/li&gt;</v>
      </c>
    </row>
    <row r="154" spans="1:8" ht="14.25" customHeight="1">
      <c r="E154" s="3"/>
      <c r="F154" s="3"/>
      <c r="G154" s="227"/>
    </row>
    <row r="155" spans="1:8" ht="14.25" customHeight="1">
      <c r="E155" s="3"/>
      <c r="F155" s="3"/>
      <c r="G155" s="227"/>
    </row>
    <row r="156" spans="1:8" ht="44.4" customHeight="1">
      <c r="A156" s="290">
        <v>21700</v>
      </c>
      <c r="B156" s="232"/>
      <c r="C156" s="232"/>
      <c r="D156" s="233"/>
      <c r="E156" s="3"/>
      <c r="F156" s="3"/>
      <c r="G156" s="227"/>
    </row>
    <row r="157" spans="1:8" ht="14.25" customHeight="1">
      <c r="A157" s="73">
        <v>2084008801</v>
      </c>
      <c r="B157" s="73" t="s">
        <v>8101</v>
      </c>
      <c r="C157" s="73" t="s">
        <v>8102</v>
      </c>
      <c r="D157" s="11" t="str">
        <f t="shared" ref="D157:D166" si="30">CONCATENATE("0,","21600,21700,",A157)</f>
        <v>0,21600,21700,2084008801</v>
      </c>
      <c r="E157" s="3" t="str">
        <f ca="1">IFERROR(__xludf.DUMMYFUNCTION("GOOGLETRANSLATE(B160,""ja"",""vi"")"),"Mac")</f>
        <v>Mac</v>
      </c>
      <c r="F157" s="3" t="str">
        <f ca="1">IFERROR(__xludf.DUMMYFUNCTION("GOOGLETRANSLATE(C160,""ja"",""vi"")"),"Đấu giá&gt; cuốn sách, tạp chí&gt; máy tính và internet&gt; Mac")</f>
        <v>Đấu giá&gt; cuốn sách, tạp chí&gt; máy tính và internet&gt; Mac</v>
      </c>
      <c r="G157" s="227" t="str">
        <f t="shared" ca="1" si="25"/>
        <v>"2084008801" : "Mac",</v>
      </c>
      <c r="H157" s="229" t="str">
        <f t="shared" ref="H157:H166" si="31">CONCATENATE("&lt;li class=",CHAR(34)&amp;"","col-md-3",""&amp;CHAR(34),"&gt;","&lt;a class=",CHAR(34)&amp;"","text-cut",""&amp;CHAR(34)," href=",CHAR(34)&amp;"","javascript:;",""&amp;CHAR(34), "(click)=",CHAR(34)&amp;"","categoryEvent(",A157,")",""&amp;CHAR(34),"&gt;{{",CHAR(34)&amp;"",A157,""&amp;CHAR(34)," | translate}}&lt;/a&gt;&lt;/li&gt;")</f>
        <v>&lt;li class="col-md-3"&gt;&lt;a class="text-cut" href="javascript:;"(click)="categoryEvent(2084008801)"&gt;{{"2084008801" | translate}}&lt;/a&gt;&lt;/li&gt;</v>
      </c>
    </row>
    <row r="158" spans="1:8" ht="14.25" customHeight="1">
      <c r="A158" s="73">
        <v>2084008809</v>
      </c>
      <c r="B158" s="73" t="s">
        <v>8106</v>
      </c>
      <c r="C158" s="73" t="s">
        <v>8108</v>
      </c>
      <c r="D158" s="11" t="str">
        <f t="shared" si="30"/>
        <v>0,21600,21700,2084008809</v>
      </c>
      <c r="E158" s="3" t="str">
        <f ca="1">IFERROR(__xludf.DUMMYFUNCTION("GOOGLETRANSLATE(B161,""ja"",""vi"")"),"OS")</f>
        <v>OS</v>
      </c>
      <c r="F158" s="3" t="str">
        <f ca="1">IFERROR(__xludf.DUMMYFUNCTION("GOOGLETRANSLATE(C161,""ja"",""vi"")"),"Đấu giá&gt; cuốn sách, tạp chí&gt; máy tính và internet&gt; OS")</f>
        <v>Đấu giá&gt; cuốn sách, tạp chí&gt; máy tính và internet&gt; OS</v>
      </c>
      <c r="G158" s="227" t="str">
        <f t="shared" ca="1" si="25"/>
        <v>"2084008809" : "OS",</v>
      </c>
      <c r="H158" s="229" t="str">
        <f t="shared" si="31"/>
        <v>&lt;li class="col-md-3"&gt;&lt;a class="text-cut" href="javascript:;"(click)="categoryEvent(2084008809)"&gt;{{"2084008809" | translate}}&lt;/a&gt;&lt;/li&gt;</v>
      </c>
    </row>
    <row r="159" spans="1:8" ht="14.25" customHeight="1">
      <c r="A159" s="73">
        <v>2084008826</v>
      </c>
      <c r="B159" s="73" t="s">
        <v>8112</v>
      </c>
      <c r="C159" s="73" t="s">
        <v>8113</v>
      </c>
      <c r="D159" s="11" t="str">
        <f t="shared" si="30"/>
        <v>0,21600,21700,2084008826</v>
      </c>
      <c r="E159" s="3" t="str">
        <f ca="1">IFERROR(__xludf.DUMMYFUNCTION("GOOGLETRANSLATE(B162,""ja"",""vi"")"),"ứng dụng")</f>
        <v>ứng dụng</v>
      </c>
      <c r="F159" s="3" t="str">
        <f ca="1">IFERROR(__xludf.DUMMYFUNCTION("GOOGLETRANSLATE(C162,""ja"",""vi"")"),"Đấu giá&gt; cuốn sách, tạp chí&gt; máy tính và internet&gt; Ứng dụng")</f>
        <v>Đấu giá&gt; cuốn sách, tạp chí&gt; máy tính và internet&gt; Ứng dụng</v>
      </c>
      <c r="G159" s="227" t="str">
        <f t="shared" ca="1" si="25"/>
        <v>"2084008826" : "ứng dụng",</v>
      </c>
      <c r="H159" s="229" t="str">
        <f t="shared" si="31"/>
        <v>&lt;li class="col-md-3"&gt;&lt;a class="text-cut" href="javascript:;"(click)="categoryEvent(2084008826)"&gt;{{"2084008826" | translate}}&lt;/a&gt;&lt;/li&gt;</v>
      </c>
    </row>
    <row r="160" spans="1:8" ht="14.25" customHeight="1">
      <c r="A160" s="73">
        <v>2084008845</v>
      </c>
      <c r="B160" s="73" t="s">
        <v>8118</v>
      </c>
      <c r="C160" s="73" t="s">
        <v>8119</v>
      </c>
      <c r="D160" s="11" t="str">
        <f t="shared" si="30"/>
        <v>0,21600,21700,2084008845</v>
      </c>
      <c r="E160" s="3" t="str">
        <f ca="1">IFERROR(__xludf.DUMMYFUNCTION("GOOGLETRANSLATE(B163,""ja"",""vi"")"),"Internet, truyền thông")</f>
        <v>Internet, truyền thông</v>
      </c>
      <c r="F160" s="3" t="str">
        <f ca="1">IFERROR(__xludf.DUMMYFUNCTION("GOOGLETRANSLATE(C163,""ja"",""vi"")"),"Đấu giá&gt; cuốn sách, tạp chí&gt; máy tính và internet&gt; Internet, thông tin liên lạc")</f>
        <v>Đấu giá&gt; cuốn sách, tạp chí&gt; máy tính và internet&gt; Internet, thông tin liên lạc</v>
      </c>
      <c r="G160" s="227" t="str">
        <f t="shared" ca="1" si="25"/>
        <v>"2084008845" : "Internet, truyền thông",</v>
      </c>
      <c r="H160" s="229" t="str">
        <f t="shared" si="31"/>
        <v>&lt;li class="col-md-3"&gt;&lt;a class="text-cut" href="javascript:;"(click)="categoryEvent(2084008845)"&gt;{{"2084008845" | translate}}&lt;/a&gt;&lt;/li&gt;</v>
      </c>
    </row>
    <row r="161" spans="1:8" ht="14.25" customHeight="1">
      <c r="A161" s="73">
        <v>2084008856</v>
      </c>
      <c r="B161" s="73" t="s">
        <v>8122</v>
      </c>
      <c r="C161" s="73" t="s">
        <v>8123</v>
      </c>
      <c r="D161" s="11" t="str">
        <f t="shared" si="30"/>
        <v>0,21600,21700,2084008856</v>
      </c>
      <c r="E161" s="3" t="str">
        <f ca="1">IFERROR(__xludf.DUMMYFUNCTION("GOOGLETRANSLATE(B164,""ja"",""vi"")"),"kiểm tra trình độ máy tính")</f>
        <v>kiểm tra trình độ máy tính</v>
      </c>
      <c r="F161" s="3" t="str">
        <f ca="1">IFERROR(__xludf.DUMMYFUNCTION("GOOGLETRANSLATE(C164,""ja"",""vi"")"),"Đấu giá&gt; cuốn sách, tạp chí&gt; máy tính và internet&gt; máy tính đủ điều kiện thi")</f>
        <v>Đấu giá&gt; cuốn sách, tạp chí&gt; máy tính và internet&gt; máy tính đủ điều kiện thi</v>
      </c>
      <c r="G161" s="227" t="str">
        <f t="shared" ca="1" si="25"/>
        <v>"2084008856" : "kiểm tra trình độ máy tính",</v>
      </c>
      <c r="H161" s="229" t="str">
        <f t="shared" si="31"/>
        <v>&lt;li class="col-md-3"&gt;&lt;a class="text-cut" href="javascript:;"(click)="categoryEvent(2084008856)"&gt;{{"2084008856" | translate}}&lt;/a&gt;&lt;/li&gt;</v>
      </c>
    </row>
    <row r="162" spans="1:8" ht="14.25" customHeight="1">
      <c r="A162" s="73">
        <v>2084048456</v>
      </c>
      <c r="B162" s="73" t="s">
        <v>8127</v>
      </c>
      <c r="C162" s="73" t="s">
        <v>8128</v>
      </c>
      <c r="D162" s="11" t="str">
        <f t="shared" si="30"/>
        <v>0,21600,21700,2084048456</v>
      </c>
      <c r="E162" s="3" t="str">
        <f ca="1">IFERROR(__xludf.DUMMYFUNCTION("GOOGLETRANSLATE(B165,""ja"",""vi"")"),"Digital Tạo")</f>
        <v>Digital Tạo</v>
      </c>
      <c r="F162" s="3" t="str">
        <f ca="1">IFERROR(__xludf.DUMMYFUNCTION("GOOGLETRANSLATE(C165,""ja"",""vi"")"),"Đấu giá&gt; cuốn sách, tạp chí&gt; máy tính và internet&gt; Digital Tạo")</f>
        <v>Đấu giá&gt; cuốn sách, tạp chí&gt; máy tính và internet&gt; Digital Tạo</v>
      </c>
      <c r="G162" s="227" t="str">
        <f t="shared" ca="1" si="25"/>
        <v>"2084048456" : "Digital Tạo",</v>
      </c>
      <c r="H162" s="229" t="str">
        <f t="shared" si="31"/>
        <v>&lt;li class="col-md-3"&gt;&lt;a class="text-cut" href="javascript:;"(click)="categoryEvent(2084048456)"&gt;{{"2084048456" | translate}}&lt;/a&gt;&lt;/li&gt;</v>
      </c>
    </row>
    <row r="163" spans="1:8" ht="14.25" customHeight="1">
      <c r="A163" s="73">
        <v>2084048851</v>
      </c>
      <c r="B163" s="73" t="s">
        <v>8124</v>
      </c>
      <c r="C163" s="73" t="s">
        <v>8125</v>
      </c>
      <c r="D163" s="11" t="str">
        <f t="shared" si="30"/>
        <v>0,21600,21700,2084048851</v>
      </c>
      <c r="E163" s="3" t="str">
        <f ca="1">IFERROR(__xludf.DUMMYFUNCTION("GOOGLETRANSLATE(B166,""ja"",""vi"")"),"thiết kế hệ thống, phát triển")</f>
        <v>thiết kế hệ thống, phát triển</v>
      </c>
      <c r="F163" s="3" t="str">
        <f ca="1">IFERROR(__xludf.DUMMYFUNCTION("GOOGLETRANSLATE(C166,""ja"",""vi"")"),"Đấu giá&gt; cuốn sách, tạp chí&gt; máy tính và internet&gt; thiết kế hệ thống, phát triển")</f>
        <v>Đấu giá&gt; cuốn sách, tạp chí&gt; máy tính và internet&gt; thiết kế hệ thống, phát triển</v>
      </c>
      <c r="G163" s="227" t="str">
        <f t="shared" ca="1" si="25"/>
        <v>"2084048851" : "thiết kế hệ thống, phát triển",</v>
      </c>
      <c r="H163" s="229" t="str">
        <f t="shared" si="31"/>
        <v>&lt;li class="col-md-3"&gt;&lt;a class="text-cut" href="javascript:;"(click)="categoryEvent(2084048851)"&gt;{{"2084048851" | translate}}&lt;/a&gt;&lt;/li&gt;</v>
      </c>
    </row>
    <row r="164" spans="1:8" ht="14.25" customHeight="1">
      <c r="A164" s="73">
        <v>2084008802</v>
      </c>
      <c r="B164" s="73" t="s">
        <v>8131</v>
      </c>
      <c r="C164" s="73" t="s">
        <v>8132</v>
      </c>
      <c r="D164" s="11" t="str">
        <f t="shared" si="30"/>
        <v>0,21600,21700,2084008802</v>
      </c>
      <c r="E164" s="3" t="str">
        <f ca="1">IFERROR(__xludf.DUMMYFUNCTION("GOOGLETRANSLATE(B167,""ja"",""vi"")"),"phần cứng")</f>
        <v>phần cứng</v>
      </c>
      <c r="F164" s="3" t="str">
        <f ca="1">IFERROR(__xludf.DUMMYFUNCTION("GOOGLETRANSLATE(C167,""ja"",""vi"")"),"Đấu giá&gt; cuốn sách, tạp chí&gt; máy tính và internet&gt; phần cứng")</f>
        <v>Đấu giá&gt; cuốn sách, tạp chí&gt; máy tính và internet&gt; phần cứng</v>
      </c>
      <c r="G164" s="227" t="str">
        <f t="shared" ca="1" si="25"/>
        <v>"2084008802" : "phần cứng",</v>
      </c>
      <c r="H164" s="229" t="str">
        <f t="shared" si="31"/>
        <v>&lt;li class="col-md-3"&gt;&lt;a class="text-cut" href="javascript:;"(click)="categoryEvent(2084008802)"&gt;{{"2084008802" | translate}}&lt;/a&gt;&lt;/li&gt;</v>
      </c>
    </row>
    <row r="165" spans="1:8" ht="14.25" customHeight="1">
      <c r="A165" s="73">
        <v>2084008817</v>
      </c>
      <c r="B165" s="73" t="s">
        <v>8133</v>
      </c>
      <c r="C165" s="73" t="s">
        <v>8134</v>
      </c>
      <c r="D165" s="11" t="str">
        <f t="shared" si="30"/>
        <v>0,21600,21700,2084008817</v>
      </c>
      <c r="E165" s="3" t="str">
        <f ca="1">IFERROR(__xludf.DUMMYFUNCTION("GOOGLETRANSLATE(B168,""ja"",""vi"")"),"ngôn ngữ")</f>
        <v>ngôn ngữ</v>
      </c>
      <c r="F165" s="3" t="str">
        <f ca="1">IFERROR(__xludf.DUMMYFUNCTION("GOOGLETRANSLATE(C168,""ja"",""vi"")"),"Đấu giá&gt; cuốn sách, tạp chí&gt; máy tính và internet&gt; Ngôn ngữ")</f>
        <v>Đấu giá&gt; cuốn sách, tạp chí&gt; máy tính và internet&gt; Ngôn ngữ</v>
      </c>
      <c r="G165" s="227" t="str">
        <f t="shared" ca="1" si="25"/>
        <v>"2084008817" : "ngôn ngữ",</v>
      </c>
      <c r="H165" s="229" t="str">
        <f t="shared" si="31"/>
        <v>&lt;li class="col-md-3"&gt;&lt;a class="text-cut" href="javascript:;"(click)="categoryEvent(2084008817)"&gt;{{"2084008817" | translate}}&lt;/a&gt;&lt;/li&gt;</v>
      </c>
    </row>
    <row r="166" spans="1:8" ht="14.25" customHeight="1">
      <c r="A166" s="73">
        <v>21908</v>
      </c>
      <c r="B166" s="73" t="s">
        <v>351</v>
      </c>
      <c r="C166" s="73" t="s">
        <v>8890</v>
      </c>
      <c r="D166" s="11" t="str">
        <f t="shared" si="30"/>
        <v>0,21600,21700,21908</v>
      </c>
      <c r="E166" s="3" t="str">
        <f ca="1">IFERROR(__xludf.DUMMYFUNCTION("GOOGLETRANSLATE(B169,""ja"",""vi"")"),"tạp chí")</f>
        <v>tạp chí</v>
      </c>
      <c r="F166" s="3" t="str">
        <f ca="1">IFERROR(__xludf.DUMMYFUNCTION("GOOGLETRANSLATE(C169,""ja"",""vi"")"),"Đấu giá&gt; cuốn sách, tạp chí&gt; máy tính và internet&gt; Tạp chí &lt;")</f>
        <v>Đấu giá&gt; cuốn sách, tạp chí&gt; máy tính và internet&gt; Tạp chí &lt;</v>
      </c>
      <c r="G166" s="227" t="str">
        <f t="shared" ca="1" si="25"/>
        <v>"21908" : "tạp chí",</v>
      </c>
      <c r="H166" s="229" t="str">
        <f t="shared" si="31"/>
        <v>&lt;li class="col-md-3"&gt;&lt;a class="text-cut" href="javascript:;"(click)="categoryEvent(21908)"&gt;{{"21908" | translate}}&lt;/a&gt;&lt;/li&gt;</v>
      </c>
    </row>
    <row r="167" spans="1:8" ht="14.25" customHeight="1"/>
    <row r="168" spans="1:8" ht="14.25" customHeight="1"/>
    <row r="169" spans="1:8" ht="14.25" customHeight="1"/>
    <row r="170" spans="1:8" ht="14.25" customHeight="1"/>
    <row r="171" spans="1:8" ht="14.25" customHeight="1"/>
    <row r="172" spans="1:8" ht="14.25" customHeight="1"/>
    <row r="173" spans="1:8" ht="14.25" customHeight="1"/>
    <row r="174" spans="1:8" ht="14.25" customHeight="1"/>
    <row r="175" spans="1:8" ht="14.25" customHeight="1"/>
    <row r="176" spans="1:8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4">
    <mergeCell ref="A22:D22"/>
    <mergeCell ref="A32:D32"/>
    <mergeCell ref="A39:D39"/>
    <mergeCell ref="A49:D49"/>
    <mergeCell ref="A62:D62"/>
    <mergeCell ref="A156:D156"/>
    <mergeCell ref="A139:D139"/>
    <mergeCell ref="A147:D147"/>
    <mergeCell ref="A86:D86"/>
    <mergeCell ref="A91:D91"/>
    <mergeCell ref="A101:D101"/>
    <mergeCell ref="A114:D114"/>
    <mergeCell ref="A120:D120"/>
    <mergeCell ref="A129:D129"/>
  </mergeCells>
  <pageMargins left="0.7" right="0.7" top="0.75" bottom="0.75" header="0" footer="0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G1" workbookViewId="0">
      <selection activeCell="G2" sqref="G2"/>
    </sheetView>
  </sheetViews>
  <sheetFormatPr defaultColWidth="12.59765625" defaultRowHeight="15" customHeight="1"/>
  <cols>
    <col min="1" max="1" width="10.59765625" customWidth="1"/>
    <col min="2" max="2" width="16.8984375" customWidth="1"/>
    <col min="3" max="3" width="31.59765625" customWidth="1"/>
    <col min="4" max="4" width="20" customWidth="1"/>
    <col min="5" max="5" width="7.59765625" customWidth="1"/>
    <col min="6" max="6" width="103.59765625" customWidth="1"/>
    <col min="7" max="7" width="67.59765625" customWidth="1"/>
    <col min="8" max="8" width="86.296875" customWidth="1"/>
    <col min="9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73">
        <v>23880</v>
      </c>
      <c r="B2" s="73" t="s">
        <v>3171</v>
      </c>
      <c r="C2" s="73" t="s">
        <v>8012</v>
      </c>
      <c r="D2" s="11" t="str">
        <f t="shared" ref="D2:D27" si="0">CONCATENATE("0,","23632,",A2)</f>
        <v>0,23632,23880</v>
      </c>
      <c r="E2" s="3" t="str">
        <f ca="1">IFERROR(__xludf.DUMMYFUNCTION("GOOGLETRANSLATE(B2,""ja"",""vi"")"),"thiết bị video")</f>
        <v>thiết bị video</v>
      </c>
      <c r="F2" s="3" t="str">
        <f ca="1">IFERROR(__xludf.DUMMYFUNCTION("GOOGLETRANSLATE(C2,""ja"",""vi"")"),"Đấu giá&gt; thiết bị điện tử tiêu dùng, AV, camera&gt; thiết bị video")</f>
        <v>Đấu giá&gt; thiết bị điện tử tiêu dùng, AV, camera&gt; thiết bị video</v>
      </c>
      <c r="G2" s="228" t="str">
        <f ca="1">CONCATENATE(CHAR(34)&amp;"",A2,""&amp;CHAR(34)," : ", CHAR(34)&amp;"",E2,""&amp;CHAR(34),",")</f>
        <v>"23880" : "thiết bị video",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href="javascript:;"(click)="categoryEvent(23880)"&gt;{{"23880" | translate}}&lt;/a&gt;&lt;/li&gt;</v>
      </c>
    </row>
    <row r="3" spans="1:8" ht="14.25" customHeight="1">
      <c r="A3" s="12">
        <v>23764</v>
      </c>
      <c r="B3" s="12" t="s">
        <v>3140</v>
      </c>
      <c r="C3" s="13" t="s">
        <v>8017</v>
      </c>
      <c r="D3" s="13" t="str">
        <f t="shared" si="0"/>
        <v>0,23632,23764</v>
      </c>
      <c r="E3" s="3" t="str">
        <f ca="1">IFERROR(__xludf.DUMMYFUNCTION("GOOGLETRANSLATE(B3,""ja"",""vi"")"),"thiết bị nghe")</f>
        <v>thiết bị nghe</v>
      </c>
      <c r="F3" s="3" t="str">
        <f ca="1">IFERROR(__xludf.DUMMYFUNCTION("GOOGLETRANSLATE(C3,""ja"",""vi"")"),"Đấu giá&gt; thiết bị điện tử tiêu dùng, AV, máy ảnh&gt; Thiết bị âm thanh")</f>
        <v>Đấu giá&gt; thiết bị điện tử tiêu dùng, AV, máy ảnh&gt; Thiết bị âm thanh</v>
      </c>
      <c r="G3" s="228" t="str">
        <f t="shared" ref="G3:G66" ca="1" si="1">CONCATENATE(CHAR(34)&amp;"",A3,""&amp;CHAR(34)," : ", CHAR(34)&amp;"",E3,""&amp;CHAR(34),",")</f>
        <v>"23764" : "thiết bị nghe",</v>
      </c>
      <c r="H3" s="229" t="str">
        <f t="shared" ref="H3:H66" si="2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href="javascript:;"(click)="categoryEvent(23764)"&gt;{{"23764" | translate}}&lt;/a&gt;&lt;/li&gt;</v>
      </c>
    </row>
    <row r="4" spans="1:8" ht="14.25" customHeight="1">
      <c r="A4" s="14">
        <v>23636</v>
      </c>
      <c r="B4" s="14" t="s">
        <v>8020</v>
      </c>
      <c r="C4" s="14" t="s">
        <v>8021</v>
      </c>
      <c r="D4" s="174" t="str">
        <f t="shared" si="0"/>
        <v>0,23632,23636</v>
      </c>
      <c r="E4" s="3" t="str">
        <f ca="1">IFERROR(__xludf.DUMMYFUNCTION("GOOGLETRANSLATE(B4,""ja"",""vi"")"),"Camera, thiết bị quang học")</f>
        <v>Camera, thiết bị quang học</v>
      </c>
      <c r="F4" s="3" t="str">
        <f ca="1">IFERROR(__xludf.DUMMYFUNCTION("GOOGLETRANSLATE(C4,""ja"",""vi"")"),"Đấu giá&gt; thiết bị điện tử tiêu dùng, AV, máy ảnh&gt; máy ảnh, thiết bị quang học")</f>
        <v>Đấu giá&gt; thiết bị điện tử tiêu dùng, AV, máy ảnh&gt; máy ảnh, thiết bị quang học</v>
      </c>
      <c r="G4" s="228" t="str">
        <f t="shared" ca="1" si="1"/>
        <v>"23636" : "Camera, thiết bị quang học",</v>
      </c>
      <c r="H4" s="229" t="str">
        <f t="shared" si="2"/>
        <v>&lt;li class="col-md-3"&gt;&lt;a class="text-cut" href="javascript:;"(click)="categoryEvent(23636)"&gt;{{"23636" | translate}}&lt;/a&gt;&lt;/li&gt;</v>
      </c>
    </row>
    <row r="5" spans="1:8" ht="14.25" customHeight="1">
      <c r="A5" s="15">
        <v>23960</v>
      </c>
      <c r="B5" s="15" t="s">
        <v>8029</v>
      </c>
      <c r="C5" s="15" t="s">
        <v>8031</v>
      </c>
      <c r="D5" s="175" t="str">
        <f t="shared" si="0"/>
        <v>0,23632,23960</v>
      </c>
      <c r="E5" s="3" t="str">
        <f ca="1">IFERROR(__xludf.DUMMYFUNCTION("GOOGLETRANSLATE(B5,""ja"",""vi"")"),"điện thoại di động, điện thoại thông minh")</f>
        <v>điện thoại di động, điện thoại thông minh</v>
      </c>
      <c r="F5" s="3" t="str">
        <f ca="1">IFERROR(__xludf.DUMMYFUNCTION("GOOGLETRANSLATE(C5,""ja"",""vi"")"),"Đấu giá&gt; thiết bị điện tử tiêu dùng, AV, camera&gt; điện thoại di động, điện thoại thông minh")</f>
        <v>Đấu giá&gt; thiết bị điện tử tiêu dùng, AV, camera&gt; điện thoại di động, điện thoại thông minh</v>
      </c>
      <c r="G5" s="228" t="str">
        <f t="shared" ca="1" si="1"/>
        <v>"23960" : "điện thoại di động, điện thoại thông minh",</v>
      </c>
      <c r="H5" s="229" t="str">
        <f t="shared" si="2"/>
        <v>&lt;li class="col-md-3"&gt;&lt;a class="text-cut" href="javascript:;"(click)="categoryEvent(23960)"&gt;{{"23960" | translate}}&lt;/a&gt;&lt;/li&gt;</v>
      </c>
    </row>
    <row r="6" spans="1:8" ht="14.25" customHeight="1">
      <c r="A6" s="17">
        <v>2084316074</v>
      </c>
      <c r="B6" s="17" t="s">
        <v>8037</v>
      </c>
      <c r="C6" s="17" t="s">
        <v>8039</v>
      </c>
      <c r="D6" s="176" t="str">
        <f t="shared" si="0"/>
        <v>0,23632,2084316074</v>
      </c>
      <c r="E6" s="3" t="str">
        <f ca="1">IFERROR(__xludf.DUMMYFUNCTION("GOOGLETRANSLATE(B6,""ja"",""vi"")"),"Thông minh đồng hồ, thiết bị đầu cuối đeo được")</f>
        <v>Thông minh đồng hồ, thiết bị đầu cuối đeo được</v>
      </c>
      <c r="F6" s="3" t="str">
        <f ca="1">IFERROR(__xludf.DUMMYFUNCTION("GOOGLETRANSLATE(C6,""ja"",""vi"")"),"Đấu giá&gt; thiết bị điện tử tiêu dùng, AV, camera&gt; đồng hồ thông minh, thiết bị đầu cuối đeo được")</f>
        <v>Đấu giá&gt; thiết bị điện tử tiêu dùng, AV, camera&gt; đồng hồ thông minh, thiết bị đầu cuối đeo được</v>
      </c>
      <c r="G6" s="228" t="str">
        <f t="shared" ca="1" si="1"/>
        <v>"2084316074" : "Thông minh đồng hồ, thiết bị đầu cuối đeo được",</v>
      </c>
      <c r="H6" s="229" t="str">
        <f t="shared" si="2"/>
        <v>&lt;li class="col-md-3"&gt;&lt;a class="text-cut" href="javascript:;"(click)="categoryEvent(2084316074)"&gt;{{"2084316074" | translate}}&lt;/a&gt;&lt;/li&gt;</v>
      </c>
    </row>
    <row r="7" spans="1:8" ht="14.25" customHeight="1">
      <c r="A7" s="18">
        <v>2084055703</v>
      </c>
      <c r="B7" s="18" t="s">
        <v>1743</v>
      </c>
      <c r="C7" s="18" t="s">
        <v>8046</v>
      </c>
      <c r="D7" s="177" t="str">
        <f t="shared" si="0"/>
        <v>0,23632,2084055703</v>
      </c>
      <c r="E7" s="3" t="str">
        <f ca="1">IFERROR(__xludf.DUMMYFUNCTION("GOOGLETRANSLATE(B7,""ja"",""vi"")"),"camera an ninh")</f>
        <v>camera an ninh</v>
      </c>
      <c r="F7" s="3" t="str">
        <f ca="1">IFERROR(__xludf.DUMMYFUNCTION("GOOGLETRANSLATE(C7,""ja"",""vi"")"),"Đấu giá&gt; thiết bị điện tử tiêu dùng, AV, máy ảnh&gt; camera an ninh")</f>
        <v>Đấu giá&gt; thiết bị điện tử tiêu dùng, AV, máy ảnh&gt; camera an ninh</v>
      </c>
      <c r="G7" s="228" t="str">
        <f t="shared" ca="1" si="1"/>
        <v>"2084055703" : "camera an ninh",</v>
      </c>
      <c r="H7" s="229" t="str">
        <f t="shared" si="2"/>
        <v>&lt;li class="col-md-3"&gt;&lt;a class="text-cut" href="javascript:;"(click)="categoryEvent(2084055703)"&gt;{{"2084055703" | translate}}&lt;/a&gt;&lt;/li&gt;</v>
      </c>
    </row>
    <row r="8" spans="1:8" ht="14.25" customHeight="1">
      <c r="A8" s="19">
        <v>2084008364</v>
      </c>
      <c r="B8" s="19" t="s">
        <v>3147</v>
      </c>
      <c r="C8" s="19" t="s">
        <v>8049</v>
      </c>
      <c r="D8" s="178" t="str">
        <f t="shared" si="0"/>
        <v>0,23632,2084008364</v>
      </c>
      <c r="E8" s="3" t="str">
        <f ca="1">IFERROR(__xludf.DUMMYFUNCTION("GOOGLETRANSLATE(B8,""ja"",""vi"")"),"Nhà bếp, bàn ăn")</f>
        <v>Nhà bếp, bàn ăn</v>
      </c>
      <c r="F8" s="3" t="str">
        <f ca="1">IFERROR(__xludf.DUMMYFUNCTION("GOOGLETRANSLATE(C8,""ja"",""vi"")"),"Đấu giá&gt; thiết bị điện tử tiêu dùng, AV, camera&gt; bếp, bàn ăn")</f>
        <v>Đấu giá&gt; thiết bị điện tử tiêu dùng, AV, camera&gt; bếp, bàn ăn</v>
      </c>
      <c r="G8" s="228" t="str">
        <f t="shared" ca="1" si="1"/>
        <v>"2084008364" : "Nhà bếp, bàn ăn",</v>
      </c>
      <c r="H8" s="229" t="str">
        <f t="shared" si="2"/>
        <v>&lt;li class="col-md-3"&gt;&lt;a class="text-cut" href="javascript:;"(click)="categoryEvent(2084008364)"&gt;{{"2084008364" | translate}}&lt;/a&gt;&lt;/li&gt;</v>
      </c>
    </row>
    <row r="9" spans="1:8" ht="14.25" customHeight="1">
      <c r="A9" s="20">
        <v>2084042675</v>
      </c>
      <c r="B9" s="20" t="s">
        <v>8056</v>
      </c>
      <c r="C9" s="20" t="s">
        <v>8058</v>
      </c>
      <c r="D9" s="179" t="str">
        <f t="shared" si="0"/>
        <v>0,23632,2084042675</v>
      </c>
      <c r="E9" s="3" t="str">
        <f ca="1">IFERROR(__xludf.DUMMYFUNCTION("GOOGLETRANSLATE(B9,""ja"",""vi"")"),"Giặt, ủi")</f>
        <v>Giặt, ủi</v>
      </c>
      <c r="F9" s="3" t="str">
        <f ca="1">IFERROR(__xludf.DUMMYFUNCTION("GOOGLETRANSLATE(C9,""ja"",""vi"")"),"Đấu giá&gt; thiết bị điện tử tiêu dùng, AV, máy ảnh&gt; máy giặt, ủi")</f>
        <v>Đấu giá&gt; thiết bị điện tử tiêu dùng, AV, máy ảnh&gt; máy giặt, ủi</v>
      </c>
      <c r="G9" s="228" t="str">
        <f t="shared" ca="1" si="1"/>
        <v>"2084042675" : "Giặt, ủi",</v>
      </c>
      <c r="H9" s="229" t="str">
        <f t="shared" si="2"/>
        <v>&lt;li class="col-md-3"&gt;&lt;a class="text-cut" href="javascript:;"(click)="categoryEvent(2084042675)"&gt;{{"2084042675" | translate}}&lt;/a&gt;&lt;/li&gt;</v>
      </c>
    </row>
    <row r="10" spans="1:8" ht="14.25" customHeight="1">
      <c r="A10" s="21">
        <v>24450</v>
      </c>
      <c r="B10" s="21" t="s">
        <v>8062</v>
      </c>
      <c r="C10" s="21" t="s">
        <v>8063</v>
      </c>
      <c r="D10" s="180" t="str">
        <f t="shared" si="0"/>
        <v>0,23632,24450</v>
      </c>
      <c r="E10" s="3" t="str">
        <f ca="1">IFERROR(__xludf.DUMMYFUNCTION("GOOGLETRANSLATE(B10,""ja"",""vi"")"),"Làm sạch")</f>
        <v>Làm sạch</v>
      </c>
      <c r="F10" s="3" t="str">
        <f ca="1">IFERROR(__xludf.DUMMYFUNCTION("GOOGLETRANSLATE(C10,""ja"",""vi"")"),"Đấu giá&gt; thiết bị điện tử tiêu dùng, AV, camera&gt; làm sạch")</f>
        <v>Đấu giá&gt; thiết bị điện tử tiêu dùng, AV, camera&gt; làm sạch</v>
      </c>
      <c r="G10" s="228" t="str">
        <f t="shared" ca="1" si="1"/>
        <v>"24450" : "Làm sạch",</v>
      </c>
      <c r="H10" s="229" t="str">
        <f t="shared" si="2"/>
        <v>&lt;li class="col-md-3"&gt;&lt;a class="text-cut" href="javascript:;"(click)="categoryEvent(24450)"&gt;{{"24450" | translate}}&lt;/a&gt;&lt;/li&gt;</v>
      </c>
    </row>
    <row r="11" spans="1:8" ht="14.25" customHeight="1">
      <c r="A11" s="181">
        <v>2084008356</v>
      </c>
      <c r="B11" s="181" t="s">
        <v>3207</v>
      </c>
      <c r="C11" s="181" t="s">
        <v>8071</v>
      </c>
      <c r="D11" s="182" t="str">
        <f t="shared" si="0"/>
        <v>0,23632,2084008356</v>
      </c>
      <c r="E11" s="3" t="str">
        <f ca="1">IFERROR(__xludf.DUMMYFUNCTION("GOOGLETRANSLATE(B11,""ja"",""vi"")"),"Làm nóng và làm mát, điều hòa không khí")</f>
        <v>Làm nóng và làm mát, điều hòa không khí</v>
      </c>
      <c r="F11" s="3" t="str">
        <f ca="1">IFERROR(__xludf.DUMMYFUNCTION("GOOGLETRANSLATE(C11,""ja"",""vi"")"),"Đấu giá&gt; thiết bị điện tử tiêu dùng, AV, camera&gt; làm nóng và làm mát, điều hòa không khí")</f>
        <v>Đấu giá&gt; thiết bị điện tử tiêu dùng, AV, camera&gt; làm nóng và làm mát, điều hòa không khí</v>
      </c>
      <c r="G11" s="228" t="str">
        <f t="shared" ca="1" si="1"/>
        <v>"2084008356" : "Làm nóng và làm mát, điều hòa không khí",</v>
      </c>
      <c r="H11" s="229" t="str">
        <f t="shared" si="2"/>
        <v>&lt;li class="col-md-3"&gt;&lt;a class="text-cut" href="javascript:;"(click)="categoryEvent(2084008356)"&gt;{{"2084008356" | translate}}&lt;/a&gt;&lt;/li&gt;</v>
      </c>
    </row>
    <row r="12" spans="1:8" ht="14.25" customHeight="1">
      <c r="A12" s="183">
        <v>2084042673</v>
      </c>
      <c r="B12" s="183" t="s">
        <v>1286</v>
      </c>
      <c r="C12" s="183" t="s">
        <v>8080</v>
      </c>
      <c r="D12" s="184" t="str">
        <f t="shared" si="0"/>
        <v>0,23632,2084042673</v>
      </c>
      <c r="E12" s="3" t="str">
        <f ca="1">IFERROR(__xludf.DUMMYFUNCTION("GOOGLETRANSLATE(B12,""ja"",""vi"")"),"Làm đẹp, sức khỏe")</f>
        <v>Làm đẹp, sức khỏe</v>
      </c>
      <c r="F12" s="3" t="str">
        <f ca="1">IFERROR(__xludf.DUMMYFUNCTION("GOOGLETRANSLATE(C12,""ja"",""vi"")"),"Đấu giá&gt; thiết bị điện tử tiêu dùng, AV, camera&gt; vẻ đẹp, sức khỏe")</f>
        <v>Đấu giá&gt; thiết bị điện tử tiêu dùng, AV, camera&gt; vẻ đẹp, sức khỏe</v>
      </c>
      <c r="G12" s="228" t="str">
        <f t="shared" ca="1" si="1"/>
        <v>"2084042673" : "Làm đẹp, sức khỏe",</v>
      </c>
      <c r="H12" s="229" t="str">
        <f t="shared" si="2"/>
        <v>&lt;li class="col-md-3"&gt;&lt;a class="text-cut" href="javascript:;"(click)="categoryEvent(2084042673)"&gt;{{"2084042673" | translate}}&lt;/a&gt;&lt;/li&gt;</v>
      </c>
    </row>
    <row r="13" spans="1:8" ht="14.25" customHeight="1">
      <c r="A13" s="185">
        <v>2084042672</v>
      </c>
      <c r="B13" s="185" t="s">
        <v>3202</v>
      </c>
      <c r="C13" s="185" t="s">
        <v>8085</v>
      </c>
      <c r="D13" s="186" t="str">
        <f t="shared" si="0"/>
        <v>0,23632,2084042672</v>
      </c>
      <c r="E13" s="3" t="str">
        <f ca="1">IFERROR(__xludf.DUMMYFUNCTION("GOOGLETRANSLATE(B13,""ja"",""vi"")"),"Điện thoại, fax")</f>
        <v>Điện thoại, fax</v>
      </c>
      <c r="F13" s="3" t="str">
        <f ca="1">IFERROR(__xludf.DUMMYFUNCTION("GOOGLETRANSLATE(C13,""ja"",""vi"")"),"Đấu giá&gt; thiết bị điện tử tiêu dùng, AV, camera&gt; điện thoại, fax")</f>
        <v>Đấu giá&gt; thiết bị điện tử tiêu dùng, AV, camera&gt; điện thoại, fax</v>
      </c>
      <c r="G13" s="228" t="str">
        <f t="shared" ca="1" si="1"/>
        <v>"2084042672" : "Điện thoại, fax",</v>
      </c>
      <c r="H13" s="229" t="str">
        <f t="shared" si="2"/>
        <v>&lt;li class="col-md-3"&gt;&lt;a class="text-cut" href="javascript:;"(click)="categoryEvent(2084042672)"&gt;{{"2084042672" | translate}}&lt;/a&gt;&lt;/li&gt;</v>
      </c>
    </row>
    <row r="14" spans="1:8" ht="14.25" customHeight="1">
      <c r="A14" s="187">
        <v>2084042480</v>
      </c>
      <c r="B14" s="187" t="s">
        <v>1552</v>
      </c>
      <c r="C14" s="187" t="s">
        <v>8088</v>
      </c>
      <c r="D14" s="188" t="str">
        <f t="shared" si="0"/>
        <v>0,23632,2084042480</v>
      </c>
      <c r="E14" s="3" t="str">
        <f ca="1">IFERROR(__xludf.DUMMYFUNCTION("GOOGLETRANSLATE(B14,""ja"",""vi"")"),"thiết bị OA")</f>
        <v>thiết bị OA</v>
      </c>
      <c r="F14" s="3" t="str">
        <f ca="1">IFERROR(__xludf.DUMMYFUNCTION("GOOGLETRANSLATE(C14,""ja"",""vi"")"),"Đấu giá&gt; thiết bị điện tử tiêu dùng, AV, máy ảnh&gt; Thiết bị OA")</f>
        <v>Đấu giá&gt; thiết bị điện tử tiêu dùng, AV, máy ảnh&gt; Thiết bị OA</v>
      </c>
      <c r="G14" s="228" t="str">
        <f t="shared" ca="1" si="1"/>
        <v>"2084042480" : "thiết bị OA",</v>
      </c>
      <c r="H14" s="229" t="str">
        <f t="shared" si="2"/>
        <v>&lt;li class="col-md-3"&gt;&lt;a class="text-cut" href="javascript:;"(click)="categoryEvent(2084042480)"&gt;{{"2084042480" | translate}}&lt;/a&gt;&lt;/li&gt;</v>
      </c>
    </row>
    <row r="15" spans="1:8" ht="14.25" customHeight="1">
      <c r="A15" s="189">
        <v>22988</v>
      </c>
      <c r="B15" s="189" t="s">
        <v>1794</v>
      </c>
      <c r="C15" s="189" t="s">
        <v>8092</v>
      </c>
      <c r="D15" s="190" t="str">
        <f t="shared" si="0"/>
        <v>0,23632,22988</v>
      </c>
      <c r="E15" s="3" t="str">
        <f ca="1">IFERROR(__xludf.DUMMYFUNCTION("GOOGLETRANSLATE(B15,""ja"",""vi"")"),"Máy hủy tài liệu")</f>
        <v>Máy hủy tài liệu</v>
      </c>
      <c r="F15" s="3" t="str">
        <f ca="1">IFERROR(__xludf.DUMMYFUNCTION("GOOGLETRANSLATE(C15,""ja"",""vi"")"),"Đấu giá&gt; thiết bị điện tử tiêu dùng, AV, camera&gt; shredder")</f>
        <v>Đấu giá&gt; thiết bị điện tử tiêu dùng, AV, camera&gt; shredder</v>
      </c>
      <c r="G15" s="228" t="str">
        <f t="shared" ca="1" si="1"/>
        <v>"22988" : "Máy hủy tài liệu",</v>
      </c>
      <c r="H15" s="229" t="str">
        <f t="shared" si="2"/>
        <v>&lt;li class="col-md-3"&gt;&lt;a class="text-cut" href="javascript:;"(click)="categoryEvent(22988)"&gt;{{"22988" | translate}}&lt;/a&gt;&lt;/li&gt;</v>
      </c>
    </row>
    <row r="16" spans="1:8" ht="14.25" customHeight="1">
      <c r="A16" s="191">
        <v>2084050527</v>
      </c>
      <c r="B16" s="191" t="s">
        <v>1827</v>
      </c>
      <c r="C16" s="191" t="s">
        <v>8096</v>
      </c>
      <c r="D16" s="192" t="str">
        <f t="shared" si="0"/>
        <v>0,23632,2084050527</v>
      </c>
      <c r="E16" s="3" t="str">
        <f ca="1">IFERROR(__xludf.DUMMYFUNCTION("GOOGLETRANSLATE(B16,""ja"",""vi"")"),"từ điển điện tử")</f>
        <v>từ điển điện tử</v>
      </c>
      <c r="F16" s="3" t="str">
        <f ca="1">IFERROR(__xludf.DUMMYFUNCTION("GOOGLETRANSLATE(C16,""ja"",""vi"")"),"Đấu giá&gt; thiết bị điện tử tiêu dùng, AV, camera&gt; từ điển điện tử")</f>
        <v>Đấu giá&gt; thiết bị điện tử tiêu dùng, AV, camera&gt; từ điển điện tử</v>
      </c>
      <c r="G16" s="228" t="str">
        <f t="shared" ca="1" si="1"/>
        <v>"2084050527" : "từ điển điện tử",</v>
      </c>
      <c r="H16" s="229" t="str">
        <f t="shared" si="2"/>
        <v>&lt;li class="col-md-3"&gt;&lt;a class="text-cut" href="javascript:;"(click)="categoryEvent(2084050527)"&gt;{{"2084050527" | translate}}&lt;/a&gt;&lt;/li&gt;</v>
      </c>
    </row>
    <row r="17" spans="1:8" ht="14.25" customHeight="1">
      <c r="A17" s="193">
        <v>23878</v>
      </c>
      <c r="B17" s="193" t="s">
        <v>1834</v>
      </c>
      <c r="C17" s="193" t="s">
        <v>8099</v>
      </c>
      <c r="D17" s="194" t="str">
        <f t="shared" si="0"/>
        <v>0,23632,23878</v>
      </c>
      <c r="E17" s="3" t="str">
        <f ca="1">IFERROR(__xludf.DUMMYFUNCTION("GOOGLETRANSLATE(B17,""ja"",""vi"")"),"máy tính")</f>
        <v>máy tính</v>
      </c>
      <c r="F17" s="3" t="str">
        <f ca="1">IFERROR(__xludf.DUMMYFUNCTION("GOOGLETRANSLATE(C17,""ja"",""vi"")"),"Đấu giá&gt; thiết bị điện tử tiêu dùng, AV, máy ảnh&gt; Máy tính")</f>
        <v>Đấu giá&gt; thiết bị điện tử tiêu dùng, AV, máy ảnh&gt; Máy tính</v>
      </c>
      <c r="G17" s="228" t="str">
        <f t="shared" ca="1" si="1"/>
        <v>"23878" : "máy tính",</v>
      </c>
      <c r="H17" s="229" t="str">
        <f t="shared" si="2"/>
        <v>&lt;li class="col-md-3"&gt;&lt;a class="text-cut" href="javascript:;"(click)="categoryEvent(23878)"&gt;{{"23878" | translate}}&lt;/a&gt;&lt;/li&gt;</v>
      </c>
    </row>
    <row r="18" spans="1:8" ht="14.25" customHeight="1">
      <c r="A18" s="195">
        <v>2084044953</v>
      </c>
      <c r="B18" s="195" t="s">
        <v>8103</v>
      </c>
      <c r="C18" s="195" t="s">
        <v>8104</v>
      </c>
      <c r="D18" s="196" t="str">
        <f t="shared" si="0"/>
        <v>0,23632,2084044953</v>
      </c>
      <c r="E18" s="3" t="str">
        <f ca="1">IFERROR(__xludf.DUMMYFUNCTION("GOOGLETRANSLATE(B18,""ja"",""vi"")"),"Pin, pin, sạc")</f>
        <v>Pin, pin, sạc</v>
      </c>
      <c r="F18" s="3" t="str">
        <f ca="1">IFERROR(__xludf.DUMMYFUNCTION("GOOGLETRANSLATE(C18,""ja"",""vi"")"),"Đấu giá&gt; thiết bị điện tử tiêu dùng, AV, camera&gt; pin, pin, sạc")</f>
        <v>Đấu giá&gt; thiết bị điện tử tiêu dùng, AV, camera&gt; pin, pin, sạc</v>
      </c>
      <c r="G18" s="228" t="str">
        <f t="shared" ca="1" si="1"/>
        <v>"2084044953" : "Pin, pin, sạc",</v>
      </c>
      <c r="H18" s="229" t="str">
        <f t="shared" si="2"/>
        <v>&lt;li class="col-md-3"&gt;&lt;a class="text-cut" href="javascript:;"(click)="categoryEvent(2084044953)"&gt;{{"2084044953" | translate}}&lt;/a&gt;&lt;/li&gt;</v>
      </c>
    </row>
    <row r="19" spans="1:8" ht="14.25" customHeight="1">
      <c r="A19" s="197">
        <v>2084044958</v>
      </c>
      <c r="B19" s="197" t="s">
        <v>2938</v>
      </c>
      <c r="C19" s="197" t="s">
        <v>8109</v>
      </c>
      <c r="D19" s="198" t="str">
        <f t="shared" si="0"/>
        <v>0,23632,2084044958</v>
      </c>
      <c r="E19" s="3" t="str">
        <f ca="1">IFERROR(__xludf.DUMMYFUNCTION("GOOGLETRANSLATE(B19,""ja"",""vi"")"),"Máy biến áp, bộ chuyển đổi")</f>
        <v>Máy biến áp, bộ chuyển đổi</v>
      </c>
      <c r="F19" s="3" t="str">
        <f ca="1">IFERROR(__xludf.DUMMYFUNCTION("GOOGLETRANSLATE(C19,""ja"",""vi"")"),"Đấu giá&gt; thiết bị điện tử tiêu dùng, AV, máy ảnh&gt; máy biến áp, bộ chuyển đổi")</f>
        <v>Đấu giá&gt; thiết bị điện tử tiêu dùng, AV, máy ảnh&gt; máy biến áp, bộ chuyển đổi</v>
      </c>
      <c r="G19" s="228" t="str">
        <f t="shared" ca="1" si="1"/>
        <v>"2084044958" : "Máy biến áp, bộ chuyển đổi",</v>
      </c>
      <c r="H19" s="229" t="str">
        <f t="shared" si="2"/>
        <v>&lt;li class="col-md-3"&gt;&lt;a class="text-cut" href="javascript:;"(click)="categoryEvent(2084044958)"&gt;{{"2084044958" | translate}}&lt;/a&gt;&lt;/li&gt;</v>
      </c>
    </row>
    <row r="20" spans="1:8" ht="14.25" customHeight="1">
      <c r="A20" s="199">
        <v>2084263358</v>
      </c>
      <c r="B20" s="199" t="s">
        <v>7525</v>
      </c>
      <c r="C20" s="199" t="s">
        <v>8121</v>
      </c>
      <c r="D20" s="200" t="str">
        <f t="shared" si="0"/>
        <v>0,23632,2084263358</v>
      </c>
      <c r="E20" s="3" t="str">
        <f ca="1">IFERROR(__xludf.DUMMYFUNCTION("GOOGLETRANSLATE(B20,""ja"",""vi"")"),"linh kiện điện tử")</f>
        <v>linh kiện điện tử</v>
      </c>
      <c r="F20" s="3" t="str">
        <f ca="1">IFERROR(__xludf.DUMMYFUNCTION("GOOGLETRANSLATE(C20,""ja"",""vi"")"),"Đấu giá&gt; thiết bị điện tử tiêu dùng, AV, camera&gt; Linh kiện điện tử")</f>
        <v>Đấu giá&gt; thiết bị điện tử tiêu dùng, AV, camera&gt; Linh kiện điện tử</v>
      </c>
      <c r="G20" s="228" t="str">
        <f t="shared" ca="1" si="1"/>
        <v>"2084263358" : "linh kiện điện tử",</v>
      </c>
      <c r="H20" s="229" t="str">
        <f t="shared" si="2"/>
        <v>&lt;li class="col-md-3"&gt;&lt;a class="text-cut" href="javascript:;"(click)="categoryEvent(2084263358)"&gt;{{"2084263358" | translate}}&lt;/a&gt;&lt;/li&gt;</v>
      </c>
    </row>
    <row r="21" spans="1:8" ht="14.25" customHeight="1">
      <c r="A21" s="201">
        <v>22844</v>
      </c>
      <c r="B21" s="201" t="s">
        <v>5628</v>
      </c>
      <c r="C21" s="201" t="s">
        <v>8126</v>
      </c>
      <c r="D21" s="202" t="str">
        <f t="shared" si="0"/>
        <v>0,23632,22844</v>
      </c>
      <c r="E21" s="3" t="str">
        <f ca="1">IFERROR(__xludf.DUMMYFUNCTION("GOOGLETRANSLATE(B21,""ja"",""vi"")"),"Mã số trò chơi")</f>
        <v>Mã số trò chơi</v>
      </c>
      <c r="F21" s="3" t="str">
        <f ca="1">IFERROR(__xludf.DUMMYFUNCTION("GOOGLETRANSLATE(C21,""ja"",""vi"")"),"Đấu giá&gt; thiết bị điện tử tiêu dùng, AV, camera&gt; trò chơi video")</f>
        <v>Đấu giá&gt; thiết bị điện tử tiêu dùng, AV, camera&gt; trò chơi video</v>
      </c>
      <c r="G21" s="228" t="str">
        <f t="shared" ca="1" si="1"/>
        <v>"22844" : "Mã số trò chơi",</v>
      </c>
      <c r="H21" s="229" t="str">
        <f t="shared" si="2"/>
        <v>&lt;li class="col-md-3"&gt;&lt;a class="text-cut" href="javascript:;"(click)="categoryEvent(22844)"&gt;{{"22844" | translate}}&lt;/a&gt;&lt;/li&gt;</v>
      </c>
    </row>
    <row r="22" spans="1:8" ht="14.25" customHeight="1">
      <c r="A22" s="203">
        <v>23336</v>
      </c>
      <c r="B22" s="203" t="s">
        <v>8129</v>
      </c>
      <c r="C22" s="204" t="s">
        <v>8130</v>
      </c>
      <c r="D22" s="205" t="str">
        <f t="shared" si="0"/>
        <v>0,23632,23336</v>
      </c>
      <c r="E22" s="3" t="str">
        <f ca="1">IFERROR(__xludf.DUMMYFUNCTION("GOOGLETRANSLATE(B22,""ja"",""vi"")"),"PC, thiết bị ngoại vi")</f>
        <v>PC, thiết bị ngoại vi</v>
      </c>
      <c r="F22" s="3" t="str">
        <f ca="1">IFERROR(__xludf.DUMMYFUNCTION("GOOGLETRANSLATE(C22,""ja"",""vi"")"),"&gt; Đấu giá&gt; thiết bị điện tử tiêu dùng, AV, máy ảnh&gt; máy tính cá nhân, thiết bị ngoại vi")</f>
        <v>&gt; Đấu giá&gt; thiết bị điện tử tiêu dùng, AV, máy ảnh&gt; máy tính cá nhân, thiết bị ngoại vi</v>
      </c>
      <c r="G22" s="228" t="str">
        <f t="shared" ca="1" si="1"/>
        <v>"23336" : "PC, thiết bị ngoại vi",</v>
      </c>
      <c r="H22" s="229" t="str">
        <f t="shared" si="2"/>
        <v>&lt;li class="col-md-3"&gt;&lt;a class="text-cut" href="javascript:;"(click)="categoryEvent(23336)"&gt;{{"23336" | translate}}&lt;/a&gt;&lt;/li&gt;</v>
      </c>
    </row>
    <row r="23" spans="1:8" ht="14.25" customHeight="1">
      <c r="A23" s="206">
        <v>24466</v>
      </c>
      <c r="B23" s="206" t="s">
        <v>8135</v>
      </c>
      <c r="C23" s="206" t="s">
        <v>8136</v>
      </c>
      <c r="D23" s="207" t="str">
        <f t="shared" si="0"/>
        <v>0,23632,24466</v>
      </c>
      <c r="E23" s="3" t="str">
        <f ca="1">IFERROR(__xludf.DUMMYFUNCTION("GOOGLETRANSLATE(B23,""ja"",""vi"")"),"đồ dùng gia đình")</f>
        <v>đồ dùng gia đình</v>
      </c>
      <c r="F23" s="3" t="str">
        <f ca="1">IFERROR(__xludf.DUMMYFUNCTION("GOOGLETRANSLATE(C23,""ja"",""vi"")"),"Đấu giá&gt; thiết bị điện tử tiêu dùng, AV, camera&gt; đồ dùng gia đình")</f>
        <v>Đấu giá&gt; thiết bị điện tử tiêu dùng, AV, camera&gt; đồ dùng gia đình</v>
      </c>
      <c r="G23" s="228" t="str">
        <f t="shared" ca="1" si="1"/>
        <v>"24466" : "đồ dùng gia đình",</v>
      </c>
      <c r="H23" s="229" t="str">
        <f t="shared" si="2"/>
        <v>&lt;li class="col-md-3"&gt;&lt;a class="text-cut" href="javascript:;"(click)="categoryEvent(24466)"&gt;{{"24466" | translate}}&lt;/a&gt;&lt;/li&gt;</v>
      </c>
    </row>
    <row r="24" spans="1:8" ht="14.25" customHeight="1">
      <c r="A24" s="208">
        <v>24690</v>
      </c>
      <c r="B24" s="208" t="s">
        <v>3187</v>
      </c>
      <c r="C24" s="208" t="s">
        <v>8138</v>
      </c>
      <c r="D24" s="209" t="str">
        <f t="shared" si="0"/>
        <v>0,23632,24690</v>
      </c>
      <c r="E24" s="3" t="str">
        <f ca="1">IFERROR(__xludf.DUMMYFUNCTION("GOOGLETRANSLATE(B24,""ja"",""vi"")"),"thiết bị chiếu sáng")</f>
        <v>thiết bị chiếu sáng</v>
      </c>
      <c r="F24" s="3" t="str">
        <f ca="1">IFERROR(__xludf.DUMMYFUNCTION("GOOGLETRANSLATE(C24,""ja"",""vi"")"),"Đấu giá&gt; điện tử tiêu dùng, AV, máy ảnh&gt; Thiết bị chiếu sáng")</f>
        <v>Đấu giá&gt; điện tử tiêu dùng, AV, máy ảnh&gt; Thiết bị chiếu sáng</v>
      </c>
      <c r="G24" s="228" t="str">
        <f t="shared" ca="1" si="1"/>
        <v>"24690" : "thiết bị chiếu sáng",</v>
      </c>
      <c r="H24" s="229" t="str">
        <f t="shared" si="2"/>
        <v>&lt;li class="col-md-3"&gt;&lt;a class="text-cut" href="javascript:;"(click)="categoryEvent(24690)"&gt;{{"24690" | translate}}&lt;/a&gt;&lt;/li&gt;</v>
      </c>
    </row>
    <row r="25" spans="1:8" ht="14.25" customHeight="1">
      <c r="A25" s="210">
        <v>2084213062</v>
      </c>
      <c r="B25" s="210" t="s">
        <v>8141</v>
      </c>
      <c r="C25" s="210" t="s">
        <v>8142</v>
      </c>
      <c r="D25" s="211" t="str">
        <f t="shared" si="0"/>
        <v>0,23632,2084213062</v>
      </c>
      <c r="E25" s="3" t="str">
        <f ca="1">IFERROR(__xludf.DUMMYFUNCTION("GOOGLETRANSLATE(B25,""ja"",""vi"")"),"Xem")</f>
        <v>Xem</v>
      </c>
      <c r="F25" s="3" t="str">
        <f ca="1">IFERROR(__xludf.DUMMYFUNCTION("GOOGLETRANSLATE(C25,""ja"",""vi"")"),"Đấu giá&gt; thiết bị điện tử tiêu dùng, AV, camera&gt; đồng hồ")</f>
        <v>Đấu giá&gt; thiết bị điện tử tiêu dùng, AV, camera&gt; đồng hồ</v>
      </c>
      <c r="G25" s="228" t="str">
        <f t="shared" ca="1" si="1"/>
        <v>"2084213062" : "Xem",</v>
      </c>
      <c r="H25" s="229" t="str">
        <f t="shared" si="2"/>
        <v>&lt;li class="col-md-3"&gt;&lt;a class="text-cut" href="javascript:;"(click)="categoryEvent(2084213062)"&gt;{{"2084213062" | translate}}&lt;/a&gt;&lt;/li&gt;</v>
      </c>
    </row>
    <row r="26" spans="1:8" ht="14.25" customHeight="1">
      <c r="A26" s="212">
        <v>23761</v>
      </c>
      <c r="B26" s="212" t="s">
        <v>6565</v>
      </c>
      <c r="C26" s="212" t="s">
        <v>8145</v>
      </c>
      <c r="D26" s="213" t="str">
        <f t="shared" si="0"/>
        <v>0,23632,23761</v>
      </c>
      <c r="E26" s="3" t="str">
        <f ca="1">IFERROR(__xludf.DUMMYFUNCTION("GOOGLETRANSLATE(B26,""ja"",""vi"")"),"Ham đài phát thanh")</f>
        <v>Ham đài phát thanh</v>
      </c>
      <c r="F26" s="3" t="str">
        <f ca="1">IFERROR(__xludf.DUMMYFUNCTION("GOOGLETRANSLATE(C26,""ja"",""vi"")"),"Đấu giá&gt; thiết bị điện tử tiêu dùng, AV, camera&gt; radio nghiệp dư")</f>
        <v>Đấu giá&gt; thiết bị điện tử tiêu dùng, AV, camera&gt; radio nghiệp dư</v>
      </c>
      <c r="G26" s="228" t="str">
        <f t="shared" ca="1" si="1"/>
        <v>"23761" : "Ham đài phát thanh",</v>
      </c>
      <c r="H26" s="229" t="str">
        <f t="shared" si="2"/>
        <v>&lt;li class="col-md-3"&gt;&lt;a class="text-cut" href="javascript:;"(click)="categoryEvent(23761)"&gt;{{"23761" | translate}}&lt;/a&gt;&lt;/li&gt;</v>
      </c>
    </row>
    <row r="27" spans="1:8" ht="14.25" customHeight="1">
      <c r="A27" s="214">
        <v>23972</v>
      </c>
      <c r="B27" s="214" t="s">
        <v>16</v>
      </c>
      <c r="C27" s="214" t="s">
        <v>8150</v>
      </c>
      <c r="D27" s="215" t="str">
        <f t="shared" si="0"/>
        <v>0,23632,23972</v>
      </c>
      <c r="E27" s="3" t="str">
        <f ca="1">IFERROR(__xludf.DUMMYFUNCTION("GOOGLETRANSLATE(B27,""ja"",""vi"")"),"nếu không thì")</f>
        <v>nếu không thì</v>
      </c>
      <c r="F27" s="3" t="str">
        <f ca="1">IFERROR(__xludf.DUMMYFUNCTION("GOOGLETRANSLATE(C27,""ja"",""vi"")"),"Đấu giá&gt; thiết bị điện tử tiêu dùng, AV, camera&gt; Khác")</f>
        <v>Đấu giá&gt; thiết bị điện tử tiêu dùng, AV, camera&gt; Khác</v>
      </c>
      <c r="G27" s="228" t="str">
        <f t="shared" ca="1" si="1"/>
        <v>"23972" : "nếu không thì",</v>
      </c>
      <c r="H27" s="229" t="str">
        <f t="shared" si="2"/>
        <v>&lt;li class="col-md-3"&gt;&lt;a class="text-cut" href="javascript:;"(click)="categoryEvent(23972)"&gt;{{"23972" | translate}}&lt;/a&gt;&lt;/li&gt;</v>
      </c>
    </row>
    <row r="28" spans="1:8" ht="14.25" customHeight="1">
      <c r="E28" s="3"/>
      <c r="F28" s="3"/>
      <c r="G28" s="228"/>
      <c r="H28" s="229"/>
    </row>
    <row r="29" spans="1:8" ht="14.25" customHeight="1">
      <c r="E29" s="3"/>
      <c r="F29" s="3"/>
      <c r="G29" s="228"/>
      <c r="H29" s="229"/>
    </row>
    <row r="30" spans="1:8" ht="14.25" customHeight="1">
      <c r="A30" s="299">
        <v>23880</v>
      </c>
      <c r="B30" s="258"/>
      <c r="C30" s="258"/>
      <c r="D30" s="258"/>
      <c r="E30" s="3"/>
      <c r="F30" s="3"/>
      <c r="G30" s="228"/>
      <c r="H30" s="229"/>
    </row>
    <row r="31" spans="1:8" ht="14.25" customHeight="1">
      <c r="A31" s="2">
        <v>23884</v>
      </c>
      <c r="B31" s="2" t="s">
        <v>3151</v>
      </c>
      <c r="C31" s="2" t="s">
        <v>8158</v>
      </c>
      <c r="D31" s="2" t="s">
        <v>8159</v>
      </c>
      <c r="E31" s="3" t="str">
        <f ca="1">IFERROR(__xludf.DUMMYFUNCTION("GOOGLETRANSLATE(B31,""ja"",""vi"")"),"TV")</f>
        <v>TV</v>
      </c>
      <c r="F31" s="3" t="str">
        <f ca="1">IFERROR(__xludf.DUMMYFUNCTION("GOOGLETRANSLATE(C31,""ja"",""vi"")"),"Đấu giá&gt; thiết bị điện tử tiêu dùng, AV, máy ảnh&gt; Thiết bị hình ảnh&gt; TV")</f>
        <v>Đấu giá&gt; thiết bị điện tử tiêu dùng, AV, máy ảnh&gt; Thiết bị hình ảnh&gt; TV</v>
      </c>
      <c r="G31" s="228" t="str">
        <f t="shared" ca="1" si="1"/>
        <v>"23884" : "TV",</v>
      </c>
      <c r="H31" s="229" t="str">
        <f t="shared" si="2"/>
        <v>&lt;li class="col-md-3"&gt;&lt;a class="text-cut" href="javascript:;"(click)="categoryEvent(23884)"&gt;{{"23884" | translate}}&lt;/a&gt;&lt;/li&gt;</v>
      </c>
    </row>
    <row r="32" spans="1:8" ht="14.25" customHeight="1">
      <c r="A32" s="2">
        <v>2084018963</v>
      </c>
      <c r="B32" s="2" t="s">
        <v>8163</v>
      </c>
      <c r="C32" s="2" t="s">
        <v>8165</v>
      </c>
      <c r="D32" s="2" t="s">
        <v>8166</v>
      </c>
      <c r="E32" s="3" t="str">
        <f ca="1">IFERROR(__xludf.DUMMYFUNCTION("GOOGLETRANSLATE(B32,""ja"",""vi"")"),"máy chiếu")</f>
        <v>máy chiếu</v>
      </c>
      <c r="F32" s="3" t="str">
        <f ca="1">IFERROR(__xludf.DUMMYFUNCTION("GOOGLETRANSLATE(C32,""ja"",""vi"")"),"Đấu giá&gt; thiết bị điện tử tiêu dùng, AV, máy ảnh&gt; Thiết bị hình ảnh&gt; Máy chiếu")</f>
        <v>Đấu giá&gt; thiết bị điện tử tiêu dùng, AV, máy ảnh&gt; Thiết bị hình ảnh&gt; Máy chiếu</v>
      </c>
      <c r="G32" s="228" t="str">
        <f t="shared" ca="1" si="1"/>
        <v>"2084018963" : "máy chiếu",</v>
      </c>
      <c r="H32" s="229" t="str">
        <f t="shared" si="2"/>
        <v>&lt;li class="col-md-3"&gt;&lt;a class="text-cut" href="javascript:;"(click)="categoryEvent(2084018963)"&gt;{{"2084018963" | translate}}&lt;/a&gt;&lt;/li&gt;</v>
      </c>
    </row>
    <row r="33" spans="1:8" ht="14.25" customHeight="1">
      <c r="A33" s="2">
        <v>2084230819</v>
      </c>
      <c r="B33" s="2" t="s">
        <v>8169</v>
      </c>
      <c r="C33" s="2" t="s">
        <v>8170</v>
      </c>
      <c r="D33" s="2" t="s">
        <v>8171</v>
      </c>
      <c r="E33" s="3" t="str">
        <f ca="1">IFERROR(__xludf.DUMMYFUNCTION("GOOGLETRANSLATE(B33,""ja"",""vi"")"),"Blu-ray ghi")</f>
        <v>Blu-ray ghi</v>
      </c>
      <c r="F33" s="3" t="str">
        <f ca="1">IFERROR(__xludf.DUMMYFUNCTION("GOOGLETRANSLATE(C33,""ja"",""vi"")"),"Đấu giá&gt; thiết bị điện tử tiêu dùng, AV, máy ảnh&gt; Thiết bị hình ảnh&gt; Máy ghi Blu-ray")</f>
        <v>Đấu giá&gt; thiết bị điện tử tiêu dùng, AV, máy ảnh&gt; Thiết bị hình ảnh&gt; Máy ghi Blu-ray</v>
      </c>
      <c r="G33" s="228" t="str">
        <f t="shared" ca="1" si="1"/>
        <v>"2084230819" : "Blu-ray ghi",</v>
      </c>
      <c r="H33" s="229" t="str">
        <f t="shared" si="2"/>
        <v>&lt;li class="col-md-3"&gt;&lt;a class="text-cut" href="javascript:;"(click)="categoryEvent(2084230819)"&gt;{{"2084230819" | translate}}&lt;/a&gt;&lt;/li&gt;</v>
      </c>
    </row>
    <row r="34" spans="1:8" ht="14.25" customHeight="1">
      <c r="A34" s="2">
        <v>2084284115</v>
      </c>
      <c r="B34" s="2" t="s">
        <v>8172</v>
      </c>
      <c r="C34" s="2" t="s">
        <v>8173</v>
      </c>
      <c r="D34" s="2" t="s">
        <v>8174</v>
      </c>
      <c r="E34" s="3" t="str">
        <f ca="1">IFERROR(__xludf.DUMMYFUNCTION("GOOGLETRANSLATE(B34,""ja"",""vi"")"),"đầu đĩa Blu-ray")</f>
        <v>đầu đĩa Blu-ray</v>
      </c>
      <c r="F34" s="3" t="str">
        <f ca="1">IFERROR(__xludf.DUMMYFUNCTION("GOOGLETRANSLATE(C34,""ja"",""vi"")"),"Đấu giá&gt; điện tử tiêu dùng, người chơi AV, máy ảnh&gt; Thiết bị hình ảnh&gt; Blu-ray")</f>
        <v>Đấu giá&gt; điện tử tiêu dùng, người chơi AV, máy ảnh&gt; Thiết bị hình ảnh&gt; Blu-ray</v>
      </c>
      <c r="G34" s="228" t="str">
        <f t="shared" ca="1" si="1"/>
        <v>"2084284115" : "đầu đĩa Blu-ray",</v>
      </c>
      <c r="H34" s="229" t="str">
        <f t="shared" si="2"/>
        <v>&lt;li class="col-md-3"&gt;&lt;a class="text-cut" href="javascript:;"(click)="categoryEvent(2084284115)"&gt;{{"2084284115" | translate}}&lt;/a&gt;&lt;/li&gt;</v>
      </c>
    </row>
    <row r="35" spans="1:8" ht="14.25" customHeight="1">
      <c r="A35" s="2">
        <v>2084048827</v>
      </c>
      <c r="B35" s="2" t="s">
        <v>8175</v>
      </c>
      <c r="C35" s="2" t="s">
        <v>8177</v>
      </c>
      <c r="D35" s="2" t="s">
        <v>8178</v>
      </c>
      <c r="E35" s="3" t="str">
        <f ca="1">IFERROR(__xludf.DUMMYFUNCTION("GOOGLETRANSLATE(B35,""ja"",""vi"")"),"ghi DVD")</f>
        <v>ghi DVD</v>
      </c>
      <c r="F35" s="3" t="str">
        <f ca="1">IFERROR(__xludf.DUMMYFUNCTION("GOOGLETRANSLATE(C35,""ja"",""vi"")"),"Đấu giá&gt; thiết bị điện tử tiêu dùng, AV, máy ảnh&gt; Thiết bị hình ảnh&gt; Máy ghi DVD")</f>
        <v>Đấu giá&gt; thiết bị điện tử tiêu dùng, AV, máy ảnh&gt; Thiết bị hình ảnh&gt; Máy ghi DVD</v>
      </c>
      <c r="G35" s="228" t="str">
        <f t="shared" ca="1" si="1"/>
        <v>"2084048827" : "ghi DVD",</v>
      </c>
      <c r="H35" s="229" t="str">
        <f t="shared" si="2"/>
        <v>&lt;li class="col-md-3"&gt;&lt;a class="text-cut" href="javascript:;"(click)="categoryEvent(2084048827)"&gt;{{"2084048827" | translate}}&lt;/a&gt;&lt;/li&gt;</v>
      </c>
    </row>
    <row r="36" spans="1:8" ht="14.25" customHeight="1">
      <c r="A36" s="2">
        <v>23928</v>
      </c>
      <c r="B36" s="2" t="s">
        <v>8180</v>
      </c>
      <c r="C36" s="2" t="s">
        <v>8181</v>
      </c>
      <c r="D36" s="2" t="s">
        <v>8182</v>
      </c>
      <c r="E36" s="3" t="str">
        <f ca="1">IFERROR(__xludf.DUMMYFUNCTION("GOOGLETRANSLATE(B36,""ja"",""vi"")"),"đầu DVD")</f>
        <v>đầu DVD</v>
      </c>
      <c r="F36" s="3" t="str">
        <f ca="1">IFERROR(__xludf.DUMMYFUNCTION("GOOGLETRANSLATE(C36,""ja"",""vi"")"),"Đấu giá&gt; thiết bị điện tử tiêu dùng, AV, máy ảnh&gt; Thiết bị hình ảnh&gt; DVD")</f>
        <v>Đấu giá&gt; thiết bị điện tử tiêu dùng, AV, máy ảnh&gt; Thiết bị hình ảnh&gt; DVD</v>
      </c>
      <c r="G36" s="228" t="str">
        <f t="shared" ca="1" si="1"/>
        <v>"23928" : "đầu DVD",</v>
      </c>
      <c r="H36" s="229" t="str">
        <f t="shared" si="2"/>
        <v>&lt;li class="col-md-3"&gt;&lt;a class="text-cut" href="javascript:;"(click)="categoryEvent(23928)"&gt;{{"23928" | translate}}&lt;/a&gt;&lt;/li&gt;</v>
      </c>
    </row>
    <row r="37" spans="1:8" ht="14.25" customHeight="1">
      <c r="A37" s="2">
        <v>2084018964</v>
      </c>
      <c r="B37" s="2" t="s">
        <v>5012</v>
      </c>
      <c r="C37" s="2" t="s">
        <v>8186</v>
      </c>
      <c r="D37" s="2" t="s">
        <v>8187</v>
      </c>
      <c r="E37" s="3" t="str">
        <f ca="1">IFERROR(__xludf.DUMMYFUNCTION("GOOGLETRANSLATE(B37,""ja"",""vi"")"),"Antenna")</f>
        <v>Antenna</v>
      </c>
      <c r="F37" s="3" t="str">
        <f ca="1">IFERROR(__xludf.DUMMYFUNCTION("GOOGLETRANSLATE(C37,""ja"",""vi"")"),"Đấu giá&gt; thiết bị điện tử tiêu dùng, AV, máy ảnh&gt; Thiết bị hình ảnh&gt; ăng ten")</f>
        <v>Đấu giá&gt; thiết bị điện tử tiêu dùng, AV, máy ảnh&gt; Thiết bị hình ảnh&gt; ăng ten</v>
      </c>
      <c r="G37" s="228" t="str">
        <f t="shared" ca="1" si="1"/>
        <v>"2084018964" : "Antenna",</v>
      </c>
      <c r="H37" s="229" t="str">
        <f t="shared" si="2"/>
        <v>&lt;li class="col-md-3"&gt;&lt;a class="text-cut" href="javascript:;"(click)="categoryEvent(2084018964)"&gt;{{"2084018964" | translate}}&lt;/a&gt;&lt;/li&gt;</v>
      </c>
    </row>
    <row r="38" spans="1:8" ht="14.25" customHeight="1">
      <c r="A38" s="2">
        <v>2084018965</v>
      </c>
      <c r="B38" s="2" t="s">
        <v>5168</v>
      </c>
      <c r="C38" s="2" t="s">
        <v>8190</v>
      </c>
      <c r="D38" s="2" t="s">
        <v>8191</v>
      </c>
      <c r="E38" s="3" t="str">
        <f ca="1">IFERROR(__xludf.DUMMYFUNCTION("GOOGLETRANSLATE(B38,""ja"",""vi"")"),"Tuner")</f>
        <v>Tuner</v>
      </c>
      <c r="F38" s="3" t="str">
        <f ca="1">IFERROR(__xludf.DUMMYFUNCTION("GOOGLETRANSLATE(C38,""ja"",""vi"")"),"Đấu giá&gt; thiết bị điện tử tiêu dùng, AV, máy ảnh&gt; Thiết bị hình ảnh&gt; chỉnh")</f>
        <v>Đấu giá&gt; thiết bị điện tử tiêu dùng, AV, máy ảnh&gt; Thiết bị hình ảnh&gt; chỉnh</v>
      </c>
      <c r="G38" s="228" t="str">
        <f t="shared" ca="1" si="1"/>
        <v>"2084018965" : "Tuner",</v>
      </c>
      <c r="H38" s="229" t="str">
        <f t="shared" si="2"/>
        <v>&lt;li class="col-md-3"&gt;&lt;a class="text-cut" href="javascript:;"(click)="categoryEvent(2084018965)"&gt;{{"2084018965" | translate}}&lt;/a&gt;&lt;/li&gt;</v>
      </c>
    </row>
    <row r="39" spans="1:8" ht="14.25" customHeight="1">
      <c r="A39" s="2">
        <v>2084239218</v>
      </c>
      <c r="B39" s="2" t="s">
        <v>8195</v>
      </c>
      <c r="C39" s="2" t="s">
        <v>8196</v>
      </c>
      <c r="D39" s="2" t="s">
        <v>8197</v>
      </c>
      <c r="E39" s="3" t="str">
        <f ca="1">IFERROR(__xludf.DUMMYFUNCTION("GOOGLETRANSLATE(B39,""ja"",""vi"")"),"phương tiện truyền thông ghi âm")</f>
        <v>phương tiện truyền thông ghi âm</v>
      </c>
      <c r="F39" s="3" t="str">
        <f ca="1">IFERROR(__xludf.DUMMYFUNCTION("GOOGLETRANSLATE(C39,""ja"",""vi"")"),"Đấu giá&gt; thiết bị điện tử tiêu dùng, AV, máy ảnh&gt; Thiết bị hình ảnh&gt; phương tiện truyền thông kỷ lục")</f>
        <v>Đấu giá&gt; thiết bị điện tử tiêu dùng, AV, máy ảnh&gt; Thiết bị hình ảnh&gt; phương tiện truyền thông kỷ lục</v>
      </c>
      <c r="G39" s="228" t="str">
        <f t="shared" ca="1" si="1"/>
        <v>"2084239218" : "phương tiện truyền thông ghi âm",</v>
      </c>
      <c r="H39" s="229" t="str">
        <f t="shared" si="2"/>
        <v>&lt;li class="col-md-3"&gt;&lt;a class="text-cut" href="javascript:;"(click)="categoryEvent(2084239218)"&gt;{{"2084239218" | translate}}&lt;/a&gt;&lt;/li&gt;</v>
      </c>
    </row>
    <row r="40" spans="1:8" ht="14.25" customHeight="1">
      <c r="A40" s="2">
        <v>2084221807</v>
      </c>
      <c r="B40" s="2" t="s">
        <v>8200</v>
      </c>
      <c r="C40" s="2" t="s">
        <v>8201</v>
      </c>
      <c r="D40" s="2" t="s">
        <v>8202</v>
      </c>
      <c r="E40" s="3" t="str">
        <f ca="1">IFERROR(__xludf.DUMMYFUNCTION("GOOGLETRANSLATE(B40,""ja"",""vi"")"),"video cable")</f>
        <v>video cable</v>
      </c>
      <c r="F40" s="3" t="str">
        <f ca="1">IFERROR(__xludf.DUMMYFUNCTION("GOOGLETRANSLATE(C40,""ja"",""vi"")"),"Đấu giá&gt; thiết bị điện tử tiêu dùng, AV, máy ảnh&gt; Thiết bị hình ảnh&gt; dây cáp video")</f>
        <v>Đấu giá&gt; thiết bị điện tử tiêu dùng, AV, máy ảnh&gt; Thiết bị hình ảnh&gt; dây cáp video</v>
      </c>
      <c r="G40" s="228" t="str">
        <f t="shared" ca="1" si="1"/>
        <v>"2084221807" : "video cable",</v>
      </c>
      <c r="H40" s="229" t="str">
        <f t="shared" si="2"/>
        <v>&lt;li class="col-md-3"&gt;&lt;a class="text-cut" href="javascript:;"(click)="categoryEvent(2084221807)"&gt;{{"2084221807" | translate}}&lt;/a&gt;&lt;/li&gt;</v>
      </c>
    </row>
    <row r="41" spans="1:8" ht="14.25" customHeight="1">
      <c r="A41" s="2">
        <v>23932</v>
      </c>
      <c r="B41" s="2" t="s">
        <v>8205</v>
      </c>
      <c r="C41" s="2" t="s">
        <v>8206</v>
      </c>
      <c r="D41" s="2" t="s">
        <v>8207</v>
      </c>
      <c r="E41" s="3" t="str">
        <f ca="1">IFERROR(__xludf.DUMMYFUNCTION("GOOGLETRANSLATE(B41,""ja"",""vi"")"),"máy nghe nhạc LD")</f>
        <v>máy nghe nhạc LD</v>
      </c>
      <c r="F41" s="3" t="str">
        <f ca="1">IFERROR(__xludf.DUMMYFUNCTION("GOOGLETRANSLATE(C41,""ja"",""vi"")"),"Đấu giá&gt; thiết bị điện tử tiêu dùng, AV, máy ảnh&gt; Thiết bị hình ảnh&gt; Máy nghe LD")</f>
        <v>Đấu giá&gt; thiết bị điện tử tiêu dùng, AV, máy ảnh&gt; Thiết bị hình ảnh&gt; Máy nghe LD</v>
      </c>
      <c r="G41" s="228" t="str">
        <f t="shared" ca="1" si="1"/>
        <v>"23932" : "máy nghe nhạc LD",</v>
      </c>
      <c r="H41" s="229" t="str">
        <f t="shared" si="2"/>
        <v>&lt;li class="col-md-3"&gt;&lt;a class="text-cut" href="javascript:;"(click)="categoryEvent(23932)"&gt;{{"23932" | translate}}&lt;/a&gt;&lt;/li&gt;</v>
      </c>
    </row>
    <row r="42" spans="1:8" ht="14.25" customHeight="1">
      <c r="A42" s="2">
        <v>23936</v>
      </c>
      <c r="B42" s="2" t="s">
        <v>8209</v>
      </c>
      <c r="C42" s="2" t="s">
        <v>8211</v>
      </c>
      <c r="D42" s="2" t="s">
        <v>8213</v>
      </c>
      <c r="E42" s="3" t="str">
        <f ca="1">IFERROR(__xludf.DUMMYFUNCTION("GOOGLETRANSLATE(B42,""ja"",""vi"")"),"máy quay video")</f>
        <v>máy quay video</v>
      </c>
      <c r="F42" s="3" t="str">
        <f ca="1">IFERROR(__xludf.DUMMYFUNCTION("GOOGLETRANSLATE(C42,""ja"",""vi"")"),"Đấu giá&gt; thiết bị điện tử tiêu dùng, AV, máy ảnh&gt; Thiết bị hình ảnh&gt; máy quay video")</f>
        <v>Đấu giá&gt; thiết bị điện tử tiêu dùng, AV, máy ảnh&gt; Thiết bị hình ảnh&gt; máy quay video</v>
      </c>
      <c r="G42" s="228" t="str">
        <f t="shared" ca="1" si="1"/>
        <v>"23936" : "máy quay video",</v>
      </c>
      <c r="H42" s="229" t="str">
        <f t="shared" si="2"/>
        <v>&lt;li class="col-md-3"&gt;&lt;a class="text-cut" href="javascript:;"(click)="categoryEvent(23936)"&gt;{{"23936" | translate}}&lt;/a&gt;&lt;/li&gt;</v>
      </c>
    </row>
    <row r="43" spans="1:8" ht="14.25" customHeight="1">
      <c r="A43" s="2">
        <v>23900</v>
      </c>
      <c r="B43" s="2" t="s">
        <v>3157</v>
      </c>
      <c r="C43" s="2" t="s">
        <v>8216</v>
      </c>
      <c r="D43" s="2" t="s">
        <v>8218</v>
      </c>
      <c r="E43" s="3" t="str">
        <f ca="1">IFERROR(__xludf.DUMMYFUNCTION("GOOGLETRANSLATE(B43,""ja"",""vi"")"),"boong video")</f>
        <v>boong video</v>
      </c>
      <c r="F43" s="3" t="str">
        <f ca="1">IFERROR(__xludf.DUMMYFUNCTION("GOOGLETRANSLATE(C43,""ja"",""vi"")"),"Đấu giá&gt; thiết bị điện tử tiêu dùng, AV, máy ảnh&gt; Thiết bị hình ảnh&gt; boong Video")</f>
        <v>Đấu giá&gt; thiết bị điện tử tiêu dùng, AV, máy ảnh&gt; Thiết bị hình ảnh&gt; boong Video</v>
      </c>
      <c r="G43" s="228" t="str">
        <f t="shared" ca="1" si="1"/>
        <v>"23900" : "boong video",</v>
      </c>
      <c r="H43" s="229" t="str">
        <f t="shared" si="2"/>
        <v>&lt;li class="col-md-3"&gt;&lt;a class="text-cut" href="javascript:;"(click)="categoryEvent(23900)"&gt;{{"23900" | translate}}&lt;/a&gt;&lt;/li&gt;</v>
      </c>
    </row>
    <row r="44" spans="1:8" ht="14.25" customHeight="1">
      <c r="A44" s="2">
        <v>2084205438</v>
      </c>
      <c r="B44" s="2" t="s">
        <v>5040</v>
      </c>
      <c r="C44" s="2" t="s">
        <v>8222</v>
      </c>
      <c r="D44" s="2" t="s">
        <v>8223</v>
      </c>
      <c r="E44" s="3" t="str">
        <f ca="1">IFERROR(__xludf.DUMMYFUNCTION("GOOGLETRANSLATE(B44,""ja"",""vi"")"),"điều khiển từ xa")</f>
        <v>điều khiển từ xa</v>
      </c>
      <c r="F44" s="3" t="str">
        <f ca="1">IFERROR(__xludf.DUMMYFUNCTION("GOOGLETRANSLATE(C44,""ja"",""vi"")"),"Đấu giá&gt; thiết bị điện tử tiêu dùng, AV, máy ảnh&gt; Thiết bị hình ảnh&gt; điều khiển từ xa")</f>
        <v>Đấu giá&gt; thiết bị điện tử tiêu dùng, AV, máy ảnh&gt; Thiết bị hình ảnh&gt; điều khiển từ xa</v>
      </c>
      <c r="G44" s="228" t="str">
        <f t="shared" ca="1" si="1"/>
        <v>"2084205438" : "điều khiển từ xa",</v>
      </c>
      <c r="H44" s="229" t="str">
        <f t="shared" si="2"/>
        <v>&lt;li class="col-md-3"&gt;&lt;a class="text-cut" href="javascript:;"(click)="categoryEvent(2084205438)"&gt;{{"2084205438" | translate}}&lt;/a&gt;&lt;/li&gt;</v>
      </c>
    </row>
    <row r="45" spans="1:8" ht="14.25" customHeight="1">
      <c r="A45" s="2">
        <v>2084037424</v>
      </c>
      <c r="B45" s="2" t="s">
        <v>8225</v>
      </c>
      <c r="C45" s="2" t="s">
        <v>8226</v>
      </c>
      <c r="D45" s="2" t="s">
        <v>8227</v>
      </c>
      <c r="E45" s="3" t="str">
        <f ca="1">IFERROR(__xludf.DUMMYFUNCTION("GOOGLETRANSLATE(B45,""ja"",""vi"")"),"AV khuếch đại")</f>
        <v>AV khuếch đại</v>
      </c>
      <c r="F45" s="3" t="str">
        <f ca="1">IFERROR(__xludf.DUMMYFUNCTION("GOOGLETRANSLATE(C45,""ja"",""vi"")"),"Đấu giá&gt; thiết bị điện tử tiêu dùng, AV, máy ảnh&gt; Thiết bị hình ảnh&gt; AV khuếch đại")</f>
        <v>Đấu giá&gt; thiết bị điện tử tiêu dùng, AV, máy ảnh&gt; Thiết bị hình ảnh&gt; AV khuếch đại</v>
      </c>
      <c r="G45" s="228" t="str">
        <f t="shared" ca="1" si="1"/>
        <v>"2084037424" : "AV khuếch đại",</v>
      </c>
      <c r="H45" s="229" t="str">
        <f t="shared" si="2"/>
        <v>&lt;li class="col-md-3"&gt;&lt;a class="text-cut" href="javascript:;"(click)="categoryEvent(2084037424)"&gt;{{"2084037424" | translate}}&lt;/a&gt;&lt;/li&gt;</v>
      </c>
    </row>
    <row r="46" spans="1:8" ht="14.25" customHeight="1">
      <c r="A46" s="2">
        <v>2084015554</v>
      </c>
      <c r="B46" s="2" t="s">
        <v>8228</v>
      </c>
      <c r="C46" s="2" t="s">
        <v>8229</v>
      </c>
      <c r="D46" s="2" t="s">
        <v>8231</v>
      </c>
      <c r="E46" s="3" t="str">
        <f ca="1">IFERROR(__xludf.DUMMYFUNCTION("GOOGLETRANSLATE(B46,""ja"",""vi"")"),"Kệ TV gỗ, bảng AV")</f>
        <v>Kệ TV gỗ, bảng AV</v>
      </c>
      <c r="F46" s="3" t="str">
        <f ca="1">IFERROR(__xludf.DUMMYFUNCTION("GOOGLETRANSLATE(C46,""ja"",""vi"")"),"Đấu giá&gt; thiết bị điện tử tiêu dùng, AV, máy ảnh&gt; Thiết bị hình ảnh&gt; kệ TV gỗ, bảng AV")</f>
        <v>Đấu giá&gt; thiết bị điện tử tiêu dùng, AV, máy ảnh&gt; Thiết bị hình ảnh&gt; kệ TV gỗ, bảng AV</v>
      </c>
      <c r="G46" s="228" t="str">
        <f t="shared" ca="1" si="1"/>
        <v>"2084015554" : "Kệ TV gỗ, bảng AV",</v>
      </c>
      <c r="H46" s="229" t="str">
        <f t="shared" si="2"/>
        <v>&lt;li class="col-md-3"&gt;&lt;a class="text-cut" href="javascript:;"(click)="categoryEvent(2084015554)"&gt;{{"2084015554" | translate}}&lt;/a&gt;&lt;/li&gt;</v>
      </c>
    </row>
    <row r="47" spans="1:8" ht="14.25" customHeight="1">
      <c r="A47" s="2">
        <v>2084051816</v>
      </c>
      <c r="B47" s="2" t="s">
        <v>16</v>
      </c>
      <c r="C47" s="2" t="s">
        <v>8233</v>
      </c>
      <c r="D47" s="2" t="s">
        <v>8234</v>
      </c>
      <c r="E47" s="3" t="str">
        <f ca="1">IFERROR(__xludf.DUMMYFUNCTION("GOOGLETRANSLATE(B47,""ja"",""vi"")"),"nếu không thì")</f>
        <v>nếu không thì</v>
      </c>
      <c r="F47" s="3" t="str">
        <f ca="1">IFERROR(__xludf.DUMMYFUNCTION("GOOGLETRANSLATE(C47,""ja"",""vi"")"),"Đấu giá&gt; thiết bị điện tử tiêu dùng, AV, máy ảnh&gt; Thiết bị hình ảnh&gt; Khác")</f>
        <v>Đấu giá&gt; thiết bị điện tử tiêu dùng, AV, máy ảnh&gt; Thiết bị hình ảnh&gt; Khác</v>
      </c>
      <c r="G47" s="228" t="str">
        <f t="shared" ca="1" si="1"/>
        <v>"2084051816" : "nếu không thì",</v>
      </c>
      <c r="H47" s="229" t="str">
        <f t="shared" si="2"/>
        <v>&lt;li class="col-md-3"&gt;&lt;a class="text-cut" href="javascript:;"(click)="categoryEvent(2084051816)"&gt;{{"2084051816" | translate}}&lt;/a&gt;&lt;/li&gt;</v>
      </c>
    </row>
    <row r="48" spans="1:8" ht="14.25" customHeight="1">
      <c r="E48" s="3"/>
      <c r="F48" s="3"/>
      <c r="G48" s="228"/>
      <c r="H48" s="229"/>
    </row>
    <row r="49" spans="1:8" ht="14.25" customHeight="1">
      <c r="E49" s="3"/>
      <c r="F49" s="3"/>
      <c r="G49" s="228"/>
      <c r="H49" s="229"/>
    </row>
    <row r="50" spans="1:8" ht="14.25" customHeight="1">
      <c r="A50" s="304">
        <v>23764</v>
      </c>
      <c r="B50" s="232"/>
      <c r="C50" s="232"/>
      <c r="D50" s="233"/>
      <c r="E50" s="3"/>
      <c r="F50" s="3"/>
      <c r="G50" s="228"/>
      <c r="H50" s="229"/>
    </row>
    <row r="51" spans="1:8" ht="14.25" customHeight="1">
      <c r="A51" s="2">
        <v>23848</v>
      </c>
      <c r="B51" s="2" t="s">
        <v>8246</v>
      </c>
      <c r="C51" s="2" t="s">
        <v>8247</v>
      </c>
      <c r="D51" s="2" t="s">
        <v>8248</v>
      </c>
      <c r="E51" s="3" t="str">
        <f ca="1">IFERROR(__xludf.DUMMYFUNCTION("GOOGLETRANSLATE(B51,""ja"",""vi"")"),"xách tay chơi")</f>
        <v>xách tay chơi</v>
      </c>
      <c r="F51" s="3" t="str">
        <f ca="1">IFERROR(__xludf.DUMMYFUNCTION("GOOGLETRANSLATE(C51,""ja"",""vi"")"),"Đấu giá&gt; thiết bị điện tử tiêu dùng, AV, máy ảnh&gt; Thiết bị âm thanh&gt; Máy nghe di động")</f>
        <v>Đấu giá&gt; thiết bị điện tử tiêu dùng, AV, máy ảnh&gt; Thiết bị âm thanh&gt; Máy nghe di động</v>
      </c>
      <c r="G51" s="228" t="str">
        <f t="shared" ca="1" si="1"/>
        <v>"23848" : "xách tay chơi",</v>
      </c>
      <c r="H51" s="229" t="str">
        <f t="shared" si="2"/>
        <v>&lt;li class="col-md-3"&gt;&lt;a class="text-cut" href="javascript:;"(click)="categoryEvent(23848)"&gt;{{"23848" | translate}}&lt;/a&gt;&lt;/li&gt;</v>
      </c>
    </row>
    <row r="52" spans="1:8" ht="14.25" customHeight="1">
      <c r="A52" s="2">
        <v>23804</v>
      </c>
      <c r="B52" s="2" t="s">
        <v>8251</v>
      </c>
      <c r="C52" s="2" t="s">
        <v>8253</v>
      </c>
      <c r="D52" s="2" t="s">
        <v>8255</v>
      </c>
      <c r="E52" s="3" t="str">
        <f ca="1">IFERROR(__xludf.DUMMYFUNCTION("GOOGLETRANSLATE(B52,""ja"",""vi"")"),"Tai nghe, tai nghe")</f>
        <v>Tai nghe, tai nghe</v>
      </c>
      <c r="F52" s="3" t="str">
        <f ca="1">IFERROR(__xludf.DUMMYFUNCTION("GOOGLETRANSLATE(C52,""ja"",""vi"")"),"Đấu giá&gt; thiết bị điện tử tiêu dùng, AV, máy ảnh&gt; Thiết bị âm thanh&gt; tai nghe, tai nghe")</f>
        <v>Đấu giá&gt; thiết bị điện tử tiêu dùng, AV, máy ảnh&gt; Thiết bị âm thanh&gt; tai nghe, tai nghe</v>
      </c>
      <c r="G52" s="228" t="str">
        <f t="shared" ca="1" si="1"/>
        <v>"23804" : "Tai nghe, tai nghe",</v>
      </c>
      <c r="H52" s="229" t="str">
        <f t="shared" si="2"/>
        <v>&lt;li class="col-md-3"&gt;&lt;a class="text-cut" href="javascript:;"(click)="categoryEvent(23804)"&gt;{{"23804" | translate}}&lt;/a&gt;&lt;/li&gt;</v>
      </c>
    </row>
    <row r="53" spans="1:8" ht="14.25" customHeight="1">
      <c r="A53" s="2">
        <v>23792</v>
      </c>
      <c r="B53" s="2" t="s">
        <v>5143</v>
      </c>
      <c r="C53" s="2" t="s">
        <v>8259</v>
      </c>
      <c r="D53" s="2" t="s">
        <v>8260</v>
      </c>
      <c r="E53" s="3" t="str">
        <f ca="1">IFERROR(__xludf.DUMMYFUNCTION("GOOGLETRANSLATE(B53,""ja"",""vi"")"),"amp")</f>
        <v>amp</v>
      </c>
      <c r="F53" s="3" t="str">
        <f ca="1">IFERROR(__xludf.DUMMYFUNCTION("GOOGLETRANSLATE(C53,""ja"",""vi"")"),"Đấu giá&gt; thiết bị điện tử tiêu dùng, AV, máy ảnh&gt; Thiết bị âm thanh&gt; Bộ khuếch đại")</f>
        <v>Đấu giá&gt; thiết bị điện tử tiêu dùng, AV, máy ảnh&gt; Thiết bị âm thanh&gt; Bộ khuếch đại</v>
      </c>
      <c r="G53" s="228" t="str">
        <f t="shared" ca="1" si="1"/>
        <v>"23792" : "amp",</v>
      </c>
      <c r="H53" s="229" t="str">
        <f t="shared" si="2"/>
        <v>&lt;li class="col-md-3"&gt;&lt;a class="text-cut" href="javascript:;"(click)="categoryEvent(23792)"&gt;{{"23792" | translate}}&lt;/a&gt;&lt;/li&gt;</v>
      </c>
    </row>
    <row r="54" spans="1:8" ht="14.25" customHeight="1">
      <c r="A54" s="2">
        <v>23812</v>
      </c>
      <c r="B54" s="2" t="s">
        <v>5160</v>
      </c>
      <c r="C54" s="2" t="s">
        <v>8263</v>
      </c>
      <c r="D54" s="2" t="s">
        <v>8264</v>
      </c>
      <c r="E54" s="3" t="str">
        <f ca="1">IFERROR(__xludf.DUMMYFUNCTION("GOOGLETRANSLATE(B54,""ja"",""vi"")"),"loa")</f>
        <v>loa</v>
      </c>
      <c r="F54" s="3" t="str">
        <f ca="1">IFERROR(__xludf.DUMMYFUNCTION("GOOGLETRANSLATE(C54,""ja"",""vi"")"),"Đấu giá&gt; thiết bị điện tử tiêu dùng, AV, máy ảnh&gt; Thiết bị âm thanh&gt; Loa")</f>
        <v>Đấu giá&gt; thiết bị điện tử tiêu dùng, AV, máy ảnh&gt; Thiết bị âm thanh&gt; Loa</v>
      </c>
      <c r="G54" s="228" t="str">
        <f t="shared" ca="1" si="1"/>
        <v>"23812" : "loa",</v>
      </c>
      <c r="H54" s="229" t="str">
        <f t="shared" si="2"/>
        <v>&lt;li class="col-md-3"&gt;&lt;a class="text-cut" href="javascript:;"(click)="categoryEvent(23812)"&gt;{{"23812" | translate}}&lt;/a&gt;&lt;/li&gt;</v>
      </c>
    </row>
    <row r="55" spans="1:8" ht="14.25" customHeight="1">
      <c r="A55" s="2">
        <v>23772</v>
      </c>
      <c r="B55" s="2" t="s">
        <v>8268</v>
      </c>
      <c r="C55" s="2" t="s">
        <v>8269</v>
      </c>
      <c r="D55" s="2" t="s">
        <v>8270</v>
      </c>
      <c r="E55" s="3" t="str">
        <f ca="1">IFERROR(__xludf.DUMMYFUNCTION("GOOGLETRANSLATE(B55,""ja"",""vi"")"),"CD boong")</f>
        <v>CD boong</v>
      </c>
      <c r="F55" s="3" t="str">
        <f ca="1">IFERROR(__xludf.DUMMYFUNCTION("GOOGLETRANSLATE(C55,""ja"",""vi"")"),"Đấu giá&gt; thiết bị điện tử tiêu dùng, AV, máy ảnh&gt; Thiết bị âm thanh&gt; CD boong")</f>
        <v>Đấu giá&gt; thiết bị điện tử tiêu dùng, AV, máy ảnh&gt; Thiết bị âm thanh&gt; CD boong</v>
      </c>
      <c r="G55" s="228" t="str">
        <f t="shared" ca="1" si="1"/>
        <v>"23772" : "CD boong",</v>
      </c>
      <c r="H55" s="229" t="str">
        <f t="shared" si="2"/>
        <v>&lt;li class="col-md-3"&gt;&lt;a class="text-cut" href="javascript:;"(click)="categoryEvent(23772)"&gt;{{"23772" | translate}}&lt;/a&gt;&lt;/li&gt;</v>
      </c>
    </row>
    <row r="56" spans="1:8" ht="14.25" customHeight="1">
      <c r="A56" s="2">
        <v>2084261081</v>
      </c>
      <c r="B56" s="2" t="s">
        <v>6669</v>
      </c>
      <c r="C56" s="2" t="s">
        <v>8274</v>
      </c>
      <c r="D56" s="2" t="s">
        <v>8275</v>
      </c>
      <c r="E56" s="3" t="str">
        <f ca="1">IFERROR(__xludf.DUMMYFUNCTION("GOOGLETRANSLATE(B56,""ja"",""vi"")"),"thiết bị DJ")</f>
        <v>thiết bị DJ</v>
      </c>
      <c r="F56" s="3" t="str">
        <f ca="1">IFERROR(__xludf.DUMMYFUNCTION("GOOGLETRANSLATE(C56,""ja"",""vi"")"),"Đấu giá&gt; thiết bị điện tử tiêu dùng, AV, máy ảnh&gt; Thiết bị âm thanh&gt; thiết bị DJ")</f>
        <v>Đấu giá&gt; thiết bị điện tử tiêu dùng, AV, máy ảnh&gt; Thiết bị âm thanh&gt; thiết bị DJ</v>
      </c>
      <c r="G56" s="228" t="str">
        <f t="shared" ca="1" si="1"/>
        <v>"2084261081" : "thiết bị DJ",</v>
      </c>
      <c r="H56" s="229" t="str">
        <f t="shared" si="2"/>
        <v>&lt;li class="col-md-3"&gt;&lt;a class="text-cut" href="javascript:;"(click)="categoryEvent(2084261081)"&gt;{{"2084261081" | translate}}&lt;/a&gt;&lt;/li&gt;</v>
      </c>
    </row>
    <row r="57" spans="1:8" ht="14.25" customHeight="1">
      <c r="A57" s="2">
        <v>23824</v>
      </c>
      <c r="B57" s="2" t="s">
        <v>8279</v>
      </c>
      <c r="C57" s="2" t="s">
        <v>8282</v>
      </c>
      <c r="D57" s="2" t="s">
        <v>8283</v>
      </c>
      <c r="E57" s="3" t="str">
        <f ca="1">IFERROR(__xludf.DUMMYFUNCTION("GOOGLETRANSLATE(B57,""ja"",""vi"")"),"turntable")</f>
        <v>turntable</v>
      </c>
      <c r="F57" s="3" t="str">
        <f ca="1">IFERROR(__xludf.DUMMYFUNCTION("GOOGLETRANSLATE(C57,""ja"",""vi"")"),"Đấu giá&gt; thiết bị điện tử tiêu dùng, AV, máy ảnh&gt; Thiết bị âm thanh&gt; bàn xoay")</f>
        <v>Đấu giá&gt; thiết bị điện tử tiêu dùng, AV, máy ảnh&gt; Thiết bị âm thanh&gt; bàn xoay</v>
      </c>
      <c r="G57" s="228" t="str">
        <f t="shared" ca="1" si="1"/>
        <v>"23824" : "turntable",</v>
      </c>
      <c r="H57" s="229" t="str">
        <f t="shared" si="2"/>
        <v>&lt;li class="col-md-3"&gt;&lt;a class="text-cut" href="javascript:;"(click)="categoryEvent(23824)"&gt;{{"23824" | translate}}&lt;/a&gt;&lt;/li&gt;</v>
      </c>
    </row>
    <row r="58" spans="1:8" ht="14.25" customHeight="1">
      <c r="A58" s="2">
        <v>23816</v>
      </c>
      <c r="B58" s="2" t="s">
        <v>8288</v>
      </c>
      <c r="C58" s="2" t="s">
        <v>8289</v>
      </c>
      <c r="D58" s="2" t="s">
        <v>8290</v>
      </c>
      <c r="E58" s="3" t="str">
        <f ca="1">IFERROR(__xludf.DUMMYFUNCTION("GOOGLETRANSLATE(B58,""ja"",""vi"")"),"thành phần hệ thống")</f>
        <v>thành phần hệ thống</v>
      </c>
      <c r="F58" s="3" t="str">
        <f ca="1">IFERROR(__xludf.DUMMYFUNCTION("GOOGLETRANSLATE(C58,""ja"",""vi"")"),"Đấu giá&gt; thiết bị điện tử tiêu dùng, AV, máy ảnh&gt; Thiết bị âm thanh&gt; thành phần hệ thống")</f>
        <v>Đấu giá&gt; thiết bị điện tử tiêu dùng, AV, máy ảnh&gt; Thiết bị âm thanh&gt; thành phần hệ thống</v>
      </c>
      <c r="G58" s="228" t="str">
        <f t="shared" ca="1" si="1"/>
        <v>"23816" : "thành phần hệ thống",</v>
      </c>
      <c r="H58" s="229" t="str">
        <f t="shared" si="2"/>
        <v>&lt;li class="col-md-3"&gt;&lt;a class="text-cut" href="javascript:;"(click)="categoryEvent(23816)"&gt;{{"23816" | translate}}&lt;/a&gt;&lt;/li&gt;</v>
      </c>
    </row>
    <row r="59" spans="1:8" ht="14.25" customHeight="1">
      <c r="A59" s="2">
        <v>2084221806</v>
      </c>
      <c r="B59" s="2" t="s">
        <v>8295</v>
      </c>
      <c r="C59" s="2" t="s">
        <v>8296</v>
      </c>
      <c r="D59" s="2" t="s">
        <v>8297</v>
      </c>
      <c r="E59" s="3" t="str">
        <f ca="1">IFERROR(__xludf.DUMMYFUNCTION("GOOGLETRANSLATE(B59,""ja"",""vi"")"),"cáp Acoustic")</f>
        <v>cáp Acoustic</v>
      </c>
      <c r="F59" s="3" t="str">
        <f ca="1">IFERROR(__xludf.DUMMYFUNCTION("GOOGLETRANSLATE(C59,""ja"",""vi"")"),"Đấu giá&gt; thiết bị điện tử tiêu dùng, AV, máy ảnh&gt; Thiết bị âm thanh&gt; cáp âm thanh")</f>
        <v>Đấu giá&gt; thiết bị điện tử tiêu dùng, AV, máy ảnh&gt; Thiết bị âm thanh&gt; cáp âm thanh</v>
      </c>
      <c r="G59" s="228" t="str">
        <f t="shared" ca="1" si="1"/>
        <v>"2084221806" : "cáp Acoustic",</v>
      </c>
      <c r="H59" s="229" t="str">
        <f t="shared" si="2"/>
        <v>&lt;li class="col-md-3"&gt;&lt;a class="text-cut" href="javascript:;"(click)="categoryEvent(2084221806)"&gt;{{"2084221806" | translate}}&lt;/a&gt;&lt;/li&gt;</v>
      </c>
    </row>
    <row r="60" spans="1:8" ht="14.25" customHeight="1">
      <c r="A60" s="2">
        <v>2084024097</v>
      </c>
      <c r="B60" s="2" t="s">
        <v>8302</v>
      </c>
      <c r="C60" s="2" t="s">
        <v>8303</v>
      </c>
      <c r="D60" s="2" t="s">
        <v>8304</v>
      </c>
      <c r="E60" s="3" t="str">
        <f ca="1">IFERROR(__xludf.DUMMYFUNCTION("GOOGLETRANSLATE(B60,""ja"",""vi"")"),"MD boong")</f>
        <v>MD boong</v>
      </c>
      <c r="F60" s="3" t="str">
        <f ca="1">IFERROR(__xludf.DUMMYFUNCTION("GOOGLETRANSLATE(C60,""ja"",""vi"")"),"Đấu giá&gt; thiết bị điện tử tiêu dùng, AV, máy ảnh&gt; Thiết bị âm thanh&gt; MD boong")</f>
        <v>Đấu giá&gt; thiết bị điện tử tiêu dùng, AV, máy ảnh&gt; Thiết bị âm thanh&gt; MD boong</v>
      </c>
      <c r="G60" s="228" t="str">
        <f t="shared" ca="1" si="1"/>
        <v>"2084024097" : "MD boong",</v>
      </c>
      <c r="H60" s="229" t="str">
        <f t="shared" si="2"/>
        <v>&lt;li class="col-md-3"&gt;&lt;a class="text-cut" href="javascript:;"(click)="categoryEvent(2084024097)"&gt;{{"2084024097" | translate}}&lt;/a&gt;&lt;/li&gt;</v>
      </c>
    </row>
    <row r="61" spans="1:8" ht="14.25" customHeight="1">
      <c r="A61" s="2">
        <v>23832</v>
      </c>
      <c r="B61" s="2" t="s">
        <v>8310</v>
      </c>
      <c r="C61" s="2" t="s">
        <v>8311</v>
      </c>
      <c r="D61" s="2" t="s">
        <v>8312</v>
      </c>
      <c r="E61" s="3" t="str">
        <f ca="1">IFERROR(__xludf.DUMMYFUNCTION("GOOGLETRANSLATE(B61,""ja"",""vi"")"),"Cassette boong")</f>
        <v>Cassette boong</v>
      </c>
      <c r="F61" s="3" t="str">
        <f ca="1">IFERROR(__xludf.DUMMYFUNCTION("GOOGLETRANSLATE(C61,""ja"",""vi"")"),"Đấu giá&gt; thiết bị điện tử tiêu dùng, AV, máy ảnh&gt; Thiết bị âm thanh&gt; băng boong")</f>
        <v>Đấu giá&gt; thiết bị điện tử tiêu dùng, AV, máy ảnh&gt; Thiết bị âm thanh&gt; băng boong</v>
      </c>
      <c r="G61" s="228" t="str">
        <f t="shared" ca="1" si="1"/>
        <v>"23832" : "Cassette boong",</v>
      </c>
      <c r="H61" s="229" t="str">
        <f t="shared" si="2"/>
        <v>&lt;li class="col-md-3"&gt;&lt;a class="text-cut" href="javascript:;"(click)="categoryEvent(23832)"&gt;{{"23832" | translate}}&lt;/a&gt;&lt;/li&gt;</v>
      </c>
    </row>
    <row r="62" spans="1:8" ht="14.25" customHeight="1">
      <c r="A62" s="2">
        <v>2084286800</v>
      </c>
      <c r="B62" s="2" t="s">
        <v>8317</v>
      </c>
      <c r="C62" s="2" t="s">
        <v>8318</v>
      </c>
      <c r="D62" s="2" t="s">
        <v>8319</v>
      </c>
      <c r="E62" s="3" t="str">
        <f ca="1">IFERROR(__xludf.DUMMYFUNCTION("GOOGLETRANSLATE(B62,""ja"",""vi"")"),"thiết bị DAT")</f>
        <v>thiết bị DAT</v>
      </c>
      <c r="F62" s="3" t="str">
        <f ca="1">IFERROR(__xludf.DUMMYFUNCTION("GOOGLETRANSLATE(C62,""ja"",""vi"")"),"Đấu giá&gt; thiết bị điện tử tiêu dùng, AV, máy ảnh&gt; Thiết bị âm thanh&gt; thiết bị DAT")</f>
        <v>Đấu giá&gt; thiết bị điện tử tiêu dùng, AV, máy ảnh&gt; Thiết bị âm thanh&gt; thiết bị DAT</v>
      </c>
      <c r="G62" s="228" t="str">
        <f t="shared" ca="1" si="1"/>
        <v>"2084286800" : "thiết bị DAT",</v>
      </c>
      <c r="H62" s="229" t="str">
        <f t="shared" si="2"/>
        <v>&lt;li class="col-md-3"&gt;&lt;a class="text-cut" href="javascript:;"(click)="categoryEvent(2084286800)"&gt;{{"2084286800" | translate}}&lt;/a&gt;&lt;/li&gt;</v>
      </c>
    </row>
    <row r="63" spans="1:8" ht="14.25" customHeight="1">
      <c r="A63" s="2">
        <v>2084286799</v>
      </c>
      <c r="B63" s="2" t="s">
        <v>8324</v>
      </c>
      <c r="C63" s="2" t="s">
        <v>8326</v>
      </c>
      <c r="D63" s="2" t="s">
        <v>8328</v>
      </c>
      <c r="E63" s="3" t="str">
        <f ca="1">IFERROR(__xludf.DUMMYFUNCTION("GOOGLETRANSLATE(B63,""ja"",""vi"")"),"Reel-to-reel boong")</f>
        <v>Reel-to-reel boong</v>
      </c>
      <c r="F63" s="3" t="str">
        <f ca="1">IFERROR(__xludf.DUMMYFUNCTION("GOOGLETRANSLATE(C63,""ja"",""vi"")"),"Đấu giá&gt; thiết bị điện tử tiêu dùng, AV, máy ảnh&gt; Thiết bị âm thanh&gt; reel-to-reel boong")</f>
        <v>Đấu giá&gt; thiết bị điện tử tiêu dùng, AV, máy ảnh&gt; Thiết bị âm thanh&gt; reel-to-reel boong</v>
      </c>
      <c r="G63" s="228" t="str">
        <f t="shared" ca="1" si="1"/>
        <v>"2084286799" : "Reel-to-reel boong",</v>
      </c>
      <c r="H63" s="229" t="str">
        <f t="shared" si="2"/>
        <v>&lt;li class="col-md-3"&gt;&lt;a class="text-cut" href="javascript:;"(click)="categoryEvent(2084286799)"&gt;{{"2084286799" | translate}}&lt;/a&gt;&lt;/li&gt;</v>
      </c>
    </row>
    <row r="64" spans="1:8" ht="14.25" customHeight="1">
      <c r="A64" s="2">
        <v>2084024108</v>
      </c>
      <c r="B64" s="2" t="s">
        <v>8331</v>
      </c>
      <c r="C64" s="2" t="s">
        <v>8332</v>
      </c>
      <c r="D64" s="2" t="s">
        <v>8334</v>
      </c>
      <c r="E64" s="3" t="str">
        <f ca="1">IFERROR(__xludf.DUMMYFUNCTION("GOOGLETRANSLATE(B64,""ja"",""vi"")"),"máy ghi âm IC")</f>
        <v>máy ghi âm IC</v>
      </c>
      <c r="F64" s="3" t="str">
        <f ca="1">IFERROR(__xludf.DUMMYFUNCTION("GOOGLETRANSLATE(C64,""ja"",""vi"")"),"Đấu giá&gt; thiết bị điện tử tiêu dùng, AV, máy ảnh&gt; Thiết bị âm thanh&gt; máy ghi âm IC")</f>
        <v>Đấu giá&gt; thiết bị điện tử tiêu dùng, AV, máy ảnh&gt; Thiết bị âm thanh&gt; máy ghi âm IC</v>
      </c>
      <c r="G64" s="228" t="str">
        <f t="shared" ca="1" si="1"/>
        <v>"2084024108" : "máy ghi âm IC",</v>
      </c>
      <c r="H64" s="229" t="str">
        <f t="shared" si="2"/>
        <v>&lt;li class="col-md-3"&gt;&lt;a class="text-cut" href="javascript:;"(click)="categoryEvent(2084024108)"&gt;{{"2084024108" | translate}}&lt;/a&gt;&lt;/li&gt;</v>
      </c>
    </row>
    <row r="65" spans="1:8" ht="14.25" customHeight="1">
      <c r="A65" s="2">
        <v>2084024137</v>
      </c>
      <c r="B65" s="2" t="s">
        <v>5823</v>
      </c>
      <c r="C65" s="2" t="s">
        <v>8340</v>
      </c>
      <c r="D65" s="2" t="s">
        <v>8343</v>
      </c>
      <c r="E65" s="3" t="str">
        <f ca="1">IFERROR(__xludf.DUMMYFUNCTION("GOOGLETRANSLATE(B65,""ja"",""vi"")"),"radio")</f>
        <v>radio</v>
      </c>
      <c r="F65" s="3" t="str">
        <f ca="1">IFERROR(__xludf.DUMMYFUNCTION("GOOGLETRANSLATE(C65,""ja"",""vi"")"),"Đấu giá&gt; thiết bị điện tử tiêu dùng, AV, máy ảnh&gt; Thiết bị âm thanh&gt; Radio")</f>
        <v>Đấu giá&gt; thiết bị điện tử tiêu dùng, AV, máy ảnh&gt; Thiết bị âm thanh&gt; Radio</v>
      </c>
      <c r="G65" s="228" t="str">
        <f t="shared" ca="1" si="1"/>
        <v>"2084024137" : "radio",</v>
      </c>
      <c r="H65" s="229" t="str">
        <f t="shared" si="2"/>
        <v>&lt;li class="col-md-3"&gt;&lt;a class="text-cut" href="javascript:;"(click)="categoryEvent(2084024137)"&gt;{{"2084024137" | translate}}&lt;/a&gt;&lt;/li&gt;</v>
      </c>
    </row>
    <row r="66" spans="1:8" ht="14.25" customHeight="1">
      <c r="A66" s="2">
        <v>2084263358</v>
      </c>
      <c r="B66" s="2" t="s">
        <v>7525</v>
      </c>
      <c r="C66" s="2" t="s">
        <v>8350</v>
      </c>
      <c r="D66" s="2" t="s">
        <v>8351</v>
      </c>
      <c r="E66" s="3" t="str">
        <f ca="1">IFERROR(__xludf.DUMMYFUNCTION("GOOGLETRANSLATE(B66,""ja"",""vi"")"),"linh kiện điện tử")</f>
        <v>linh kiện điện tử</v>
      </c>
      <c r="F66" s="3" t="str">
        <f ca="1">IFERROR(__xludf.DUMMYFUNCTION("GOOGLETRANSLATE(C66,""ja"",""vi"")"),"Đấu giá&gt; thiết bị điện tử tiêu dùng, AV, máy ảnh&gt; Thiết bị âm thanh&gt; Linh kiện điện tử")</f>
        <v>Đấu giá&gt; thiết bị điện tử tiêu dùng, AV, máy ảnh&gt; Thiết bị âm thanh&gt; Linh kiện điện tử</v>
      </c>
      <c r="G66" s="228" t="str">
        <f t="shared" ca="1" si="1"/>
        <v>"2084263358" : "linh kiện điện tử",</v>
      </c>
      <c r="H66" s="229" t="str">
        <f t="shared" si="2"/>
        <v>&lt;li class="col-md-3"&gt;&lt;a class="text-cut" href="javascript:;"(click)="categoryEvent(2084263358)"&gt;{{"2084263358" | translate}}&lt;/a&gt;&lt;/li&gt;</v>
      </c>
    </row>
    <row r="67" spans="1:8" ht="14.25" customHeight="1">
      <c r="A67" s="2">
        <v>22544</v>
      </c>
      <c r="B67" s="2" t="s">
        <v>8356</v>
      </c>
      <c r="C67" s="2" t="s">
        <v>8357</v>
      </c>
      <c r="D67" s="2" t="s">
        <v>8358</v>
      </c>
      <c r="E67" s="3" t="str">
        <f ca="1">IFERROR(__xludf.DUMMYFUNCTION("GOOGLETRANSLATE(B67,""ja"",""vi"")"),"DTM, thiết bị DAW")</f>
        <v>DTM, thiết bị DAW</v>
      </c>
      <c r="F67" s="3" t="str">
        <f ca="1">IFERROR(__xludf.DUMMYFUNCTION("GOOGLETRANSLATE(C67,""ja"",""vi"")"),"Đấu giá&gt; thiết bị điện tử tiêu dùng, AV, máy ảnh&gt; Thiết bị âm thanh&gt; DTM, thiết bị DAW")</f>
        <v>Đấu giá&gt; thiết bị điện tử tiêu dùng, AV, máy ảnh&gt; Thiết bị âm thanh&gt; DTM, thiết bị DAW</v>
      </c>
      <c r="G67" s="228" t="str">
        <f t="shared" ref="G67:G130" ca="1" si="3">CONCATENATE(CHAR(34)&amp;"",A67,""&amp;CHAR(34)," : ", CHAR(34)&amp;"",E67,""&amp;CHAR(34),",")</f>
        <v>"22544" : "DTM, thiết bị DAW",</v>
      </c>
      <c r="H67" s="229" t="str">
        <f t="shared" ref="H67:H130" si="4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href="javascript:;"(click)="categoryEvent(22544)"&gt;{{"22544" | translate}}&lt;/a&gt;&lt;/li&gt;</v>
      </c>
    </row>
    <row r="68" spans="1:8" ht="14.25" customHeight="1">
      <c r="A68" s="2">
        <v>23800</v>
      </c>
      <c r="B68" s="2" t="s">
        <v>8361</v>
      </c>
      <c r="C68" s="2" t="s">
        <v>8363</v>
      </c>
      <c r="D68" s="2" t="s">
        <v>8364</v>
      </c>
      <c r="E68" s="3" t="str">
        <f ca="1">IFERROR(__xludf.DUMMYFUNCTION("GOOGLETRANSLATE(B68,""ja"",""vi"")"),"equalizer")</f>
        <v>equalizer</v>
      </c>
      <c r="F68" s="3" t="str">
        <f ca="1">IFERROR(__xludf.DUMMYFUNCTION("GOOGLETRANSLATE(C68,""ja"",""vi"")"),"Đấu giá&gt; thiết bị điện tử tiêu dùng, AV, máy ảnh&gt; Thiết bị âm thanh&gt; equalizer")</f>
        <v>Đấu giá&gt; thiết bị điện tử tiêu dùng, AV, máy ảnh&gt; Thiết bị âm thanh&gt; equalizer</v>
      </c>
      <c r="G68" s="228" t="str">
        <f t="shared" ca="1" si="3"/>
        <v>"23800" : "equalizer",</v>
      </c>
      <c r="H68" s="229" t="str">
        <f t="shared" si="4"/>
        <v>&lt;li class="col-md-3"&gt;&lt;a class="text-cut" href="javascript:;"(click)="categoryEvent(23800)"&gt;{{"23800" | translate}}&lt;/a&gt;&lt;/li&gt;</v>
      </c>
    </row>
    <row r="69" spans="1:8" ht="14.25" customHeight="1">
      <c r="A69" s="2">
        <v>21608</v>
      </c>
      <c r="B69" s="2" t="s">
        <v>8366</v>
      </c>
      <c r="C69" s="2" t="s">
        <v>8368</v>
      </c>
      <c r="D69" s="2" t="s">
        <v>8369</v>
      </c>
      <c r="E69" s="3" t="str">
        <f ca="1">IFERROR(__xludf.DUMMYFUNCTION("GOOGLETRANSLATE(B69,""ja"",""vi"")"),"sách audio")</f>
        <v>sách audio</v>
      </c>
      <c r="F69" s="3" t="str">
        <f ca="1">IFERROR(__xludf.DUMMYFUNCTION("GOOGLETRANSLATE(C69,""ja"",""vi"")"),"Đấu giá&gt; thiết bị điện tử tiêu dùng, AV, máy ảnh&gt; Thiết bị âm thanh&gt; Âm thanh cuốn sách")</f>
        <v>Đấu giá&gt; thiết bị điện tử tiêu dùng, AV, máy ảnh&gt; Thiết bị âm thanh&gt; Âm thanh cuốn sách</v>
      </c>
      <c r="G69" s="228" t="str">
        <f t="shared" ca="1" si="3"/>
        <v>"21608" : "sách audio",</v>
      </c>
      <c r="H69" s="229" t="str">
        <f t="shared" si="4"/>
        <v>&lt;li class="col-md-3"&gt;&lt;a class="text-cut" href="javascript:;"(click)="categoryEvent(21608)"&gt;{{"21608" | translate}}&lt;/a&gt;&lt;/li&gt;</v>
      </c>
    </row>
    <row r="70" spans="1:8" ht="14.25" customHeight="1">
      <c r="A70" s="2">
        <v>23852</v>
      </c>
      <c r="B70" s="2" t="s">
        <v>3910</v>
      </c>
      <c r="C70" s="2" t="s">
        <v>8372</v>
      </c>
      <c r="D70" s="2" t="s">
        <v>8374</v>
      </c>
      <c r="E70" s="3" t="str">
        <f ca="1">IFERROR(__xludf.DUMMYFUNCTION("GOOGLETRANSLATE(B70,""ja"",""vi"")"),"Car Audio")</f>
        <v>Car Audio</v>
      </c>
      <c r="F70" s="3" t="str">
        <f ca="1">IFERROR(__xludf.DUMMYFUNCTION("GOOGLETRANSLATE(C70,""ja"",""vi"")"),"Đấu giá&gt; thiết bị điện tử tiêu dùng, AV, máy ảnh&gt; Thiết bị âm thanh&gt; Car Audio")</f>
        <v>Đấu giá&gt; thiết bị điện tử tiêu dùng, AV, máy ảnh&gt; Thiết bị âm thanh&gt; Car Audio</v>
      </c>
      <c r="G70" s="228" t="str">
        <f t="shared" ca="1" si="3"/>
        <v>"23852" : "Car Audio",</v>
      </c>
      <c r="H70" s="229" t="str">
        <f t="shared" si="4"/>
        <v>&lt;li class="col-md-3"&gt;&lt;a class="text-cut" href="javascript:;"(click)="categoryEvent(23852)"&gt;{{"23852" | translate}}&lt;/a&gt;&lt;/li&gt;</v>
      </c>
    </row>
    <row r="71" spans="1:8" ht="14.25" customHeight="1">
      <c r="A71" s="2">
        <v>2084048479</v>
      </c>
      <c r="B71" s="2" t="s">
        <v>8379</v>
      </c>
      <c r="C71" s="2" t="s">
        <v>8381</v>
      </c>
      <c r="D71" s="2" t="s">
        <v>8383</v>
      </c>
      <c r="E71" s="3" t="str">
        <f ca="1">IFERROR(__xludf.DUMMYFUNCTION("GOOGLETRANSLATE(B71,""ja"",""vi"")"),"thiết bị Karaoke")</f>
        <v>thiết bị Karaoke</v>
      </c>
      <c r="F71" s="3" t="str">
        <f ca="1">IFERROR(__xludf.DUMMYFUNCTION("GOOGLETRANSLATE(C71,""ja"",""vi"")"),"Đấu giá&gt; thiết bị điện tử tiêu dùng, AV, máy ảnh&gt; Thiết bị âm thanh&gt; Thiết bị karaoke")</f>
        <v>Đấu giá&gt; thiết bị điện tử tiêu dùng, AV, máy ảnh&gt; Thiết bị âm thanh&gt; Thiết bị karaoke</v>
      </c>
      <c r="G71" s="228" t="str">
        <f t="shared" ca="1" si="3"/>
        <v>"2084048479" : "thiết bị Karaoke",</v>
      </c>
      <c r="H71" s="229" t="str">
        <f t="shared" si="4"/>
        <v>&lt;li class="col-md-3"&gt;&lt;a class="text-cut" href="javascript:;"(click)="categoryEvent(2084048479)"&gt;{{"2084048479" | translate}}&lt;/a&gt;&lt;/li&gt;</v>
      </c>
    </row>
    <row r="72" spans="1:8" ht="14.25" customHeight="1">
      <c r="A72" s="2">
        <v>23820</v>
      </c>
      <c r="B72" s="2" t="s">
        <v>5168</v>
      </c>
      <c r="C72" s="2" t="s">
        <v>8387</v>
      </c>
      <c r="D72" s="2" t="s">
        <v>8388</v>
      </c>
      <c r="E72" s="3" t="str">
        <f ca="1">IFERROR(__xludf.DUMMYFUNCTION("GOOGLETRANSLATE(B72,""ja"",""vi"")"),"Tuner")</f>
        <v>Tuner</v>
      </c>
      <c r="F72" s="3" t="str">
        <f ca="1">IFERROR(__xludf.DUMMYFUNCTION("GOOGLETRANSLATE(C72,""ja"",""vi"")"),"Đấu giá&gt; thiết bị điện tử tiêu dùng, AV, máy ảnh&gt; Thiết bị âm thanh&gt; chỉnh")</f>
        <v>Đấu giá&gt; thiết bị điện tử tiêu dùng, AV, máy ảnh&gt; Thiết bị âm thanh&gt; chỉnh</v>
      </c>
      <c r="G72" s="228" t="str">
        <f t="shared" ca="1" si="3"/>
        <v>"23820" : "Tuner",</v>
      </c>
      <c r="H72" s="229" t="str">
        <f t="shared" si="4"/>
        <v>&lt;li class="col-md-3"&gt;&lt;a class="text-cut" href="javascript:;"(click)="categoryEvent(23820)"&gt;{{"23820" | translate}}&lt;/a&gt;&lt;/li&gt;</v>
      </c>
    </row>
    <row r="73" spans="1:8" ht="14.25" customHeight="1">
      <c r="A73" s="2">
        <v>2084024007</v>
      </c>
      <c r="B73" s="2" t="s">
        <v>8391</v>
      </c>
      <c r="C73" s="2" t="s">
        <v>8393</v>
      </c>
      <c r="D73" s="2" t="s">
        <v>8394</v>
      </c>
      <c r="E73" s="3" t="str">
        <f ca="1">IFERROR(__xludf.DUMMYFUNCTION("GOOGLETRANSLATE(B73,""ja"",""vi"")"),"microphone")</f>
        <v>microphone</v>
      </c>
      <c r="F73" s="3" t="str">
        <f ca="1">IFERROR(__xludf.DUMMYFUNCTION("GOOGLETRANSLATE(C73,""ja"",""vi"")"),"Đấu giá&gt; thiết bị điện tử tiêu dùng, AV, máy ảnh&gt; Thiết bị âm thanh&gt; microphone")</f>
        <v>Đấu giá&gt; thiết bị điện tử tiêu dùng, AV, máy ảnh&gt; Thiết bị âm thanh&gt; microphone</v>
      </c>
      <c r="G73" s="228" t="str">
        <f t="shared" ca="1" si="3"/>
        <v>"2084024007" : "microphone",</v>
      </c>
      <c r="H73" s="229" t="str">
        <f t="shared" si="4"/>
        <v>&lt;li class="col-md-3"&gt;&lt;a class="text-cut" href="javascript:;"(click)="categoryEvent(2084024007)"&gt;{{"2084024007" | translate}}&lt;/a&gt;&lt;/li&gt;</v>
      </c>
    </row>
    <row r="74" spans="1:8" ht="14.25" customHeight="1">
      <c r="A74" s="2">
        <v>2084024120</v>
      </c>
      <c r="B74" s="2" t="s">
        <v>8399</v>
      </c>
      <c r="C74" s="2" t="s">
        <v>8401</v>
      </c>
      <c r="D74" s="2" t="s">
        <v>8403</v>
      </c>
      <c r="E74" s="3" t="str">
        <f ca="1">IFERROR(__xludf.DUMMYFUNCTION("GOOGLETRANSLATE(B74,""ja"",""vi"")"),"phương tiện truyền thông ghi âm")</f>
        <v>phương tiện truyền thông ghi âm</v>
      </c>
      <c r="F74" s="3" t="str">
        <f ca="1">IFERROR(__xludf.DUMMYFUNCTION("GOOGLETRANSLATE(C74,""ja"",""vi"")"),"Đấu giá&gt; thiết bị điện tử tiêu dùng, AV, máy ảnh&gt; Thiết bị âm thanh&gt; ghi trung bình")</f>
        <v>Đấu giá&gt; thiết bị điện tử tiêu dùng, AV, máy ảnh&gt; Thiết bị âm thanh&gt; ghi trung bình</v>
      </c>
      <c r="G74" s="228" t="str">
        <f t="shared" ca="1" si="3"/>
        <v>"2084024120" : "phương tiện truyền thông ghi âm",</v>
      </c>
      <c r="H74" s="229" t="str">
        <f t="shared" si="4"/>
        <v>&lt;li class="col-md-3"&gt;&lt;a class="text-cut" href="javascript:;"(click)="categoryEvent(2084024120)"&gt;{{"2084024120" | translate}}&lt;/a&gt;&lt;/li&gt;</v>
      </c>
    </row>
    <row r="75" spans="1:8" ht="14.25" customHeight="1">
      <c r="A75" s="2">
        <v>2084008122</v>
      </c>
      <c r="B75" s="2" t="s">
        <v>351</v>
      </c>
      <c r="C75" s="2" t="s">
        <v>8410</v>
      </c>
      <c r="D75" s="2" t="s">
        <v>8412</v>
      </c>
      <c r="E75" s="3" t="str">
        <f ca="1">IFERROR(__xludf.DUMMYFUNCTION("GOOGLETRANSLATE(B75,""ja"",""vi"")"),"tạp chí")</f>
        <v>tạp chí</v>
      </c>
      <c r="F75" s="3" t="str">
        <f ca="1">IFERROR(__xludf.DUMMYFUNCTION("GOOGLETRANSLATE(C75,""ja"",""vi"")"),"Đấu giá&gt; thiết bị điện tử tiêu dùng, AV, máy ảnh&gt; Thiết bị âm thanh&gt; Tạp chí")</f>
        <v>Đấu giá&gt; thiết bị điện tử tiêu dùng, AV, máy ảnh&gt; Thiết bị âm thanh&gt; Tạp chí</v>
      </c>
      <c r="G75" s="228" t="str">
        <f t="shared" ca="1" si="3"/>
        <v>"2084008122" : "tạp chí",</v>
      </c>
      <c r="H75" s="229" t="str">
        <f t="shared" si="4"/>
        <v>&lt;li class="col-md-3"&gt;&lt;a class="text-cut" href="javascript:;"(click)="categoryEvent(2084008122)"&gt;{{"2084008122" | translate}}&lt;/a&gt;&lt;/li&gt;</v>
      </c>
    </row>
    <row r="76" spans="1:8" ht="14.25" customHeight="1">
      <c r="A76" s="2">
        <v>2084048439</v>
      </c>
      <c r="B76" s="2" t="s">
        <v>5117</v>
      </c>
      <c r="C76" s="2" t="s">
        <v>8416</v>
      </c>
      <c r="D76" s="2" t="s">
        <v>8417</v>
      </c>
      <c r="E76" s="3" t="str">
        <f ca="1">IFERROR(__xludf.DUMMYFUNCTION("GOOGLETRANSLATE(B76,""ja"",""vi"")"),"máy hát")</f>
        <v>máy hát</v>
      </c>
      <c r="F76" s="3" t="str">
        <f ca="1">IFERROR(__xludf.DUMMYFUNCTION("GOOGLETRANSLATE(C76,""ja"",""vi"")"),"Đấu giá&gt; thiết bị điện tử tiêu dùng, AV, máy ảnh&gt; Thiết bị âm thanh&gt; máy hát")</f>
        <v>Đấu giá&gt; thiết bị điện tử tiêu dùng, AV, máy ảnh&gt; Thiết bị âm thanh&gt; máy hát</v>
      </c>
      <c r="G76" s="228" t="str">
        <f t="shared" ca="1" si="3"/>
        <v>"2084048439" : "máy hát",</v>
      </c>
      <c r="H76" s="229" t="str">
        <f t="shared" si="4"/>
        <v>&lt;li class="col-md-3"&gt;&lt;a class="text-cut" href="javascript:;"(click)="categoryEvent(2084048439)"&gt;{{"2084048439" | translate}}&lt;/a&gt;&lt;/li&gt;</v>
      </c>
    </row>
    <row r="77" spans="1:8" ht="14.25" customHeight="1">
      <c r="A77" s="2">
        <v>2084205443</v>
      </c>
      <c r="B77" s="2" t="s">
        <v>5040</v>
      </c>
      <c r="C77" s="2" t="s">
        <v>8422</v>
      </c>
      <c r="D77" s="2" t="s">
        <v>8423</v>
      </c>
      <c r="E77" s="3" t="str">
        <f ca="1">IFERROR(__xludf.DUMMYFUNCTION("GOOGLETRANSLATE(B77,""ja"",""vi"")"),"điều khiển từ xa")</f>
        <v>điều khiển từ xa</v>
      </c>
      <c r="F77" s="3" t="str">
        <f ca="1">IFERROR(__xludf.DUMMYFUNCTION("GOOGLETRANSLATE(C77,""ja"",""vi"")"),"Đấu giá&gt; thiết bị điện tử tiêu dùng, AV, máy ảnh&gt; Thiết bị âm thanh&gt; điều khiển từ xa")</f>
        <v>Đấu giá&gt; thiết bị điện tử tiêu dùng, AV, máy ảnh&gt; Thiết bị âm thanh&gt; điều khiển từ xa</v>
      </c>
      <c r="G77" s="228" t="str">
        <f t="shared" ca="1" si="3"/>
        <v>"2084205443" : "điều khiển từ xa",</v>
      </c>
      <c r="H77" s="229" t="str">
        <f t="shared" si="4"/>
        <v>&lt;li class="col-md-3"&gt;&lt;a class="text-cut" href="javascript:;"(click)="categoryEvent(2084205443)"&gt;{{"2084205443" | translate}}&lt;/a&gt;&lt;/li&gt;</v>
      </c>
    </row>
    <row r="78" spans="1:8" ht="14.25" customHeight="1">
      <c r="A78" s="2">
        <v>23828</v>
      </c>
      <c r="B78" s="2" t="s">
        <v>16</v>
      </c>
      <c r="C78" s="2" t="s">
        <v>8428</v>
      </c>
      <c r="D78" s="2" t="s">
        <v>8429</v>
      </c>
      <c r="E78" s="3" t="str">
        <f ca="1">IFERROR(__xludf.DUMMYFUNCTION("GOOGLETRANSLATE(B78,""ja"",""vi"")"),"nếu không thì")</f>
        <v>nếu không thì</v>
      </c>
      <c r="F78" s="3" t="str">
        <f ca="1">IFERROR(__xludf.DUMMYFUNCTION("GOOGLETRANSLATE(C78,""ja"",""vi"")"),"Đấu giá&gt; thiết bị điện tử tiêu dùng, AV, máy ảnh&gt; Thiết bị âm thanh&gt; Khác")</f>
        <v>Đấu giá&gt; thiết bị điện tử tiêu dùng, AV, máy ảnh&gt; Thiết bị âm thanh&gt; Khác</v>
      </c>
      <c r="G78" s="228" t="str">
        <f t="shared" ca="1" si="3"/>
        <v>"23828" : "nếu không thì",</v>
      </c>
      <c r="H78" s="229" t="str">
        <f t="shared" si="4"/>
        <v>&lt;li class="col-md-3"&gt;&lt;a class="text-cut" href="javascript:;"(click)="categoryEvent(23828)"&gt;{{"23828" | translate}}&lt;/a&gt;&lt;/li&gt;</v>
      </c>
    </row>
    <row r="79" spans="1:8" ht="14.25" customHeight="1">
      <c r="E79" s="3"/>
      <c r="F79" s="3"/>
      <c r="G79" s="228"/>
      <c r="H79" s="229"/>
    </row>
    <row r="80" spans="1:8" ht="14.25" customHeight="1">
      <c r="E80" s="3"/>
      <c r="F80" s="3"/>
      <c r="G80" s="228"/>
      <c r="H80" s="229"/>
    </row>
    <row r="81" spans="1:8" ht="14.25" customHeight="1">
      <c r="A81" s="305">
        <v>23636</v>
      </c>
      <c r="B81" s="232"/>
      <c r="C81" s="232"/>
      <c r="D81" s="233"/>
      <c r="E81" s="3"/>
      <c r="F81" s="3"/>
      <c r="G81" s="228"/>
      <c r="H81" s="229"/>
    </row>
    <row r="82" spans="1:8" ht="14.25" customHeight="1">
      <c r="A82" s="2">
        <v>2084261633</v>
      </c>
      <c r="B82" s="2" t="s">
        <v>8435</v>
      </c>
      <c r="C82" s="2" t="s">
        <v>8436</v>
      </c>
      <c r="D82" s="116" t="str">
        <f t="shared" ref="D82:D100" si="5">CONCATENATE("0,","23632,23636,",A82)</f>
        <v>0,23632,23636,2084261633</v>
      </c>
      <c r="E82" s="3" t="str">
        <f ca="1">IFERROR(__xludf.DUMMYFUNCTION("GOOGLETRANSLATE(B82,""ja"",""vi"")"),"máy ảnh kỹ thuật số")</f>
        <v>máy ảnh kỹ thuật số</v>
      </c>
      <c r="F82" s="3" t="str">
        <f ca="1">IFERROR(__xludf.DUMMYFUNCTION("GOOGLETRANSLATE(C82,""ja"",""vi"")"),"Đấu giá&gt; thiết bị điện tử tiêu dùng, AV, máy ảnh&gt; máy ảnh, thiết bị quang học&gt; máy ảnh kỹ thuật số")</f>
        <v>Đấu giá&gt; thiết bị điện tử tiêu dùng, AV, máy ảnh&gt; máy ảnh, thiết bị quang học&gt; máy ảnh kỹ thuật số</v>
      </c>
      <c r="G82" s="228" t="str">
        <f t="shared" ca="1" si="3"/>
        <v>"2084261633" : "máy ảnh kỹ thuật số",</v>
      </c>
      <c r="H82" s="229" t="str">
        <f t="shared" si="4"/>
        <v>&lt;li class="col-md-3"&gt;&lt;a class="text-cut" href="javascript:;"(click)="categoryEvent(2084261633)"&gt;{{"2084261633" | translate}}&lt;/a&gt;&lt;/li&gt;</v>
      </c>
    </row>
    <row r="83" spans="1:8" ht="14.25" customHeight="1">
      <c r="A83" s="2">
        <v>23640</v>
      </c>
      <c r="B83" s="2" t="s">
        <v>8441</v>
      </c>
      <c r="C83" s="2" t="s">
        <v>8442</v>
      </c>
      <c r="D83" s="116" t="str">
        <f t="shared" si="5"/>
        <v>0,23632,23636,23640</v>
      </c>
      <c r="E83" s="3" t="str">
        <f ca="1">IFERROR(__xludf.DUMMYFUNCTION("GOOGLETRANSLATE(B83,""ja"",""vi"")"),"máy ảnh phim")</f>
        <v>máy ảnh phim</v>
      </c>
      <c r="F83" s="3" t="str">
        <f ca="1">IFERROR(__xludf.DUMMYFUNCTION("GOOGLETRANSLATE(C83,""ja"",""vi"")"),"Đấu giá&gt; thiết bị điện tử tiêu dùng, AV, máy ảnh&gt; máy ảnh, thiết bị quang học&gt; máy ảnh phim")</f>
        <v>Đấu giá&gt; thiết bị điện tử tiêu dùng, AV, máy ảnh&gt; máy ảnh, thiết bị quang học&gt; máy ảnh phim</v>
      </c>
      <c r="G83" s="228" t="str">
        <f t="shared" ca="1" si="3"/>
        <v>"23640" : "máy ảnh phim",</v>
      </c>
      <c r="H83" s="229" t="str">
        <f t="shared" si="4"/>
        <v>&lt;li class="col-md-3"&gt;&lt;a class="text-cut" href="javascript:;"(click)="categoryEvent(23640)"&gt;{{"23640" | translate}}&lt;/a&gt;&lt;/li&gt;</v>
      </c>
    </row>
    <row r="84" spans="1:8" ht="14.25" customHeight="1">
      <c r="A84" s="2">
        <v>23936</v>
      </c>
      <c r="B84" s="2" t="s">
        <v>8209</v>
      </c>
      <c r="C84" s="2" t="s">
        <v>8447</v>
      </c>
      <c r="D84" s="116" t="str">
        <f t="shared" si="5"/>
        <v>0,23632,23636,23936</v>
      </c>
      <c r="E84" s="3" t="str">
        <f ca="1">IFERROR(__xludf.DUMMYFUNCTION("GOOGLETRANSLATE(B84,""ja"",""vi"")"),"máy quay video")</f>
        <v>máy quay video</v>
      </c>
      <c r="F84" s="3" t="str">
        <f ca="1">IFERROR(__xludf.DUMMYFUNCTION("GOOGLETRANSLATE(C84,""ja"",""vi"")"),"Đấu giá&gt; thiết bị điện tử tiêu dùng, AV, máy ảnh&gt; máy ảnh, thiết bị quang học&gt; máy quay video")</f>
        <v>Đấu giá&gt; thiết bị điện tử tiêu dùng, AV, máy ảnh&gt; máy ảnh, thiết bị quang học&gt; máy quay video</v>
      </c>
      <c r="G84" s="228" t="str">
        <f t="shared" ca="1" si="3"/>
        <v>"23936" : "máy quay video",</v>
      </c>
      <c r="H84" s="229" t="str">
        <f t="shared" si="4"/>
        <v>&lt;li class="col-md-3"&gt;&lt;a class="text-cut" href="javascript:;"(click)="categoryEvent(23936)"&gt;{{"23936" | translate}}&lt;/a&gt;&lt;/li&gt;</v>
      </c>
    </row>
    <row r="85" spans="1:8" ht="14.25" customHeight="1">
      <c r="A85" s="2">
        <v>23684</v>
      </c>
      <c r="B85" s="2" t="s">
        <v>8451</v>
      </c>
      <c r="C85" s="2" t="s">
        <v>8452</v>
      </c>
      <c r="D85" s="116" t="str">
        <f t="shared" si="5"/>
        <v>0,23632,23636,23684</v>
      </c>
      <c r="E85" s="3" t="str">
        <f ca="1">IFERROR(__xludf.DUMMYFUNCTION("GOOGLETRANSLATE(B85,""ja"",""vi"")"),"ống kính")</f>
        <v>ống kính</v>
      </c>
      <c r="F85" s="3" t="str">
        <f ca="1">IFERROR(__xludf.DUMMYFUNCTION("GOOGLETRANSLATE(C85,""ja"",""vi"")"),"Đấu giá&gt; thiết bị điện tử tiêu dùng, AV, máy ảnh&gt; máy ảnh, thiết bị quang học&gt; ống kính")</f>
        <v>Đấu giá&gt; thiết bị điện tử tiêu dùng, AV, máy ảnh&gt; máy ảnh, thiết bị quang học&gt; ống kính</v>
      </c>
      <c r="G85" s="228" t="str">
        <f t="shared" ca="1" si="3"/>
        <v>"23684" : "ống kính",</v>
      </c>
      <c r="H85" s="229" t="str">
        <f t="shared" si="4"/>
        <v>&lt;li class="col-md-3"&gt;&lt;a class="text-cut" href="javascript:;"(click)="categoryEvent(23684)"&gt;{{"23684" | translate}}&lt;/a&gt;&lt;/li&gt;</v>
      </c>
    </row>
    <row r="86" spans="1:8" ht="14.25" customHeight="1">
      <c r="A86" s="2">
        <v>23720</v>
      </c>
      <c r="B86" s="2" t="s">
        <v>2182</v>
      </c>
      <c r="C86" s="2" t="s">
        <v>8456</v>
      </c>
      <c r="D86" s="116" t="str">
        <f t="shared" si="5"/>
        <v>0,23632,23636,23720</v>
      </c>
      <c r="E86" s="3" t="str">
        <f ca="1">IFERROR(__xludf.DUMMYFUNCTION("GOOGLETRANSLATE(B86,""ja"",""vi"")"),"phụ kiện")</f>
        <v>phụ kiện</v>
      </c>
      <c r="F86" s="3" t="str">
        <f ca="1">IFERROR(__xludf.DUMMYFUNCTION("GOOGLETRANSLATE(C86,""ja"",""vi"")"),"Đấu giá&gt; thiết bị điện tử tiêu dùng, AV, máy ảnh&gt; máy ảnh, thiết bị quang học&gt; Accessories")</f>
        <v>Đấu giá&gt; thiết bị điện tử tiêu dùng, AV, máy ảnh&gt; máy ảnh, thiết bị quang học&gt; Accessories</v>
      </c>
      <c r="G86" s="228" t="str">
        <f t="shared" ca="1" si="3"/>
        <v>"23720" : "phụ kiện",</v>
      </c>
      <c r="H86" s="229" t="str">
        <f t="shared" si="4"/>
        <v>&lt;li class="col-md-3"&gt;&lt;a class="text-cut" href="javascript:;"(click)="categoryEvent(23720)"&gt;{{"23720" | translate}}&lt;/a&gt;&lt;/li&gt;</v>
      </c>
    </row>
    <row r="87" spans="1:8" ht="14.25" customHeight="1">
      <c r="A87" s="2">
        <v>2084039469</v>
      </c>
      <c r="B87" s="2" t="s">
        <v>8460</v>
      </c>
      <c r="C87" s="2" t="s">
        <v>8462</v>
      </c>
      <c r="D87" s="116" t="str">
        <f t="shared" si="5"/>
        <v>0,23632,23636,2084039469</v>
      </c>
      <c r="E87" s="3" t="str">
        <f ca="1">IFERROR(__xludf.DUMMYFUNCTION("GOOGLETRANSLATE(B87,""ja"",""vi"")"),"bộ nhớ ghi âm")</f>
        <v>bộ nhớ ghi âm</v>
      </c>
      <c r="F87" s="3" t="str">
        <f ca="1">IFERROR(__xludf.DUMMYFUNCTION("GOOGLETRANSLATE(C87,""ja"",""vi"")"),"Đấu giá&gt; thiết bị điện tử tiêu dùng, AV, máy ảnh&gt; máy ảnh, dụng cụ quang học&gt; ghi nhớ")</f>
        <v>Đấu giá&gt; thiết bị điện tử tiêu dùng, AV, máy ảnh&gt; máy ảnh, dụng cụ quang học&gt; ghi nhớ</v>
      </c>
      <c r="G87" s="228" t="str">
        <f t="shared" ca="1" si="3"/>
        <v>"2084039469" : "bộ nhớ ghi âm",</v>
      </c>
      <c r="H87" s="229" t="str">
        <f t="shared" si="4"/>
        <v>&lt;li class="col-md-3"&gt;&lt;a class="text-cut" href="javascript:;"(click)="categoryEvent(2084039469)"&gt;{{"2084039469" | translate}}&lt;/a&gt;&lt;/li&gt;</v>
      </c>
    </row>
    <row r="88" spans="1:8" ht="14.25" customHeight="1">
      <c r="A88" s="2">
        <v>2084231456</v>
      </c>
      <c r="B88" s="2" t="s">
        <v>8465</v>
      </c>
      <c r="C88" s="2" t="s">
        <v>8466</v>
      </c>
      <c r="D88" s="116" t="str">
        <f t="shared" si="5"/>
        <v>0,23632,23636,2084231456</v>
      </c>
      <c r="E88" s="3" t="str">
        <f ca="1">IFERROR(__xludf.DUMMYFUNCTION("GOOGLETRANSLATE(B88,""ja"",""vi"")"),"Ảnh kỹ thuật số Khung")</f>
        <v>Ảnh kỹ thuật số Khung</v>
      </c>
      <c r="F88" s="3" t="str">
        <f ca="1">IFERROR(__xludf.DUMMYFUNCTION("GOOGLETRANSLATE(C88,""ja"",""vi"")"),"Đấu giá&gt; đồ gia dụng, AV, máy ảnh&gt; máy ảnh, thiết bị quang học&gt; khung ảnh kỹ thuật số")</f>
        <v>Đấu giá&gt; đồ gia dụng, AV, máy ảnh&gt; máy ảnh, thiết bị quang học&gt; khung ảnh kỹ thuật số</v>
      </c>
      <c r="G88" s="228" t="str">
        <f t="shared" ca="1" si="3"/>
        <v>"2084231456" : "Ảnh kỹ thuật số Khung",</v>
      </c>
      <c r="H88" s="229" t="str">
        <f t="shared" si="4"/>
        <v>&lt;li class="col-md-3"&gt;&lt;a class="text-cut" href="javascript:;"(click)="categoryEvent(2084231456)"&gt;{{"2084231456" | translate}}&lt;/a&gt;&lt;/li&gt;</v>
      </c>
    </row>
    <row r="89" spans="1:8" ht="14.25" customHeight="1">
      <c r="A89" s="2">
        <v>23664</v>
      </c>
      <c r="B89" s="2" t="s">
        <v>8469</v>
      </c>
      <c r="C89" s="2" t="s">
        <v>8470</v>
      </c>
      <c r="D89" s="116" t="str">
        <f t="shared" si="5"/>
        <v>0,23632,23636,23664</v>
      </c>
      <c r="E89" s="3" t="str">
        <f ca="1">IFERROR(__xludf.DUMMYFUNCTION("GOOGLETRANSLATE(B89,""ja"",""vi"")"),"phim ảnh")</f>
        <v>phim ảnh</v>
      </c>
      <c r="F89" s="3" t="str">
        <f ca="1">IFERROR(__xludf.DUMMYFUNCTION("GOOGLETRANSLATE(C89,""ja"",""vi"")"),"Đấu giá&gt; thiết bị điện tử tiêu dùng, AV, máy ảnh&gt; máy ảnh, thiết bị quang học&gt; phim")</f>
        <v>Đấu giá&gt; thiết bị điện tử tiêu dùng, AV, máy ảnh&gt; máy ảnh, thiết bị quang học&gt; phim</v>
      </c>
      <c r="G89" s="228" t="str">
        <f t="shared" ca="1" si="3"/>
        <v>"23664" : "phim ảnh",</v>
      </c>
      <c r="H89" s="229" t="str">
        <f t="shared" si="4"/>
        <v>&lt;li class="col-md-3"&gt;&lt;a class="text-cut" href="javascript:;"(click)="categoryEvent(23664)"&gt;{{"23664" | translate}}&lt;/a&gt;&lt;/li&gt;</v>
      </c>
    </row>
    <row r="90" spans="1:8" ht="14.25" customHeight="1">
      <c r="A90" s="2">
        <v>2084052265</v>
      </c>
      <c r="B90" s="2" t="s">
        <v>8473</v>
      </c>
      <c r="C90" s="2" t="s">
        <v>8474</v>
      </c>
      <c r="D90" s="116" t="str">
        <f t="shared" si="5"/>
        <v>0,23632,23636,2084052265</v>
      </c>
      <c r="E90" s="3" t="str">
        <f ca="1">IFERROR(__xludf.DUMMYFUNCTION("GOOGLETRANSLATE(B90,""ja"",""vi"")"),"hướng dẫn")</f>
        <v>hướng dẫn</v>
      </c>
      <c r="F90" s="3" t="str">
        <f ca="1">IFERROR(__xludf.DUMMYFUNCTION("GOOGLETRANSLATE(C90,""ja"",""vi"")"),"Đấu giá&gt; thiết bị điện tử tiêu dùng, AV, máy ảnh&gt; máy ảnh, thiết bị quang học&gt; Hướng dẫn")</f>
        <v>Đấu giá&gt; thiết bị điện tử tiêu dùng, AV, máy ảnh&gt; máy ảnh, thiết bị quang học&gt; Hướng dẫn</v>
      </c>
      <c r="G90" s="228" t="str">
        <f t="shared" ca="1" si="3"/>
        <v>"2084052265" : "hướng dẫn",</v>
      </c>
      <c r="H90" s="229" t="str">
        <f t="shared" si="4"/>
        <v>&lt;li class="col-md-3"&gt;&lt;a class="text-cut" href="javascript:;"(click)="categoryEvent(2084052265)"&gt;{{"2084052265" | translate}}&lt;/a&gt;&lt;/li&gt;</v>
      </c>
    </row>
    <row r="91" spans="1:8" ht="14.25" customHeight="1">
      <c r="A91" s="2">
        <v>2084313032</v>
      </c>
      <c r="B91" s="2" t="s">
        <v>8478</v>
      </c>
      <c r="C91" s="2" t="s">
        <v>8480</v>
      </c>
      <c r="D91" s="116" t="str">
        <f t="shared" si="5"/>
        <v>0,23632,23636,2084313032</v>
      </c>
      <c r="E91" s="3" t="str">
        <f ca="1">IFERROR(__xludf.DUMMYFUNCTION("GOOGLETRANSLATE(B91,""ja"",""vi"")"),"mục lục")</f>
        <v>mục lục</v>
      </c>
      <c r="F91" s="3" t="str">
        <f ca="1">IFERROR(__xludf.DUMMYFUNCTION("GOOGLETRANSLATE(C91,""ja"",""vi"")"),"Đấu giá&gt; thiết bị điện tử tiêu dùng, AV, máy ảnh&gt; máy ảnh, thiết bị quang học&gt; Catalogue")</f>
        <v>Đấu giá&gt; thiết bị điện tử tiêu dùng, AV, máy ảnh&gt; máy ảnh, thiết bị quang học&gt; Catalogue</v>
      </c>
      <c r="G91" s="228" t="str">
        <f t="shared" ca="1" si="3"/>
        <v>"2084313032" : "mục lục",</v>
      </c>
      <c r="H91" s="229" t="str">
        <f t="shared" si="4"/>
        <v>&lt;li class="col-md-3"&gt;&lt;a class="text-cut" href="javascript:;"(click)="categoryEvent(2084313032)"&gt;{{"2084313032" | translate}}&lt;/a&gt;&lt;/li&gt;</v>
      </c>
    </row>
    <row r="92" spans="1:8" ht="14.25" customHeight="1">
      <c r="A92" s="2">
        <v>2084045044</v>
      </c>
      <c r="B92" s="2" t="s">
        <v>8484</v>
      </c>
      <c r="C92" s="2" t="s">
        <v>8485</v>
      </c>
      <c r="D92" s="116" t="str">
        <f t="shared" si="5"/>
        <v>0,23632,23636,2084045044</v>
      </c>
      <c r="E92" s="3" t="str">
        <f ca="1">IFERROR(__xludf.DUMMYFUNCTION("GOOGLETRANSLATE(B92,""ja"",""vi"")"),"Kính hiển vi")</f>
        <v>Kính hiển vi</v>
      </c>
      <c r="F92" s="3" t="str">
        <f ca="1">IFERROR(__xludf.DUMMYFUNCTION("GOOGLETRANSLATE(C92,""ja"",""vi"")"),"Đấu giá&gt; thiết bị điện tử tiêu dùng, AV, máy ảnh&gt; máy ảnh, thiết bị quang học&gt; kính hiển vi")</f>
        <v>Đấu giá&gt; thiết bị điện tử tiêu dùng, AV, máy ảnh&gt; máy ảnh, thiết bị quang học&gt; kính hiển vi</v>
      </c>
      <c r="G92" s="228" t="str">
        <f t="shared" ca="1" si="3"/>
        <v>"2084045044" : "Kính hiển vi",</v>
      </c>
      <c r="H92" s="229" t="str">
        <f t="shared" si="4"/>
        <v>&lt;li class="col-md-3"&gt;&lt;a class="text-cut" href="javascript:;"(click)="categoryEvent(2084045044)"&gt;{{"2084045044" | translate}}&lt;/a&gt;&lt;/li&gt;</v>
      </c>
    </row>
    <row r="93" spans="1:8" ht="14.25" customHeight="1">
      <c r="A93" s="2">
        <v>2084045042</v>
      </c>
      <c r="B93" s="2" t="s">
        <v>6800</v>
      </c>
      <c r="C93" s="2" t="s">
        <v>8488</v>
      </c>
      <c r="D93" s="116" t="str">
        <f t="shared" si="5"/>
        <v>0,23632,23636,2084045042</v>
      </c>
      <c r="E93" s="3" t="str">
        <f ca="1">IFERROR(__xludf.DUMMYFUNCTION("GOOGLETRANSLATE(B93,""ja"",""vi"")"),"ống dòm")</f>
        <v>ống dòm</v>
      </c>
      <c r="F93" s="3" t="str">
        <f ca="1">IFERROR(__xludf.DUMMYFUNCTION("GOOGLETRANSLATE(C93,""ja"",""vi"")"),"Đấu giá&gt; thiết bị điện tử tiêu dùng, AV, máy ảnh&gt; máy ảnh, thiết bị quang học&gt; ống nhòm")</f>
        <v>Đấu giá&gt; thiết bị điện tử tiêu dùng, AV, máy ảnh&gt; máy ảnh, thiết bị quang học&gt; ống nhòm</v>
      </c>
      <c r="G93" s="228" t="str">
        <f t="shared" ca="1" si="3"/>
        <v>"2084045042" : "ống dòm",</v>
      </c>
      <c r="H93" s="229" t="str">
        <f t="shared" si="4"/>
        <v>&lt;li class="col-md-3"&gt;&lt;a class="text-cut" href="javascript:;"(click)="categoryEvent(2084045042)"&gt;{{"2084045042" | translate}}&lt;/a&gt;&lt;/li&gt;</v>
      </c>
    </row>
    <row r="94" spans="1:8" ht="14.25" customHeight="1">
      <c r="A94" s="2">
        <v>2084263454</v>
      </c>
      <c r="B94" s="2" t="s">
        <v>8491</v>
      </c>
      <c r="C94" s="2" t="s">
        <v>8492</v>
      </c>
      <c r="D94" s="116" t="str">
        <f t="shared" si="5"/>
        <v>0,23632,23636,2084263454</v>
      </c>
      <c r="E94" s="3" t="str">
        <f ca="1">IFERROR(__xludf.DUMMYFUNCTION("GOOGLETRANSLATE(B94,""ja"",""vi"")"),"ống dòm")</f>
        <v>ống dòm</v>
      </c>
      <c r="F94" s="3" t="str">
        <f ca="1">IFERROR(__xludf.DUMMYFUNCTION("GOOGLETRANSLATE(C94,""ja"",""vi"")"),"Đấu giá&gt; thiết bị điện tử tiêu dùng, AV, máy ảnh&gt; máy ảnh, thiết bị quang học&gt; kính opera")</f>
        <v>Đấu giá&gt; thiết bị điện tử tiêu dùng, AV, máy ảnh&gt; máy ảnh, thiết bị quang học&gt; kính opera</v>
      </c>
      <c r="G94" s="228" t="str">
        <f t="shared" ca="1" si="3"/>
        <v>"2084263454" : "ống dòm",</v>
      </c>
      <c r="H94" s="229" t="str">
        <f t="shared" si="4"/>
        <v>&lt;li class="col-md-3"&gt;&lt;a class="text-cut" href="javascript:;"(click)="categoryEvent(2084263454)"&gt;{{"2084263454" | translate}}&lt;/a&gt;&lt;/li&gt;</v>
      </c>
    </row>
    <row r="95" spans="1:8" ht="14.25" customHeight="1">
      <c r="A95" s="2">
        <v>2084263446</v>
      </c>
      <c r="B95" s="2" t="s">
        <v>8494</v>
      </c>
      <c r="C95" s="2" t="s">
        <v>8495</v>
      </c>
      <c r="D95" s="116" t="str">
        <f t="shared" si="5"/>
        <v>0,23632,23636,2084263446</v>
      </c>
      <c r="E95" s="3" t="str">
        <f ca="1">IFERROR(__xludf.DUMMYFUNCTION("GOOGLETRANSLATE(B95,""ja"",""vi"")"),"kiến một mắt")</f>
        <v>kiến một mắt</v>
      </c>
      <c r="F95" s="3" t="str">
        <f ca="1">IFERROR(__xludf.DUMMYFUNCTION("GOOGLETRANSLATE(C95,""ja"",""vi"")"),"Đấu giá&gt; thiết bị điện tử tiêu dùng, AV, máy ảnh&gt; máy ảnh, thiết bị quang học&gt; mắt kiếng")</f>
        <v>Đấu giá&gt; thiết bị điện tử tiêu dùng, AV, máy ảnh&gt; máy ảnh, thiết bị quang học&gt; mắt kiếng</v>
      </c>
      <c r="G95" s="228" t="str">
        <f t="shared" ca="1" si="3"/>
        <v>"2084263446" : "kiến một mắt",</v>
      </c>
      <c r="H95" s="229" t="str">
        <f t="shared" si="4"/>
        <v>&lt;li class="col-md-3"&gt;&lt;a class="text-cut" href="javascript:;"(click)="categoryEvent(2084263446)"&gt;{{"2084263446" | translate}}&lt;/a&gt;&lt;/li&gt;</v>
      </c>
    </row>
    <row r="96" spans="1:8" ht="14.25" customHeight="1">
      <c r="A96" s="2">
        <v>2084316145</v>
      </c>
      <c r="B96" s="2" t="s">
        <v>7210</v>
      </c>
      <c r="C96" s="2" t="s">
        <v>8500</v>
      </c>
      <c r="D96" s="116" t="str">
        <f t="shared" si="5"/>
        <v>0,23632,23636,2084316145</v>
      </c>
      <c r="E96" s="3" t="str">
        <f ca="1">IFERROR(__xludf.DUMMYFUNCTION("GOOGLETRANSLATE(B96,""ja"",""vi"")"),"rút ra")</f>
        <v>rút ra</v>
      </c>
      <c r="F96" s="3" t="str">
        <f ca="1">IFERROR(__xludf.DUMMYFUNCTION("GOOGLETRANSLATE(C96,""ja"",""vi"")"),"Đấu giá&gt; thiết bị điện tử tiêu dùng, AV, máy ảnh&gt; máy ảnh, thiết bị quang học&gt; bay không người lái")</f>
        <v>Đấu giá&gt; thiết bị điện tử tiêu dùng, AV, máy ảnh&gt; máy ảnh, thiết bị quang học&gt; bay không người lái</v>
      </c>
      <c r="G96" s="228" t="str">
        <f t="shared" ca="1" si="3"/>
        <v>"2084316145" : "rút ra",</v>
      </c>
      <c r="H96" s="229" t="str">
        <f t="shared" si="4"/>
        <v>&lt;li class="col-md-3"&gt;&lt;a class="text-cut" href="javascript:;"(click)="categoryEvent(2084316145)"&gt;{{"2084316145" | translate}}&lt;/a&gt;&lt;/li&gt;</v>
      </c>
    </row>
    <row r="97" spans="1:8" ht="14.25" customHeight="1">
      <c r="A97" s="2">
        <v>2084045043</v>
      </c>
      <c r="B97" s="2" t="s">
        <v>8503</v>
      </c>
      <c r="C97" s="2" t="s">
        <v>8505</v>
      </c>
      <c r="D97" s="116" t="str">
        <f t="shared" si="5"/>
        <v>0,23632,23636,2084045043</v>
      </c>
      <c r="E97" s="3" t="str">
        <f ca="1">IFERROR(__xludf.DUMMYFUNCTION("GOOGLETRANSLATE(B97,""ja"",""vi"")"),"kính viễn vọng")</f>
        <v>kính viễn vọng</v>
      </c>
      <c r="F97" s="3" t="str">
        <f ca="1">IFERROR(__xludf.DUMMYFUNCTION("GOOGLETRANSLATE(C97,""ja"",""vi"")"),"Đấu giá&gt; thiết bị điện tử tiêu dùng, AV, máy ảnh&gt; máy ảnh, thiết bị quang học&gt; kính thiên văn")</f>
        <v>Đấu giá&gt; thiết bị điện tử tiêu dùng, AV, máy ảnh&gt; máy ảnh, thiết bị quang học&gt; kính thiên văn</v>
      </c>
      <c r="G97" s="228" t="str">
        <f t="shared" ca="1" si="3"/>
        <v>"2084045043" : "kính viễn vọng",</v>
      </c>
      <c r="H97" s="229" t="str">
        <f t="shared" si="4"/>
        <v>&lt;li class="col-md-3"&gt;&lt;a class="text-cut" href="javascript:;"(click)="categoryEvent(2084045043)"&gt;{{"2084045043" | translate}}&lt;/a&gt;&lt;/li&gt;</v>
      </c>
    </row>
    <row r="98" spans="1:8" ht="14.25" customHeight="1">
      <c r="A98" s="2">
        <v>2084009064</v>
      </c>
      <c r="B98" s="2" t="s">
        <v>5274</v>
      </c>
      <c r="C98" s="2" t="s">
        <v>8508</v>
      </c>
      <c r="D98" s="116" t="str">
        <f t="shared" si="5"/>
        <v>0,23632,23636,2084009064</v>
      </c>
      <c r="E98" s="3" t="str">
        <f ca="1">IFERROR(__xludf.DUMMYFUNCTION("GOOGLETRANSLATE(B98,""ja"",""vi"")"),"điều này")</f>
        <v>điều này</v>
      </c>
      <c r="F98" s="3" t="str">
        <f ca="1">IFERROR(__xludf.DUMMYFUNCTION("GOOGLETRANSLATE(C98,""ja"",""vi"")"),"Đấu giá&gt; thiết bị điện tử tiêu dùng, AV, máy ảnh&gt; máy ảnh, thiết bị quang học&gt; này")</f>
        <v>Đấu giá&gt; thiết bị điện tử tiêu dùng, AV, máy ảnh&gt; máy ảnh, thiết bị quang học&gt; này</v>
      </c>
      <c r="G98" s="228" t="str">
        <f t="shared" ca="1" si="3"/>
        <v>"2084009064" : "điều này",</v>
      </c>
      <c r="H98" s="229" t="str">
        <f t="shared" si="4"/>
        <v>&lt;li class="col-md-3"&gt;&lt;a class="text-cut" href="javascript:;"(click)="categoryEvent(2084009064)"&gt;{{"2084009064" | translate}}&lt;/a&gt;&lt;/li&gt;</v>
      </c>
    </row>
    <row r="99" spans="1:8" ht="14.25" customHeight="1">
      <c r="A99" s="2">
        <v>2084307731</v>
      </c>
      <c r="B99" s="2" t="s">
        <v>8512</v>
      </c>
      <c r="C99" s="2" t="s">
        <v>8513</v>
      </c>
      <c r="D99" s="116" t="str">
        <f t="shared" si="5"/>
        <v>0,23632,23636,2084307731</v>
      </c>
      <c r="E99" s="3" t="str">
        <f ca="1">IFERROR(__xludf.DUMMYFUNCTION("GOOGLETRANSLATE(B99,""ja"",""vi"")"),"sản phẩm nhiếp ảnh")</f>
        <v>sản phẩm nhiếp ảnh</v>
      </c>
      <c r="F99" s="3" t="str">
        <f ca="1">IFERROR(__xludf.DUMMYFUNCTION("GOOGLETRANSLATE(C99,""ja"",""vi"")"),"Đấu giá&gt; thiết bị điện tử tiêu dùng, AV, máy ảnh&gt; máy ảnh, thiết bị quang học&gt; Sản phẩm nhiếp ảnh")</f>
        <v>Đấu giá&gt; thiết bị điện tử tiêu dùng, AV, máy ảnh&gt; máy ảnh, thiết bị quang học&gt; Sản phẩm nhiếp ảnh</v>
      </c>
      <c r="G99" s="228" t="str">
        <f t="shared" ca="1" si="3"/>
        <v>"2084307731" : "sản phẩm nhiếp ảnh",</v>
      </c>
      <c r="H99" s="229" t="str">
        <f t="shared" si="4"/>
        <v>&lt;li class="col-md-3"&gt;&lt;a class="text-cut" href="javascript:;"(click)="categoryEvent(2084307731)"&gt;{{"2084307731" | translate}}&lt;/a&gt;&lt;/li&gt;</v>
      </c>
    </row>
    <row r="100" spans="1:8" ht="14.25" customHeight="1">
      <c r="A100" s="2">
        <v>2084307785</v>
      </c>
      <c r="B100" s="2" t="s">
        <v>8515</v>
      </c>
      <c r="C100" s="2" t="s">
        <v>8516</v>
      </c>
      <c r="D100" s="116" t="str">
        <f t="shared" si="5"/>
        <v>0,23632,23636,2084307785</v>
      </c>
      <c r="E100" s="3" t="str">
        <f ca="1">IFERROR(__xludf.DUMMYFUNCTION("GOOGLETRANSLATE(B100,""ja"",""vi"")"),"cho thuê máy ảnh")</f>
        <v>cho thuê máy ảnh</v>
      </c>
      <c r="F100" s="3" t="str">
        <f ca="1">IFERROR(__xludf.DUMMYFUNCTION("GOOGLETRANSLATE(C100,""ja"",""vi"")"),"Đấu giá&gt; thiết bị điện tử tiêu dùng, AV, máy ảnh&gt; máy ảnh, thiết bị quang học&gt; cho thuê máy ảnh")</f>
        <v>Đấu giá&gt; thiết bị điện tử tiêu dùng, AV, máy ảnh&gt; máy ảnh, thiết bị quang học&gt; cho thuê máy ảnh</v>
      </c>
      <c r="G100" s="228" t="str">
        <f t="shared" ca="1" si="3"/>
        <v>"2084307785" : "cho thuê máy ảnh",</v>
      </c>
      <c r="H100" s="229" t="str">
        <f t="shared" si="4"/>
        <v>&lt;li class="col-md-3"&gt;&lt;a class="text-cut" href="javascript:;"(click)="categoryEvent(2084307785)"&gt;{{"2084307785" | translate}}&lt;/a&gt;&lt;/li&gt;</v>
      </c>
    </row>
    <row r="101" spans="1:8" ht="14.25" customHeight="1">
      <c r="E101" s="3"/>
      <c r="F101" s="3"/>
      <c r="G101" s="228"/>
      <c r="H101" s="229"/>
    </row>
    <row r="102" spans="1:8" ht="14.25" customHeight="1">
      <c r="E102" s="3"/>
      <c r="F102" s="3"/>
      <c r="G102" s="228"/>
      <c r="H102" s="229"/>
    </row>
    <row r="103" spans="1:8" ht="14.25" customHeight="1">
      <c r="A103" s="306">
        <v>23960</v>
      </c>
      <c r="B103" s="232"/>
      <c r="C103" s="232"/>
      <c r="D103" s="233"/>
      <c r="E103" s="3"/>
      <c r="F103" s="3"/>
      <c r="G103" s="228"/>
      <c r="H103" s="229"/>
    </row>
    <row r="104" spans="1:8" ht="14.25" customHeight="1">
      <c r="A104" s="2">
        <v>2084298965</v>
      </c>
      <c r="B104" s="2" t="s">
        <v>8524</v>
      </c>
      <c r="C104" s="2" t="s">
        <v>8525</v>
      </c>
      <c r="D104" s="116" t="str">
        <f t="shared" ref="D104:D113" si="6">CONCATENATE("0,","23632,23960,",A104)</f>
        <v>0,23632,23960,2084298965</v>
      </c>
      <c r="E104" s="3" t="str">
        <f ca="1">IFERROR(__xludf.DUMMYFUNCTION("GOOGLETRANSLATE(B104,""ja"",""vi"")"),"Điện thoại thông minh cơ thể")</f>
        <v>Điện thoại thông minh cơ thể</v>
      </c>
      <c r="F104" s="3" t="str">
        <f ca="1">IFERROR(__xludf.DUMMYFUNCTION("GOOGLETRANSLATE(C104,""ja"",""vi"")"),"Đấu giá&gt; thiết bị điện tử tiêu dùng, AV, camera&gt; điện thoại di động, điện thoại thông minh&gt; Smartphone cơ thể")</f>
        <v>Đấu giá&gt; thiết bị điện tử tiêu dùng, AV, camera&gt; điện thoại di động, điện thoại thông minh&gt; Smartphone cơ thể</v>
      </c>
      <c r="G104" s="228" t="str">
        <f t="shared" ca="1" si="3"/>
        <v>"2084298965" : "Điện thoại thông minh cơ thể",</v>
      </c>
      <c r="H104" s="229" t="str">
        <f t="shared" si="4"/>
        <v>&lt;li class="col-md-3"&gt;&lt;a class="text-cut" href="javascript:;"(click)="categoryEvent(2084298965)"&gt;{{"2084298965" | translate}}&lt;/a&gt;&lt;/li&gt;</v>
      </c>
    </row>
    <row r="105" spans="1:8" ht="14.25" customHeight="1">
      <c r="A105" s="2">
        <v>2084316075</v>
      </c>
      <c r="B105" s="2" t="s">
        <v>3571</v>
      </c>
      <c r="C105" s="2" t="s">
        <v>8532</v>
      </c>
      <c r="D105" s="116" t="str">
        <f t="shared" si="6"/>
        <v>0,23632,23960,2084316075</v>
      </c>
      <c r="E105" s="3" t="str">
        <f ca="1">IFERROR(__xludf.DUMMYFUNCTION("GOOGLETRANSLATE(B105,""ja"",""vi"")"),"cơ thể đồng hồ thông minh")</f>
        <v>cơ thể đồng hồ thông minh</v>
      </c>
      <c r="F105" s="3" t="str">
        <f ca="1">IFERROR(__xludf.DUMMYFUNCTION("GOOGLETRANSLATE(C105,""ja"",""vi"")"),"Đấu giá&gt; thiết bị điện tử tiêu dùng, AV, camera&gt; điện thoại di động, điện thoại thông minh&gt; cơ thể đồng hồ thông minh")</f>
        <v>Đấu giá&gt; thiết bị điện tử tiêu dùng, AV, camera&gt; điện thoại di động, điện thoại thông minh&gt; cơ thể đồng hồ thông minh</v>
      </c>
      <c r="G105" s="228" t="str">
        <f t="shared" ca="1" si="3"/>
        <v>"2084316075" : "cơ thể đồng hồ thông minh",</v>
      </c>
      <c r="H105" s="229" t="str">
        <f t="shared" si="4"/>
        <v>&lt;li class="col-md-3"&gt;&lt;a class="text-cut" href="javascript:;"(click)="categoryEvent(2084316075)"&gt;{{"2084316075" | translate}}&lt;/a&gt;&lt;/li&gt;</v>
      </c>
    </row>
    <row r="106" spans="1:8" ht="14.25" customHeight="1">
      <c r="A106" s="2">
        <v>2084005067</v>
      </c>
      <c r="B106" s="2" t="s">
        <v>8537</v>
      </c>
      <c r="C106" s="2" t="s">
        <v>8540</v>
      </c>
      <c r="D106" s="116" t="str">
        <f t="shared" si="6"/>
        <v>0,23632,23960,2084005067</v>
      </c>
      <c r="E106" s="3" t="str">
        <f ca="1">IFERROR(__xludf.DUMMYFUNCTION("GOOGLETRANSLATE(B106,""ja"",""vi"")"),"cơ thể điện thoại di động")</f>
        <v>cơ thể điện thoại di động</v>
      </c>
      <c r="F106" s="3" t="str">
        <f ca="1">IFERROR(__xludf.DUMMYFUNCTION("GOOGLETRANSLATE(C106,""ja"",""vi"")"),"Đấu giá&gt; thiết bị điện tử tiêu dùng, AV, camera&gt; điện thoại di động, điện thoại thông minh&gt; đơn vị điện thoại di động")</f>
        <v>Đấu giá&gt; thiết bị điện tử tiêu dùng, AV, camera&gt; điện thoại di động, điện thoại thông minh&gt; đơn vị điện thoại di động</v>
      </c>
      <c r="G106" s="228" t="str">
        <f t="shared" ca="1" si="3"/>
        <v>"2084005067" : "cơ thể điện thoại di động",</v>
      </c>
      <c r="H106" s="229" t="str">
        <f t="shared" si="4"/>
        <v>&lt;li class="col-md-3"&gt;&lt;a class="text-cut" href="javascript:;"(click)="categoryEvent(2084005067)"&gt;{{"2084005067" | translate}}&lt;/a&gt;&lt;/li&gt;</v>
      </c>
    </row>
    <row r="107" spans="1:8" ht="14.25" customHeight="1">
      <c r="A107" s="2">
        <v>2084005068</v>
      </c>
      <c r="B107" s="2" t="s">
        <v>8543</v>
      </c>
      <c r="C107" s="2" t="s">
        <v>8545</v>
      </c>
      <c r="D107" s="116" t="str">
        <f t="shared" si="6"/>
        <v>0,23632,23960,2084005068</v>
      </c>
      <c r="E107" s="3" t="str">
        <f ca="1">IFERROR(__xludf.DUMMYFUNCTION("GOOGLETRANSLATE(B107,""ja"",""vi"")"),"PHS cơ thể")</f>
        <v>PHS cơ thể</v>
      </c>
      <c r="F107" s="3" t="str">
        <f ca="1">IFERROR(__xludf.DUMMYFUNCTION("GOOGLETRANSLATE(C107,""ja"",""vi"")"),"Đấu giá&gt; thiết bị điện tử tiêu dùng, AV, camera&gt; điện thoại di động, điện thoại thông minh&gt; PHS cơ thể")</f>
        <v>Đấu giá&gt; thiết bị điện tử tiêu dùng, AV, camera&gt; điện thoại di động, điện thoại thông minh&gt; PHS cơ thể</v>
      </c>
      <c r="G107" s="228" t="str">
        <f t="shared" ca="1" si="3"/>
        <v>"2084005068" : "PHS cơ thể",</v>
      </c>
      <c r="H107" s="229" t="str">
        <f t="shared" si="4"/>
        <v>&lt;li class="col-md-3"&gt;&lt;a class="text-cut" href="javascript:;"(click)="categoryEvent(2084005068)"&gt;{{"2084005068" | translate}}&lt;/a&gt;&lt;/li&gt;</v>
      </c>
    </row>
    <row r="108" spans="1:8" ht="14.25" customHeight="1">
      <c r="A108" s="2">
        <v>2084005063</v>
      </c>
      <c r="B108" s="2" t="s">
        <v>7370</v>
      </c>
      <c r="C108" s="2" t="s">
        <v>8547</v>
      </c>
      <c r="D108" s="116" t="str">
        <f t="shared" si="6"/>
        <v>0,23632,23960,2084005063</v>
      </c>
      <c r="E108" s="3" t="str">
        <f ca="1">IFERROR(__xludf.DUMMYFUNCTION("GOOGLETRANSLATE(B108,""ja"",""vi"")"),"Pin, sạc")</f>
        <v>Pin, sạc</v>
      </c>
      <c r="F108" s="3" t="str">
        <f ca="1">IFERROR(__xludf.DUMMYFUNCTION("GOOGLETRANSLATE(C108,""ja"",""vi"")"),"Đấu giá&gt; thiết bị điện tử tiêu dùng, AV, camera&gt; điện thoại di động, điện thoại thông minh&gt; pin, sạc")</f>
        <v>Đấu giá&gt; thiết bị điện tử tiêu dùng, AV, camera&gt; điện thoại di động, điện thoại thông minh&gt; pin, sạc</v>
      </c>
      <c r="G108" s="228" t="str">
        <f t="shared" ca="1" si="3"/>
        <v>"2084005063" : "Pin, sạc",</v>
      </c>
      <c r="H108" s="229" t="str">
        <f t="shared" si="4"/>
        <v>&lt;li class="col-md-3"&gt;&lt;a class="text-cut" href="javascript:;"(click)="categoryEvent(2084005063)"&gt;{{"2084005063" | translate}}&lt;/a&gt;&lt;/li&gt;</v>
      </c>
    </row>
    <row r="109" spans="1:8" ht="14.25" customHeight="1">
      <c r="A109" s="2">
        <v>2084005061</v>
      </c>
      <c r="B109" s="2" t="s">
        <v>2182</v>
      </c>
      <c r="C109" s="2" t="s">
        <v>8551</v>
      </c>
      <c r="D109" s="116" t="str">
        <f t="shared" si="6"/>
        <v>0,23632,23960,2084005061</v>
      </c>
      <c r="E109" s="3" t="str">
        <f ca="1">IFERROR(__xludf.DUMMYFUNCTION("GOOGLETRANSLATE(B109,""ja"",""vi"")"),"phụ kiện")</f>
        <v>phụ kiện</v>
      </c>
      <c r="F109" s="3" t="str">
        <f ca="1">IFERROR(__xludf.DUMMYFUNCTION("GOOGLETRANSLATE(C109,""ja"",""vi"")"),"Đấu giá&gt; thiết bị điện tử tiêu dùng, AV, camera&gt; điện thoại di động, điện thoại thông minh&gt; Accessories")</f>
        <v>Đấu giá&gt; thiết bị điện tử tiêu dùng, AV, camera&gt; điện thoại di động, điện thoại thông minh&gt; Accessories</v>
      </c>
      <c r="G109" s="228" t="str">
        <f t="shared" ca="1" si="3"/>
        <v>"2084005061" : "phụ kiện",</v>
      </c>
      <c r="H109" s="229" t="str">
        <f t="shared" si="4"/>
        <v>&lt;li class="col-md-3"&gt;&lt;a class="text-cut" href="javascript:;"(click)="categoryEvent(2084005061)"&gt;{{"2084005061" | translate}}&lt;/a&gt;&lt;/li&gt;</v>
      </c>
    </row>
    <row r="110" spans="1:8" ht="14.25" customHeight="1">
      <c r="A110" s="2">
        <v>2084008420</v>
      </c>
      <c r="B110" s="2" t="s">
        <v>8553</v>
      </c>
      <c r="C110" s="2" t="s">
        <v>8554</v>
      </c>
      <c r="D110" s="116" t="str">
        <f t="shared" si="6"/>
        <v>0,23632,23960,2084008420</v>
      </c>
      <c r="E110" s="3" t="str">
        <f ca="1">IFERROR(__xludf.DUMMYFUNCTION("GOOGLETRANSLATE(B110,""ja"",""vi"")"),"Mock-up")</f>
        <v>Mock-up</v>
      </c>
      <c r="F110" s="3" t="str">
        <f ca="1">IFERROR(__xludf.DUMMYFUNCTION("GOOGLETRANSLATE(C110,""ja"",""vi"")"),"Đấu giá&gt; thiết bị điện tử tiêu dùng, AV, camera&gt; điện thoại di động, điện thoại thông minh&gt; mock-up")</f>
        <v>Đấu giá&gt; thiết bị điện tử tiêu dùng, AV, camera&gt; điện thoại di động, điện thoại thông minh&gt; mock-up</v>
      </c>
      <c r="G110" s="228" t="str">
        <f t="shared" ca="1" si="3"/>
        <v>"2084008420" : "Mock-up",</v>
      </c>
      <c r="H110" s="229" t="str">
        <f t="shared" si="4"/>
        <v>&lt;li class="col-md-3"&gt;&lt;a class="text-cut" href="javascript:;"(click)="categoryEvent(2084008420)"&gt;{{"2084008420" | translate}}&lt;/a&gt;&lt;/li&gt;</v>
      </c>
    </row>
    <row r="111" spans="1:8" ht="14.25" customHeight="1">
      <c r="A111" s="2">
        <v>2084292086</v>
      </c>
      <c r="B111" s="2" t="s">
        <v>8557</v>
      </c>
      <c r="C111" s="2" t="s">
        <v>8558</v>
      </c>
      <c r="D111" s="116" t="str">
        <f t="shared" si="6"/>
        <v>0,23632,23960,2084292086</v>
      </c>
      <c r="E111" s="3" t="str">
        <f ca="1">IFERROR(__xludf.DUMMYFUNCTION("GOOGLETRANSLATE(B111,""ja"",""vi"")"),"Tablet thiết bị đầu cuối")</f>
        <v>Tablet thiết bị đầu cuối</v>
      </c>
      <c r="F111" s="3" t="str">
        <f ca="1">IFERROR(__xludf.DUMMYFUNCTION("GOOGLETRANSLATE(C111,""ja"",""vi"")"),"Đấu giá&gt; thiết bị điện tử tiêu dùng, AV, camera&gt; điện thoại di động, điện thoại thông minh&gt; Terminal tablet")</f>
        <v>Đấu giá&gt; thiết bị điện tử tiêu dùng, AV, camera&gt; điện thoại di động, điện thoại thông minh&gt; Terminal tablet</v>
      </c>
      <c r="G111" s="228" t="str">
        <f t="shared" ca="1" si="3"/>
        <v>"2084292086" : "Tablet thiết bị đầu cuối",</v>
      </c>
      <c r="H111" s="229" t="str">
        <f t="shared" si="4"/>
        <v>&lt;li class="col-md-3"&gt;&lt;a class="text-cut" href="javascript:;"(click)="categoryEvent(2084292086)"&gt;{{"2084292086" | translate}}&lt;/a&gt;&lt;/li&gt;</v>
      </c>
    </row>
    <row r="112" spans="1:8" ht="14.25" customHeight="1">
      <c r="A112" s="2">
        <v>23804</v>
      </c>
      <c r="B112" s="2" t="s">
        <v>8251</v>
      </c>
      <c r="C112" s="2" t="s">
        <v>8560</v>
      </c>
      <c r="D112" s="116" t="str">
        <f t="shared" si="6"/>
        <v>0,23632,23960,23804</v>
      </c>
      <c r="E112" s="3" t="str">
        <f ca="1">IFERROR(__xludf.DUMMYFUNCTION("GOOGLETRANSLATE(B112,""ja"",""vi"")"),"Tai nghe, tai nghe")</f>
        <v>Tai nghe, tai nghe</v>
      </c>
      <c r="F112" s="3" t="str">
        <f ca="1">IFERROR(__xludf.DUMMYFUNCTION("GOOGLETRANSLATE(C112,""ja"",""vi"")"),"Đấu giá&gt; thiết bị điện tử tiêu dùng, AV, camera&gt; điện thoại di động, điện thoại thông minh&gt; tai nghe, tai nghe")</f>
        <v>Đấu giá&gt; thiết bị điện tử tiêu dùng, AV, camera&gt; điện thoại di động, điện thoại thông minh&gt; tai nghe, tai nghe</v>
      </c>
      <c r="G112" s="228" t="str">
        <f t="shared" ca="1" si="3"/>
        <v>"23804" : "Tai nghe, tai nghe",</v>
      </c>
      <c r="H112" s="229" t="str">
        <f t="shared" si="4"/>
        <v>&lt;li class="col-md-3"&gt;&lt;a class="text-cut" href="javascript:;"(click)="categoryEvent(23804)"&gt;{{"23804" | translate}}&lt;/a&gt;&lt;/li&gt;</v>
      </c>
    </row>
    <row r="113" spans="1:8" ht="14.25" customHeight="1">
      <c r="A113" s="2">
        <v>2084005066</v>
      </c>
      <c r="B113" s="2" t="s">
        <v>16</v>
      </c>
      <c r="C113" s="2" t="s">
        <v>8562</v>
      </c>
      <c r="D113" s="116" t="str">
        <f t="shared" si="6"/>
        <v>0,23632,23960,2084005066</v>
      </c>
      <c r="E113" s="3" t="str">
        <f ca="1">IFERROR(__xludf.DUMMYFUNCTION("GOOGLETRANSLATE(B113,""ja"",""vi"")"),"nếu không thì")</f>
        <v>nếu không thì</v>
      </c>
      <c r="F113" s="3" t="str">
        <f ca="1">IFERROR(__xludf.DUMMYFUNCTION("GOOGLETRANSLATE(C113,""ja"",""vi"")"),"Đấu giá&gt; thiết bị điện tử tiêu dùng, AV, camera&gt; điện thoại di động, điện thoại thông minh&gt; Khác")</f>
        <v>Đấu giá&gt; thiết bị điện tử tiêu dùng, AV, camera&gt; điện thoại di động, điện thoại thông minh&gt; Khác</v>
      </c>
      <c r="G113" s="228" t="str">
        <f t="shared" ca="1" si="3"/>
        <v>"2084005066" : "nếu không thì",</v>
      </c>
      <c r="H113" s="229" t="str">
        <f t="shared" si="4"/>
        <v>&lt;li class="col-md-3"&gt;&lt;a class="text-cut" href="javascript:;"(click)="categoryEvent(2084005066)"&gt;{{"2084005066" | translate}}&lt;/a&gt;&lt;/li&gt;</v>
      </c>
    </row>
    <row r="114" spans="1:8" ht="14.25" customHeight="1">
      <c r="E114" s="3"/>
      <c r="F114" s="3"/>
      <c r="G114" s="228"/>
      <c r="H114" s="229"/>
    </row>
    <row r="115" spans="1:8" ht="14.25" customHeight="1">
      <c r="E115" s="3"/>
      <c r="F115" s="3"/>
      <c r="G115" s="228"/>
      <c r="H115" s="229"/>
    </row>
    <row r="116" spans="1:8" ht="14.25" customHeight="1">
      <c r="A116" s="308">
        <v>2084316074</v>
      </c>
      <c r="B116" s="232"/>
      <c r="C116" s="232"/>
      <c r="D116" s="233"/>
      <c r="E116" s="3"/>
      <c r="F116" s="3"/>
      <c r="G116" s="228"/>
      <c r="H116" s="229"/>
    </row>
    <row r="117" spans="1:8" ht="14.25" customHeight="1">
      <c r="A117" s="2">
        <v>2084316075</v>
      </c>
      <c r="B117" s="2" t="s">
        <v>3571</v>
      </c>
      <c r="C117" s="2" t="s">
        <v>8568</v>
      </c>
      <c r="D117" s="84" t="s">
        <v>8569</v>
      </c>
      <c r="E117" s="3" t="str">
        <f ca="1">IFERROR(__xludf.DUMMYFUNCTION("GOOGLETRANSLATE(B117,""ja"",""vi"")"),"cơ thể đồng hồ thông minh")</f>
        <v>cơ thể đồng hồ thông minh</v>
      </c>
      <c r="F117" s="3" t="str">
        <f ca="1">IFERROR(__xludf.DUMMYFUNCTION("GOOGLETRANSLATE(C117,""ja"",""vi"")"),"Đấu giá&gt; thiết bị điện tử tiêu dùng, AV, camera&gt; đồng hồ thông minh, thiết bị đầu cuối wearable&gt; cơ thể đồng hồ thông minh")</f>
        <v>Đấu giá&gt; thiết bị điện tử tiêu dùng, AV, camera&gt; đồng hồ thông minh, thiết bị đầu cuối wearable&gt; cơ thể đồng hồ thông minh</v>
      </c>
      <c r="G117" s="228" t="str">
        <f t="shared" ca="1" si="3"/>
        <v>"2084316075" : "cơ thể đồng hồ thông minh",</v>
      </c>
      <c r="H117" s="229" t="str">
        <f t="shared" si="4"/>
        <v>&lt;li class="col-md-3"&gt;&lt;a class="text-cut" href="javascript:;"(click)="categoryEvent(2084316075)"&gt;{{"2084316075" | translate}}&lt;/a&gt;&lt;/li&gt;</v>
      </c>
    </row>
    <row r="118" spans="1:8" ht="14.25" customHeight="1">
      <c r="A118" s="2">
        <v>2084316076</v>
      </c>
      <c r="B118" s="2" t="s">
        <v>2182</v>
      </c>
      <c r="C118" s="2" t="s">
        <v>8572</v>
      </c>
      <c r="D118" s="84" t="s">
        <v>8573</v>
      </c>
      <c r="E118" s="3" t="str">
        <f ca="1">IFERROR(__xludf.DUMMYFUNCTION("GOOGLETRANSLATE(B118,""ja"",""vi"")"),"phụ kiện")</f>
        <v>phụ kiện</v>
      </c>
      <c r="F118" s="3" t="str">
        <f ca="1">IFERROR(__xludf.DUMMYFUNCTION("GOOGLETRANSLATE(C118,""ja"",""vi"")"),"Đấu giá&gt; thiết bị điện tử tiêu dùng, AV, camera&gt; đồng hồ thông minh, thiết bị đầu cuối wearable&gt; Accessories")</f>
        <v>Đấu giá&gt; thiết bị điện tử tiêu dùng, AV, camera&gt; đồng hồ thông minh, thiết bị đầu cuối wearable&gt; Accessories</v>
      </c>
      <c r="G118" s="228" t="str">
        <f t="shared" ca="1" si="3"/>
        <v>"2084316076" : "phụ kiện",</v>
      </c>
      <c r="H118" s="229" t="str">
        <f t="shared" si="4"/>
        <v>&lt;li class="col-md-3"&gt;&lt;a class="text-cut" href="javascript:;"(click)="categoryEvent(2084316076)"&gt;{{"2084316076" | translate}}&lt;/a&gt;&lt;/li&gt;</v>
      </c>
    </row>
    <row r="119" spans="1:8" ht="14.25" customHeight="1">
      <c r="A119" s="2">
        <v>2084316077</v>
      </c>
      <c r="B119" s="2" t="s">
        <v>16</v>
      </c>
      <c r="C119" s="2" t="s">
        <v>8576</v>
      </c>
      <c r="D119" s="84" t="s">
        <v>8577</v>
      </c>
      <c r="E119" s="3" t="str">
        <f ca="1">IFERROR(__xludf.DUMMYFUNCTION("GOOGLETRANSLATE(B119,""ja"",""vi"")"),"nếu không thì")</f>
        <v>nếu không thì</v>
      </c>
      <c r="F119" s="3" t="str">
        <f ca="1">IFERROR(__xludf.DUMMYFUNCTION("GOOGLETRANSLATE(C119,""ja"",""vi"")"),"Đấu giá&gt; thiết bị điện tử tiêu dùng, AV, camera&gt; đồng hồ thông minh, thiết bị đầu cuối wearable&gt; Khác")</f>
        <v>Đấu giá&gt; thiết bị điện tử tiêu dùng, AV, camera&gt; đồng hồ thông minh, thiết bị đầu cuối wearable&gt; Khác</v>
      </c>
      <c r="G119" s="228" t="str">
        <f t="shared" ca="1" si="3"/>
        <v>"2084316077" : "nếu không thì",</v>
      </c>
      <c r="H119" s="229" t="str">
        <f t="shared" si="4"/>
        <v>&lt;li class="col-md-3"&gt;&lt;a class="text-cut" href="javascript:;"(click)="categoryEvent(2084316077)"&gt;{{"2084316077" | translate}}&lt;/a&gt;&lt;/li&gt;</v>
      </c>
    </row>
    <row r="120" spans="1:8" ht="14.25" customHeight="1">
      <c r="B120" s="226"/>
      <c r="E120" s="3"/>
      <c r="F120" s="3"/>
      <c r="G120" s="228"/>
      <c r="H120" s="229"/>
    </row>
    <row r="121" spans="1:8" ht="14.25" customHeight="1">
      <c r="E121" s="3"/>
      <c r="F121" s="3"/>
      <c r="G121" s="228"/>
      <c r="H121" s="229"/>
    </row>
    <row r="122" spans="1:8" ht="14.25" customHeight="1">
      <c r="A122" s="307">
        <v>2084008364</v>
      </c>
      <c r="B122" s="232"/>
      <c r="C122" s="232"/>
      <c r="D122" s="233"/>
      <c r="E122" s="3"/>
      <c r="F122" s="3"/>
      <c r="G122" s="228"/>
      <c r="H122" s="229"/>
    </row>
    <row r="123" spans="1:8" ht="14.25" customHeight="1">
      <c r="A123" s="2">
        <v>2084061597</v>
      </c>
      <c r="B123" s="2" t="s">
        <v>2174</v>
      </c>
      <c r="C123" s="89" t="s">
        <v>8587</v>
      </c>
      <c r="D123" s="116" t="str">
        <f t="shared" ref="D123:D145" si="7">CONCATENATE("0,","23632,2084008364,",A123)</f>
        <v>0,23632,2084008364,2084061597</v>
      </c>
      <c r="E123" s="3" t="str">
        <f ca="1">IFERROR(__xludf.DUMMYFUNCTION("GOOGLETRANSLATE(B123,""ja"",""vi"")"),"máy nghiền đá")</f>
        <v>máy nghiền đá</v>
      </c>
      <c r="F123" s="3" t="str">
        <f ca="1">IFERROR(__xludf.DUMMYFUNCTION("GOOGLETRANSLATE(C123,""ja"",""vi"")"),"Đấu giá&gt; thiết bị điện tử tiêu dùng, AV, camera&gt; bếp, bàn ăn&gt; máy nghiền đá")</f>
        <v>Đấu giá&gt; thiết bị điện tử tiêu dùng, AV, camera&gt; bếp, bàn ăn&gt; máy nghiền đá</v>
      </c>
      <c r="G123" s="228" t="str">
        <f t="shared" ca="1" si="3"/>
        <v>"2084061597" : "máy nghiền đá",</v>
      </c>
      <c r="H123" s="229" t="str">
        <f t="shared" si="4"/>
        <v>&lt;li class="col-md-3"&gt;&lt;a class="text-cut" href="javascript:;"(click)="categoryEvent(2084061597)"&gt;{{"2084061597" | translate}}&lt;/a&gt;&lt;/li&gt;</v>
      </c>
    </row>
    <row r="124" spans="1:8" ht="14.25" customHeight="1">
      <c r="A124" s="2">
        <v>2084063525</v>
      </c>
      <c r="B124" s="2" t="s">
        <v>8592</v>
      </c>
      <c r="C124" s="89" t="s">
        <v>8593</v>
      </c>
      <c r="D124" s="116" t="str">
        <f t="shared" si="7"/>
        <v>0,23632,2084008364,2084063525</v>
      </c>
      <c r="E124" s="3" t="str">
        <f ca="1">IFERROR(__xludf.DUMMYFUNCTION("GOOGLETRANSLATE(B124,""ja"",""vi"")"),"Kiềm bộ máy nước ion hóa")</f>
        <v>Kiềm bộ máy nước ion hóa</v>
      </c>
      <c r="F124" s="3" t="str">
        <f ca="1">IFERROR(__xludf.DUMMYFUNCTION("GOOGLETRANSLATE(C124,""ja"",""vi"")"),"Đấu giá&gt; thiết bị điện tử tiêu dùng, AV, camera&gt; bếp, bàn ăn&gt; Thiết bị ion hóa nước kiềm")</f>
        <v>Đấu giá&gt; thiết bị điện tử tiêu dùng, AV, camera&gt; bếp, bàn ăn&gt; Thiết bị ion hóa nước kiềm</v>
      </c>
      <c r="G124" s="228" t="str">
        <f t="shared" ca="1" si="3"/>
        <v>"2084063525" : "Kiềm bộ máy nước ion hóa",</v>
      </c>
      <c r="H124" s="229" t="str">
        <f t="shared" si="4"/>
        <v>&lt;li class="col-md-3"&gt;&lt;a class="text-cut" href="javascript:;"(click)="categoryEvent(2084063525)"&gt;{{"2084063525" | translate}}&lt;/a&gt;&lt;/li&gt;</v>
      </c>
    </row>
    <row r="125" spans="1:8" ht="14.25" customHeight="1">
      <c r="A125" s="2">
        <v>24486</v>
      </c>
      <c r="B125" s="2" t="s">
        <v>8597</v>
      </c>
      <c r="C125" s="89" t="s">
        <v>8599</v>
      </c>
      <c r="D125" s="116" t="str">
        <f t="shared" si="7"/>
        <v>0,23632,2084008364,24486</v>
      </c>
      <c r="E125" s="3" t="str">
        <f ca="1">IFERROR(__xludf.DUMMYFUNCTION("GOOGLETRANSLATE(B125,""ja"",""vi"")"),"lò")</f>
        <v>lò</v>
      </c>
      <c r="F125" s="3" t="str">
        <f ca="1">IFERROR(__xludf.DUMMYFUNCTION("GOOGLETRANSLATE(C125,""ja"",""vi"")"),"Đấu giá&gt; thiết bị điện tử tiêu dùng, AV, camera&gt; bếp, bàn ăn&gt; lò")</f>
        <v>Đấu giá&gt; thiết bị điện tử tiêu dùng, AV, camera&gt; bếp, bàn ăn&gt; lò</v>
      </c>
      <c r="G125" s="228" t="str">
        <f t="shared" ca="1" si="3"/>
        <v>"24486" : "lò",</v>
      </c>
      <c r="H125" s="229" t="str">
        <f t="shared" si="4"/>
        <v>&lt;li class="col-md-3"&gt;&lt;a class="text-cut" href="javascript:;"(click)="categoryEvent(24486)"&gt;{{"24486" | translate}}&lt;/a&gt;&lt;/li&gt;</v>
      </c>
    </row>
    <row r="126" spans="1:8" ht="14.25" customHeight="1">
      <c r="A126" s="2">
        <v>24482</v>
      </c>
      <c r="B126" s="2" t="s">
        <v>8604</v>
      </c>
      <c r="C126" s="89" t="s">
        <v>8605</v>
      </c>
      <c r="D126" s="116" t="str">
        <f t="shared" si="7"/>
        <v>0,23632,2084008364,24482</v>
      </c>
      <c r="E126" s="3" t="str">
        <f ca="1">IFERROR(__xludf.DUMMYFUNCTION("GOOGLETRANSLATE(B126,""ja"",""vi"")"),"máy pha cà phê")</f>
        <v>máy pha cà phê</v>
      </c>
      <c r="F126" s="3" t="str">
        <f ca="1">IFERROR(__xludf.DUMMYFUNCTION("GOOGLETRANSLATE(C126,""ja"",""vi"")"),"Đấu giá&gt; thiết bị điện tử tiêu dùng, AV, camera&gt; bếp, bàn ăn&gt; máy pha cà phê")</f>
        <v>Đấu giá&gt; thiết bị điện tử tiêu dùng, AV, camera&gt; bếp, bàn ăn&gt; máy pha cà phê</v>
      </c>
      <c r="G126" s="228" t="str">
        <f t="shared" ca="1" si="3"/>
        <v>"24482" : "máy pha cà phê",</v>
      </c>
      <c r="H126" s="229" t="str">
        <f t="shared" si="4"/>
        <v>&lt;li class="col-md-3"&gt;&lt;a class="text-cut" href="javascript:;"(click)="categoryEvent(24482)"&gt;{{"24482" | translate}}&lt;/a&gt;&lt;/li&gt;</v>
      </c>
    </row>
    <row r="127" spans="1:8" ht="14.25" customHeight="1">
      <c r="A127" s="2">
        <v>24506</v>
      </c>
      <c r="B127" s="2" t="s">
        <v>8611</v>
      </c>
      <c r="C127" s="89" t="s">
        <v>8613</v>
      </c>
      <c r="D127" s="116" t="str">
        <f t="shared" si="7"/>
        <v>0,23632,2084008364,24506</v>
      </c>
      <c r="E127" s="3" t="str">
        <f ca="1">IFERROR(__xludf.DUMMYFUNCTION("GOOGLETRANSLATE(B127,""ja"",""vi"")"),"Máy ép trái cây, máy trộn")</f>
        <v>Máy ép trái cây, máy trộn</v>
      </c>
      <c r="F127" s="3" t="str">
        <f ca="1">IFERROR(__xludf.DUMMYFUNCTION("GOOGLETRANSLATE(C127,""ja"",""vi"")"),"Đấu giá&gt; thiết bị điện tử tiêu dùng, AV, camera&gt; bếp, bàn ăn&gt; máy ép trái cây, máy trộn")</f>
        <v>Đấu giá&gt; thiết bị điện tử tiêu dùng, AV, camera&gt; bếp, bàn ăn&gt; máy ép trái cây, máy trộn</v>
      </c>
      <c r="G127" s="228" t="str">
        <f t="shared" ca="1" si="3"/>
        <v>"24506" : "Máy ép trái cây, máy trộn",</v>
      </c>
      <c r="H127" s="229" t="str">
        <f t="shared" si="4"/>
        <v>&lt;li class="col-md-3"&gt;&lt;a class="text-cut" href="javascript:;"(click)="categoryEvent(24506)"&gt;{{"24506" | translate}}&lt;/a&gt;&lt;/li&gt;</v>
      </c>
    </row>
    <row r="128" spans="1:8" ht="14.25" customHeight="1">
      <c r="A128" s="2">
        <v>24518</v>
      </c>
      <c r="B128" s="2" t="s">
        <v>5805</v>
      </c>
      <c r="C128" s="89" t="s">
        <v>8615</v>
      </c>
      <c r="D128" s="116" t="str">
        <f t="shared" si="7"/>
        <v>0,23632,2084008364,24518</v>
      </c>
      <c r="E128" s="3" t="str">
        <f ca="1">IFERROR(__xludf.DUMMYFUNCTION("GOOGLETRANSLATE(B128,""ja"",""vi"")"),"Toaster")</f>
        <v>Toaster</v>
      </c>
      <c r="F128" s="3" t="str">
        <f ca="1">IFERROR(__xludf.DUMMYFUNCTION("GOOGLETRANSLATE(C128,""ja"",""vi"")"),"Đấu giá&gt; thiết bị điện tử tiêu dùng, AV, camera&gt; bếp, bàn ăn&gt; nướng bánh mỳ")</f>
        <v>Đấu giá&gt; thiết bị điện tử tiêu dùng, AV, camera&gt; bếp, bàn ăn&gt; nướng bánh mỳ</v>
      </c>
      <c r="G128" s="228" t="str">
        <f t="shared" ca="1" si="3"/>
        <v>"24518" : "Toaster",</v>
      </c>
      <c r="H128" s="229" t="str">
        <f t="shared" si="4"/>
        <v>&lt;li class="col-md-3"&gt;&lt;a class="text-cut" href="javascript:;"(click)="categoryEvent(24518)"&gt;{{"24518" | translate}}&lt;/a&gt;&lt;/li&gt;</v>
      </c>
    </row>
    <row r="129" spans="1:8" ht="14.25" customHeight="1">
      <c r="A129" s="2">
        <v>24470</v>
      </c>
      <c r="B129" s="2" t="s">
        <v>8620</v>
      </c>
      <c r="C129" s="89" t="s">
        <v>8623</v>
      </c>
      <c r="D129" s="116" t="str">
        <f t="shared" si="7"/>
        <v>0,23632,2084008364,24470</v>
      </c>
      <c r="E129" s="3" t="str">
        <f ca="1">IFERROR(__xludf.DUMMYFUNCTION("GOOGLETRANSLATE(B129,""ja"",""vi"")"),"người chuyển lương thực")</f>
        <v>người chuyển lương thực</v>
      </c>
      <c r="F129" s="3" t="str">
        <f ca="1">IFERROR(__xludf.DUMMYFUNCTION("GOOGLETRANSLATE(C129,""ja"",""vi"")"),"Đấu giá&gt; thiết bị điện tử tiêu dùng, AV, camera&gt; bếp, bàn ăn uống&gt; Thực phẩm xử lý")</f>
        <v>Đấu giá&gt; thiết bị điện tử tiêu dùng, AV, camera&gt; bếp, bàn ăn uống&gt; Thực phẩm xử lý</v>
      </c>
      <c r="G129" s="228" t="str">
        <f t="shared" ca="1" si="3"/>
        <v>"24470" : "người chuyển lương thực",</v>
      </c>
      <c r="H129" s="229" t="str">
        <f t="shared" si="4"/>
        <v>&lt;li class="col-md-3"&gt;&lt;a class="text-cut" href="javascript:;"(click)="categoryEvent(24470)"&gt;{{"24470" | translate}}&lt;/a&gt;&lt;/li&gt;</v>
      </c>
    </row>
    <row r="130" spans="1:8" ht="14.25" customHeight="1">
      <c r="A130" s="2">
        <v>24474</v>
      </c>
      <c r="B130" s="2" t="s">
        <v>8629</v>
      </c>
      <c r="C130" s="89" t="s">
        <v>8631</v>
      </c>
      <c r="D130" s="116" t="str">
        <f t="shared" si="7"/>
        <v>0,23632,2084008364,24474</v>
      </c>
      <c r="E130" s="3" t="str">
        <f ca="1">IFERROR(__xludf.DUMMYFUNCTION("GOOGLETRANSLATE(B130,""ja"",""vi"")"),"Home Bakery")</f>
        <v>Home Bakery</v>
      </c>
      <c r="F130" s="3" t="str">
        <f ca="1">IFERROR(__xludf.DUMMYFUNCTION("GOOGLETRANSLATE(C130,""ja"",""vi"")"),"Đấu giá&gt; thiết bị điện tử tiêu dùng, AV, camera&gt; bếp, bàn ăn&gt; bánh nhà")</f>
        <v>Đấu giá&gt; thiết bị điện tử tiêu dùng, AV, camera&gt; bếp, bàn ăn&gt; bánh nhà</v>
      </c>
      <c r="G130" s="228" t="str">
        <f t="shared" ca="1" si="3"/>
        <v>"24474" : "Home Bakery",</v>
      </c>
      <c r="H130" s="229" t="str">
        <f t="shared" si="4"/>
        <v>&lt;li class="col-md-3"&gt;&lt;a class="text-cut" href="javascript:;"(click)="categoryEvent(24474)"&gt;{{"24474" | translate}}&lt;/a&gt;&lt;/li&gt;</v>
      </c>
    </row>
    <row r="131" spans="1:8" ht="14.25" customHeight="1">
      <c r="A131" s="2">
        <v>2084008365</v>
      </c>
      <c r="B131" s="2" t="s">
        <v>8640</v>
      </c>
      <c r="C131" s="89" t="s">
        <v>8642</v>
      </c>
      <c r="D131" s="116" t="str">
        <f t="shared" si="7"/>
        <v>0,23632,2084008364,2084008365</v>
      </c>
      <c r="E131" s="3" t="str">
        <f ca="1">IFERROR(__xludf.DUMMYFUNCTION("GOOGLETRANSLATE(B131,""ja"",""vi"")"),"tấm nóng, nướng chảo")</f>
        <v>tấm nóng, nướng chảo</v>
      </c>
      <c r="F131" s="3" t="str">
        <f ca="1">IFERROR(__xludf.DUMMYFUNCTION("GOOGLETRANSLATE(C131,""ja"",""vi"")"),"Đấu giá&gt; thiết bị điện tử tiêu dùng, AV, camera&gt; bếp, bàn ăn&gt; tấm nóng, nướng chảo")</f>
        <v>Đấu giá&gt; thiết bị điện tử tiêu dùng, AV, camera&gt; bếp, bàn ăn&gt; tấm nóng, nướng chảo</v>
      </c>
      <c r="G131" s="228" t="str">
        <f t="shared" ref="G131:G194" ca="1" si="8">CONCATENATE(CHAR(34)&amp;"",A131,""&amp;CHAR(34)," : ", CHAR(34)&amp;"",E131,""&amp;CHAR(34),",")</f>
        <v>"2084008365" : "tấm nóng, nướng chảo",</v>
      </c>
      <c r="H131" s="229" t="str">
        <f t="shared" ref="H131:H194" si="9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href="javascript:;"(click)="categoryEvent(2084008365)"&gt;{{"2084008365" | translate}}&lt;/a&gt;&lt;/li&gt;</v>
      </c>
    </row>
    <row r="132" spans="1:8" ht="14.25" customHeight="1">
      <c r="A132" s="2">
        <v>24514</v>
      </c>
      <c r="B132" s="2" t="s">
        <v>8646</v>
      </c>
      <c r="C132" s="89" t="s">
        <v>8647</v>
      </c>
      <c r="D132" s="116" t="str">
        <f t="shared" si="7"/>
        <v>0,23632,2084008364,24514</v>
      </c>
      <c r="E132" s="3" t="str">
        <f ca="1">IFERROR(__xludf.DUMMYFUNCTION("GOOGLETRANSLATE(B132,""ja"",""vi"")"),"Range, bếp")</f>
        <v>Range, bếp</v>
      </c>
      <c r="F132" s="3" t="str">
        <f ca="1">IFERROR(__xludf.DUMMYFUNCTION("GOOGLETRANSLATE(C132,""ja"",""vi"")"),"Đấu giá&gt; thiết bị điện tử tiêu dùng, AV, camera&gt; bếp, bàn ăn&gt; phạm vi, bếp")</f>
        <v>Đấu giá&gt; thiết bị điện tử tiêu dùng, AV, camera&gt; bếp, bàn ăn&gt; phạm vi, bếp</v>
      </c>
      <c r="G132" s="228" t="str">
        <f t="shared" ca="1" si="8"/>
        <v>"24514" : "Range, bếp",</v>
      </c>
      <c r="H132" s="229" t="str">
        <f t="shared" si="9"/>
        <v>&lt;li class="col-md-3"&gt;&lt;a class="text-cut" href="javascript:;"(click)="categoryEvent(24514)"&gt;{{"24514" | translate}}&lt;/a&gt;&lt;/li&gt;</v>
      </c>
    </row>
    <row r="133" spans="1:8" ht="14.25" customHeight="1">
      <c r="A133" s="2">
        <v>2084044997</v>
      </c>
      <c r="B133" s="2" t="s">
        <v>8652</v>
      </c>
      <c r="C133" s="89" t="s">
        <v>8655</v>
      </c>
      <c r="D133" s="116" t="str">
        <f t="shared" si="7"/>
        <v>0,23632,2084008364,2084044997</v>
      </c>
      <c r="E133" s="3" t="str">
        <f ca="1">IFERROR(__xludf.DUMMYFUNCTION("GOOGLETRANSLATE(B133,""ja"",""vi"")"),"Wine Cellar")</f>
        <v>Wine Cellar</v>
      </c>
      <c r="F133" s="3" t="str">
        <f ca="1">IFERROR(__xludf.DUMMYFUNCTION("GOOGLETRANSLATE(C133,""ja"",""vi"")"),"Đấu giá&gt; thiết bị điện tử tiêu dùng, AV, camera&gt; bếp, bàn ăn&gt; hầm rượu vang")</f>
        <v>Đấu giá&gt; thiết bị điện tử tiêu dùng, AV, camera&gt; bếp, bàn ăn&gt; hầm rượu vang</v>
      </c>
      <c r="G133" s="228" t="str">
        <f t="shared" ca="1" si="8"/>
        <v>"2084044997" : "Wine Cellar",</v>
      </c>
      <c r="H133" s="229" t="str">
        <f t="shared" si="9"/>
        <v>&lt;li class="col-md-3"&gt;&lt;a class="text-cut" href="javascript:;"(click)="categoryEvent(2084044997)"&gt;{{"2084044997" | translate}}&lt;/a&gt;&lt;/li&gt;</v>
      </c>
    </row>
    <row r="134" spans="1:8" ht="14.25" customHeight="1">
      <c r="A134" s="2">
        <v>2084258414</v>
      </c>
      <c r="B134" s="2" t="s">
        <v>2230</v>
      </c>
      <c r="C134" s="89" t="s">
        <v>8662</v>
      </c>
      <c r="D134" s="116" t="str">
        <f t="shared" si="7"/>
        <v>0,23632,2084008364,2084258414</v>
      </c>
      <c r="E134" s="3" t="str">
        <f ca="1">IFERROR(__xludf.DUMMYFUNCTION("GOOGLETRANSLATE(B134,""ja"",""vi"")"),"thiết bị cung cấp nước nóng")</f>
        <v>thiết bị cung cấp nước nóng</v>
      </c>
      <c r="F134" s="3" t="str">
        <f ca="1">IFERROR(__xludf.DUMMYFUNCTION("GOOGLETRANSLATE(C134,""ja"",""vi"")"),"Đấu giá&gt; thiết bị điện tử tiêu dùng, AV, camera&gt; bếp, bàn ăn&gt; thiết bị cung cấp nước nóng")</f>
        <v>Đấu giá&gt; thiết bị điện tử tiêu dùng, AV, camera&gt; bếp, bàn ăn&gt; thiết bị cung cấp nước nóng</v>
      </c>
      <c r="G134" s="228" t="str">
        <f t="shared" ca="1" si="8"/>
        <v>"2084258414" : "thiết bị cung cấp nước nóng",</v>
      </c>
      <c r="H134" s="229" t="str">
        <f t="shared" si="9"/>
        <v>&lt;li class="col-md-3"&gt;&lt;a class="text-cut" href="javascript:;"(click)="categoryEvent(2084258414)"&gt;{{"2084258414" | translate}}&lt;/a&gt;&lt;/li&gt;</v>
      </c>
    </row>
    <row r="135" spans="1:8" ht="14.25" customHeight="1">
      <c r="A135" s="2">
        <v>24490</v>
      </c>
      <c r="B135" s="2" t="s">
        <v>8664</v>
      </c>
      <c r="C135" s="89" t="s">
        <v>8665</v>
      </c>
      <c r="D135" s="116" t="str">
        <f t="shared" si="7"/>
        <v>0,23632,2084008364,24490</v>
      </c>
      <c r="E135" s="3" t="str">
        <f ca="1">IFERROR(__xludf.DUMMYFUNCTION("GOOGLETRANSLATE(B135,""ja"",""vi"")"),"Máy rửa chén, máy sấy món ăn")</f>
        <v>Máy rửa chén, máy sấy món ăn</v>
      </c>
      <c r="F135" s="3" t="str">
        <f ca="1">IFERROR(__xludf.DUMMYFUNCTION("GOOGLETRANSLATE(C135,""ja"",""vi"")"),"Đấu giá&gt; thiết bị điện tử tiêu dùng, AV, camera&gt; bếp, bàn ăn&gt; máy rửa chén, máy sấy món ăn")</f>
        <v>Đấu giá&gt; thiết bị điện tử tiêu dùng, AV, camera&gt; bếp, bàn ăn&gt; máy rửa chén, máy sấy món ăn</v>
      </c>
      <c r="G135" s="228" t="str">
        <f t="shared" ca="1" si="8"/>
        <v>"24490" : "Máy rửa chén, máy sấy món ăn",</v>
      </c>
      <c r="H135" s="229" t="str">
        <f t="shared" si="9"/>
        <v>&lt;li class="col-md-3"&gt;&lt;a class="text-cut" href="javascript:;"(click)="categoryEvent(24490)"&gt;{{"24490" | translate}}&lt;/a&gt;&lt;/li&gt;</v>
      </c>
    </row>
    <row r="136" spans="1:8" ht="14.25" customHeight="1">
      <c r="A136" s="2">
        <v>2084008366</v>
      </c>
      <c r="B136" s="2" t="s">
        <v>8669</v>
      </c>
      <c r="C136" s="89" t="s">
        <v>8670</v>
      </c>
      <c r="D136" s="116" t="str">
        <f t="shared" si="7"/>
        <v>0,23632,2084008364,2084008366</v>
      </c>
      <c r="E136" s="3" t="str">
        <f ca="1">IFERROR(__xludf.DUMMYFUNCTION("GOOGLETRANSLATE(B136,""ja"",""vi"")"),"nồi cơm điện")</f>
        <v>nồi cơm điện</v>
      </c>
      <c r="F136" s="3" t="str">
        <f ca="1">IFERROR(__xludf.DUMMYFUNCTION("GOOGLETRANSLATE(C136,""ja"",""vi"")"),"Đấu giá&gt; thiết bị điện tử tiêu dùng, AV, camera&gt; bếp, bàn ăn&gt; nồi cơm điện")</f>
        <v>Đấu giá&gt; thiết bị điện tử tiêu dùng, AV, camera&gt; bếp, bàn ăn&gt; nồi cơm điện</v>
      </c>
      <c r="G136" s="228" t="str">
        <f t="shared" ca="1" si="8"/>
        <v>"2084008366" : "nồi cơm điện",</v>
      </c>
      <c r="H136" s="229" t="str">
        <f t="shared" si="9"/>
        <v>&lt;li class="col-md-3"&gt;&lt;a class="text-cut" href="javascript:;"(click)="categoryEvent(2084008366)"&gt;{{"2084008366" | translate}}&lt;/a&gt;&lt;/li&gt;</v>
      </c>
    </row>
    <row r="137" spans="1:8" ht="14.25" customHeight="1">
      <c r="A137" s="2">
        <v>24498</v>
      </c>
      <c r="B137" s="2" t="s">
        <v>8675</v>
      </c>
      <c r="C137" s="89" t="s">
        <v>8676</v>
      </c>
      <c r="D137" s="116" t="str">
        <f t="shared" si="7"/>
        <v>0,23632,2084008364,24498</v>
      </c>
      <c r="E137" s="3" t="str">
        <f ca="1">IFERROR(__xludf.DUMMYFUNCTION("GOOGLETRANSLATE(B137,""ja"",""vi"")"),"xử lý rác thải")</f>
        <v>xử lý rác thải</v>
      </c>
      <c r="F137" s="3" t="str">
        <f ca="1">IFERROR(__xludf.DUMMYFUNCTION("GOOGLETRANSLATE(C137,""ja"",""vi"")"),"Đấu giá&gt; thiết bị điện tử tiêu dùng, AV, camera&gt; bếp, bàn ăn&gt; xử lý rác thải")</f>
        <v>Đấu giá&gt; thiết bị điện tử tiêu dùng, AV, camera&gt; bếp, bàn ăn&gt; xử lý rác thải</v>
      </c>
      <c r="G137" s="228" t="str">
        <f t="shared" ca="1" si="8"/>
        <v>"24498" : "xử lý rác thải",</v>
      </c>
      <c r="H137" s="229" t="str">
        <f t="shared" si="9"/>
        <v>&lt;li class="col-md-3"&gt;&lt;a class="text-cut" href="javascript:;"(click)="categoryEvent(24498)"&gt;{{"24498" | translate}}&lt;/a&gt;&lt;/li&gt;</v>
      </c>
    </row>
    <row r="138" spans="1:8" ht="14.25" customHeight="1">
      <c r="A138" s="2">
        <v>2084061798</v>
      </c>
      <c r="B138" s="2" t="s">
        <v>8681</v>
      </c>
      <c r="C138" s="89" t="s">
        <v>8682</v>
      </c>
      <c r="D138" s="116" t="str">
        <f t="shared" si="7"/>
        <v>0,23632,2084008364,2084061798</v>
      </c>
      <c r="E138" s="3" t="str">
        <f ca="1">IFERROR(__xludf.DUMMYFUNCTION("GOOGLETRANSLATE(B138,""ja"",""vi"")"),"nhà máy gạo")</f>
        <v>nhà máy gạo</v>
      </c>
      <c r="F138" s="3" t="str">
        <f ca="1">IFERROR(__xludf.DUMMYFUNCTION("GOOGLETRANSLATE(C138,""ja"",""vi"")"),"Đấu giá&gt; thiết bị điện tử tiêu dùng, AV, camera&gt; bếp, bàn ăn&gt; nhà máy gạo")</f>
        <v>Đấu giá&gt; thiết bị điện tử tiêu dùng, AV, camera&gt; bếp, bàn ăn&gt; nhà máy gạo</v>
      </c>
      <c r="G138" s="228" t="str">
        <f t="shared" ca="1" si="8"/>
        <v>"2084061798" : "nhà máy gạo",</v>
      </c>
      <c r="H138" s="229" t="str">
        <f t="shared" si="9"/>
        <v>&lt;li class="col-md-3"&gt;&lt;a class="text-cut" href="javascript:;"(click)="categoryEvent(2084061798)"&gt;{{"2084061798" | translate}}&lt;/a&gt;&lt;/li&gt;</v>
      </c>
    </row>
    <row r="139" spans="1:8" ht="14.25" customHeight="1">
      <c r="A139" s="2">
        <v>2084244282</v>
      </c>
      <c r="B139" s="2" t="s">
        <v>8686</v>
      </c>
      <c r="C139" s="89" t="s">
        <v>8688</v>
      </c>
      <c r="D139" s="116" t="str">
        <f t="shared" si="7"/>
        <v>0,23632,2084008364,2084244282</v>
      </c>
      <c r="E139" s="3" t="str">
        <f ca="1">IFERROR(__xludf.DUMMYFUNCTION("GOOGLETRANSLATE(B139,""ja"",""vi"")"),"ấm đun nước điện")</f>
        <v>ấm đun nước điện</v>
      </c>
      <c r="F139" s="3" t="str">
        <f ca="1">IFERROR(__xludf.DUMMYFUNCTION("GOOGLETRANSLATE(C139,""ja"",""vi"")"),"Đấu giá&gt; thiết bị điện tử tiêu dùng, AV, camera&gt; nhà bếp, ăn uống table&gt; Ấm điện")</f>
        <v>Đấu giá&gt; thiết bị điện tử tiêu dùng, AV, camera&gt; nhà bếp, ăn uống table&gt; Ấm điện</v>
      </c>
      <c r="G139" s="228" t="str">
        <f t="shared" ca="1" si="8"/>
        <v>"2084244282" : "ấm đun nước điện",</v>
      </c>
      <c r="H139" s="229" t="str">
        <f t="shared" si="9"/>
        <v>&lt;li class="col-md-3"&gt;&lt;a class="text-cut" href="javascript:;"(click)="categoryEvent(2084244282)"&gt;{{"2084244282" | translate}}&lt;/a&gt;&lt;/li&gt;</v>
      </c>
    </row>
    <row r="140" spans="1:8" ht="14.25" customHeight="1">
      <c r="A140" s="2">
        <v>2084048370</v>
      </c>
      <c r="B140" s="2" t="s">
        <v>8690</v>
      </c>
      <c r="C140" s="89" t="s">
        <v>8691</v>
      </c>
      <c r="D140" s="116" t="str">
        <f t="shared" si="7"/>
        <v>0,23632,2084008364,2084048370</v>
      </c>
      <c r="E140" s="3" t="str">
        <f ca="1">IFERROR(__xludf.DUMMYFUNCTION("GOOGLETRANSLATE(B140,""ja"",""vi"")"),"Một ấm điện")</f>
        <v>Một ấm điện</v>
      </c>
      <c r="F140" s="3" t="str">
        <f ca="1">IFERROR(__xludf.DUMMYFUNCTION("GOOGLETRANSLATE(C140,""ja"",""vi"")"),"Đấu giá&gt; thiết bị điện tử tiêu dùng, AV, camera&gt; bếp, bàn ăn&gt; ấm đun nước điện.")</f>
        <v>Đấu giá&gt; thiết bị điện tử tiêu dùng, AV, camera&gt; bếp, bàn ăn&gt; ấm đun nước điện.</v>
      </c>
      <c r="G140" s="228" t="str">
        <f t="shared" ca="1" si="8"/>
        <v>"2084048370" : "Một ấm điện",</v>
      </c>
      <c r="H140" s="229" t="str">
        <f t="shared" si="9"/>
        <v>&lt;li class="col-md-3"&gt;&lt;a class="text-cut" href="javascript:;"(click)="categoryEvent(2084048370)"&gt;{{"2084048370" | translate}}&lt;/a&gt;&lt;/li&gt;</v>
      </c>
    </row>
    <row r="141" spans="1:8" ht="14.25" customHeight="1">
      <c r="A141" s="2">
        <v>24502</v>
      </c>
      <c r="B141" s="2" t="s">
        <v>8694</v>
      </c>
      <c r="C141" s="89" t="s">
        <v>8695</v>
      </c>
      <c r="D141" s="116" t="str">
        <f t="shared" si="7"/>
        <v>0,23632,2084008364,24502</v>
      </c>
      <c r="E141" s="3" t="str">
        <f ca="1">IFERROR(__xludf.DUMMYFUNCTION("GOOGLETRANSLATE(B141,""ja"",""vi"")"),"lò vi sóng")</f>
        <v>lò vi sóng</v>
      </c>
      <c r="F141" s="3" t="str">
        <f ca="1">IFERROR(__xludf.DUMMYFUNCTION("GOOGLETRANSLATE(C141,""ja"",""vi"")"),"lò đấu giá&gt; thiết bị điện tử tiêu dùng, AV, camera&gt; bếp, bàn ăn&gt; lò vi sóng")</f>
        <v>lò đấu giá&gt; thiết bị điện tử tiêu dùng, AV, camera&gt; bếp, bàn ăn&gt; lò vi sóng</v>
      </c>
      <c r="G141" s="228" t="str">
        <f t="shared" ca="1" si="8"/>
        <v>"24502" : "lò vi sóng",</v>
      </c>
      <c r="H141" s="229" t="str">
        <f t="shared" si="9"/>
        <v>&lt;li class="col-md-3"&gt;&lt;a class="text-cut" href="javascript:;"(click)="categoryEvent(24502)"&gt;{{"24502" | translate}}&lt;/a&gt;&lt;/li&gt;</v>
      </c>
    </row>
    <row r="142" spans="1:8" ht="14.25" customHeight="1">
      <c r="A142" s="2">
        <v>2084054096</v>
      </c>
      <c r="B142" s="2" t="s">
        <v>8701</v>
      </c>
      <c r="C142" s="89" t="s">
        <v>8702</v>
      </c>
      <c r="D142" s="116" t="str">
        <f t="shared" si="7"/>
        <v>0,23632,2084008364,2084054096</v>
      </c>
      <c r="E142" s="3" t="str">
        <f ca="1">IFERROR(__xludf.DUMMYFUNCTION("GOOGLETRANSLATE(B142,""ja"",""vi"")"),"máy pha cà phê điện")</f>
        <v>máy pha cà phê điện</v>
      </c>
      <c r="F142" s="3" t="str">
        <f ca="1">IFERROR(__xludf.DUMMYFUNCTION("GOOGLETRANSLATE(C142,""ja"",""vi"")"),"Đấu giá&gt; thiết bị điện tử tiêu dùng, AV, camera&gt; bếp, bàn ăn&gt; cối xay cà phê điện")</f>
        <v>Đấu giá&gt; thiết bị điện tử tiêu dùng, AV, camera&gt; bếp, bàn ăn&gt; cối xay cà phê điện</v>
      </c>
      <c r="G142" s="228" t="str">
        <f t="shared" ca="1" si="8"/>
        <v>"2084054096" : "máy pha cà phê điện",</v>
      </c>
      <c r="H142" s="229" t="str">
        <f t="shared" si="9"/>
        <v>&lt;li class="col-md-3"&gt;&lt;a class="text-cut" href="javascript:;"(click)="categoryEvent(2084054096)"&gt;{{"2084054096" | translate}}&lt;/a&gt;&lt;/li&gt;</v>
      </c>
    </row>
    <row r="143" spans="1:8" ht="14.25" customHeight="1">
      <c r="A143" s="2">
        <v>24510</v>
      </c>
      <c r="B143" s="2" t="s">
        <v>5867</v>
      </c>
      <c r="C143" s="89" t="s">
        <v>8711</v>
      </c>
      <c r="D143" s="116" t="str">
        <f t="shared" si="7"/>
        <v>0,23632,2084008364,24510</v>
      </c>
      <c r="E143" s="3" t="str">
        <f ca="1">IFERROR(__xludf.DUMMYFUNCTION("GOOGLETRANSLATE(B143,""ja"",""vi"")"),"tủ lạnh")</f>
        <v>tủ lạnh</v>
      </c>
      <c r="F143" s="3" t="str">
        <f ca="1">IFERROR(__xludf.DUMMYFUNCTION("GOOGLETRANSLATE(C143,""ja"",""vi"")"),"Đấu giá&gt; thiết bị điện tử tiêu dùng, AV, camera&gt; bếp, bàn ăn&gt; tủ lạnh")</f>
        <v>Đấu giá&gt; thiết bị điện tử tiêu dùng, AV, camera&gt; bếp, bàn ăn&gt; tủ lạnh</v>
      </c>
      <c r="G143" s="228" t="str">
        <f t="shared" ca="1" si="8"/>
        <v>"24510" : "tủ lạnh",</v>
      </c>
      <c r="H143" s="229" t="str">
        <f t="shared" si="9"/>
        <v>&lt;li class="col-md-3"&gt;&lt;a class="text-cut" href="javascript:;"(click)="categoryEvent(24510)"&gt;{{"24510" | translate}}&lt;/a&gt;&lt;/li&gt;</v>
      </c>
    </row>
    <row r="144" spans="1:8" ht="14.25" customHeight="1">
      <c r="A144" s="2">
        <v>24494</v>
      </c>
      <c r="B144" s="2" t="s">
        <v>8714</v>
      </c>
      <c r="C144" s="89" t="s">
        <v>8716</v>
      </c>
      <c r="D144" s="116" t="str">
        <f t="shared" si="7"/>
        <v>0,23632,2084008364,24494</v>
      </c>
      <c r="E144" s="3" t="str">
        <f ca="1">IFERROR(__xludf.DUMMYFUNCTION("GOOGLETRANSLATE(B144,""ja"",""vi"")"),"máy làm lạnh")</f>
        <v>máy làm lạnh</v>
      </c>
      <c r="F144" s="3" t="str">
        <f ca="1">IFERROR(__xludf.DUMMYFUNCTION("GOOGLETRANSLATE(C144,""ja"",""vi"")"),"Đấu giá&gt; thiết bị điện tử tiêu dùng, AV, camera&gt; bếp, bàn ăn&gt; tủ đông")</f>
        <v>Đấu giá&gt; thiết bị điện tử tiêu dùng, AV, camera&gt; bếp, bàn ăn&gt; tủ đông</v>
      </c>
      <c r="G144" s="228" t="str">
        <f t="shared" ca="1" si="8"/>
        <v>"24494" : "máy làm lạnh",</v>
      </c>
      <c r="H144" s="229" t="str">
        <f t="shared" si="9"/>
        <v>&lt;li class="col-md-3"&gt;&lt;a class="text-cut" href="javascript:;"(click)="categoryEvent(24494)"&gt;{{"24494" | translate}}&lt;/a&gt;&lt;/li&gt;</v>
      </c>
    </row>
    <row r="145" spans="1:8" ht="14.25" customHeight="1">
      <c r="A145" s="2">
        <v>2084008367</v>
      </c>
      <c r="B145" s="2" t="s">
        <v>16</v>
      </c>
      <c r="C145" s="89" t="s">
        <v>8722</v>
      </c>
      <c r="D145" s="116" t="str">
        <f t="shared" si="7"/>
        <v>0,23632,2084008364,2084008367</v>
      </c>
      <c r="E145" s="3" t="str">
        <f ca="1">IFERROR(__xludf.DUMMYFUNCTION("GOOGLETRANSLATE(B145,""ja"",""vi"")"),"nếu không thì")</f>
        <v>nếu không thì</v>
      </c>
      <c r="F145" s="3" t="str">
        <f ca="1">IFERROR(__xludf.DUMMYFUNCTION("GOOGLETRANSLATE(C145,""ja"",""vi"")"),"Đấu giá&gt; thiết bị điện tử tiêu dùng, AV, camera&gt; bếp, bàn ăn&gt; Khác")</f>
        <v>Đấu giá&gt; thiết bị điện tử tiêu dùng, AV, camera&gt; bếp, bàn ăn&gt; Khác</v>
      </c>
      <c r="G145" s="228" t="str">
        <f t="shared" ca="1" si="8"/>
        <v>"2084008367" : "nếu không thì",</v>
      </c>
      <c r="H145" s="229" t="str">
        <f t="shared" si="9"/>
        <v>&lt;li class="col-md-3"&gt;&lt;a class="text-cut" href="javascript:;"(click)="categoryEvent(2084008367)"&gt;{{"2084008367" | translate}}&lt;/a&gt;&lt;/li&gt;</v>
      </c>
    </row>
    <row r="146" spans="1:8" ht="14.25" customHeight="1">
      <c r="E146" s="3"/>
      <c r="F146" s="3"/>
      <c r="G146" s="228"/>
      <c r="H146" s="229"/>
    </row>
    <row r="147" spans="1:8" ht="14.25" customHeight="1">
      <c r="E147" s="3"/>
      <c r="F147" s="3"/>
      <c r="G147" s="228"/>
      <c r="H147" s="229"/>
    </row>
    <row r="148" spans="1:8" ht="14.25" customHeight="1">
      <c r="A148" s="309">
        <v>2084042675</v>
      </c>
      <c r="B148" s="232"/>
      <c r="C148" s="232"/>
      <c r="D148" s="233"/>
      <c r="E148" s="3"/>
      <c r="F148" s="3"/>
      <c r="G148" s="228"/>
      <c r="H148" s="229"/>
    </row>
    <row r="149" spans="1:8" ht="14.25" customHeight="1">
      <c r="A149" s="2">
        <v>2084008355</v>
      </c>
      <c r="B149" s="2" t="s">
        <v>3134</v>
      </c>
      <c r="C149" s="2" t="s">
        <v>8736</v>
      </c>
      <c r="D149" s="2" t="s">
        <v>8738</v>
      </c>
      <c r="E149" s="3" t="str">
        <f ca="1">IFERROR(__xludf.DUMMYFUNCTION("GOOGLETRANSLATE(B149,""ja"",""vi"")"),"ủi")</f>
        <v>ủi</v>
      </c>
      <c r="F149" s="3" t="str">
        <f ca="1">IFERROR(__xludf.DUMMYFUNCTION("GOOGLETRANSLATE(C149,""ja"",""vi"")"),"Đấu giá&gt; thiết bị điện tử tiêu dùng, AV, máy ảnh&gt; máy giặt, sắt&gt; sắt")</f>
        <v>Đấu giá&gt; thiết bị điện tử tiêu dùng, AV, máy ảnh&gt; máy giặt, sắt&gt; sắt</v>
      </c>
      <c r="G149" s="228" t="str">
        <f t="shared" ca="1" si="8"/>
        <v>"2084008355" : "ủi",</v>
      </c>
      <c r="H149" s="229" t="str">
        <f t="shared" si="9"/>
        <v>&lt;li class="col-md-3"&gt;&lt;a class="text-cut" href="javascript:;"(click)="categoryEvent(2084008355)"&gt;{{"2084008355" | translate}}&lt;/a&gt;&lt;/li&gt;</v>
      </c>
    </row>
    <row r="150" spans="1:8" ht="14.25" customHeight="1">
      <c r="A150" s="2">
        <v>2084061483</v>
      </c>
      <c r="B150" s="2" t="s">
        <v>8741</v>
      </c>
      <c r="C150" s="2" t="s">
        <v>8742</v>
      </c>
      <c r="D150" s="2" t="s">
        <v>8743</v>
      </c>
      <c r="E150" s="3" t="str">
        <f ca="1">IFERROR(__xludf.DUMMYFUNCTION("GOOGLETRANSLATE(B150,""ja"",""vi"")"),"quần Press")</f>
        <v>quần Press</v>
      </c>
      <c r="F150" s="3" t="str">
        <f ca="1">IFERROR(__xludf.DUMMYFUNCTION("GOOGLETRANSLATE(C150,""ja"",""vi"")"),"Đấu giá&gt; thiết bị điện tử tiêu dùng, AV, máy ảnh&gt; máy giặt, sắt&gt; quần Press")</f>
        <v>Đấu giá&gt; thiết bị điện tử tiêu dùng, AV, máy ảnh&gt; máy giặt, sắt&gt; quần Press</v>
      </c>
      <c r="G150" s="228" t="str">
        <f t="shared" ca="1" si="8"/>
        <v>"2084061483" : "quần Press",</v>
      </c>
      <c r="H150" s="229" t="str">
        <f t="shared" si="9"/>
        <v>&lt;li class="col-md-3"&gt;&lt;a class="text-cut" href="javascript:;"(click)="categoryEvent(2084061483)"&gt;{{"2084061483" | translate}}&lt;/a&gt;&lt;/li&gt;</v>
      </c>
    </row>
    <row r="151" spans="1:8" ht="14.25" customHeight="1">
      <c r="A151" s="2">
        <v>2084008354</v>
      </c>
      <c r="B151" s="2" t="s">
        <v>3166</v>
      </c>
      <c r="C151" s="2" t="s">
        <v>8744</v>
      </c>
      <c r="D151" s="2" t="s">
        <v>8745</v>
      </c>
      <c r="E151" s="3" t="str">
        <f ca="1">IFERROR(__xludf.DUMMYFUNCTION("GOOGLETRANSLATE(B151,""ja"",""vi"")"),"máy may")</f>
        <v>máy may</v>
      </c>
      <c r="F151" s="3" t="str">
        <f ca="1">IFERROR(__xludf.DUMMYFUNCTION("GOOGLETRANSLATE(C151,""ja"",""vi"")"),"Đấu giá&gt; thiết bị điện tử tiêu dùng, AV, máy ảnh&gt; máy giặt, sắt&gt; may")</f>
        <v>Đấu giá&gt; thiết bị điện tử tiêu dùng, AV, máy ảnh&gt; máy giặt, sắt&gt; may</v>
      </c>
      <c r="G151" s="228" t="str">
        <f t="shared" ca="1" si="8"/>
        <v>"2084008354" : "máy may",</v>
      </c>
      <c r="H151" s="229" t="str">
        <f t="shared" si="9"/>
        <v>&lt;li class="col-md-3"&gt;&lt;a class="text-cut" href="javascript:;"(click)="categoryEvent(2084008354)"&gt;{{"2084008354" | translate}}&lt;/a&gt;&lt;/li&gt;</v>
      </c>
    </row>
    <row r="152" spans="1:8" ht="14.25" customHeight="1">
      <c r="A152" s="2">
        <v>2084042682</v>
      </c>
      <c r="B152" s="2" t="s">
        <v>8748</v>
      </c>
      <c r="C152" s="2" t="s">
        <v>8750</v>
      </c>
      <c r="D152" s="2" t="s">
        <v>8751</v>
      </c>
      <c r="E152" s="3" t="str">
        <f ca="1">IFERROR(__xludf.DUMMYFUNCTION("GOOGLETRANSLATE(B152,""ja"",""vi"")"),"máy sấy quần áo")</f>
        <v>máy sấy quần áo</v>
      </c>
      <c r="F152" s="3" t="str">
        <f ca="1">IFERROR(__xludf.DUMMYFUNCTION("GOOGLETRANSLATE(C152,""ja"",""vi"")"),"Đấu giá&gt; thiết bị điện tử tiêu dùng, AV, máy ảnh&gt; máy giặt, sắt&gt; Máy sấy quần áo")</f>
        <v>Đấu giá&gt; thiết bị điện tử tiêu dùng, AV, máy ảnh&gt; máy giặt, sắt&gt; Máy sấy quần áo</v>
      </c>
      <c r="G152" s="228" t="str">
        <f t="shared" ca="1" si="8"/>
        <v>"2084042682" : "máy sấy quần áo",</v>
      </c>
      <c r="H152" s="229" t="str">
        <f t="shared" si="9"/>
        <v>&lt;li class="col-md-3"&gt;&lt;a class="text-cut" href="javascript:;"(click)="categoryEvent(2084042682)"&gt;{{"2084042682" | translate}}&lt;/a&gt;&lt;/li&gt;</v>
      </c>
    </row>
    <row r="153" spans="1:8" ht="14.25" customHeight="1">
      <c r="A153" s="2">
        <v>24454</v>
      </c>
      <c r="B153" s="2" t="s">
        <v>3192</v>
      </c>
      <c r="C153" s="2" t="s">
        <v>8753</v>
      </c>
      <c r="D153" s="2" t="s">
        <v>8754</v>
      </c>
      <c r="E153" s="3" t="str">
        <f ca="1">IFERROR(__xludf.DUMMYFUNCTION("GOOGLETRANSLATE(B153,""ja"",""vi"")"),"máy giặt")</f>
        <v>máy giặt</v>
      </c>
      <c r="F153" s="3" t="str">
        <f ca="1">IFERROR(__xludf.DUMMYFUNCTION("GOOGLETRANSLATE(C153,""ja"",""vi"")"),"Đấu giá&gt; điện tử, AV, máy ảnh&gt; máy giặt, sắt&gt; máy giặt")</f>
        <v>Đấu giá&gt; điện tử, AV, máy ảnh&gt; máy giặt, sắt&gt; máy giặt</v>
      </c>
      <c r="G153" s="228" t="str">
        <f t="shared" ca="1" si="8"/>
        <v>"24454" : "máy giặt",</v>
      </c>
      <c r="H153" s="229" t="str">
        <f t="shared" si="9"/>
        <v>&lt;li class="col-md-3"&gt;&lt;a class="text-cut" href="javascript:;"(click)="categoryEvent(24454)"&gt;{{"24454" | translate}}&lt;/a&gt;&lt;/li&gt;</v>
      </c>
    </row>
    <row r="154" spans="1:8" ht="14.25" customHeight="1">
      <c r="A154" s="2">
        <v>2084061484</v>
      </c>
      <c r="B154" s="2" t="s">
        <v>16</v>
      </c>
      <c r="C154" s="2" t="s">
        <v>8755</v>
      </c>
      <c r="D154" s="2" t="s">
        <v>8758</v>
      </c>
      <c r="E154" s="3" t="str">
        <f ca="1">IFERROR(__xludf.DUMMYFUNCTION("GOOGLETRANSLATE(B154,""ja"",""vi"")"),"nếu không thì")</f>
        <v>nếu không thì</v>
      </c>
      <c r="F154" s="3" t="str">
        <f ca="1">IFERROR(__xludf.DUMMYFUNCTION("GOOGLETRANSLATE(C154,""ja"",""vi"")"),"Đấu giá&gt; thiết bị điện tử tiêu dùng, AV, máy ảnh&gt; máy giặt, sắt&gt; Khác")</f>
        <v>Đấu giá&gt; thiết bị điện tử tiêu dùng, AV, máy ảnh&gt; máy giặt, sắt&gt; Khác</v>
      </c>
      <c r="G154" s="228" t="str">
        <f t="shared" ca="1" si="8"/>
        <v>"2084061484" : "nếu không thì",</v>
      </c>
      <c r="H154" s="229" t="str">
        <f t="shared" si="9"/>
        <v>&lt;li class="col-md-3"&gt;&lt;a class="text-cut" href="javascript:;"(click)="categoryEvent(2084061484)"&gt;{{"2084061484" | translate}}&lt;/a&gt;&lt;/li&gt;</v>
      </c>
    </row>
    <row r="155" spans="1:8" ht="14.25" customHeight="1">
      <c r="E155" s="3"/>
      <c r="F155" s="3"/>
      <c r="G155" s="228"/>
      <c r="H155" s="229"/>
    </row>
    <row r="156" spans="1:8" ht="14.25" customHeight="1">
      <c r="E156" s="3"/>
      <c r="F156" s="3"/>
      <c r="G156" s="228"/>
      <c r="H156" s="229"/>
    </row>
    <row r="157" spans="1:8" ht="14.25" customHeight="1">
      <c r="A157" s="310">
        <v>24450</v>
      </c>
      <c r="B157" s="232"/>
      <c r="C157" s="232"/>
      <c r="D157" s="233"/>
      <c r="E157" s="3"/>
      <c r="F157" s="3"/>
      <c r="G157" s="228"/>
      <c r="H157" s="229"/>
    </row>
    <row r="158" spans="1:8" ht="14.25" customHeight="1">
      <c r="A158" s="2">
        <v>2084213158</v>
      </c>
      <c r="B158" s="2" t="s">
        <v>8769</v>
      </c>
      <c r="C158" s="2" t="s">
        <v>8770</v>
      </c>
      <c r="D158" s="2" t="s">
        <v>8773</v>
      </c>
      <c r="E158" s="3" t="str">
        <f ca="1">IFERROR(__xludf.DUMMYFUNCTION("GOOGLETRANSLATE(B158,""ja"",""vi"")"),"Máy hút bụi chung")</f>
        <v>Máy hút bụi chung</v>
      </c>
      <c r="F158" s="3" t="str">
        <f ca="1">IFERROR(__xludf.DUMMYFUNCTION("GOOGLETRANSLATE(C158,""ja"",""vi"")"),"Đấu giá&gt; thiết bị điện tử tiêu dùng, AV, camera&gt; làm sạch&gt; chung máy hút bụi")</f>
        <v>Đấu giá&gt; thiết bị điện tử tiêu dùng, AV, camera&gt; làm sạch&gt; chung máy hút bụi</v>
      </c>
      <c r="G158" s="228" t="str">
        <f t="shared" ca="1" si="8"/>
        <v>"2084213158" : "Máy hút bụi chung",</v>
      </c>
      <c r="H158" s="229" t="str">
        <f t="shared" si="9"/>
        <v>&lt;li class="col-md-3"&gt;&lt;a class="text-cut" href="javascript:;"(click)="categoryEvent(2084213158)"&gt;{{"2084213158" | translate}}&lt;/a&gt;&lt;/li&gt;</v>
      </c>
    </row>
    <row r="159" spans="1:8" ht="14.25" customHeight="1">
      <c r="A159" s="2">
        <v>2084213159</v>
      </c>
      <c r="B159" s="2" t="s">
        <v>8774</v>
      </c>
      <c r="C159" s="2" t="s">
        <v>8775</v>
      </c>
      <c r="D159" s="2" t="s">
        <v>8776</v>
      </c>
      <c r="E159" s="3" t="str">
        <f ca="1">IFERROR(__xludf.DUMMYFUNCTION("GOOGLETRANSLATE(B159,""ja"",""vi"")"),"loại dây")</f>
        <v>loại dây</v>
      </c>
      <c r="F159" s="3" t="str">
        <f ca="1">IFERROR(__xludf.DUMMYFUNCTION("GOOGLETRANSLATE(C159,""ja"",""vi"")"),"Đấu giá&gt; thiết bị điện tử tiêu dùng, AV, camera&gt; làm sạch&gt; loại dây")</f>
        <v>Đấu giá&gt; thiết bị điện tử tiêu dùng, AV, camera&gt; làm sạch&gt; loại dây</v>
      </c>
      <c r="G159" s="228" t="str">
        <f t="shared" ca="1" si="8"/>
        <v>"2084213159" : "loại dây",</v>
      </c>
      <c r="H159" s="229" t="str">
        <f t="shared" si="9"/>
        <v>&lt;li class="col-md-3"&gt;&lt;a class="text-cut" href="javascript:;"(click)="categoryEvent(2084213159)"&gt;{{"2084213159" | translate}}&lt;/a&gt;&lt;/li&gt;</v>
      </c>
    </row>
    <row r="160" spans="1:8" ht="14.25" customHeight="1">
      <c r="A160" s="2">
        <v>2084213161</v>
      </c>
      <c r="B160" s="2" t="s">
        <v>8777</v>
      </c>
      <c r="C160" s="2" t="s">
        <v>8778</v>
      </c>
      <c r="D160" s="2" t="s">
        <v>8779</v>
      </c>
      <c r="E160" s="3" t="str">
        <f ca="1">IFERROR(__xludf.DUMMYFUNCTION("GOOGLETRANSLATE(B160,""ja"",""vi"")"),"kiểu lốc xoáy")</f>
        <v>kiểu lốc xoáy</v>
      </c>
      <c r="F160" s="3" t="str">
        <f ca="1">IFERROR(__xludf.DUMMYFUNCTION("GOOGLETRANSLATE(C160,""ja"",""vi"")"),"Đấu giá&gt; thiết bị điện tử tiêu dùng, AV, camera&gt; làm sạch&gt; gõ lốc xoáy")</f>
        <v>Đấu giá&gt; thiết bị điện tử tiêu dùng, AV, camera&gt; làm sạch&gt; gõ lốc xoáy</v>
      </c>
      <c r="G160" s="228" t="str">
        <f t="shared" ca="1" si="8"/>
        <v>"2084213161" : "kiểu lốc xoáy",</v>
      </c>
      <c r="H160" s="229" t="str">
        <f t="shared" si="9"/>
        <v>&lt;li class="col-md-3"&gt;&lt;a class="text-cut" href="javascript:;"(click)="categoryEvent(2084213161)"&gt;{{"2084213161" | translate}}&lt;/a&gt;&lt;/li&gt;</v>
      </c>
    </row>
    <row r="161" spans="1:8" ht="14.25" customHeight="1">
      <c r="A161" s="2">
        <v>2084245310</v>
      </c>
      <c r="B161" s="2" t="s">
        <v>8784</v>
      </c>
      <c r="C161" s="2" t="s">
        <v>8785</v>
      </c>
      <c r="D161" s="2" t="s">
        <v>8788</v>
      </c>
      <c r="E161" s="3" t="str">
        <f ca="1">IFERROR(__xludf.DUMMYFUNCTION("GOOGLETRANSLATE(B161,""ja"",""vi"")"),"loại hơi")</f>
        <v>loại hơi</v>
      </c>
      <c r="F161" s="3" t="str">
        <f ca="1">IFERROR(__xludf.DUMMYFUNCTION("GOOGLETRANSLATE(C161,""ja"",""vi"")"),"Đấu giá&gt; thiết bị điện tử tiêu dùng, AV, camera&gt; làm sạch&gt; loại hơi")</f>
        <v>Đấu giá&gt; thiết bị điện tử tiêu dùng, AV, camera&gt; làm sạch&gt; loại hơi</v>
      </c>
      <c r="G161" s="228" t="str">
        <f t="shared" ca="1" si="8"/>
        <v>"2084245310" : "loại hơi",</v>
      </c>
      <c r="H161" s="229" t="str">
        <f t="shared" si="9"/>
        <v>&lt;li class="col-md-3"&gt;&lt;a class="text-cut" href="javascript:;"(click)="categoryEvent(2084245310)"&gt;{{"2084245310" | translate}}&lt;/a&gt;&lt;/li&gt;</v>
      </c>
    </row>
    <row r="162" spans="1:8" ht="14.25" customHeight="1">
      <c r="A162" s="2">
        <v>2084245309</v>
      </c>
      <c r="B162" s="2" t="s">
        <v>8791</v>
      </c>
      <c r="C162" s="2" t="s">
        <v>8793</v>
      </c>
      <c r="D162" s="2" t="s">
        <v>8794</v>
      </c>
      <c r="E162" s="3" t="str">
        <f ca="1">IFERROR(__xludf.DUMMYFUNCTION("GOOGLETRANSLATE(B162,""ja"",""vi"")"),"loại Robot")</f>
        <v>loại Robot</v>
      </c>
      <c r="F162" s="3" t="str">
        <f ca="1">IFERROR(__xludf.DUMMYFUNCTION("GOOGLETRANSLATE(C162,""ja"",""vi"")"),"Đấu giá&gt; thiết bị điện tử tiêu dùng, AV, camera&gt; làm sạch&gt; loại Robot")</f>
        <v>Đấu giá&gt; thiết bị điện tử tiêu dùng, AV, camera&gt; làm sạch&gt; loại Robot</v>
      </c>
      <c r="G162" s="228" t="str">
        <f t="shared" ca="1" si="8"/>
        <v>"2084245309" : "loại Robot",</v>
      </c>
      <c r="H162" s="229" t="str">
        <f t="shared" si="9"/>
        <v>&lt;li class="col-md-3"&gt;&lt;a class="text-cut" href="javascript:;"(click)="categoryEvent(2084245309)"&gt;{{"2084245309" | translate}}&lt;/a&gt;&lt;/li&gt;</v>
      </c>
    </row>
    <row r="163" spans="1:8" ht="14.25" customHeight="1">
      <c r="A163" s="2">
        <v>2084213160</v>
      </c>
      <c r="B163" s="2" t="s">
        <v>16</v>
      </c>
      <c r="C163" s="2" t="s">
        <v>8798</v>
      </c>
      <c r="D163" s="2" t="s">
        <v>8801</v>
      </c>
      <c r="E163" s="3" t="str">
        <f ca="1">IFERROR(__xludf.DUMMYFUNCTION("GOOGLETRANSLATE(B163,""ja"",""vi"")"),"nếu không thì")</f>
        <v>nếu không thì</v>
      </c>
      <c r="F163" s="3" t="str">
        <f ca="1">IFERROR(__xludf.DUMMYFUNCTION("GOOGLETRANSLATE(C163,""ja"",""vi"")"),"Đấu giá&gt; thiết bị điện tử tiêu dùng, AV, camera&gt; làm sạch&gt; Khác")</f>
        <v>Đấu giá&gt; thiết bị điện tử tiêu dùng, AV, camera&gt; làm sạch&gt; Khác</v>
      </c>
      <c r="G163" s="228" t="str">
        <f t="shared" ca="1" si="8"/>
        <v>"2084213160" : "nếu không thì",</v>
      </c>
      <c r="H163" s="229" t="str">
        <f t="shared" si="9"/>
        <v>&lt;li class="col-md-3"&gt;&lt;a class="text-cut" href="javascript:;"(click)="categoryEvent(2084213160)"&gt;{{"2084213160" | translate}}&lt;/a&gt;&lt;/li&gt;</v>
      </c>
    </row>
    <row r="164" spans="1:8" ht="14.25" customHeight="1">
      <c r="E164" s="3"/>
      <c r="F164" s="3"/>
      <c r="G164" s="228"/>
      <c r="H164" s="229"/>
    </row>
    <row r="165" spans="1:8" ht="14.25" customHeight="1">
      <c r="E165" s="3"/>
      <c r="F165" s="3"/>
      <c r="G165" s="228"/>
      <c r="H165" s="229"/>
    </row>
    <row r="166" spans="1:8" ht="14.25" customHeight="1">
      <c r="A166" s="311">
        <v>2084008356</v>
      </c>
      <c r="B166" s="232"/>
      <c r="C166" s="232"/>
      <c r="D166" s="233"/>
      <c r="E166" s="3"/>
      <c r="F166" s="3"/>
      <c r="G166" s="228"/>
      <c r="H166" s="229"/>
    </row>
    <row r="167" spans="1:8" ht="14.25" customHeight="1">
      <c r="A167" s="2">
        <v>24438</v>
      </c>
      <c r="B167" s="2" t="s">
        <v>8810</v>
      </c>
      <c r="C167" s="2" t="s">
        <v>8811</v>
      </c>
      <c r="D167" s="116" t="str">
        <f t="shared" ref="D167:D184" si="10">CONCATENATE("0,",",23632,2084008356,",A167)</f>
        <v>0,,23632,2084008356,24438</v>
      </c>
      <c r="E167" s="3" t="str">
        <f ca="1">IFERROR(__xludf.DUMMYFUNCTION("GOOGLETRANSLATE(B167,""ja"",""vi"")"),"điều hòa không khí")</f>
        <v>điều hòa không khí</v>
      </c>
      <c r="F167" s="3" t="str">
        <f ca="1">IFERROR(__xludf.DUMMYFUNCTION("GOOGLETRANSLATE(C167,""ja"",""vi"")"),"Đấu giá&gt; thiết bị điện tử tiêu dùng, AV, camera&gt; làm nóng và làm mát, máy lạnh&gt; Điều hòa không khí")</f>
        <v>Đấu giá&gt; thiết bị điện tử tiêu dùng, AV, camera&gt; làm nóng và làm mát, máy lạnh&gt; Điều hòa không khí</v>
      </c>
      <c r="G167" s="228" t="str">
        <f t="shared" ca="1" si="8"/>
        <v>"24438" : "điều hòa không khí",</v>
      </c>
      <c r="H167" s="229" t="str">
        <f t="shared" si="9"/>
        <v>&lt;li class="col-md-3"&gt;&lt;a class="text-cut" href="javascript:;"(click)="categoryEvent(24438)"&gt;{{"24438" | translate}}&lt;/a&gt;&lt;/li&gt;</v>
      </c>
    </row>
    <row r="168" spans="1:8" ht="14.25" customHeight="1">
      <c r="A168" s="2">
        <v>2084006906</v>
      </c>
      <c r="B168" s="2" t="s">
        <v>8814</v>
      </c>
      <c r="C168" s="2" t="s">
        <v>8815</v>
      </c>
      <c r="D168" s="116" t="str">
        <f t="shared" si="10"/>
        <v>0,,23632,2084008356,2084006906</v>
      </c>
      <c r="E168" s="3" t="str">
        <f ca="1">IFERROR(__xludf.DUMMYFUNCTION("GOOGLETRANSLATE(B168,""ja"",""vi"")"),"không khí sạch hơn")</f>
        <v>không khí sạch hơn</v>
      </c>
      <c r="F168" s="3" t="str">
        <f ca="1">IFERROR(__xludf.DUMMYFUNCTION("GOOGLETRANSLATE(C168,""ja"",""vi"")"),"Đấu giá&gt; thiết bị điện tử tiêu dùng, AV, camera&gt; làm nóng và làm mát, điều hòa không khí&gt; không khí sạch hơn")</f>
        <v>Đấu giá&gt; thiết bị điện tử tiêu dùng, AV, camera&gt; làm nóng và làm mát, điều hòa không khí&gt; không khí sạch hơn</v>
      </c>
      <c r="G168" s="228" t="str">
        <f t="shared" ca="1" si="8"/>
        <v>"2084006906" : "không khí sạch hơn",</v>
      </c>
      <c r="H168" s="229" t="str">
        <f t="shared" si="9"/>
        <v>&lt;li class="col-md-3"&gt;&lt;a class="text-cut" href="javascript:;"(click)="categoryEvent(2084006906)"&gt;{{"2084006906" | translate}}&lt;/a&gt;&lt;/li&gt;</v>
      </c>
    </row>
    <row r="169" spans="1:8" ht="14.25" customHeight="1">
      <c r="A169" s="2">
        <v>2084061710</v>
      </c>
      <c r="B169" s="2" t="s">
        <v>8820</v>
      </c>
      <c r="C169" s="2" t="s">
        <v>8823</v>
      </c>
      <c r="D169" s="116" t="str">
        <f t="shared" si="10"/>
        <v>0,,23632,2084008356,2084061710</v>
      </c>
      <c r="E169" s="3" t="str">
        <f ca="1">IFERROR(__xludf.DUMMYFUNCTION("GOOGLETRANSLATE(B169,""ja"",""vi"")"),"Reifuogi")</f>
        <v>Reifuogi</v>
      </c>
      <c r="F169" s="3" t="str">
        <f ca="1">IFERROR(__xludf.DUMMYFUNCTION("GOOGLETRANSLATE(C169,""ja"",""vi"")"),"Đấu giá&gt; thiết bị điện tử tiêu dùng, AV, camera&gt; sưởi ấm và làm mát, điều hòa không khí&gt; Reifuogi")</f>
        <v>Đấu giá&gt; thiết bị điện tử tiêu dùng, AV, camera&gt; sưởi ấm và làm mát, điều hòa không khí&gt; Reifuogi</v>
      </c>
      <c r="G169" s="228" t="str">
        <f t="shared" ca="1" si="8"/>
        <v>"2084061710" : "Reifuogi",</v>
      </c>
      <c r="H169" s="229" t="str">
        <f t="shared" si="9"/>
        <v>&lt;li class="col-md-3"&gt;&lt;a class="text-cut" href="javascript:;"(click)="categoryEvent(2084061710)"&gt;{{"2084061710" | translate}}&lt;/a&gt;&lt;/li&gt;</v>
      </c>
    </row>
    <row r="170" spans="1:8" ht="14.25" customHeight="1">
      <c r="A170" s="2">
        <v>2084008361</v>
      </c>
      <c r="B170" s="2" t="s">
        <v>5837</v>
      </c>
      <c r="C170" s="2" t="s">
        <v>8828</v>
      </c>
      <c r="D170" s="116" t="str">
        <f t="shared" si="10"/>
        <v>0,,23632,2084008356,2084008361</v>
      </c>
      <c r="E170" s="3" t="str">
        <f ca="1">IFERROR(__xludf.DUMMYFUNCTION("GOOGLETRANSLATE(B170,""ja"",""vi"")"),"quạt")</f>
        <v>quạt</v>
      </c>
      <c r="F170" s="3" t="str">
        <f ca="1">IFERROR(__xludf.DUMMYFUNCTION("GOOGLETRANSLATE(C170,""ja"",""vi"")"),"Đấu giá&gt; thiết bị điện tử tiêu dùng, AV, camera&gt; sưởi ấm và làm mát, điều hòa không khí&gt; Fan")</f>
        <v>Đấu giá&gt; thiết bị điện tử tiêu dùng, AV, camera&gt; sưởi ấm và làm mát, điều hòa không khí&gt; Fan</v>
      </c>
      <c r="G170" s="228" t="str">
        <f t="shared" ca="1" si="8"/>
        <v>"2084008361" : "quạt",</v>
      </c>
      <c r="H170" s="229" t="str">
        <f t="shared" si="9"/>
        <v>&lt;li class="col-md-3"&gt;&lt;a class="text-cut" href="javascript:;"(click)="categoryEvent(2084008361)"&gt;{{"2084008361" | translate}}&lt;/a&gt;&lt;/li&gt;</v>
      </c>
    </row>
    <row r="171" spans="1:8" ht="14.25" customHeight="1">
      <c r="A171" s="2">
        <v>2084242820</v>
      </c>
      <c r="B171" s="2" t="s">
        <v>8831</v>
      </c>
      <c r="C171" s="2" t="s">
        <v>8832</v>
      </c>
      <c r="D171" s="116" t="str">
        <f t="shared" si="10"/>
        <v>0,,23632,2084008356,2084242820</v>
      </c>
      <c r="E171" s="3" t="str">
        <f ca="1">IFERROR(__xludf.DUMMYFUNCTION("GOOGLETRANSLATE(B171,""ja"",""vi"")"),"người đưa tin")</f>
        <v>người đưa tin</v>
      </c>
      <c r="F171" s="3" t="str">
        <f ca="1">IFERROR(__xludf.DUMMYFUNCTION("GOOGLETRANSLATE(C171,""ja"",""vi"")"),"Đấu giá&gt; thiết bị điện tử tiêu dùng, AV, camera&gt; làm nóng và làm mát, điều hòa không khí&gt; circulator")</f>
        <v>Đấu giá&gt; thiết bị điện tử tiêu dùng, AV, camera&gt; làm nóng và làm mát, điều hòa không khí&gt; circulator</v>
      </c>
      <c r="G171" s="228" t="str">
        <f t="shared" ca="1" si="8"/>
        <v>"2084242820" : "người đưa tin",</v>
      </c>
      <c r="H171" s="229" t="str">
        <f t="shared" si="9"/>
        <v>&lt;li class="col-md-3"&gt;&lt;a class="text-cut" href="javascript:;"(click)="categoryEvent(2084242820)"&gt;{{"2084242820" | translate}}&lt;/a&gt;&lt;/li&gt;</v>
      </c>
    </row>
    <row r="172" spans="1:8" ht="14.25" customHeight="1">
      <c r="A172" s="2">
        <v>24446</v>
      </c>
      <c r="B172" s="2" t="s">
        <v>8835</v>
      </c>
      <c r="C172" s="2" t="s">
        <v>8836</v>
      </c>
      <c r="D172" s="116" t="str">
        <f t="shared" si="10"/>
        <v>0,,23632,2084008356,24446</v>
      </c>
      <c r="E172" s="3" t="str">
        <f ca="1">IFERROR(__xludf.DUMMYFUNCTION("GOOGLETRANSLATE(B172,""ja"",""vi"")"),"Máy tạo độ ẩm, máy hút ẩm")</f>
        <v>Máy tạo độ ẩm, máy hút ẩm</v>
      </c>
      <c r="F172" s="3" t="str">
        <f ca="1">IFERROR(__xludf.DUMMYFUNCTION("GOOGLETRANSLATE(C172,""ja"",""vi"")"),"Đấu giá&gt; thiết bị điện tử tiêu dùng, AV, camera&gt; làm nóng và làm mát, điều hòa không khí&gt; máy tạo độ ẩm, máy hút ẩm")</f>
        <v>Đấu giá&gt; thiết bị điện tử tiêu dùng, AV, camera&gt; làm nóng và làm mát, điều hòa không khí&gt; máy tạo độ ẩm, máy hút ẩm</v>
      </c>
      <c r="G172" s="228" t="str">
        <f t="shared" ca="1" si="8"/>
        <v>"24446" : "Máy tạo độ ẩm, máy hút ẩm",</v>
      </c>
      <c r="H172" s="229" t="str">
        <f t="shared" si="9"/>
        <v>&lt;li class="col-md-3"&gt;&lt;a class="text-cut" href="javascript:;"(click)="categoryEvent(24446)"&gt;{{"24446" | translate}}&lt;/a&gt;&lt;/li&gt;</v>
      </c>
    </row>
    <row r="173" spans="1:8" ht="14.25" customHeight="1">
      <c r="A173" s="2">
        <v>2084047201</v>
      </c>
      <c r="B173" s="2" t="s">
        <v>8839</v>
      </c>
      <c r="C173" s="2" t="s">
        <v>8842</v>
      </c>
      <c r="D173" s="116" t="str">
        <f t="shared" si="10"/>
        <v>0,,23632,2084008356,2084047201</v>
      </c>
      <c r="E173" s="3" t="str">
        <f ca="1">IFERROR(__xludf.DUMMYFUNCTION("GOOGLETRANSLATE(B173,""ja"",""vi"")"),"kotatsu")</f>
        <v>kotatsu</v>
      </c>
      <c r="F173" s="3" t="str">
        <f ca="1">IFERROR(__xludf.DUMMYFUNCTION("GOOGLETRANSLATE(C173,""ja"",""vi"")"),"Đấu giá&gt; thiết bị điện tử tiêu dùng, AV, camera&gt; làm nóng và làm mát, điều hòa không khí&gt; kotatsu")</f>
        <v>Đấu giá&gt; thiết bị điện tử tiêu dùng, AV, camera&gt; làm nóng và làm mát, điều hòa không khí&gt; kotatsu</v>
      </c>
      <c r="G173" s="228" t="str">
        <f t="shared" ca="1" si="8"/>
        <v>"2084047201" : "kotatsu",</v>
      </c>
      <c r="H173" s="229" t="str">
        <f t="shared" si="9"/>
        <v>&lt;li class="col-md-3"&gt;&lt;a class="text-cut" href="javascript:;"(click)="categoryEvent(2084047201)"&gt;{{"2084047201" | translate}}&lt;/a&gt;&lt;/li&gt;</v>
      </c>
    </row>
    <row r="174" spans="1:8" ht="14.25" customHeight="1">
      <c r="A174" s="2">
        <v>2084008362</v>
      </c>
      <c r="B174" s="2" t="s">
        <v>8845</v>
      </c>
      <c r="C174" s="2" t="s">
        <v>8848</v>
      </c>
      <c r="D174" s="116" t="str">
        <f t="shared" si="10"/>
        <v>0,,23632,2084008356,2084008362</v>
      </c>
      <c r="E174" s="3" t="str">
        <f ca="1">IFERROR(__xludf.DUMMYFUNCTION("GOOGLETRANSLATE(B174,""ja"",""vi"")"),"Lò dầu tải")</f>
        <v>Lò dầu tải</v>
      </c>
      <c r="F174" s="3" t="str">
        <f ca="1">IFERROR(__xludf.DUMMYFUNCTION("GOOGLETRANSLATE(C174,""ja"",""vi"")"),"Đấu giá&gt; thiết bị điện tử tiêu dùng, AV, camera&gt; làm nóng và làm mát, điều hòa không khí&gt; Lò dầu tải")</f>
        <v>Đấu giá&gt; thiết bị điện tử tiêu dùng, AV, camera&gt; làm nóng và làm mát, điều hòa không khí&gt; Lò dầu tải</v>
      </c>
      <c r="G174" s="228" t="str">
        <f t="shared" ca="1" si="8"/>
        <v>"2084008362" : "Lò dầu tải",</v>
      </c>
      <c r="H174" s="229" t="str">
        <f t="shared" si="9"/>
        <v>&lt;li class="col-md-3"&gt;&lt;a class="text-cut" href="javascript:;"(click)="categoryEvent(2084008362)"&gt;{{"2084008362" | translate}}&lt;/a&gt;&lt;/li&gt;</v>
      </c>
    </row>
    <row r="175" spans="1:8" ht="14.25" customHeight="1">
      <c r="A175" s="2">
        <v>2084008359</v>
      </c>
      <c r="B175" s="2" t="s">
        <v>8852</v>
      </c>
      <c r="C175" s="2" t="s">
        <v>8853</v>
      </c>
      <c r="D175" s="116" t="str">
        <f t="shared" si="10"/>
        <v>0,,23632,2084008356,2084008359</v>
      </c>
      <c r="E175" s="3" t="str">
        <f ca="1">IFERROR(__xludf.DUMMYFUNCTION("GOOGLETRANSLATE(B175,""ja"",""vi"")"),"bếp lò")</f>
        <v>bếp lò</v>
      </c>
      <c r="F175" s="3" t="str">
        <f ca="1">IFERROR(__xludf.DUMMYFUNCTION("GOOGLETRANSLATE(C175,""ja"",""vi"")"),"Đấu giá&gt; thiết bị điện tử tiêu dùng, AV, camera&gt; làm nóng và làm mát, máy lạnh&gt; bếp")</f>
        <v>Đấu giá&gt; thiết bị điện tử tiêu dùng, AV, camera&gt; làm nóng và làm mát, máy lạnh&gt; bếp</v>
      </c>
      <c r="G175" s="228" t="str">
        <f t="shared" ca="1" si="8"/>
        <v>"2084008359" : "bếp lò",</v>
      </c>
      <c r="H175" s="229" t="str">
        <f t="shared" si="9"/>
        <v>&lt;li class="col-md-3"&gt;&lt;a class="text-cut" href="javascript:;"(click)="categoryEvent(2084008359)"&gt;{{"2084008359" | translate}}&lt;/a&gt;&lt;/li&gt;</v>
      </c>
    </row>
    <row r="176" spans="1:8" ht="14.25" customHeight="1">
      <c r="A176" s="2">
        <v>2084008358</v>
      </c>
      <c r="B176" s="2" t="s">
        <v>8855</v>
      </c>
      <c r="C176" s="2" t="s">
        <v>8856</v>
      </c>
      <c r="D176" s="116" t="str">
        <f t="shared" si="10"/>
        <v>0,,23632,2084008356,2084008358</v>
      </c>
      <c r="E176" s="3" t="str">
        <f ca="1">IFERROR(__xludf.DUMMYFUNCTION("GOOGLETRANSLATE(B176,""ja"",""vi"")"),"máy quạt khí nóng")</f>
        <v>máy quạt khí nóng</v>
      </c>
      <c r="F176" s="3" t="str">
        <f ca="1">IFERROR(__xludf.DUMMYFUNCTION("GOOGLETRANSLATE(C176,""ja"",""vi"")"),"Đấu giá&gt; thiết bị điện tử tiêu dùng, AV, camera&gt; làm nóng và làm mát, điều hòa không khí&gt; nóng quạt")</f>
        <v>Đấu giá&gt; thiết bị điện tử tiêu dùng, AV, camera&gt; làm nóng và làm mát, điều hòa không khí&gt; nóng quạt</v>
      </c>
      <c r="G176" s="228" t="str">
        <f t="shared" ca="1" si="8"/>
        <v>"2084008358" : "máy quạt khí nóng",</v>
      </c>
      <c r="H176" s="229" t="str">
        <f t="shared" si="9"/>
        <v>&lt;li class="col-md-3"&gt;&lt;a class="text-cut" href="javascript:;"(click)="categoryEvent(2084008358)"&gt;{{"2084008358" | translate}}&lt;/a&gt;&lt;/li&gt;</v>
      </c>
    </row>
    <row r="177" spans="1:8" ht="14.25" customHeight="1">
      <c r="A177" s="2">
        <v>2084008360</v>
      </c>
      <c r="B177" s="2" t="s">
        <v>8860</v>
      </c>
      <c r="C177" s="2" t="s">
        <v>8861</v>
      </c>
      <c r="D177" s="116" t="str">
        <f t="shared" si="10"/>
        <v>0,,23632,2084008356,2084008360</v>
      </c>
      <c r="E177" s="3" t="str">
        <f ca="1">IFERROR(__xludf.DUMMYFUNCTION("GOOGLETRANSLATE(B177,""ja"",""vi"")"),"thảm nóng")</f>
        <v>thảm nóng</v>
      </c>
      <c r="F177" s="3" t="str">
        <f ca="1">IFERROR(__xludf.DUMMYFUNCTION("GOOGLETRANSLATE(C177,""ja"",""vi"")"),"Đấu giá&gt; thiết bị điện tử tiêu dùng, AV, camera&gt; làm nóng và làm mát, điều hòa không khí&gt; thảm nóng")</f>
        <v>Đấu giá&gt; thiết bị điện tử tiêu dùng, AV, camera&gt; làm nóng và làm mát, điều hòa không khí&gt; thảm nóng</v>
      </c>
      <c r="G177" s="228" t="str">
        <f t="shared" ca="1" si="8"/>
        <v>"2084008360" : "thảm nóng",</v>
      </c>
      <c r="H177" s="229" t="str">
        <f t="shared" si="9"/>
        <v>&lt;li class="col-md-3"&gt;&lt;a class="text-cut" href="javascript:;"(click)="categoryEvent(2084008360)"&gt;{{"2084008360" | translate}}&lt;/a&gt;&lt;/li&gt;</v>
      </c>
    </row>
    <row r="178" spans="1:8" ht="14.25" customHeight="1">
      <c r="A178" s="2">
        <v>2084239052</v>
      </c>
      <c r="B178" s="2" t="s">
        <v>8864</v>
      </c>
      <c r="C178" s="2" t="s">
        <v>8865</v>
      </c>
      <c r="D178" s="116" t="str">
        <f t="shared" si="10"/>
        <v>0,,23632,2084008356,2084239052</v>
      </c>
      <c r="E178" s="3" t="str">
        <f ca="1">IFERROR(__xludf.DUMMYFUNCTION("GOOGLETRANSLATE(B178,""ja"",""vi"")"),"mat nóng")</f>
        <v>mat nóng</v>
      </c>
      <c r="F178" s="3" t="str">
        <f ca="1">IFERROR(__xludf.DUMMYFUNCTION("GOOGLETRANSLATE(C178,""ja"",""vi"")"),"Đấu giá&gt; thiết bị điện tử tiêu dùng, AV, camera&gt; làm nóng và làm mát, điều hòa không khí&gt; mat nóng")</f>
        <v>Đấu giá&gt; thiết bị điện tử tiêu dùng, AV, camera&gt; làm nóng và làm mát, điều hòa không khí&gt; mat nóng</v>
      </c>
      <c r="G178" s="228" t="str">
        <f t="shared" ca="1" si="8"/>
        <v>"2084239052" : "mat nóng",</v>
      </c>
      <c r="H178" s="229" t="str">
        <f t="shared" si="9"/>
        <v>&lt;li class="col-md-3"&gt;&lt;a class="text-cut" href="javascript:;"(click)="categoryEvent(2084239052)"&gt;{{"2084239052" | translate}}&lt;/a&gt;&lt;/li&gt;</v>
      </c>
    </row>
    <row r="179" spans="1:8" ht="14.25" customHeight="1">
      <c r="A179" s="2">
        <v>2084239054</v>
      </c>
      <c r="B179" s="2" t="s">
        <v>8868</v>
      </c>
      <c r="C179" s="2" t="s">
        <v>8869</v>
      </c>
      <c r="D179" s="116" t="str">
        <f t="shared" si="10"/>
        <v>0,,23632,2084008356,2084239054</v>
      </c>
      <c r="E179" s="3" t="str">
        <f ca="1">IFERROR(__xludf.DUMMYFUNCTION("GOOGLETRANSLATE(B179,""ja"",""vi"")"),"neo Electric")</f>
        <v>neo Electric</v>
      </c>
      <c r="F179" s="3" t="str">
        <f ca="1">IFERROR(__xludf.DUMMYFUNCTION("GOOGLETRANSLATE(C179,""ja"",""vi"")"),"Đấu giá&gt; thiết bị điện tử tiêu dùng, AV, camera&gt; làm nóng và làm mát, điều hòa không khí&gt; neo điện")</f>
        <v>Đấu giá&gt; thiết bị điện tử tiêu dùng, AV, camera&gt; làm nóng và làm mát, điều hòa không khí&gt; neo điện</v>
      </c>
      <c r="G179" s="228" t="str">
        <f t="shared" ca="1" si="8"/>
        <v>"2084239054" : "neo Electric",</v>
      </c>
      <c r="H179" s="229" t="str">
        <f t="shared" si="9"/>
        <v>&lt;li class="col-md-3"&gt;&lt;a class="text-cut" href="javascript:;"(click)="categoryEvent(2084239054)"&gt;{{"2084239054" | translate}}&lt;/a&gt;&lt;/li&gt;</v>
      </c>
    </row>
    <row r="180" spans="1:8" ht="14.25" customHeight="1">
      <c r="A180" s="2">
        <v>2084215691</v>
      </c>
      <c r="B180" s="2" t="s">
        <v>8872</v>
      </c>
      <c r="C180" s="2" t="s">
        <v>8875</v>
      </c>
      <c r="D180" s="116" t="str">
        <f t="shared" si="10"/>
        <v>0,,23632,2084008356,2084215691</v>
      </c>
      <c r="E180" s="3" t="str">
        <f ca="1">IFERROR(__xludf.DUMMYFUNCTION("GOOGLETRANSLATE(B180,""ja"",""vi"")"),"nóng điện")</f>
        <v>nóng điện</v>
      </c>
      <c r="F180" s="3" t="str">
        <f ca="1">IFERROR(__xludf.DUMMYFUNCTION("GOOGLETRANSLATE(C180,""ja"",""vi"")"),"Đấu giá&gt; thiết bị điện tử tiêu dùng, AV, camera&gt; làm nóng và làm mát, điều hòa không khí&gt; nóng điện")</f>
        <v>Đấu giá&gt; thiết bị điện tử tiêu dùng, AV, camera&gt; làm nóng và làm mát, điều hòa không khí&gt; nóng điện</v>
      </c>
      <c r="G180" s="228" t="str">
        <f t="shared" ca="1" si="8"/>
        <v>"2084215691" : "nóng điện",</v>
      </c>
      <c r="H180" s="229" t="str">
        <f t="shared" si="9"/>
        <v>&lt;li class="col-md-3"&gt;&lt;a class="text-cut" href="javascript:;"(click)="categoryEvent(2084215691)"&gt;{{"2084215691" | translate}}&lt;/a&gt;&lt;/li&gt;</v>
      </c>
    </row>
    <row r="181" spans="1:8" ht="14.25" customHeight="1">
      <c r="A181" s="2">
        <v>2084239053</v>
      </c>
      <c r="B181" s="2" t="s">
        <v>8879</v>
      </c>
      <c r="C181" s="2" t="s">
        <v>8880</v>
      </c>
      <c r="D181" s="116" t="str">
        <f t="shared" si="10"/>
        <v>0,,23632,2084008356,2084239053</v>
      </c>
      <c r="E181" s="3" t="str">
        <f ca="1">IFERROR(__xludf.DUMMYFUNCTION("GOOGLETRANSLATE(B181,""ja"",""vi"")"),"chăn điện, chăn điện")</f>
        <v>chăn điện, chăn điện</v>
      </c>
      <c r="F181" s="3" t="str">
        <f ca="1">IFERROR(__xludf.DUMMYFUNCTION("GOOGLETRANSLATE(C181,""ja"",""vi"")"),"Đấu giá&gt; điện tử, AV, camera&gt; làm nóng và làm mát, điều hòa không khí&gt; chăn điện chăn điện")</f>
        <v>Đấu giá&gt; điện tử, AV, camera&gt; làm nóng và làm mát, điều hòa không khí&gt; chăn điện chăn điện</v>
      </c>
      <c r="G181" s="228" t="str">
        <f t="shared" ca="1" si="8"/>
        <v>"2084239053" : "chăn điện, chăn điện",</v>
      </c>
      <c r="H181" s="229" t="str">
        <f t="shared" si="9"/>
        <v>&lt;li class="col-md-3"&gt;&lt;a class="text-cut" href="javascript:;"(click)="categoryEvent(2084239053)"&gt;{{"2084239053" | translate}}&lt;/a&gt;&lt;/li&gt;</v>
      </c>
    </row>
    <row r="182" spans="1:8" ht="14.25" customHeight="1">
      <c r="A182" s="2">
        <v>2084042679</v>
      </c>
      <c r="B182" s="2" t="s">
        <v>8883</v>
      </c>
      <c r="C182" s="2" t="s">
        <v>8884</v>
      </c>
      <c r="D182" s="116" t="str">
        <f t="shared" si="10"/>
        <v>0,,23632,2084008356,2084042679</v>
      </c>
      <c r="E182" s="3" t="str">
        <f ca="1">IFERROR(__xludf.DUMMYFUNCTION("GOOGLETRANSLATE(B182,""ja"",""vi"")"),"máy sấy futon")</f>
        <v>máy sấy futon</v>
      </c>
      <c r="F182" s="3" t="str">
        <f ca="1">IFERROR(__xludf.DUMMYFUNCTION("GOOGLETRANSLATE(C182,""ja"",""vi"")"),"Đấu giá&gt; thiết bị điện tử tiêu dùng, AV, camera&gt; sưởi ấm và làm mát, điều hòa không khí&gt; futon máy sấy")</f>
        <v>Đấu giá&gt; thiết bị điện tử tiêu dùng, AV, camera&gt; sưởi ấm và làm mát, điều hòa không khí&gt; futon máy sấy</v>
      </c>
      <c r="G182" s="228" t="str">
        <f t="shared" ca="1" si="8"/>
        <v>"2084042679" : "máy sấy futon",</v>
      </c>
      <c r="H182" s="229" t="str">
        <f t="shared" si="9"/>
        <v>&lt;li class="col-md-3"&gt;&lt;a class="text-cut" href="javascript:;"(click)="categoryEvent(2084042679)"&gt;{{"2084042679" | translate}}&lt;/a&gt;&lt;/li&gt;</v>
      </c>
    </row>
    <row r="183" spans="1:8" ht="14.25" customHeight="1">
      <c r="A183" s="2">
        <v>2084049865</v>
      </c>
      <c r="B183" s="2" t="s">
        <v>8885</v>
      </c>
      <c r="C183" s="2" t="s">
        <v>8886</v>
      </c>
      <c r="D183" s="116" t="str">
        <f t="shared" si="10"/>
        <v>0,,23632,2084008356,2084049865</v>
      </c>
      <c r="E183" s="3" t="str">
        <f ca="1">IFERROR(__xludf.DUMMYFUNCTION("GOOGLETRANSLATE(B183,""ja"",""vi"")"),"Quạt thông gió")</f>
        <v>Quạt thông gió</v>
      </c>
      <c r="F183" s="3" t="str">
        <f ca="1">IFERROR(__xludf.DUMMYFUNCTION("GOOGLETRANSLATE(C183,""ja"",""vi"")"),"Đấu giá&gt; thiết bị điện tử tiêu dùng, AV, camera&gt; làm nóng và làm mát, máy lạnh&gt; Quạt máy")</f>
        <v>Đấu giá&gt; thiết bị điện tử tiêu dùng, AV, camera&gt; làm nóng và làm mát, máy lạnh&gt; Quạt máy</v>
      </c>
      <c r="G183" s="228" t="str">
        <f t="shared" ca="1" si="8"/>
        <v>"2084049865" : "Quạt thông gió",</v>
      </c>
      <c r="H183" s="229" t="str">
        <f t="shared" si="9"/>
        <v>&lt;li class="col-md-3"&gt;&lt;a class="text-cut" href="javascript:;"(click)="categoryEvent(2084049865)"&gt;{{"2084049865" | translate}}&lt;/a&gt;&lt;/li&gt;</v>
      </c>
    </row>
    <row r="184" spans="1:8" ht="14.25" customHeight="1">
      <c r="A184" s="2">
        <v>2084008363</v>
      </c>
      <c r="B184" s="2" t="s">
        <v>16</v>
      </c>
      <c r="C184" s="2" t="s">
        <v>8887</v>
      </c>
      <c r="D184" s="116" t="str">
        <f t="shared" si="10"/>
        <v>0,,23632,2084008356,2084008363</v>
      </c>
      <c r="E184" s="3" t="str">
        <f ca="1">IFERROR(__xludf.DUMMYFUNCTION("GOOGLETRANSLATE(B184,""ja"",""vi"")"),"nếu không thì")</f>
        <v>nếu không thì</v>
      </c>
      <c r="F184" s="3" t="str">
        <f ca="1">IFERROR(__xludf.DUMMYFUNCTION("GOOGLETRANSLATE(C184,""ja"",""vi"")"),"Đấu giá&gt; thiết bị điện tử tiêu dùng, AV, camera&gt; làm nóng và làm mát, điều hòa không khí&gt; Khác")</f>
        <v>Đấu giá&gt; thiết bị điện tử tiêu dùng, AV, camera&gt; làm nóng và làm mát, điều hòa không khí&gt; Khác</v>
      </c>
      <c r="G184" s="228" t="str">
        <f t="shared" ca="1" si="8"/>
        <v>"2084008363" : "nếu không thì",</v>
      </c>
      <c r="H184" s="229" t="str">
        <f t="shared" si="9"/>
        <v>&lt;li class="col-md-3"&gt;&lt;a class="text-cut" href="javascript:;"(click)="categoryEvent(2084008363)"&gt;{{"2084008363" | translate}}&lt;/a&gt;&lt;/li&gt;</v>
      </c>
    </row>
    <row r="185" spans="1:8" ht="14.25" customHeight="1">
      <c r="E185" s="3"/>
      <c r="F185" s="3"/>
      <c r="G185" s="228"/>
      <c r="H185" s="229"/>
    </row>
    <row r="186" spans="1:8" ht="14.25" customHeight="1">
      <c r="E186" s="3"/>
      <c r="F186" s="3"/>
      <c r="G186" s="228"/>
      <c r="H186" s="229"/>
    </row>
    <row r="187" spans="1:8" ht="14.25" customHeight="1">
      <c r="A187" s="316">
        <v>2084042673</v>
      </c>
      <c r="B187" s="232"/>
      <c r="C187" s="232"/>
      <c r="D187" s="233"/>
      <c r="E187" s="3"/>
      <c r="F187" s="3"/>
      <c r="G187" s="228"/>
      <c r="H187" s="229"/>
    </row>
    <row r="188" spans="1:8" ht="14.25" customHeight="1">
      <c r="A188" s="2">
        <v>2084063421</v>
      </c>
      <c r="B188" s="2" t="s">
        <v>8888</v>
      </c>
      <c r="C188" s="2" t="s">
        <v>8889</v>
      </c>
      <c r="D188" s="116" t="str">
        <f t="shared" ref="D188:D197" si="11">CONCATENATE("0,","23632,2084042673,",A187)</f>
        <v>0,23632,2084042673,2084042673</v>
      </c>
      <c r="E188" s="3" t="str">
        <f ca="1">IFERROR(__xludf.DUMMYFUNCTION("GOOGLETRANSLATE(B188,""ja"",""vi"")"),"foot Bath")</f>
        <v>foot Bath</v>
      </c>
      <c r="F188" s="3" t="str">
        <f ca="1">IFERROR(__xludf.DUMMYFUNCTION("GOOGLETRANSLATE(C188,""ja"",""vi"")"),"Đấu giá&gt; thiết bị điện tử tiêu dùng, AV, camera&gt; vẻ đẹp, sức khỏe&gt; ​​ngâm chân")</f>
        <v>Đấu giá&gt; thiết bị điện tử tiêu dùng, AV, camera&gt; vẻ đẹp, sức khỏe&gt; ​​ngâm chân</v>
      </c>
      <c r="G188" s="228" t="str">
        <f t="shared" ca="1" si="8"/>
        <v>"2084063421" : "foot Bath",</v>
      </c>
      <c r="H188" s="229" t="str">
        <f t="shared" si="9"/>
        <v>&lt;li class="col-md-3"&gt;&lt;a class="text-cut" href="javascript:;"(click)="categoryEvent(2084063421)"&gt;{{"2084063421" | translate}}&lt;/a&gt;&lt;/li&gt;</v>
      </c>
    </row>
    <row r="189" spans="1:8" ht="14.25" customHeight="1">
      <c r="A189" s="2">
        <v>2084044961</v>
      </c>
      <c r="B189" s="2" t="s">
        <v>2962</v>
      </c>
      <c r="C189" s="2" t="s">
        <v>8891</v>
      </c>
      <c r="D189" s="116" t="str">
        <f t="shared" si="11"/>
        <v>0,23632,2084042673,2084063421</v>
      </c>
      <c r="E189" s="3" t="str">
        <f ca="1">IFERROR(__xludf.DUMMYFUNCTION("GOOGLETRANSLATE(B189,""ja"",""vi"")"),"sắt uốn")</f>
        <v>sắt uốn</v>
      </c>
      <c r="F189" s="3" t="str">
        <f ca="1">IFERROR(__xludf.DUMMYFUNCTION("GOOGLETRANSLATE(C189,""ja"",""vi"")"),"Đấu giá&gt; thiết bị điện tử tiêu dùng, AV, camera&gt; vẻ đẹp, sức khỏe&gt; ​​sắt tóc")</f>
        <v>Đấu giá&gt; thiết bị điện tử tiêu dùng, AV, camera&gt; vẻ đẹp, sức khỏe&gt; ​​sắt tóc</v>
      </c>
      <c r="G189" s="228" t="str">
        <f t="shared" ca="1" si="8"/>
        <v>"2084044961" : "sắt uốn",</v>
      </c>
      <c r="H189" s="229" t="str">
        <f t="shared" si="9"/>
        <v>&lt;li class="col-md-3"&gt;&lt;a class="text-cut" href="javascript:;"(click)="categoryEvent(2084044961)"&gt;{{"2084044961" | translate}}&lt;/a&gt;&lt;/li&gt;</v>
      </c>
    </row>
    <row r="190" spans="1:8" ht="14.25" customHeight="1">
      <c r="A190" s="2">
        <v>2084044962</v>
      </c>
      <c r="B190" s="2" t="s">
        <v>8892</v>
      </c>
      <c r="C190" s="2" t="s">
        <v>8893</v>
      </c>
      <c r="D190" s="116" t="str">
        <f t="shared" si="11"/>
        <v>0,23632,2084042673,2084044961</v>
      </c>
      <c r="E190" s="3" t="str">
        <f ca="1">IFERROR(__xludf.DUMMYFUNCTION("GOOGLETRANSLATE(B190,""ja"",""vi"")"),"dụng cụ uốn tóc")</f>
        <v>dụng cụ uốn tóc</v>
      </c>
      <c r="F190" s="3" t="str">
        <f ca="1">IFERROR(__xludf.DUMMYFUNCTION("GOOGLETRANSLATE(C190,""ja"",""vi"")"),"Đấu giá&gt; thiết bị điện tử tiêu dùng, AV, camera&gt; vẻ đẹp, sức khỏe&gt; ​​dụng cụ uốn tóc")</f>
        <v>Đấu giá&gt; thiết bị điện tử tiêu dùng, AV, camera&gt; vẻ đẹp, sức khỏe&gt; ​​dụng cụ uốn tóc</v>
      </c>
      <c r="G190" s="228" t="str">
        <f t="shared" ca="1" si="8"/>
        <v>"2084044962" : "dụng cụ uốn tóc",</v>
      </c>
      <c r="H190" s="229" t="str">
        <f t="shared" si="9"/>
        <v>&lt;li class="col-md-3"&gt;&lt;a class="text-cut" href="javascript:;"(click)="categoryEvent(2084044962)"&gt;{{"2084044962" | translate}}&lt;/a&gt;&lt;/li&gt;</v>
      </c>
    </row>
    <row r="191" spans="1:8" ht="14.25" customHeight="1">
      <c r="A191" s="2">
        <v>2084044960</v>
      </c>
      <c r="B191" s="2" t="s">
        <v>2970</v>
      </c>
      <c r="C191" s="2" t="s">
        <v>8894</v>
      </c>
      <c r="D191" s="116" t="str">
        <f t="shared" si="11"/>
        <v>0,23632,2084042673,2084044962</v>
      </c>
      <c r="E191" s="3" t="str">
        <f ca="1">IFERROR(__xludf.DUMMYFUNCTION("GOOGLETRANSLATE(B191,""ja"",""vi"")"),"máy sấy tóc")</f>
        <v>máy sấy tóc</v>
      </c>
      <c r="F191" s="3" t="str">
        <f ca="1">IFERROR(__xludf.DUMMYFUNCTION("GOOGLETRANSLATE(C191,""ja"",""vi"")"),"Đấu giá&gt; thiết bị điện tử tiêu dùng, AV, camera&gt; vẻ đẹp, sức khỏe&gt; ​​Máy sấy tóc")</f>
        <v>Đấu giá&gt; thiết bị điện tử tiêu dùng, AV, camera&gt; vẻ đẹp, sức khỏe&gt; ​​Máy sấy tóc</v>
      </c>
      <c r="G191" s="228" t="str">
        <f t="shared" ca="1" si="8"/>
        <v>"2084044960" : "máy sấy tóc",</v>
      </c>
      <c r="H191" s="229" t="str">
        <f t="shared" si="9"/>
        <v>&lt;li class="col-md-3"&gt;&lt;a class="text-cut" href="javascript:;"(click)="categoryEvent(2084044960)"&gt;{{"2084044960" | translate}}&lt;/a&gt;&lt;/li&gt;</v>
      </c>
    </row>
    <row r="192" spans="1:8" ht="14.25" customHeight="1">
      <c r="A192" s="2">
        <v>2084006905</v>
      </c>
      <c r="B192" s="2" t="s">
        <v>3284</v>
      </c>
      <c r="C192" s="2" t="s">
        <v>8895</v>
      </c>
      <c r="D192" s="116" t="str">
        <f t="shared" si="11"/>
        <v>0,23632,2084042673,2084044960</v>
      </c>
      <c r="E192" s="3" t="str">
        <f ca="1">IFERROR(__xludf.DUMMYFUNCTION("GOOGLETRANSLATE(B192,""ja"",""vi"")"),"máy massage")</f>
        <v>máy massage</v>
      </c>
      <c r="F192" s="3" t="str">
        <f ca="1">IFERROR(__xludf.DUMMYFUNCTION("GOOGLETRANSLATE(C192,""ja"",""vi"")"),"Đấu giá&gt; thiết bị điện tử tiêu dùng, AV, camera&gt; vẻ đẹp, sức khỏe&gt; ​​Máy massage")</f>
        <v>Đấu giá&gt; thiết bị điện tử tiêu dùng, AV, camera&gt; vẻ đẹp, sức khỏe&gt; ​​Máy massage</v>
      </c>
      <c r="G192" s="228" t="str">
        <f t="shared" ca="1" si="8"/>
        <v>"2084006905" : "máy massage",</v>
      </c>
      <c r="H192" s="229" t="str">
        <f t="shared" si="9"/>
        <v>&lt;li class="col-md-3"&gt;&lt;a class="text-cut" href="javascript:;"(click)="categoryEvent(2084006905)"&gt;{{"2084006905" | translate}}&lt;/a&gt;&lt;/li&gt;</v>
      </c>
    </row>
    <row r="193" spans="1:8" ht="14.25" customHeight="1">
      <c r="A193" s="2">
        <v>2084006921</v>
      </c>
      <c r="B193" s="2" t="s">
        <v>3333</v>
      </c>
      <c r="C193" s="2" t="s">
        <v>8896</v>
      </c>
      <c r="D193" s="116" t="str">
        <f t="shared" si="11"/>
        <v>0,23632,2084042673,2084006905</v>
      </c>
      <c r="E193" s="3" t="str">
        <f ca="1">IFERROR(__xludf.DUMMYFUNCTION("GOOGLETRANSLATE(B193,""ja"",""vi"")"),"mét mỡ cơ thể")</f>
        <v>mét mỡ cơ thể</v>
      </c>
      <c r="F193" s="3" t="str">
        <f ca="1">IFERROR(__xludf.DUMMYFUNCTION("GOOGLETRANSLATE(C193,""ja"",""vi"")"),"Đấu giá&gt; thiết bị điện tử tiêu dùng, AV, camera&gt; vẻ đẹp, sức khỏe&gt; ​​mét mỡ cơ thể")</f>
        <v>Đấu giá&gt; thiết bị điện tử tiêu dùng, AV, camera&gt; vẻ đẹp, sức khỏe&gt; ​​mét mỡ cơ thể</v>
      </c>
      <c r="G193" s="228" t="str">
        <f t="shared" ca="1" si="8"/>
        <v>"2084006921" : "mét mỡ cơ thể",</v>
      </c>
      <c r="H193" s="229" t="str">
        <f t="shared" si="9"/>
        <v>&lt;li class="col-md-3"&gt;&lt;a class="text-cut" href="javascript:;"(click)="categoryEvent(2084006921)"&gt;{{"2084006921" | translate}}&lt;/a&gt;&lt;/li&gt;</v>
      </c>
    </row>
    <row r="194" spans="1:8" ht="14.25" customHeight="1">
      <c r="A194" s="2">
        <v>2084044963</v>
      </c>
      <c r="B194" s="2" t="s">
        <v>8897</v>
      </c>
      <c r="C194" s="2" t="s">
        <v>8898</v>
      </c>
      <c r="D194" s="116" t="str">
        <f t="shared" si="11"/>
        <v>0,23632,2084042673,2084006921</v>
      </c>
      <c r="E194" s="3" t="str">
        <f ca="1">IFERROR(__xludf.DUMMYFUNCTION("GOOGLETRANSLATE(B194,""ja"",""vi"")"),"dao cạo điện")</f>
        <v>dao cạo điện</v>
      </c>
      <c r="F194" s="3" t="str">
        <f ca="1">IFERROR(__xludf.DUMMYFUNCTION("GOOGLETRANSLATE(C194,""ja"",""vi"")"),"Đấu giá&gt; thiết bị điện tử tiêu dùng, AV, camera&gt; vẻ đẹp, sức khỏe&gt; ​​Máy cạo râu điện")</f>
        <v>Đấu giá&gt; thiết bị điện tử tiêu dùng, AV, camera&gt; vẻ đẹp, sức khỏe&gt; ​​Máy cạo râu điện</v>
      </c>
      <c r="G194" s="228" t="str">
        <f t="shared" ca="1" si="8"/>
        <v>"2084044963" : "dao cạo điện",</v>
      </c>
      <c r="H194" s="229" t="str">
        <f t="shared" si="9"/>
        <v>&lt;li class="col-md-3"&gt;&lt;a class="text-cut" href="javascript:;"(click)="categoryEvent(2084044963)"&gt;{{"2084044963" | translate}}&lt;/a&gt;&lt;/li&gt;</v>
      </c>
    </row>
    <row r="195" spans="1:8" ht="14.25" customHeight="1">
      <c r="A195" s="2">
        <v>2084044972</v>
      </c>
      <c r="B195" s="2" t="s">
        <v>3798</v>
      </c>
      <c r="C195" s="2" t="s">
        <v>8899</v>
      </c>
      <c r="D195" s="116" t="str">
        <f t="shared" si="11"/>
        <v>0,23632,2084042673,2084044963</v>
      </c>
      <c r="E195" s="3" t="str">
        <f ca="1">IFERROR(__xludf.DUMMYFUNCTION("GOOGLETRANSLATE(B195,""ja"",""vi"")"),"bàn chải đánh răng điện")</f>
        <v>bàn chải đánh răng điện</v>
      </c>
      <c r="F195" s="3" t="str">
        <f ca="1">IFERROR(__xludf.DUMMYFUNCTION("GOOGLETRANSLATE(C195,""ja"",""vi"")"),"Đấu giá&gt; thiết bị điện tử tiêu dùng, AV, camera&gt; vẻ đẹp, sức khỏe&gt; ​​bàn chải đánh răng điện")</f>
        <v>Đấu giá&gt; thiết bị điện tử tiêu dùng, AV, camera&gt; vẻ đẹp, sức khỏe&gt; ​​bàn chải đánh răng điện</v>
      </c>
      <c r="G195" s="228" t="str">
        <f t="shared" ref="G195:G258" ca="1" si="12">CONCATENATE(CHAR(34)&amp;"",A195,""&amp;CHAR(34)," : ", CHAR(34)&amp;"",E195,""&amp;CHAR(34),",")</f>
        <v>"2084044972" : "bàn chải đánh răng điện",</v>
      </c>
      <c r="H195" s="229" t="str">
        <f t="shared" ref="H195:H258" si="13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href="javascript:;"(click)="categoryEvent(2084044972)"&gt;{{"2084044972" | translate}}&lt;/a&gt;&lt;/li&gt;</v>
      </c>
    </row>
    <row r="196" spans="1:8" ht="14.25" customHeight="1">
      <c r="A196" s="2">
        <v>2084007477</v>
      </c>
      <c r="B196" s="2" t="s">
        <v>2566</v>
      </c>
      <c r="C196" s="2" t="s">
        <v>8900</v>
      </c>
      <c r="D196" s="116" t="str">
        <f t="shared" si="11"/>
        <v>0,23632,2084042673,2084044972</v>
      </c>
      <c r="E196" s="3" t="str">
        <f ca="1">IFERROR(__xludf.DUMMYFUNCTION("GOOGLETRANSLATE(B196,""ja"",""vi"")"),"Vẻ đẹp Thiết bị")</f>
        <v>Vẻ đẹp Thiết bị</v>
      </c>
      <c r="F196" s="3" t="str">
        <f ca="1">IFERROR(__xludf.DUMMYFUNCTION("GOOGLETRANSLATE(C196,""ja"",""vi"")"),"Đấu giá&gt; thiết bị điện tử tiêu dùng, AV, camera&gt; vẻ đẹp, sức khỏe&gt; ​​Thiết bị vẻ đẹp")</f>
        <v>Đấu giá&gt; thiết bị điện tử tiêu dùng, AV, camera&gt; vẻ đẹp, sức khỏe&gt; ​​Thiết bị vẻ đẹp</v>
      </c>
      <c r="G196" s="228" t="str">
        <f t="shared" ca="1" si="12"/>
        <v>"2084007477" : "Vẻ đẹp Thiết bị",</v>
      </c>
      <c r="H196" s="229" t="str">
        <f t="shared" si="13"/>
        <v>&lt;li class="col-md-3"&gt;&lt;a class="text-cut" href="javascript:;"(click)="categoryEvent(2084007477)"&gt;{{"2084007477" | translate}}&lt;/a&gt;&lt;/li&gt;</v>
      </c>
    </row>
    <row r="197" spans="1:8" ht="14.25" customHeight="1">
      <c r="A197" s="2">
        <v>2084042674</v>
      </c>
      <c r="B197" s="2" t="s">
        <v>16</v>
      </c>
      <c r="C197" s="2" t="s">
        <v>8901</v>
      </c>
      <c r="D197" s="116" t="str">
        <f t="shared" si="11"/>
        <v>0,23632,2084042673,2084007477</v>
      </c>
      <c r="E197" s="3" t="str">
        <f ca="1">IFERROR(__xludf.DUMMYFUNCTION("GOOGLETRANSLATE(B197,""ja"",""vi"")"),"nếu không thì")</f>
        <v>nếu không thì</v>
      </c>
      <c r="F197" s="3" t="str">
        <f ca="1">IFERROR(__xludf.DUMMYFUNCTION("GOOGLETRANSLATE(C197,""ja"",""vi"")"),"Đấu giá&gt; thiết bị điện tử tiêu dùng, AV, camera&gt; vẻ đẹp, sức khỏe&gt; ​​Khác")</f>
        <v>Đấu giá&gt; thiết bị điện tử tiêu dùng, AV, camera&gt; vẻ đẹp, sức khỏe&gt; ​​Khác</v>
      </c>
      <c r="G197" s="228" t="str">
        <f t="shared" ca="1" si="12"/>
        <v>"2084042674" : "nếu không thì",</v>
      </c>
      <c r="H197" s="229" t="str">
        <f t="shared" si="13"/>
        <v>&lt;li class="col-md-3"&gt;&lt;a class="text-cut" href="javascript:;"(click)="categoryEvent(2084042674)"&gt;{{"2084042674" | translate}}&lt;/a&gt;&lt;/li&gt;</v>
      </c>
    </row>
    <row r="198" spans="1:8" ht="14.25" customHeight="1">
      <c r="E198" s="3"/>
      <c r="F198" s="3"/>
      <c r="G198" s="228"/>
      <c r="H198" s="229"/>
    </row>
    <row r="199" spans="1:8" ht="14.25" customHeight="1">
      <c r="E199" s="3"/>
      <c r="F199" s="3"/>
      <c r="G199" s="228"/>
      <c r="H199" s="229"/>
    </row>
    <row r="200" spans="1:8" ht="14.25" customHeight="1">
      <c r="A200" s="315">
        <v>2084042672</v>
      </c>
      <c r="B200" s="232"/>
      <c r="C200" s="232"/>
      <c r="D200" s="233"/>
      <c r="E200" s="3"/>
      <c r="F200" s="3"/>
      <c r="G200" s="228"/>
      <c r="H200" s="229"/>
    </row>
    <row r="201" spans="1:8" ht="14.25" customHeight="1">
      <c r="A201" s="2">
        <v>23956</v>
      </c>
      <c r="B201" s="89" t="s">
        <v>8902</v>
      </c>
      <c r="C201" s="2" t="s">
        <v>8903</v>
      </c>
      <c r="D201" s="2" t="s">
        <v>8904</v>
      </c>
      <c r="E201" s="3" t="str">
        <f ca="1">IFERROR(__xludf.DUMMYFUNCTION("GOOGLETRANSLATE(B201,""ja"",""vi"")"),"điện thoại chung")</f>
        <v>điện thoại chung</v>
      </c>
      <c r="F201" s="3" t="str">
        <f ca="1">IFERROR(__xludf.DUMMYFUNCTION("GOOGLETRANSLATE(C201,""ja"",""vi"")"),"Đấu giá&gt; thiết bị điện tử tiêu dùng, AV, camera&gt; điện thoại, fax&gt; nói chung điện thoại")</f>
        <v>Đấu giá&gt; thiết bị điện tử tiêu dùng, AV, camera&gt; điện thoại, fax&gt; nói chung điện thoại</v>
      </c>
      <c r="G201" s="228" t="str">
        <f t="shared" ca="1" si="12"/>
        <v>"23956" : "điện thoại chung",</v>
      </c>
      <c r="H201" s="229" t="str">
        <f t="shared" si="13"/>
        <v>&lt;li class="col-md-3"&gt;&lt;a class="text-cut" href="javascript:;"(click)="categoryEvent(23956)"&gt;{{"23956" | translate}}&lt;/a&gt;&lt;/li&gt;</v>
      </c>
    </row>
    <row r="202" spans="1:8" ht="14.25" customHeight="1">
      <c r="A202" s="2">
        <v>2084032436</v>
      </c>
      <c r="B202" s="89" t="s">
        <v>8905</v>
      </c>
      <c r="C202" s="2" t="s">
        <v>8906</v>
      </c>
      <c r="D202" s="2" t="s">
        <v>8907</v>
      </c>
      <c r="E202" s="3" t="str">
        <f ca="1">IFERROR(__xludf.DUMMYFUNCTION("GOOGLETRANSLATE(B202,""ja"",""vi"")"),"fax Hồng")</f>
        <v>fax Hồng</v>
      </c>
      <c r="F202" s="3" t="str">
        <f ca="1">IFERROR(__xludf.DUMMYFUNCTION("GOOGLETRANSLATE(C202,""ja"",""vi"")"),"Đấu giá&gt; thiết bị điện tử tiêu dùng, AV, camera&gt; điện thoại, fax&gt; điện thoại fax")</f>
        <v>Đấu giá&gt; thiết bị điện tử tiêu dùng, AV, camera&gt; điện thoại, fax&gt; điện thoại fax</v>
      </c>
      <c r="G202" s="228" t="str">
        <f t="shared" ca="1" si="12"/>
        <v>"2084032436" : "fax Hồng",</v>
      </c>
      <c r="H202" s="229" t="str">
        <f t="shared" si="13"/>
        <v>&lt;li class="col-md-3"&gt;&lt;a class="text-cut" href="javascript:;"(click)="categoryEvent(2084032436)"&gt;{{"2084032436" | translate}}&lt;/a&gt;&lt;/li&gt;</v>
      </c>
    </row>
    <row r="203" spans="1:8" ht="14.25" customHeight="1">
      <c r="A203" s="2">
        <v>23960</v>
      </c>
      <c r="B203" s="89" t="s">
        <v>8908</v>
      </c>
      <c r="C203" s="2" t="s">
        <v>8909</v>
      </c>
      <c r="D203" s="2" t="s">
        <v>8910</v>
      </c>
      <c r="E203" s="3" t="str">
        <f ca="1">IFERROR(__xludf.DUMMYFUNCTION("GOOGLETRANSLATE(B203,""ja"",""vi"")"),"điện thoại di động, PHS")</f>
        <v>điện thoại di động, PHS</v>
      </c>
      <c r="F203" s="3" t="str">
        <f ca="1">IFERROR(__xludf.DUMMYFUNCTION("GOOGLETRANSLATE(C203,""ja"",""vi"")"),"Đấu giá&gt; thiết bị điện tử tiêu dùng, AV, camera&gt; điện thoại, fax&gt; điện thoại di động, PHS")</f>
        <v>Đấu giá&gt; thiết bị điện tử tiêu dùng, AV, camera&gt; điện thoại, fax&gt; điện thoại di động, PHS</v>
      </c>
      <c r="G203" s="228" t="str">
        <f t="shared" ca="1" si="12"/>
        <v>"23960" : "điện thoại di động, PHS",</v>
      </c>
      <c r="H203" s="229" t="str">
        <f t="shared" si="13"/>
        <v>&lt;li class="col-md-3"&gt;&lt;a class="text-cut" href="javascript:;"(click)="categoryEvent(23960)"&gt;{{"23960" | translate}}&lt;/a&gt;&lt;/li&gt;</v>
      </c>
    </row>
    <row r="204" spans="1:8" ht="14.25" customHeight="1">
      <c r="A204" s="2">
        <v>2084032435</v>
      </c>
      <c r="B204" s="89" t="s">
        <v>8911</v>
      </c>
      <c r="C204" s="2" t="s">
        <v>8912</v>
      </c>
      <c r="D204" s="2" t="s">
        <v>8913</v>
      </c>
      <c r="E204" s="3" t="str">
        <f ca="1">IFERROR(__xludf.DUMMYFUNCTION("GOOGLETRANSLATE(B204,""ja"",""vi"")"),"máy trả lời")</f>
        <v>máy trả lời</v>
      </c>
      <c r="F204" s="3" t="str">
        <f ca="1">IFERROR(__xludf.DUMMYFUNCTION("GOOGLETRANSLATE(C204,""ja"",""vi"")"),"Đấu giá&gt; thiết bị điện tử tiêu dùng, AV, camera&gt; điện thoại, fax&gt; máy trả lời")</f>
        <v>Đấu giá&gt; thiết bị điện tử tiêu dùng, AV, camera&gt; điện thoại, fax&gt; máy trả lời</v>
      </c>
      <c r="G204" s="228" t="str">
        <f t="shared" ca="1" si="12"/>
        <v>"2084032435" : "máy trả lời",</v>
      </c>
      <c r="H204" s="229" t="str">
        <f t="shared" si="13"/>
        <v>&lt;li class="col-md-3"&gt;&lt;a class="text-cut" href="javascript:;"(click)="categoryEvent(2084032435)"&gt;{{"2084032435" | translate}}&lt;/a&gt;&lt;/li&gt;</v>
      </c>
    </row>
    <row r="205" spans="1:8" ht="14.25" customHeight="1">
      <c r="A205" s="2">
        <v>2084048549</v>
      </c>
      <c r="B205" s="89" t="s">
        <v>8914</v>
      </c>
      <c r="C205" s="2" t="s">
        <v>8915</v>
      </c>
      <c r="D205" s="2" t="s">
        <v>8916</v>
      </c>
      <c r="E205" s="3" t="str">
        <f ca="1">IFERROR(__xludf.DUMMYFUNCTION("GOOGLETRANSLATE(B205,""ja"",""vi"")"),"hình ảnh điện thoại")</f>
        <v>hình ảnh điện thoại</v>
      </c>
      <c r="F205" s="3" t="str">
        <f ca="1">IFERROR(__xludf.DUMMYFUNCTION("GOOGLETRANSLATE(C205,""ja"",""vi"")"),"Đấu giá&gt; thiết bị điện tử tiêu dùng, AV, camera&gt; điện thoại, fax&gt; videophone")</f>
        <v>Đấu giá&gt; thiết bị điện tử tiêu dùng, AV, camera&gt; điện thoại, fax&gt; videophone</v>
      </c>
      <c r="G205" s="228" t="str">
        <f t="shared" ca="1" si="12"/>
        <v>"2084048549" : "hình ảnh điện thoại",</v>
      </c>
      <c r="H205" s="229" t="str">
        <f t="shared" si="13"/>
        <v>&lt;li class="col-md-3"&gt;&lt;a class="text-cut" href="javascript:;"(click)="categoryEvent(2084048549)"&gt;{{"2084048549" | translate}}&lt;/a&gt;&lt;/li&gt;</v>
      </c>
    </row>
    <row r="206" spans="1:8" ht="14.25" customHeight="1">
      <c r="A206" s="2">
        <v>2084198552</v>
      </c>
      <c r="B206" s="89" t="s">
        <v>1785</v>
      </c>
      <c r="C206" s="2" t="s">
        <v>8917</v>
      </c>
      <c r="D206" s="2" t="s">
        <v>8918</v>
      </c>
      <c r="E206" s="3" t="str">
        <f ca="1">IFERROR(__xludf.DUMMYFUNCTION("GOOGLETRANSLATE(B206,""ja"",""vi"")"),"Điện thoại Kinh doanh")</f>
        <v>Điện thoại Kinh doanh</v>
      </c>
      <c r="F206" s="3" t="str">
        <f ca="1">IFERROR(__xludf.DUMMYFUNCTION("GOOGLETRANSLATE(C206,""ja"",""vi"")"),"Đấu giá&gt; thiết bị điện tử tiêu dùng, AV, camera&gt; điện thoại, fax&gt; điện thoại kinh doanh")</f>
        <v>Đấu giá&gt; thiết bị điện tử tiêu dùng, AV, camera&gt; điện thoại, fax&gt; điện thoại kinh doanh</v>
      </c>
      <c r="G206" s="228" t="str">
        <f t="shared" ca="1" si="12"/>
        <v>"2084198552" : "Điện thoại Kinh doanh",</v>
      </c>
      <c r="H206" s="229" t="str">
        <f t="shared" si="13"/>
        <v>&lt;li class="col-md-3"&gt;&lt;a class="text-cut" href="javascript:;"(click)="categoryEvent(2084198552)"&gt;{{"2084198552" | translate}}&lt;/a&gt;&lt;/li&gt;</v>
      </c>
    </row>
    <row r="207" spans="1:8" ht="14.25" customHeight="1">
      <c r="A207" s="2">
        <v>2084032434</v>
      </c>
      <c r="B207" s="89" t="s">
        <v>8555</v>
      </c>
      <c r="C207" s="2" t="s">
        <v>8919</v>
      </c>
      <c r="D207" s="2" t="s">
        <v>8920</v>
      </c>
      <c r="E207" s="3" t="str">
        <f ca="1">IFERROR(__xludf.DUMMYFUNCTION("GOOGLETRANSLATE(B207,""ja"",""vi"")"),"chu vi")</f>
        <v>chu vi</v>
      </c>
      <c r="F207" s="3" t="str">
        <f ca="1">IFERROR(__xludf.DUMMYFUNCTION("GOOGLETRANSLATE(C207,""ja"",""vi"")"),"Đấu giá&gt; thiết bị điện tử tiêu dùng, AV, camera&gt; điện thoại, fax&gt; thiết bị ngoại vi")</f>
        <v>Đấu giá&gt; thiết bị điện tử tiêu dùng, AV, camera&gt; điện thoại, fax&gt; thiết bị ngoại vi</v>
      </c>
      <c r="G207" s="228" t="str">
        <f t="shared" ca="1" si="12"/>
        <v>"2084032434" : "chu vi",</v>
      </c>
      <c r="H207" s="229" t="str">
        <f t="shared" si="13"/>
        <v>&lt;li class="col-md-3"&gt;&lt;a class="text-cut" href="javascript:;"(click)="categoryEvent(2084032434)"&gt;{{"2084032434" | translate}}&lt;/a&gt;&lt;/li&gt;</v>
      </c>
    </row>
    <row r="208" spans="1:8" ht="14.25" customHeight="1">
      <c r="A208" s="2">
        <v>22916</v>
      </c>
      <c r="B208" s="89" t="s">
        <v>1777</v>
      </c>
      <c r="C208" s="2" t="s">
        <v>8921</v>
      </c>
      <c r="D208" s="2" t="s">
        <v>8922</v>
      </c>
      <c r="E208" s="3" t="str">
        <f ca="1">IFERROR(__xludf.DUMMYFUNCTION("GOOGLETRANSLATE(B208,""ja"",""vi"")"),"máy đa chức năng, sao chép máy")</f>
        <v>máy đa chức năng, sao chép máy</v>
      </c>
      <c r="F208" s="3" t="str">
        <f ca="1">IFERROR(__xludf.DUMMYFUNCTION("GOOGLETRANSLATE(C208,""ja"",""vi"")"),"Đấu giá&gt; thiết bị điện tử tiêu dùng, AV, camera&gt; điện thoại, fax&gt; đa chức năng, máy copy")</f>
        <v>Đấu giá&gt; thiết bị điện tử tiêu dùng, AV, camera&gt; điện thoại, fax&gt; đa chức năng, máy copy</v>
      </c>
      <c r="G208" s="228" t="str">
        <f t="shared" ca="1" si="12"/>
        <v>"22916" : "máy đa chức năng, sao chép máy",</v>
      </c>
      <c r="H208" s="229" t="str">
        <f t="shared" si="13"/>
        <v>&lt;li class="col-md-3"&gt;&lt;a class="text-cut" href="javascript:;"(click)="categoryEvent(22916)"&gt;{{"22916" | translate}}&lt;/a&gt;&lt;/li&gt;</v>
      </c>
    </row>
    <row r="209" spans="1:8" ht="14.25" customHeight="1">
      <c r="A209" s="2">
        <v>23968</v>
      </c>
      <c r="B209" s="89" t="s">
        <v>389</v>
      </c>
      <c r="C209" s="2" t="s">
        <v>8923</v>
      </c>
      <c r="D209" s="2" t="s">
        <v>8924</v>
      </c>
      <c r="E209" s="3" t="str">
        <f ca="1">IFERROR(__xludf.DUMMYFUNCTION("GOOGLETRANSLATE(B209,""ja"",""vi"")"),"thẻ điện thoại")</f>
        <v>thẻ điện thoại</v>
      </c>
      <c r="F209" s="3" t="str">
        <f ca="1">IFERROR(__xludf.DUMMYFUNCTION("GOOGLETRANSLATE(C209,""ja"",""vi"")"),"Đấu giá&gt; thiết bị điện tử tiêu dùng, AV, camera&gt; điện thoại, fax&gt; Thẻ điện thoại")</f>
        <v>Đấu giá&gt; thiết bị điện tử tiêu dùng, AV, camera&gt; điện thoại, fax&gt; Thẻ điện thoại</v>
      </c>
      <c r="G209" s="228" t="str">
        <f t="shared" ca="1" si="12"/>
        <v>"23968" : "thẻ điện thoại",</v>
      </c>
      <c r="H209" s="229" t="str">
        <f t="shared" si="13"/>
        <v>&lt;li class="col-md-3"&gt;&lt;a class="text-cut" href="javascript:;"(click)="categoryEvent(23968)"&gt;{{"23968" | translate}}&lt;/a&gt;&lt;/li&gt;</v>
      </c>
    </row>
    <row r="210" spans="1:8" ht="14.25" customHeight="1">
      <c r="E210" s="3"/>
      <c r="F210" s="3"/>
      <c r="G210" s="228"/>
      <c r="H210" s="229"/>
    </row>
    <row r="211" spans="1:8" ht="14.25" customHeight="1">
      <c r="E211" s="3"/>
      <c r="F211" s="3"/>
      <c r="G211" s="228"/>
      <c r="H211" s="229"/>
    </row>
    <row r="212" spans="1:8" ht="14.25" customHeight="1">
      <c r="A212" s="314">
        <v>2084042480</v>
      </c>
      <c r="B212" s="232"/>
      <c r="C212" s="232"/>
      <c r="D212" s="233"/>
      <c r="E212" s="3"/>
      <c r="F212" s="3"/>
      <c r="G212" s="228"/>
      <c r="H212" s="229"/>
    </row>
    <row r="213" spans="1:8" ht="14.25" customHeight="1">
      <c r="A213" s="2">
        <v>22916</v>
      </c>
      <c r="B213" s="89" t="s">
        <v>1777</v>
      </c>
      <c r="C213" s="2" t="s">
        <v>1778</v>
      </c>
      <c r="D213" s="116" t="str">
        <f t="shared" ref="D213:D223" si="14">CONCATENATE("0,","22896,2084042480,",A213)</f>
        <v>0,22896,2084042480,22916</v>
      </c>
      <c r="E213" s="3" t="str">
        <f ca="1">IFERROR(__xludf.DUMMYFUNCTION("GOOGLETRANSLATE(B213,""ja"",""vi"")"),"máy đa chức năng, sao chép máy")</f>
        <v>máy đa chức năng, sao chép máy</v>
      </c>
      <c r="F213" s="3" t="str">
        <f ca="1">IFERROR(__xludf.DUMMYFUNCTION("GOOGLETRANSLATE(C213,""ja"",""vi"")"),"Đấu giá&gt; Văn phòng, Cửa hàng cung cấp&gt; thiết bị OA&gt; máy đa chức năng, sao chép máy")</f>
        <v>Đấu giá&gt; Văn phòng, Cửa hàng cung cấp&gt; thiết bị OA&gt; máy đa chức năng, sao chép máy</v>
      </c>
      <c r="G213" s="228" t="str">
        <f t="shared" ca="1" si="12"/>
        <v>"22916" : "máy đa chức năng, sao chép máy",</v>
      </c>
      <c r="H213" s="229" t="str">
        <f t="shared" si="13"/>
        <v>&lt;li class="col-md-3"&gt;&lt;a class="text-cut" href="javascript:;"(click)="categoryEvent(22916)"&gt;{{"22916" | translate}}&lt;/a&gt;&lt;/li&gt;</v>
      </c>
    </row>
    <row r="214" spans="1:8" ht="14.25" customHeight="1">
      <c r="A214" s="2">
        <v>2084198552</v>
      </c>
      <c r="B214" s="89" t="s">
        <v>1785</v>
      </c>
      <c r="C214" s="2" t="s">
        <v>1787</v>
      </c>
      <c r="D214" s="116" t="str">
        <f t="shared" si="14"/>
        <v>0,22896,2084042480,2084198552</v>
      </c>
      <c r="E214" s="3" t="str">
        <f ca="1">IFERROR(__xludf.DUMMYFUNCTION("GOOGLETRANSLATE(B214,""ja"",""vi"")"),"Điện thoại Kinh doanh")</f>
        <v>Điện thoại Kinh doanh</v>
      </c>
      <c r="F214" s="3" t="str">
        <f ca="1">IFERROR(__xludf.DUMMYFUNCTION("GOOGLETRANSLATE(C214,""ja"",""vi"")"),"Đấu giá&gt; Văn phòng, Cửa hàng cung cấp&gt; thiết bị OA&gt; điện thoại kinh doanh")</f>
        <v>Đấu giá&gt; Văn phòng, Cửa hàng cung cấp&gt; thiết bị OA&gt; điện thoại kinh doanh</v>
      </c>
      <c r="G214" s="228" t="str">
        <f t="shared" ca="1" si="12"/>
        <v>"2084198552" : "Điện thoại Kinh doanh",</v>
      </c>
      <c r="H214" s="229" t="str">
        <f t="shared" si="13"/>
        <v>&lt;li class="col-md-3"&gt;&lt;a class="text-cut" href="javascript:;"(click)="categoryEvent(2084198552)"&gt;{{"2084198552" | translate}}&lt;/a&gt;&lt;/li&gt;</v>
      </c>
    </row>
    <row r="215" spans="1:8" ht="14.25" customHeight="1">
      <c r="A215" s="2">
        <v>22924</v>
      </c>
      <c r="B215" s="89" t="s">
        <v>1789</v>
      </c>
      <c r="C215" s="2" t="s">
        <v>1790</v>
      </c>
      <c r="D215" s="116" t="str">
        <f t="shared" si="14"/>
        <v>0,22896,2084042480,22924</v>
      </c>
      <c r="E215" s="3" t="str">
        <f ca="1">IFERROR(__xludf.DUMMYFUNCTION("GOOGLETRANSLATE(B215,""ja"",""vi"")"),"fax")</f>
        <v>fax</v>
      </c>
      <c r="F215" s="3" t="str">
        <f ca="1">IFERROR(__xludf.DUMMYFUNCTION("GOOGLETRANSLATE(C215,""ja"",""vi"")"),"Đấu giá&gt; văn phòng, vật tư cửa hàng&gt; thiết bị OA&gt; fax")</f>
        <v>Đấu giá&gt; văn phòng, vật tư cửa hàng&gt; thiết bị OA&gt; fax</v>
      </c>
      <c r="G215" s="228" t="str">
        <f t="shared" ca="1" si="12"/>
        <v>"22924" : "fax",</v>
      </c>
      <c r="H215" s="229" t="str">
        <f t="shared" si="13"/>
        <v>&lt;li class="col-md-3"&gt;&lt;a class="text-cut" href="javascript:;"(click)="categoryEvent(22924)"&gt;{{"22924" | translate}}&lt;/a&gt;&lt;/li&gt;</v>
      </c>
    </row>
    <row r="216" spans="1:8" ht="14.25" customHeight="1">
      <c r="A216" s="2">
        <v>22988</v>
      </c>
      <c r="B216" s="89" t="s">
        <v>1794</v>
      </c>
      <c r="C216" s="2" t="s">
        <v>1795</v>
      </c>
      <c r="D216" s="116" t="str">
        <f t="shared" si="14"/>
        <v>0,22896,2084042480,22988</v>
      </c>
      <c r="E216" s="3" t="str">
        <f ca="1">IFERROR(__xludf.DUMMYFUNCTION("GOOGLETRANSLATE(B216,""ja"",""vi"")"),"Máy hủy tài liệu")</f>
        <v>Máy hủy tài liệu</v>
      </c>
      <c r="F216" s="3" t="str">
        <f ca="1">IFERROR(__xludf.DUMMYFUNCTION("GOOGLETRANSLATE(C216,""ja"",""vi"")"),"Đấu giá&gt; Văn phòng, Cửa hàng cung cấp&gt; thiết bị OA&gt; shredder")</f>
        <v>Đấu giá&gt; Văn phòng, Cửa hàng cung cấp&gt; thiết bị OA&gt; shredder</v>
      </c>
      <c r="G216" s="228" t="str">
        <f t="shared" ca="1" si="12"/>
        <v>"22988" : "Máy hủy tài liệu",</v>
      </c>
      <c r="H216" s="229" t="str">
        <f t="shared" si="13"/>
        <v>&lt;li class="col-md-3"&gt;&lt;a class="text-cut" href="javascript:;"(click)="categoryEvent(22988)"&gt;{{"22988" | translate}}&lt;/a&gt;&lt;/li&gt;</v>
      </c>
    </row>
    <row r="217" spans="1:8" ht="14.25" customHeight="1">
      <c r="A217" s="2">
        <v>2084047817</v>
      </c>
      <c r="B217" s="89" t="s">
        <v>1803</v>
      </c>
      <c r="C217" s="2" t="s">
        <v>1804</v>
      </c>
      <c r="D217" s="116" t="str">
        <f t="shared" si="14"/>
        <v>0,22896,2084042480,2084047817</v>
      </c>
      <c r="E217" s="3" t="str">
        <f ca="1">IFERROR(__xludf.DUMMYFUNCTION("GOOGLETRANSLATE(B217,""ja"",""vi"")"),"thẻ thời gian, máy ghi âm")</f>
        <v>thẻ thời gian, máy ghi âm</v>
      </c>
      <c r="F217" s="3" t="str">
        <f ca="1">IFERROR(__xludf.DUMMYFUNCTION("GOOGLETRANSLATE(C217,""ja"",""vi"")"),"Đấu giá&gt; Văn phòng, Cửa hàng cung cấp&gt; thiết bị OA&gt; thẻ thời gian, máy ghi âm")</f>
        <v>Đấu giá&gt; Văn phòng, Cửa hàng cung cấp&gt; thiết bị OA&gt; thẻ thời gian, máy ghi âm</v>
      </c>
      <c r="G217" s="228" t="str">
        <f t="shared" ca="1" si="12"/>
        <v>"2084047817" : "thẻ thời gian, máy ghi âm",</v>
      </c>
      <c r="H217" s="229" t="str">
        <f t="shared" si="13"/>
        <v>&lt;li class="col-md-3"&gt;&lt;a class="text-cut" href="javascript:;"(click)="categoryEvent(2084047817)"&gt;{{"2084047817" | translate}}&lt;/a&gt;&lt;/li&gt;</v>
      </c>
    </row>
    <row r="218" spans="1:8" ht="14.25" customHeight="1">
      <c r="A218" s="2">
        <v>22968</v>
      </c>
      <c r="B218" s="89" t="s">
        <v>1812</v>
      </c>
      <c r="C218" s="2" t="s">
        <v>1813</v>
      </c>
      <c r="D218" s="116" t="str">
        <f t="shared" si="14"/>
        <v>0,22896,2084042480,22968</v>
      </c>
      <c r="E218" s="3" t="str">
        <f ca="1">IFERROR(__xludf.DUMMYFUNCTION("GOOGLETRANSLATE(B218,""ja"",""vi"")"),"nguồn cung cấp nhãn")</f>
        <v>nguồn cung cấp nhãn</v>
      </c>
      <c r="F218" s="3" t="str">
        <f ca="1">IFERROR(__xludf.DUMMYFUNCTION("GOOGLETRANSLATE(C218,""ja"",""vi"")"),"Đấu giá&gt; Văn phòng, Cửa hàng cung cấp&gt; thiết bị OA&gt; nguồn cung cấp nhãn")</f>
        <v>Đấu giá&gt; Văn phòng, Cửa hàng cung cấp&gt; thiết bị OA&gt; nguồn cung cấp nhãn</v>
      </c>
      <c r="G218" s="228" t="str">
        <f t="shared" ca="1" si="12"/>
        <v>"22968" : "nguồn cung cấp nhãn",</v>
      </c>
      <c r="H218" s="229" t="str">
        <f t="shared" si="13"/>
        <v>&lt;li class="col-md-3"&gt;&lt;a class="text-cut" href="javascript:;"(click)="categoryEvent(22968)"&gt;{{"22968" | translate}}&lt;/a&gt;&lt;/li&gt;</v>
      </c>
    </row>
    <row r="219" spans="1:8" ht="14.25" customHeight="1">
      <c r="A219" s="2">
        <v>2084047851</v>
      </c>
      <c r="B219" s="89" t="s">
        <v>1820</v>
      </c>
      <c r="C219" s="2" t="s">
        <v>1821</v>
      </c>
      <c r="D219" s="116" t="str">
        <f t="shared" si="14"/>
        <v>0,22896,2084042480,2084047851</v>
      </c>
      <c r="E219" s="3" t="str">
        <f ca="1">IFERROR(__xludf.DUMMYFUNCTION("GOOGLETRANSLATE(B219,""ja"",""vi"")"),"xử lý văn bản máy chuyên dùng")</f>
        <v>xử lý văn bản máy chuyên dùng</v>
      </c>
      <c r="F219" s="3" t="str">
        <f ca="1">IFERROR(__xludf.DUMMYFUNCTION("GOOGLETRANSLATE(C219,""ja"",""vi"")"),"Đấu giá&gt; Văn phòng, Cửa hàng cung cấp&gt; thiết bị OA&gt; máy xử lý văn bản dành riêng")</f>
        <v>Đấu giá&gt; Văn phòng, Cửa hàng cung cấp&gt; thiết bị OA&gt; máy xử lý văn bản dành riêng</v>
      </c>
      <c r="G219" s="228" t="str">
        <f t="shared" ca="1" si="12"/>
        <v>"2084047851" : "xử lý văn bản máy chuyên dùng",</v>
      </c>
      <c r="H219" s="229" t="str">
        <f t="shared" si="13"/>
        <v>&lt;li class="col-md-3"&gt;&lt;a class="text-cut" href="javascript:;"(click)="categoryEvent(2084047851)"&gt;{{"2084047851" | translate}}&lt;/a&gt;&lt;/li&gt;</v>
      </c>
    </row>
    <row r="220" spans="1:8" ht="14.25" customHeight="1">
      <c r="A220" s="2">
        <v>2084050527</v>
      </c>
      <c r="B220" s="89" t="s">
        <v>1827</v>
      </c>
      <c r="C220" s="2" t="s">
        <v>1829</v>
      </c>
      <c r="D220" s="116" t="str">
        <f t="shared" si="14"/>
        <v>0,22896,2084042480,2084050527</v>
      </c>
      <c r="E220" s="3" t="str">
        <f ca="1">IFERROR(__xludf.DUMMYFUNCTION("GOOGLETRANSLATE(B220,""ja"",""vi"")"),"từ điển điện tử")</f>
        <v>từ điển điện tử</v>
      </c>
      <c r="F220" s="3" t="str">
        <f ca="1">IFERROR(__xludf.DUMMYFUNCTION("GOOGLETRANSLATE(C220,""ja"",""vi"")"),"Đấu giá&gt; Văn phòng, Cửa hàng cung cấp&gt; thiết bị OA&gt; từ điển điện tử")</f>
        <v>Đấu giá&gt; Văn phòng, Cửa hàng cung cấp&gt; thiết bị OA&gt; từ điển điện tử</v>
      </c>
      <c r="G220" s="228" t="str">
        <f t="shared" ca="1" si="12"/>
        <v>"2084050527" : "từ điển điện tử",</v>
      </c>
      <c r="H220" s="229" t="str">
        <f t="shared" si="13"/>
        <v>&lt;li class="col-md-3"&gt;&lt;a class="text-cut" href="javascript:;"(click)="categoryEvent(2084050527)"&gt;{{"2084050527" | translate}}&lt;/a&gt;&lt;/li&gt;</v>
      </c>
    </row>
    <row r="221" spans="1:8" ht="14.25" customHeight="1">
      <c r="A221" s="2">
        <v>23878</v>
      </c>
      <c r="B221" s="89" t="s">
        <v>1834</v>
      </c>
      <c r="C221" s="2" t="s">
        <v>1835</v>
      </c>
      <c r="D221" s="116" t="str">
        <f t="shared" si="14"/>
        <v>0,22896,2084042480,23878</v>
      </c>
      <c r="E221" s="3" t="str">
        <f ca="1">IFERROR(__xludf.DUMMYFUNCTION("GOOGLETRANSLATE(B221,""ja"",""vi"")"),"máy tính")</f>
        <v>máy tính</v>
      </c>
      <c r="F221" s="3" t="str">
        <f ca="1">IFERROR(__xludf.DUMMYFUNCTION("GOOGLETRANSLATE(C221,""ja"",""vi"")"),"Đấu giá&gt; Văn phòng, Cửa hàng cung cấp&gt; thiết bị OA&gt; máy tính")</f>
        <v>Đấu giá&gt; Văn phòng, Cửa hàng cung cấp&gt; thiết bị OA&gt; máy tính</v>
      </c>
      <c r="G221" s="228" t="str">
        <f t="shared" ca="1" si="12"/>
        <v>"23878" : "máy tính",</v>
      </c>
      <c r="H221" s="229" t="str">
        <f t="shared" si="13"/>
        <v>&lt;li class="col-md-3"&gt;&lt;a class="text-cut" href="javascript:;"(click)="categoryEvent(23878)"&gt;{{"23878" | translate}}&lt;/a&gt;&lt;/li&gt;</v>
      </c>
    </row>
    <row r="222" spans="1:8" ht="14.25" customHeight="1">
      <c r="A222" s="2">
        <v>2084307795</v>
      </c>
      <c r="B222" s="89" t="s">
        <v>1840</v>
      </c>
      <c r="C222" s="2" t="s">
        <v>1841</v>
      </c>
      <c r="D222" s="116" t="str">
        <f t="shared" si="14"/>
        <v>0,22896,2084042480,2084307795</v>
      </c>
      <c r="E222" s="3" t="str">
        <f ca="1">IFERROR(__xludf.DUMMYFUNCTION("GOOGLETRANSLATE(B222,""ja"",""vi"")"),"OA thuê thiết bị")</f>
        <v>OA thuê thiết bị</v>
      </c>
      <c r="F222" s="3" t="str">
        <f ca="1">IFERROR(__xludf.DUMMYFUNCTION("GOOGLETRANSLATE(C222,""ja"",""vi"")"),"Đấu giá&gt; Văn phòng, Cửa hàng cung cấp&gt; thiết bị OA&gt; cho thuê thiết bị OA")</f>
        <v>Đấu giá&gt; Văn phòng, Cửa hàng cung cấp&gt; thiết bị OA&gt; cho thuê thiết bị OA</v>
      </c>
      <c r="G222" s="228" t="str">
        <f t="shared" ca="1" si="12"/>
        <v>"2084307795" : "OA thuê thiết bị",</v>
      </c>
      <c r="H222" s="229" t="str">
        <f t="shared" si="13"/>
        <v>&lt;li class="col-md-3"&gt;&lt;a class="text-cut" href="javascript:;"(click)="categoryEvent(2084307795)"&gt;{{"2084307795" | translate}}&lt;/a&gt;&lt;/li&gt;</v>
      </c>
    </row>
    <row r="223" spans="1:8" ht="14.25" customHeight="1">
      <c r="A223" s="2">
        <v>2084042488</v>
      </c>
      <c r="B223" s="89" t="s">
        <v>16</v>
      </c>
      <c r="C223" s="2" t="s">
        <v>1849</v>
      </c>
      <c r="D223" s="116" t="str">
        <f t="shared" si="14"/>
        <v>0,22896,2084042480,2084042488</v>
      </c>
      <c r="E223" s="3" t="str">
        <f ca="1">IFERROR(__xludf.DUMMYFUNCTION("GOOGLETRANSLATE(B223,""ja"",""vi"")"),"nếu không thì")</f>
        <v>nếu không thì</v>
      </c>
      <c r="F223" s="3" t="str">
        <f ca="1">IFERROR(__xludf.DUMMYFUNCTION("GOOGLETRANSLATE(C223,""ja"",""vi"")"),"Đấu giá&gt; vật tư văn phòng, cửa hàng&gt; thiết bị OA&gt; Khác")</f>
        <v>Đấu giá&gt; vật tư văn phòng, cửa hàng&gt; thiết bị OA&gt; Khác</v>
      </c>
      <c r="G223" s="228" t="str">
        <f t="shared" ca="1" si="12"/>
        <v>"2084042488" : "nếu không thì",</v>
      </c>
      <c r="H223" s="229" t="str">
        <f t="shared" si="13"/>
        <v>&lt;li class="col-md-3"&gt;&lt;a class="text-cut" href="javascript:;"(click)="categoryEvent(2084042488)"&gt;{{"2084042488" | translate}}&lt;/a&gt;&lt;/li&gt;</v>
      </c>
    </row>
    <row r="224" spans="1:8" ht="14.25" customHeight="1">
      <c r="E224" s="3"/>
      <c r="F224" s="3"/>
      <c r="G224" s="228"/>
      <c r="H224" s="229"/>
    </row>
    <row r="225" spans="1:8" ht="14.25" customHeight="1">
      <c r="E225" s="3"/>
      <c r="F225" s="3"/>
      <c r="G225" s="228"/>
      <c r="H225" s="229"/>
    </row>
    <row r="226" spans="1:8" ht="14.25" customHeight="1">
      <c r="A226" s="317">
        <v>2084050527</v>
      </c>
      <c r="B226" s="232"/>
      <c r="C226" s="232"/>
      <c r="D226" s="233"/>
      <c r="E226" s="3"/>
      <c r="F226" s="3"/>
      <c r="G226" s="228"/>
      <c r="H226" s="229"/>
    </row>
    <row r="227" spans="1:8" ht="14.25" customHeight="1">
      <c r="A227" s="2">
        <v>2084062310</v>
      </c>
      <c r="B227" s="2" t="s">
        <v>4476</v>
      </c>
      <c r="C227" s="2" t="s">
        <v>8925</v>
      </c>
      <c r="D227" s="116" t="str">
        <f t="shared" ref="D227:D233" si="15">CONCATENATE("0,","22896,2084042480,2084050527,",A227)</f>
        <v>0,22896,2084042480,2084050527,2084062310</v>
      </c>
      <c r="E227" s="3" t="str">
        <f ca="1">IFERROR(__xludf.DUMMYFUNCTION("GOOGLETRANSLATE(B227,""ja"",""vi"")"),"Casio")</f>
        <v>Casio</v>
      </c>
      <c r="F227" s="3" t="str">
        <f ca="1">IFERROR(__xludf.DUMMYFUNCTION("GOOGLETRANSLATE(C227,""ja"",""vi"")"),"Đấu giá&gt; vật tư văn phòng, cửa hàng&gt; thiết bị OA&gt; Từ điển điện tử&gt; Casio")</f>
        <v>Đấu giá&gt; vật tư văn phòng, cửa hàng&gt; thiết bị OA&gt; Từ điển điện tử&gt; Casio</v>
      </c>
      <c r="G227" s="228" t="str">
        <f t="shared" ca="1" si="12"/>
        <v>"2084062310" : "Casio",</v>
      </c>
      <c r="H227" s="229" t="str">
        <f t="shared" si="13"/>
        <v>&lt;li class="col-md-3"&gt;&lt;a class="text-cut" href="javascript:;"(click)="categoryEvent(2084062310)"&gt;{{"2084062310" | translate}}&lt;/a&gt;&lt;/li&gt;</v>
      </c>
    </row>
    <row r="228" spans="1:8" ht="14.25" customHeight="1">
      <c r="A228" s="2">
        <v>2084062313</v>
      </c>
      <c r="B228" s="2" t="s">
        <v>8926</v>
      </c>
      <c r="C228" s="2" t="s">
        <v>8927</v>
      </c>
      <c r="D228" s="116" t="str">
        <f t="shared" si="15"/>
        <v>0,22896,2084042480,2084050527,2084062313</v>
      </c>
      <c r="E228" s="3" t="str">
        <f ca="1">IFERROR(__xludf.DUMMYFUNCTION("GOOGLETRANSLATE(B228,""ja"",""vi"")"),"Canon")</f>
        <v>Canon</v>
      </c>
      <c r="F228" s="3" t="str">
        <f ca="1">IFERROR(__xludf.DUMMYFUNCTION("GOOGLETRANSLATE(C228,""ja"",""vi"")"),"Đấu giá&gt; vật tư văn phòng, cửa hàng&gt; thiết bị OA&gt; Từ điển điện tử&gt; Canon")</f>
        <v>Đấu giá&gt; vật tư văn phòng, cửa hàng&gt; thiết bị OA&gt; Từ điển điện tử&gt; Canon</v>
      </c>
      <c r="G228" s="228" t="str">
        <f t="shared" ca="1" si="12"/>
        <v>"2084062313" : "Canon",</v>
      </c>
      <c r="H228" s="229" t="str">
        <f t="shared" si="13"/>
        <v>&lt;li class="col-md-3"&gt;&lt;a class="text-cut" href="javascript:;"(click)="categoryEvent(2084062313)"&gt;{{"2084062313" | translate}}&lt;/a&gt;&lt;/li&gt;</v>
      </c>
    </row>
    <row r="229" spans="1:8" ht="14.25" customHeight="1">
      <c r="A229" s="2">
        <v>2084062315</v>
      </c>
      <c r="B229" s="2" t="s">
        <v>4484</v>
      </c>
      <c r="C229" s="2" t="s">
        <v>8928</v>
      </c>
      <c r="D229" s="116" t="str">
        <f t="shared" si="15"/>
        <v>0,22896,2084042480,2084050527,2084062315</v>
      </c>
      <c r="E229" s="3" t="str">
        <f ca="1">IFERROR(__xludf.DUMMYFUNCTION("GOOGLETRANSLATE(B229,""ja"",""vi"")"),"công dân")</f>
        <v>công dân</v>
      </c>
      <c r="F229" s="3" t="str">
        <f ca="1">IFERROR(__xludf.DUMMYFUNCTION("GOOGLETRANSLATE(C229,""ja"",""vi"")"),"Đấu giá&gt; vật tư văn phòng, cửa hàng&gt; thiết bị OA&gt; Từ điển điện tử&gt; Citizen")</f>
        <v>Đấu giá&gt; vật tư văn phòng, cửa hàng&gt; thiết bị OA&gt; Từ điển điện tử&gt; Citizen</v>
      </c>
      <c r="G229" s="228" t="str">
        <f t="shared" ca="1" si="12"/>
        <v>"2084062315" : "công dân",</v>
      </c>
      <c r="H229" s="229" t="str">
        <f t="shared" si="13"/>
        <v>&lt;li class="col-md-3"&gt;&lt;a class="text-cut" href="javascript:;"(click)="categoryEvent(2084062315)"&gt;{{"2084062315" | translate}}&lt;/a&gt;&lt;/li&gt;</v>
      </c>
    </row>
    <row r="230" spans="1:8" ht="14.25" customHeight="1">
      <c r="A230" s="2">
        <v>2084062311</v>
      </c>
      <c r="B230" s="2" t="s">
        <v>8929</v>
      </c>
      <c r="C230" s="2" t="s">
        <v>8930</v>
      </c>
      <c r="D230" s="116" t="str">
        <f t="shared" si="15"/>
        <v>0,22896,2084042480,2084050527,2084062311</v>
      </c>
      <c r="E230" s="3" t="str">
        <f ca="1">IFERROR(__xludf.DUMMYFUNCTION("GOOGLETRANSLATE(B230,""ja"",""vi"")"),"nhọn")</f>
        <v>nhọn</v>
      </c>
      <c r="F230" s="3" t="str">
        <f ca="1">IFERROR(__xludf.DUMMYFUNCTION("GOOGLETRANSLATE(C230,""ja"",""vi"")"),"Đấu giá&gt; vật tư văn phòng, cửa hàng&gt; thiết bị OA&gt; Từ điển điện tử&gt; sắc nét")</f>
        <v>Đấu giá&gt; vật tư văn phòng, cửa hàng&gt; thiết bị OA&gt; Từ điển điện tử&gt; sắc nét</v>
      </c>
      <c r="G230" s="228" t="str">
        <f t="shared" ca="1" si="12"/>
        <v>"2084062311" : "nhọn",</v>
      </c>
      <c r="H230" s="229" t="str">
        <f t="shared" si="13"/>
        <v>&lt;li class="col-md-3"&gt;&lt;a class="text-cut" href="javascript:;"(click)="categoryEvent(2084062311)"&gt;{{"2084062311" | translate}}&lt;/a&gt;&lt;/li&gt;</v>
      </c>
    </row>
    <row r="231" spans="1:8" ht="14.25" customHeight="1">
      <c r="A231" s="2">
        <v>2084062312</v>
      </c>
      <c r="B231" s="2" t="s">
        <v>4495</v>
      </c>
      <c r="C231" s="2" t="s">
        <v>8931</v>
      </c>
      <c r="D231" s="116" t="str">
        <f t="shared" si="15"/>
        <v>0,22896,2084042480,2084050527,2084062312</v>
      </c>
      <c r="E231" s="3" t="str">
        <f ca="1">IFERROR(__xludf.DUMMYFUNCTION("GOOGLETRANSLATE(B231,""ja"",""vi"")"),"Seiko")</f>
        <v>Seiko</v>
      </c>
      <c r="F231" s="3" t="str">
        <f ca="1">IFERROR(__xludf.DUMMYFUNCTION("GOOGLETRANSLATE(C231,""ja"",""vi"")"),"Đấu giá&gt; vật tư văn phòng, cửa hàng&gt; thiết bị OA&gt; Từ điển điện tử&gt; Seiko")</f>
        <v>Đấu giá&gt; vật tư văn phòng, cửa hàng&gt; thiết bị OA&gt; Từ điển điện tử&gt; Seiko</v>
      </c>
      <c r="G231" s="228" t="str">
        <f t="shared" ca="1" si="12"/>
        <v>"2084062312" : "Seiko",</v>
      </c>
      <c r="H231" s="229" t="str">
        <f t="shared" si="13"/>
        <v>&lt;li class="col-md-3"&gt;&lt;a class="text-cut" href="javascript:;"(click)="categoryEvent(2084062312)"&gt;{{"2084062312" | translate}}&lt;/a&gt;&lt;/li&gt;</v>
      </c>
    </row>
    <row r="232" spans="1:8" ht="14.25" customHeight="1">
      <c r="A232" s="2">
        <v>2084062309</v>
      </c>
      <c r="B232" s="2" t="s">
        <v>8932</v>
      </c>
      <c r="C232" s="2" t="s">
        <v>8933</v>
      </c>
      <c r="D232" s="116" t="str">
        <f t="shared" si="15"/>
        <v>0,22896,2084042480,2084050527,2084062309</v>
      </c>
      <c r="E232" s="3" t="str">
        <f ca="1">IFERROR(__xludf.DUMMYFUNCTION("GOOGLETRANSLATE(B232,""ja"",""vi"")"),"Sony")</f>
        <v>Sony</v>
      </c>
      <c r="F232" s="3" t="str">
        <f ca="1">IFERROR(__xludf.DUMMYFUNCTION("GOOGLETRANSLATE(C232,""ja"",""vi"")"),"Đấu giá&gt; vật tư văn phòng, cửa hàng&gt; thiết bị OA&gt; Từ điển điện tử&gt; Sony")</f>
        <v>Đấu giá&gt; vật tư văn phòng, cửa hàng&gt; thiết bị OA&gt; Từ điển điện tử&gt; Sony</v>
      </c>
      <c r="G232" s="228" t="str">
        <f t="shared" ca="1" si="12"/>
        <v>"2084062309" : "Sony",</v>
      </c>
      <c r="H232" s="229" t="str">
        <f t="shared" si="13"/>
        <v>&lt;li class="col-md-3"&gt;&lt;a class="text-cut" href="javascript:;"(click)="categoryEvent(2084062309)"&gt;{{"2084062309" | translate}}&lt;/a&gt;&lt;/li&gt;</v>
      </c>
    </row>
    <row r="233" spans="1:8" ht="14.25" customHeight="1">
      <c r="A233" s="2">
        <v>2084062314</v>
      </c>
      <c r="B233" s="2" t="s">
        <v>16</v>
      </c>
      <c r="C233" s="2" t="s">
        <v>8934</v>
      </c>
      <c r="D233" s="116" t="str">
        <f t="shared" si="15"/>
        <v>0,22896,2084042480,2084050527,2084062314</v>
      </c>
      <c r="E233" s="3" t="str">
        <f ca="1">IFERROR(__xludf.DUMMYFUNCTION("GOOGLETRANSLATE(B233,""ja"",""vi"")"),"nếu không thì")</f>
        <v>nếu không thì</v>
      </c>
      <c r="F233" s="3" t="str">
        <f ca="1">IFERROR(__xludf.DUMMYFUNCTION("GOOGLETRANSLATE(C233,""ja"",""vi"")"),"Đấu giá&gt; vật tư văn phòng, cửa hàng&gt; thiết bị OA&gt; Từ điển điện tử&gt; Khác")</f>
        <v>Đấu giá&gt; vật tư văn phòng, cửa hàng&gt; thiết bị OA&gt; Từ điển điện tử&gt; Khác</v>
      </c>
      <c r="G233" s="228" t="str">
        <f t="shared" ca="1" si="12"/>
        <v>"2084062314" : "nếu không thì",</v>
      </c>
      <c r="H233" s="229" t="str">
        <f t="shared" si="13"/>
        <v>&lt;li class="col-md-3"&gt;&lt;a class="text-cut" href="javascript:;"(click)="categoryEvent(2084062314)"&gt;{{"2084062314" | translate}}&lt;/a&gt;&lt;/li&gt;</v>
      </c>
    </row>
    <row r="234" spans="1:8" ht="14.25" customHeight="1">
      <c r="E234" s="3"/>
      <c r="F234" s="3"/>
      <c r="G234" s="228"/>
      <c r="H234" s="229"/>
    </row>
    <row r="235" spans="1:8" ht="14.25" customHeight="1">
      <c r="E235" s="3"/>
      <c r="F235" s="3"/>
      <c r="G235" s="228"/>
      <c r="H235" s="229"/>
    </row>
    <row r="236" spans="1:8" ht="14.25" customHeight="1">
      <c r="A236" s="319">
        <v>23878</v>
      </c>
      <c r="B236" s="232"/>
      <c r="C236" s="232"/>
      <c r="D236" s="233"/>
      <c r="E236" s="3"/>
      <c r="F236" s="3"/>
      <c r="G236" s="228"/>
      <c r="H236" s="229"/>
    </row>
    <row r="237" spans="1:8" ht="14.25" customHeight="1">
      <c r="A237" s="2">
        <v>2084239841</v>
      </c>
      <c r="B237" s="2" t="s">
        <v>8935</v>
      </c>
      <c r="C237" s="89" t="s">
        <v>8936</v>
      </c>
      <c r="D237" s="116" t="str">
        <f t="shared" ref="D237:D241" si="16">CONCATENATE("0,","22896,2084042480,23878,",A237)</f>
        <v>0,22896,2084042480,23878,2084239841</v>
      </c>
      <c r="E237" s="3" t="str">
        <f ca="1">IFERROR(__xludf.DUMMYFUNCTION("GOOGLETRANSLATE(B237,""ja"",""vi"")"),"Amadana")</f>
        <v>Amadana</v>
      </c>
      <c r="F237" s="3" t="str">
        <f ca="1">IFERROR(__xludf.DUMMYFUNCTION("GOOGLETRANSLATE(C237,""ja"",""vi"")"),"Đấu giá&gt; Văn phòng, Cửa hàng cung cấp&gt; thiết bị OA&gt; Máy tính&gt; amadana")</f>
        <v>Đấu giá&gt; Văn phòng, Cửa hàng cung cấp&gt; thiết bị OA&gt; Máy tính&gt; amadana</v>
      </c>
      <c r="G237" s="228" t="str">
        <f t="shared" ca="1" si="12"/>
        <v>"2084239841" : "Amadana",</v>
      </c>
      <c r="H237" s="229" t="str">
        <f t="shared" si="13"/>
        <v>&lt;li class="col-md-3"&gt;&lt;a class="text-cut" href="javascript:;"(click)="categoryEvent(2084239841)"&gt;{{"2084239841" | translate}}&lt;/a&gt;&lt;/li&gt;</v>
      </c>
    </row>
    <row r="238" spans="1:8" ht="14.25" customHeight="1">
      <c r="A238" s="2">
        <v>2084239839</v>
      </c>
      <c r="B238" s="2" t="s">
        <v>4476</v>
      </c>
      <c r="C238" s="89" t="s">
        <v>8937</v>
      </c>
      <c r="D238" s="116" t="str">
        <f t="shared" si="16"/>
        <v>0,22896,2084042480,23878,2084239839</v>
      </c>
      <c r="E238" s="3" t="str">
        <f ca="1">IFERROR(__xludf.DUMMYFUNCTION("GOOGLETRANSLATE(B238,""ja"",""vi"")"),"Casio")</f>
        <v>Casio</v>
      </c>
      <c r="F238" s="3" t="str">
        <f ca="1">IFERROR(__xludf.DUMMYFUNCTION("GOOGLETRANSLATE(C238,""ja"",""vi"")"),"Đấu giá&gt; Văn phòng, Cửa hàng cung cấp&gt; thiết bị OA&gt; Máy tính&gt; Casio")</f>
        <v>Đấu giá&gt; Văn phòng, Cửa hàng cung cấp&gt; thiết bị OA&gt; Máy tính&gt; Casio</v>
      </c>
      <c r="G238" s="228" t="str">
        <f t="shared" ca="1" si="12"/>
        <v>"2084239839" : "Casio",</v>
      </c>
      <c r="H238" s="229" t="str">
        <f t="shared" si="13"/>
        <v>&lt;li class="col-md-3"&gt;&lt;a class="text-cut" href="javascript:;"(click)="categoryEvent(2084239839)"&gt;{{"2084239839" | translate}}&lt;/a&gt;&lt;/li&gt;</v>
      </c>
    </row>
    <row r="239" spans="1:8" ht="14.25" customHeight="1">
      <c r="A239" s="2">
        <v>2084239840</v>
      </c>
      <c r="B239" s="2" t="s">
        <v>4484</v>
      </c>
      <c r="C239" s="89" t="s">
        <v>8938</v>
      </c>
      <c r="D239" s="116" t="str">
        <f t="shared" si="16"/>
        <v>0,22896,2084042480,23878,2084239840</v>
      </c>
      <c r="E239" s="3" t="str">
        <f ca="1">IFERROR(__xludf.DUMMYFUNCTION("GOOGLETRANSLATE(B239,""ja"",""vi"")"),"công dân")</f>
        <v>công dân</v>
      </c>
      <c r="F239" s="3" t="str">
        <f ca="1">IFERROR(__xludf.DUMMYFUNCTION("GOOGLETRANSLATE(C239,""ja"",""vi"")"),"Đấu giá&gt; Văn phòng, Cửa hàng cung cấp&gt; thiết bị OA&gt; Máy tính&gt; Citizen")</f>
        <v>Đấu giá&gt; Văn phòng, Cửa hàng cung cấp&gt; thiết bị OA&gt; Máy tính&gt; Citizen</v>
      </c>
      <c r="G239" s="228" t="str">
        <f t="shared" ca="1" si="12"/>
        <v>"2084239840" : "công dân",</v>
      </c>
      <c r="H239" s="229" t="str">
        <f t="shared" si="13"/>
        <v>&lt;li class="col-md-3"&gt;&lt;a class="text-cut" href="javascript:;"(click)="categoryEvent(2084239840)"&gt;{{"2084239840" | translate}}&lt;/a&gt;&lt;/li&gt;</v>
      </c>
    </row>
    <row r="240" spans="1:8" ht="14.25" customHeight="1">
      <c r="A240" s="2">
        <v>2084239838</v>
      </c>
      <c r="B240" s="2" t="s">
        <v>8929</v>
      </c>
      <c r="C240" s="89" t="s">
        <v>8939</v>
      </c>
      <c r="D240" s="116" t="str">
        <f t="shared" si="16"/>
        <v>0,22896,2084042480,23878,2084239838</v>
      </c>
      <c r="E240" s="3" t="str">
        <f ca="1">IFERROR(__xludf.DUMMYFUNCTION("GOOGLETRANSLATE(B240,""ja"",""vi"")"),"nhọn")</f>
        <v>nhọn</v>
      </c>
      <c r="F240" s="3" t="str">
        <f ca="1">IFERROR(__xludf.DUMMYFUNCTION("GOOGLETRANSLATE(C240,""ja"",""vi"")"),"Đấu giá&gt; Văn phòng, Cửa hàng cung cấp&gt; thiết bị OA&gt; Máy tính&gt; sắc nét")</f>
        <v>Đấu giá&gt; Văn phòng, Cửa hàng cung cấp&gt; thiết bị OA&gt; Máy tính&gt; sắc nét</v>
      </c>
      <c r="G240" s="228" t="str">
        <f t="shared" ca="1" si="12"/>
        <v>"2084239838" : "nhọn",</v>
      </c>
      <c r="H240" s="229" t="str">
        <f t="shared" si="13"/>
        <v>&lt;li class="col-md-3"&gt;&lt;a class="text-cut" href="javascript:;"(click)="categoryEvent(2084239838)"&gt;{{"2084239838" | translate}}&lt;/a&gt;&lt;/li&gt;</v>
      </c>
    </row>
    <row r="241" spans="1:8" ht="14.25" customHeight="1">
      <c r="A241" s="2">
        <v>2084239842</v>
      </c>
      <c r="B241" s="2" t="s">
        <v>16</v>
      </c>
      <c r="C241" s="89" t="s">
        <v>8940</v>
      </c>
      <c r="D241" s="116" t="str">
        <f t="shared" si="16"/>
        <v>0,22896,2084042480,23878,2084239842</v>
      </c>
      <c r="E241" s="3" t="str">
        <f ca="1">IFERROR(__xludf.DUMMYFUNCTION("GOOGLETRANSLATE(B241,""ja"",""vi"")"),"nếu không thì")</f>
        <v>nếu không thì</v>
      </c>
      <c r="F241" s="3" t="str">
        <f ca="1">IFERROR(__xludf.DUMMYFUNCTION("GOOGLETRANSLATE(C241,""ja"",""vi"")"),"Đấu giá&gt; Văn phòng, Cửa hàng cung cấp&gt; OA thiết bị&gt; Máy tính&gt; Khác")</f>
        <v>Đấu giá&gt; Văn phòng, Cửa hàng cung cấp&gt; OA thiết bị&gt; Máy tính&gt; Khác</v>
      </c>
      <c r="G241" s="228" t="str">
        <f t="shared" ca="1" si="12"/>
        <v>"2084239842" : "nếu không thì",</v>
      </c>
      <c r="H241" s="229" t="str">
        <f t="shared" si="13"/>
        <v>&lt;li class="col-md-3"&gt;&lt;a class="text-cut" href="javascript:;"(click)="categoryEvent(2084239842)"&gt;{{"2084239842" | translate}}&lt;/a&gt;&lt;/li&gt;</v>
      </c>
    </row>
    <row r="242" spans="1:8" ht="14.25" customHeight="1">
      <c r="E242" s="3"/>
      <c r="F242" s="3"/>
      <c r="G242" s="228"/>
      <c r="H242" s="229"/>
    </row>
    <row r="243" spans="1:8" ht="14.25" customHeight="1">
      <c r="E243" s="3"/>
      <c r="F243" s="3"/>
      <c r="G243" s="228"/>
      <c r="H243" s="229"/>
    </row>
    <row r="244" spans="1:8" ht="14.25" customHeight="1">
      <c r="A244" s="320">
        <v>2084044953</v>
      </c>
      <c r="B244" s="269"/>
      <c r="C244" s="269"/>
      <c r="D244" s="270"/>
      <c r="E244" s="3"/>
      <c r="F244" s="3"/>
      <c r="G244" s="228"/>
      <c r="H244" s="229"/>
    </row>
    <row r="245" spans="1:8" ht="14.25" customHeight="1">
      <c r="A245" s="2">
        <v>2084044954</v>
      </c>
      <c r="B245" s="2" t="s">
        <v>1842</v>
      </c>
      <c r="C245" s="2" t="s">
        <v>8941</v>
      </c>
      <c r="D245" s="116" t="str">
        <f t="shared" ref="D245:D251" si="17">CONCATENATE("0,","23632,2084044953,",A245)</f>
        <v>0,23632,2084044953,2084044954</v>
      </c>
      <c r="E245" s="3" t="str">
        <f ca="1">IFERROR(__xludf.DUMMYFUNCTION("GOOGLETRANSLATE(B245,""ja"",""vi"")"),"chung")</f>
        <v>chung</v>
      </c>
      <c r="F245" s="3" t="str">
        <f ca="1">IFERROR(__xludf.DUMMYFUNCTION("GOOGLETRANSLATE(C245,""ja"",""vi"")"),"Đấu giá&gt; thiết bị điện tử tiêu dùng, AV, camera&gt; pin, pin, sạc&gt; General")</f>
        <v>Đấu giá&gt; thiết bị điện tử tiêu dùng, AV, camera&gt; pin, pin, sạc&gt; General</v>
      </c>
      <c r="G245" s="228" t="str">
        <f t="shared" ca="1" si="12"/>
        <v>"2084044954" : "chung",</v>
      </c>
      <c r="H245" s="229" t="str">
        <f t="shared" si="13"/>
        <v>&lt;li class="col-md-3"&gt;&lt;a class="text-cut" href="javascript:;"(click)="categoryEvent(2084044954)"&gt;{{"2084044954" | translate}}&lt;/a&gt;&lt;/li&gt;</v>
      </c>
    </row>
    <row r="246" spans="1:8" ht="14.25" customHeight="1">
      <c r="A246" s="2">
        <v>2084226888</v>
      </c>
      <c r="B246" s="2" t="s">
        <v>8942</v>
      </c>
      <c r="C246" s="2" t="s">
        <v>8943</v>
      </c>
      <c r="D246" s="116" t="str">
        <f t="shared" si="17"/>
        <v>0,23632,2084044953,2084226888</v>
      </c>
      <c r="E246" s="3" t="str">
        <f ca="1">IFERROR(__xludf.DUMMYFUNCTION("GOOGLETRANSLATE(B246,""ja"",""vi"")"),"pin kiềm")</f>
        <v>pin kiềm</v>
      </c>
      <c r="F246" s="3" t="str">
        <f ca="1">IFERROR(__xludf.DUMMYFUNCTION("GOOGLETRANSLATE(C246,""ja"",""vi"")"),"Đấu giá&gt; thiết bị điện tử tiêu dùng, AV, camera&gt; pin, pin, sạc&gt; pin kiềm")</f>
        <v>Đấu giá&gt; thiết bị điện tử tiêu dùng, AV, camera&gt; pin, pin, sạc&gt; pin kiềm</v>
      </c>
      <c r="G246" s="228" t="str">
        <f t="shared" ca="1" si="12"/>
        <v>"2084226888" : "pin kiềm",</v>
      </c>
      <c r="H246" s="229" t="str">
        <f t="shared" si="13"/>
        <v>&lt;li class="col-md-3"&gt;&lt;a class="text-cut" href="javascript:;"(click)="categoryEvent(2084226888)"&gt;{{"2084226888" | translate}}&lt;/a&gt;&lt;/li&gt;</v>
      </c>
    </row>
    <row r="247" spans="1:8" ht="14.25" customHeight="1">
      <c r="A247" s="2">
        <v>2084226883</v>
      </c>
      <c r="B247" s="2" t="s">
        <v>8944</v>
      </c>
      <c r="C247" s="2" t="s">
        <v>8945</v>
      </c>
      <c r="D247" s="116" t="str">
        <f t="shared" si="17"/>
        <v>0,23632,2084044953,2084226883</v>
      </c>
      <c r="E247" s="3" t="str">
        <f ca="1">IFERROR(__xludf.DUMMYFUNCTION("GOOGLETRANSLATE(B247,""ja"",""vi"")"),"pin có thể sạc lại")</f>
        <v>pin có thể sạc lại</v>
      </c>
      <c r="F247" s="3" t="str">
        <f ca="1">IFERROR(__xludf.DUMMYFUNCTION("GOOGLETRANSLATE(C247,""ja"",""vi"")"),"Đấu giá&gt; thiết bị điện tử tiêu dùng, AV, camera&gt; pin, pin, sạc&gt; pin có thể sạc lại")</f>
        <v>Đấu giá&gt; thiết bị điện tử tiêu dùng, AV, camera&gt; pin, pin, sạc&gt; pin có thể sạc lại</v>
      </c>
      <c r="G247" s="228" t="str">
        <f t="shared" ca="1" si="12"/>
        <v>"2084226883" : "pin có thể sạc lại",</v>
      </c>
      <c r="H247" s="229" t="str">
        <f t="shared" si="13"/>
        <v>&lt;li class="col-md-3"&gt;&lt;a class="text-cut" href="javascript:;"(click)="categoryEvent(2084226883)"&gt;{{"2084226883" | translate}}&lt;/a&gt;&lt;/li&gt;</v>
      </c>
    </row>
    <row r="248" spans="1:8" ht="14.25" customHeight="1">
      <c r="A248" s="2">
        <v>2084258410</v>
      </c>
      <c r="B248" s="2" t="s">
        <v>8946</v>
      </c>
      <c r="C248" s="2" t="s">
        <v>8947</v>
      </c>
      <c r="D248" s="116" t="str">
        <f t="shared" si="17"/>
        <v>0,23632,2084044953,2084258410</v>
      </c>
      <c r="E248" s="3" t="str">
        <f ca="1">IFERROR(__xludf.DUMMYFUNCTION("GOOGLETRANSLATE(B248,""ja"",""vi"")"),"tấm pin mặt trời, pin mặt trời")</f>
        <v>tấm pin mặt trời, pin mặt trời</v>
      </c>
      <c r="F248" s="3" t="str">
        <f ca="1">IFERROR(__xludf.DUMMYFUNCTION("GOOGLETRANSLATE(C248,""ja"",""vi"")"),"Đấu giá&gt; thiết bị điện tử tiêu dùng, AV, camera&gt; pin, pin, sạc&gt; Bảng năng lượng mặt trời, pin mặt trời")</f>
        <v>Đấu giá&gt; thiết bị điện tử tiêu dùng, AV, camera&gt; pin, pin, sạc&gt; Bảng năng lượng mặt trời, pin mặt trời</v>
      </c>
      <c r="G248" s="228" t="str">
        <f t="shared" ca="1" si="12"/>
        <v>"2084258410" : "tấm pin mặt trời, pin mặt trời",</v>
      </c>
      <c r="H248" s="229" t="str">
        <f t="shared" si="13"/>
        <v>&lt;li class="col-md-3"&gt;&lt;a class="text-cut" href="javascript:;"(click)="categoryEvent(2084258410)"&gt;{{"2084258410" | translate}}&lt;/a&gt;&lt;/li&gt;</v>
      </c>
    </row>
    <row r="249" spans="1:8" ht="14.25" customHeight="1">
      <c r="A249" s="2">
        <v>2084018952</v>
      </c>
      <c r="B249" s="2" t="s">
        <v>8948</v>
      </c>
      <c r="C249" s="2" t="s">
        <v>8949</v>
      </c>
      <c r="D249" s="116" t="str">
        <f t="shared" si="17"/>
        <v>0,23632,2084044953,2084018952</v>
      </c>
      <c r="E249" s="3" t="str">
        <f ca="1">IFERROR(__xludf.DUMMYFUNCTION("GOOGLETRANSLATE(B249,""ja"",""vi"")"),"Đối với máy quay video")</f>
        <v>Đối với máy quay video</v>
      </c>
      <c r="F249" s="3" t="str">
        <f ca="1">IFERROR(__xludf.DUMMYFUNCTION("GOOGLETRANSLATE(C249,""ja"",""vi"")"),"Đấu giá&gt; thiết bị điện tử tiêu dùng, AV, camera&gt; pin, pin, sạc&gt; cho máy quay video")</f>
        <v>Đấu giá&gt; thiết bị điện tử tiêu dùng, AV, camera&gt; pin, pin, sạc&gt; cho máy quay video</v>
      </c>
      <c r="G249" s="228" t="str">
        <f t="shared" ca="1" si="12"/>
        <v>"2084018952" : "Đối với máy quay video",</v>
      </c>
      <c r="H249" s="229" t="str">
        <f t="shared" si="13"/>
        <v>&lt;li class="col-md-3"&gt;&lt;a class="text-cut" href="javascript:;"(click)="categoryEvent(2084018952)"&gt;{{"2084018952" | translate}}&lt;/a&gt;&lt;/li&gt;</v>
      </c>
    </row>
    <row r="250" spans="1:8" ht="14.25" customHeight="1">
      <c r="A250" s="2">
        <v>2084005063</v>
      </c>
      <c r="B250" s="2" t="s">
        <v>8950</v>
      </c>
      <c r="C250" s="2" t="s">
        <v>8951</v>
      </c>
      <c r="D250" s="116" t="str">
        <f t="shared" si="17"/>
        <v>0,23632,2084044953,2084005063</v>
      </c>
      <c r="E250" s="3" t="str">
        <f ca="1">IFERROR(__xludf.DUMMYFUNCTION("GOOGLETRANSLATE(B250,""ja"",""vi"")"),"điện thoại di động, cho PHS")</f>
        <v>điện thoại di động, cho PHS</v>
      </c>
      <c r="F250" s="3" t="str">
        <f ca="1">IFERROR(__xludf.DUMMYFUNCTION("GOOGLETRANSLATE(C250,""ja"",""vi"")"),"Đấu giá&gt; thiết bị điện tử tiêu dùng, AV, camera&gt; pin, pin, sạc&gt; Điện thoại di động, cho PHS")</f>
        <v>Đấu giá&gt; thiết bị điện tử tiêu dùng, AV, camera&gt; pin, pin, sạc&gt; Điện thoại di động, cho PHS</v>
      </c>
      <c r="G250" s="228" t="str">
        <f t="shared" ca="1" si="12"/>
        <v>"2084005063" : "điện thoại di động, cho PHS",</v>
      </c>
      <c r="H250" s="229" t="str">
        <f t="shared" si="13"/>
        <v>&lt;li class="col-md-3"&gt;&lt;a class="text-cut" href="javascript:;"(click)="categoryEvent(2084005063)"&gt;{{"2084005063" | translate}}&lt;/a&gt;&lt;/li&gt;</v>
      </c>
    </row>
    <row r="251" spans="1:8" ht="14.25" customHeight="1">
      <c r="A251" s="2">
        <v>2084062491</v>
      </c>
      <c r="B251" s="2" t="s">
        <v>8952</v>
      </c>
      <c r="C251" s="2" t="s">
        <v>8953</v>
      </c>
      <c r="D251" s="116" t="str">
        <f t="shared" si="17"/>
        <v>0,23632,2084044953,2084062491</v>
      </c>
      <c r="E251" s="3" t="str">
        <f ca="1">IFERROR(__xludf.DUMMYFUNCTION("GOOGLETRANSLATE(B251,""ja"",""vi"")"),"Đối với một chiếc đồng hồ")</f>
        <v>Đối với một chiếc đồng hồ</v>
      </c>
      <c r="F251" s="3" t="str">
        <f ca="1">IFERROR(__xludf.DUMMYFUNCTION("GOOGLETRANSLATE(C251,""ja"",""vi"")"),"Đấu giá&gt; thiết bị điện tử tiêu dùng, AV, camera&gt; pin, pin, sạc&gt; cho một chiếc đồng hồ")</f>
        <v>Đấu giá&gt; thiết bị điện tử tiêu dùng, AV, camera&gt; pin, pin, sạc&gt; cho một chiếc đồng hồ</v>
      </c>
      <c r="G251" s="228" t="str">
        <f t="shared" ca="1" si="12"/>
        <v>"2084062491" : "Đối với một chiếc đồng hồ",</v>
      </c>
      <c r="H251" s="229" t="str">
        <f t="shared" si="13"/>
        <v>&lt;li class="col-md-3"&gt;&lt;a class="text-cut" href="javascript:;"(click)="categoryEvent(2084062491)"&gt;{{"2084062491" | translate}}&lt;/a&gt;&lt;/li&gt;</v>
      </c>
    </row>
    <row r="252" spans="1:8" ht="14.25" customHeight="1">
      <c r="E252" s="3"/>
      <c r="F252" s="3"/>
      <c r="G252" s="228"/>
      <c r="H252" s="229"/>
    </row>
    <row r="253" spans="1:8" ht="14.25" customHeight="1">
      <c r="E253" s="3"/>
      <c r="F253" s="3"/>
      <c r="G253" s="228"/>
      <c r="H253" s="229"/>
    </row>
    <row r="254" spans="1:8" ht="14.25" customHeight="1">
      <c r="A254" s="323">
        <v>2084263358</v>
      </c>
      <c r="B254" s="232"/>
      <c r="C254" s="232"/>
      <c r="D254" s="233"/>
      <c r="E254" s="3"/>
      <c r="F254" s="3"/>
      <c r="G254" s="228"/>
      <c r="H254" s="229"/>
    </row>
    <row r="255" spans="1:8" ht="14.25" customHeight="1">
      <c r="A255" s="2">
        <v>2084263362</v>
      </c>
      <c r="B255" s="2" t="s">
        <v>8954</v>
      </c>
      <c r="C255" s="2" t="s">
        <v>8955</v>
      </c>
      <c r="D255" s="116" t="str">
        <f t="shared" ref="D255:D275" si="18">CONCATENATE("0,","23632,2084263358,",A255)</f>
        <v>0,23632,2084263358,2084263362</v>
      </c>
      <c r="E255" s="3" t="str">
        <f ca="1">IFERROR(__xludf.DUMMYFUNCTION("GOOGLETRANSLATE(B255,""ja"",""vi"")"),"LED")</f>
        <v>LED</v>
      </c>
      <c r="F255" s="3" t="str">
        <f ca="1">IFERROR(__xludf.DUMMYFUNCTION("GOOGLETRANSLATE(C255,""ja"",""vi"")"),"Đấu giá&gt; thiết bị điện tử tiêu dùng, AV, camera&gt; Linh kiện điện tử&gt; LED")</f>
        <v>Đấu giá&gt; thiết bị điện tử tiêu dùng, AV, camera&gt; Linh kiện điện tử&gt; LED</v>
      </c>
      <c r="G255" s="228" t="str">
        <f t="shared" ca="1" si="12"/>
        <v>"2084263362" : "LED",</v>
      </c>
      <c r="H255" s="229" t="str">
        <f t="shared" si="13"/>
        <v>&lt;li class="col-md-3"&gt;&lt;a class="text-cut" href="javascript:;"(click)="categoryEvent(2084263362)"&gt;{{"2084263362" | translate}}&lt;/a&gt;&lt;/li&gt;</v>
      </c>
    </row>
    <row r="256" spans="1:8" ht="14.25" customHeight="1">
      <c r="A256" s="2">
        <v>2084263371</v>
      </c>
      <c r="B256" s="2" t="s">
        <v>8956</v>
      </c>
      <c r="C256" s="2" t="s">
        <v>8957</v>
      </c>
      <c r="D256" s="116" t="str">
        <f t="shared" si="18"/>
        <v>0,23632,2084263358,2084263371</v>
      </c>
      <c r="E256" s="3" t="str">
        <f ca="1">IFERROR(__xludf.DUMMYFUNCTION("GOOGLETRANSLATE(B256,""ja"",""vi"")"),"cuộn")</f>
        <v>cuộn</v>
      </c>
      <c r="F256" s="3" t="str">
        <f ca="1">IFERROR(__xludf.DUMMYFUNCTION("GOOGLETRANSLATE(C256,""ja"",""vi"")"),"Đấu giá&gt; thiết bị điện tử tiêu dùng, AV, camera&gt; Linh kiện điện tử&gt; cuộn dây")</f>
        <v>Đấu giá&gt; thiết bị điện tử tiêu dùng, AV, camera&gt; Linh kiện điện tử&gt; cuộn dây</v>
      </c>
      <c r="G256" s="228" t="str">
        <f t="shared" ca="1" si="12"/>
        <v>"2084263371" : "cuộn",</v>
      </c>
      <c r="H256" s="229" t="str">
        <f t="shared" si="13"/>
        <v>&lt;li class="col-md-3"&gt;&lt;a class="text-cut" href="javascript:;"(click)="categoryEvent(2084263371)"&gt;{{"2084263371" | translate}}&lt;/a&gt;&lt;/li&gt;</v>
      </c>
    </row>
    <row r="257" spans="1:8" ht="14.25" customHeight="1">
      <c r="A257" s="2">
        <v>2084263359</v>
      </c>
      <c r="B257" s="2" t="s">
        <v>8958</v>
      </c>
      <c r="C257" s="2" t="s">
        <v>8959</v>
      </c>
      <c r="D257" s="116" t="str">
        <f t="shared" si="18"/>
        <v>0,23632,2084263358,2084263359</v>
      </c>
      <c r="E257" s="3" t="str">
        <f ca="1">IFERROR(__xludf.DUMMYFUNCTION("GOOGLETRANSLATE(B257,""ja"",""vi"")"),"Condenser")</f>
        <v>Condenser</v>
      </c>
      <c r="F257" s="3" t="str">
        <f ca="1">IFERROR(__xludf.DUMMYFUNCTION("GOOGLETRANSLATE(C257,""ja"",""vi"")"),"Đấu giá&gt; thiết bị điện tử tiêu dùng, AV, camera&gt; Linh kiện điện tử&gt; tụ")</f>
        <v>Đấu giá&gt; thiết bị điện tử tiêu dùng, AV, camera&gt; Linh kiện điện tử&gt; tụ</v>
      </c>
      <c r="G257" s="228" t="str">
        <f t="shared" ca="1" si="12"/>
        <v>"2084263359" : "Condenser",</v>
      </c>
      <c r="H257" s="229" t="str">
        <f t="shared" si="13"/>
        <v>&lt;li class="col-md-3"&gt;&lt;a class="text-cut" href="javascript:;"(click)="categoryEvent(2084263359)"&gt;{{"2084263359" | translate}}&lt;/a&gt;&lt;/li&gt;</v>
      </c>
    </row>
    <row r="258" spans="1:8" ht="14.25" customHeight="1">
      <c r="A258" s="2">
        <v>2084263365</v>
      </c>
      <c r="B258" s="2" t="s">
        <v>8960</v>
      </c>
      <c r="C258" s="2" t="s">
        <v>8961</v>
      </c>
      <c r="D258" s="116" t="str">
        <f t="shared" si="18"/>
        <v>0,23632,2084263358,2084263365</v>
      </c>
      <c r="E258" s="3" t="str">
        <f ca="1">IFERROR(__xludf.DUMMYFUNCTION("GOOGLETRANSLATE(B258,""ja"",""vi"")"),"điện trở biến")</f>
        <v>điện trở biến</v>
      </c>
      <c r="F258" s="3" t="str">
        <f ca="1">IFERROR(__xludf.DUMMYFUNCTION("GOOGLETRANSLATE(C258,""ja"",""vi"")"),"Đấu giá&gt; thiết bị điện tử tiêu dùng, AV, camera&gt; Linh kiện điện tử&gt; kháng biến")</f>
        <v>Đấu giá&gt; thiết bị điện tử tiêu dùng, AV, camera&gt; Linh kiện điện tử&gt; kháng biến</v>
      </c>
      <c r="G258" s="228" t="str">
        <f t="shared" ca="1" si="12"/>
        <v>"2084263365" : "điện trở biến",</v>
      </c>
      <c r="H258" s="229" t="str">
        <f t="shared" si="13"/>
        <v>&lt;li class="col-md-3"&gt;&lt;a class="text-cut" href="javascript:;"(click)="categoryEvent(2084263365)"&gt;{{"2084263365" | translate}}&lt;/a&gt;&lt;/li&gt;</v>
      </c>
    </row>
    <row r="259" spans="1:8" ht="14.25" customHeight="1">
      <c r="A259" s="2">
        <v>2084263364</v>
      </c>
      <c r="B259" s="2" t="s">
        <v>8962</v>
      </c>
      <c r="C259" s="2" t="s">
        <v>8963</v>
      </c>
      <c r="D259" s="116" t="str">
        <f t="shared" si="18"/>
        <v>0,23632,2084263358,2084263364</v>
      </c>
      <c r="E259" s="3" t="str">
        <f ca="1">IFERROR(__xludf.DUMMYFUNCTION("GOOGLETRANSLATE(B259,""ja"",""vi"")"),"điện trở cố định")</f>
        <v>điện trở cố định</v>
      </c>
      <c r="F259" s="3" t="str">
        <f ca="1">IFERROR(__xludf.DUMMYFUNCTION("GOOGLETRANSLATE(C259,""ja"",""vi"")"),"Đấu giá&gt; thiết bị điện tử tiêu dùng, AV, camera&gt; Linh kiện điện tử&gt; điện trở cố định")</f>
        <v>Đấu giá&gt; thiết bị điện tử tiêu dùng, AV, camera&gt; Linh kiện điện tử&gt; điện trở cố định</v>
      </c>
      <c r="G259" s="228" t="str">
        <f t="shared" ref="G259:G322" ca="1" si="19">CONCATENATE(CHAR(34)&amp;"",A259,""&amp;CHAR(34)," : ", CHAR(34)&amp;"",E259,""&amp;CHAR(34),",")</f>
        <v>"2084263364" : "điện trở cố định",</v>
      </c>
      <c r="H259" s="229" t="str">
        <f t="shared" ref="H259:H322" si="20">CONCATENATE("&lt;li class=",CHAR(34)&amp;"","col-md-3",""&amp;CHAR(34),"&gt;","&lt;a class=",CHAR(34)&amp;"","text-cut",""&amp;CHAR(34)," href=",CHAR(34)&amp;"","javascript:;",""&amp;CHAR(34), "(click)=",CHAR(34)&amp;"","categoryEvent(",A259,")",""&amp;CHAR(34),"&gt;{{",CHAR(34)&amp;"",A259,""&amp;CHAR(34)," | translate}}&lt;/a&gt;&lt;/li&gt;")</f>
        <v>&lt;li class="col-md-3"&gt;&lt;a class="text-cut" href="javascript:;"(click)="categoryEvent(2084263364)"&gt;{{"2084263364" | translate}}&lt;/a&gt;&lt;/li&gt;</v>
      </c>
    </row>
    <row r="260" spans="1:8" ht="14.25" customHeight="1">
      <c r="A260" s="2">
        <v>2084263366</v>
      </c>
      <c r="B260" s="2" t="s">
        <v>8964</v>
      </c>
      <c r="C260" s="2" t="s">
        <v>8965</v>
      </c>
      <c r="D260" s="116" t="str">
        <f t="shared" si="18"/>
        <v>0,23632,2084263358,2084263366</v>
      </c>
      <c r="E260" s="3" t="str">
        <f ca="1">IFERROR(__xludf.DUMMYFUNCTION("GOOGLETRANSLATE(B260,""ja"",""vi"")"),"công tắc")</f>
        <v>công tắc</v>
      </c>
      <c r="F260" s="3" t="str">
        <f ca="1">IFERROR(__xludf.DUMMYFUNCTION("GOOGLETRANSLATE(C260,""ja"",""vi"")"),"Đấu giá&gt; thiết bị điện tử tiêu dùng, AV, camera&gt; Linh kiện điện tử&gt; chuyển đổi")</f>
        <v>Đấu giá&gt; thiết bị điện tử tiêu dùng, AV, camera&gt; Linh kiện điện tử&gt; chuyển đổi</v>
      </c>
      <c r="G260" s="228" t="str">
        <f t="shared" ca="1" si="19"/>
        <v>"2084263366" : "công tắc",</v>
      </c>
      <c r="H260" s="229" t="str">
        <f t="shared" si="20"/>
        <v>&lt;li class="col-md-3"&gt;&lt;a class="text-cut" href="javascript:;"(click)="categoryEvent(2084263366)"&gt;{{"2084263366" | translate}}&lt;/a&gt;&lt;/li&gt;</v>
      </c>
    </row>
    <row r="261" spans="1:8" ht="14.25" customHeight="1">
      <c r="A261" s="2">
        <v>2084263367</v>
      </c>
      <c r="B261" s="2" t="s">
        <v>8966</v>
      </c>
      <c r="C261" s="2" t="s">
        <v>8967</v>
      </c>
      <c r="D261" s="116" t="str">
        <f t="shared" si="18"/>
        <v>0,23632,2084263358,2084263367</v>
      </c>
      <c r="E261" s="3" t="str">
        <f ca="1">IFERROR(__xludf.DUMMYFUNCTION("GOOGLETRANSLATE(B261,""ja"",""vi"")"),"Chuyển mạch cung cấp điện")</f>
        <v>Chuyển mạch cung cấp điện</v>
      </c>
      <c r="F261" s="3" t="str">
        <f ca="1">IFERROR(__xludf.DUMMYFUNCTION("GOOGLETRANSLATE(C261,""ja"",""vi"")"),"Đấu giá&gt; thiết bị điện tử tiêu dùng, AV, camera&gt; Linh kiện điện tử&gt; cung Switching điện")</f>
        <v>Đấu giá&gt; thiết bị điện tử tiêu dùng, AV, camera&gt; Linh kiện điện tử&gt; cung Switching điện</v>
      </c>
      <c r="G261" s="228" t="str">
        <f t="shared" ca="1" si="19"/>
        <v>"2084263367" : "Chuyển mạch cung cấp điện",</v>
      </c>
      <c r="H261" s="229" t="str">
        <f t="shared" si="20"/>
        <v>&lt;li class="col-md-3"&gt;&lt;a class="text-cut" href="javascript:;"(click)="categoryEvent(2084263367)"&gt;{{"2084263367" | translate}}&lt;/a&gt;&lt;/li&gt;</v>
      </c>
    </row>
    <row r="262" spans="1:8" ht="14.25" customHeight="1">
      <c r="A262" s="2">
        <v>2084263361</v>
      </c>
      <c r="B262" s="2" t="s">
        <v>8968</v>
      </c>
      <c r="C262" s="2" t="s">
        <v>8969</v>
      </c>
      <c r="D262" s="116" t="str">
        <f t="shared" si="18"/>
        <v>0,23632,2084263358,2084263361</v>
      </c>
      <c r="E262" s="3" t="str">
        <f ca="1">IFERROR(__xludf.DUMMYFUNCTION("GOOGLETRANSLATE(B262,""ja"",""vi"")"),"diode")</f>
        <v>diode</v>
      </c>
      <c r="F262" s="3" t="str">
        <f ca="1">IFERROR(__xludf.DUMMYFUNCTION("GOOGLETRANSLATE(C262,""ja"",""vi"")"),"Đấu giá&gt; thiết bị điện tử tiêu dùng, AV, camera&gt; Linh kiện điện tử&gt; Điốt")</f>
        <v>Đấu giá&gt; thiết bị điện tử tiêu dùng, AV, camera&gt; Linh kiện điện tử&gt; Điốt</v>
      </c>
      <c r="G262" s="228" t="str">
        <f t="shared" ca="1" si="19"/>
        <v>"2084263361" : "diode",</v>
      </c>
      <c r="H262" s="229" t="str">
        <f t="shared" si="20"/>
        <v>&lt;li class="col-md-3"&gt;&lt;a class="text-cut" href="javascript:;"(click)="categoryEvent(2084263361)"&gt;{{"2084263361" | translate}}&lt;/a&gt;&lt;/li&gt;</v>
      </c>
    </row>
    <row r="263" spans="1:8" ht="14.25" customHeight="1">
      <c r="A263" s="2">
        <v>2084263360</v>
      </c>
      <c r="B263" s="2" t="s">
        <v>8970</v>
      </c>
      <c r="C263" s="2" t="s">
        <v>8971</v>
      </c>
      <c r="D263" s="116" t="str">
        <f t="shared" si="18"/>
        <v>0,23632,2084263358,2084263360</v>
      </c>
      <c r="E263" s="3" t="str">
        <f ca="1">IFERROR(__xludf.DUMMYFUNCTION("GOOGLETRANSLATE(B263,""ja"",""vi"")"),"transistor")</f>
        <v>transistor</v>
      </c>
      <c r="F263" s="3" t="str">
        <f ca="1">IFERROR(__xludf.DUMMYFUNCTION("GOOGLETRANSLATE(C263,""ja"",""vi"")"),"Đấu giá&gt; thiết bị điện tử tiêu dùng, AV, camera&gt; Linh kiện điện tử&gt; Transitor")</f>
        <v>Đấu giá&gt; thiết bị điện tử tiêu dùng, AV, camera&gt; Linh kiện điện tử&gt; Transitor</v>
      </c>
      <c r="G263" s="228" t="str">
        <f t="shared" ca="1" si="19"/>
        <v>"2084263360" : "transistor",</v>
      </c>
      <c r="H263" s="229" t="str">
        <f t="shared" si="20"/>
        <v>&lt;li class="col-md-3"&gt;&lt;a class="text-cut" href="javascript:;"(click)="categoryEvent(2084263360)"&gt;{{"2084263360" | translate}}&lt;/a&gt;&lt;/li&gt;</v>
      </c>
    </row>
    <row r="264" spans="1:8" ht="14.25" customHeight="1">
      <c r="A264" s="2">
        <v>2084263363</v>
      </c>
      <c r="B264" s="2" t="s">
        <v>8972</v>
      </c>
      <c r="C264" s="2" t="s">
        <v>8973</v>
      </c>
      <c r="D264" s="116" t="str">
        <f t="shared" si="18"/>
        <v>0,23632,2084263358,2084263363</v>
      </c>
      <c r="E264" s="3" t="str">
        <f ca="1">IFERROR(__xludf.DUMMYFUNCTION("GOOGLETRANSLATE(B264,""ja"",""vi"")"),"varistor")</f>
        <v>varistor</v>
      </c>
      <c r="F264" s="3" t="str">
        <f ca="1">IFERROR(__xludf.DUMMYFUNCTION("GOOGLETRANSLATE(C264,""ja"",""vi"")"),"Đấu giá&gt; thiết bị điện tử tiêu dùng, AV, camera&gt; Linh kiện điện tử&gt; varistor")</f>
        <v>Đấu giá&gt; thiết bị điện tử tiêu dùng, AV, camera&gt; Linh kiện điện tử&gt; varistor</v>
      </c>
      <c r="G264" s="228" t="str">
        <f t="shared" ca="1" si="19"/>
        <v>"2084263363" : "varistor",</v>
      </c>
      <c r="H264" s="229" t="str">
        <f t="shared" si="20"/>
        <v>&lt;li class="col-md-3"&gt;&lt;a class="text-cut" href="javascript:;"(click)="categoryEvent(2084263363)"&gt;{{"2084263363" | translate}}&lt;/a&gt;&lt;/li&gt;</v>
      </c>
    </row>
    <row r="265" spans="1:8" ht="14.25" customHeight="1">
      <c r="A265" s="2">
        <v>2084263370</v>
      </c>
      <c r="B265" s="2" t="s">
        <v>8974</v>
      </c>
      <c r="C265" s="2" t="s">
        <v>8975</v>
      </c>
      <c r="D265" s="116" t="str">
        <f t="shared" si="18"/>
        <v>0,23632,2084263358,2084263370</v>
      </c>
      <c r="E265" s="3" t="str">
        <f ca="1">IFERROR(__xludf.DUMMYFUNCTION("GOOGLETRANSLATE(B265,""ja"",""vi"")"),"tản nhiệt")</f>
        <v>tản nhiệt</v>
      </c>
      <c r="F265" s="3" t="str">
        <f ca="1">IFERROR(__xludf.DUMMYFUNCTION("GOOGLETRANSLATE(C265,""ja"",""vi"")"),"Đấu giá&gt; thiết bị điện tử tiêu dùng, AV, camera&gt; Linh kiện điện tử&gt; tản nhiệt")</f>
        <v>Đấu giá&gt; thiết bị điện tử tiêu dùng, AV, camera&gt; Linh kiện điện tử&gt; tản nhiệt</v>
      </c>
      <c r="G265" s="228" t="str">
        <f t="shared" ca="1" si="19"/>
        <v>"2084263370" : "tản nhiệt",</v>
      </c>
      <c r="H265" s="229" t="str">
        <f t="shared" si="20"/>
        <v>&lt;li class="col-md-3"&gt;&lt;a class="text-cut" href="javascript:;"(click)="categoryEvent(2084263370)"&gt;{{"2084263370" | translate}}&lt;/a&gt;&lt;/li&gt;</v>
      </c>
    </row>
    <row r="266" spans="1:8" ht="14.25" customHeight="1">
      <c r="A266" s="2">
        <v>2084263368</v>
      </c>
      <c r="B266" s="2" t="s">
        <v>8976</v>
      </c>
      <c r="C266" s="2" t="s">
        <v>8977</v>
      </c>
      <c r="D266" s="116" t="str">
        <f t="shared" si="18"/>
        <v>0,23632,2084263358,2084263368</v>
      </c>
      <c r="E266" s="3" t="str">
        <f ca="1">IFERROR(__xludf.DUMMYFUNCTION("GOOGLETRANSLATE(B266,""ja"",""vi"")"),"cầu chì")</f>
        <v>cầu chì</v>
      </c>
      <c r="F266" s="3" t="str">
        <f ca="1">IFERROR(__xludf.DUMMYFUNCTION("GOOGLETRANSLATE(C266,""ja"",""vi"")"),"Đấu giá&gt; thiết bị điện tử tiêu dùng, AV, camera&gt; Linh kiện điện tử&gt; cầu chì")</f>
        <v>Đấu giá&gt; thiết bị điện tử tiêu dùng, AV, camera&gt; Linh kiện điện tử&gt; cầu chì</v>
      </c>
      <c r="G266" s="228" t="str">
        <f t="shared" ca="1" si="19"/>
        <v>"2084263368" : "cầu chì",</v>
      </c>
      <c r="H266" s="229" t="str">
        <f t="shared" si="20"/>
        <v>&lt;li class="col-md-3"&gt;&lt;a class="text-cut" href="javascript:;"(click)="categoryEvent(2084263368)"&gt;{{"2084263368" | translate}}&lt;/a&gt;&lt;/li&gt;</v>
      </c>
    </row>
    <row r="267" spans="1:8" ht="14.25" customHeight="1">
      <c r="A267" s="2">
        <v>2084263373</v>
      </c>
      <c r="B267" s="2" t="s">
        <v>8978</v>
      </c>
      <c r="C267" s="2" t="s">
        <v>8979</v>
      </c>
      <c r="D267" s="116" t="str">
        <f t="shared" si="18"/>
        <v>0,23632,2084263358,2084263373</v>
      </c>
      <c r="E267" s="3" t="str">
        <f ca="1">IFERROR(__xludf.DUMMYFUNCTION("GOOGLETRANSLATE(B267,""ja"",""vi"")"),"bảng mạch in")</f>
        <v>bảng mạch in</v>
      </c>
      <c r="F267" s="3" t="str">
        <f ca="1">IFERROR(__xludf.DUMMYFUNCTION("GOOGLETRANSLATE(C267,""ja"",""vi"")"),"Đấu giá&gt; thiết bị điện tử tiêu dùng, AV, camera&gt; Linh kiện điện tử&gt; bảng mạch in")</f>
        <v>Đấu giá&gt; thiết bị điện tử tiêu dùng, AV, camera&gt; Linh kiện điện tử&gt; bảng mạch in</v>
      </c>
      <c r="G267" s="228" t="str">
        <f t="shared" ca="1" si="19"/>
        <v>"2084263373" : "bảng mạch in",</v>
      </c>
      <c r="H267" s="229" t="str">
        <f t="shared" si="20"/>
        <v>&lt;li class="col-md-3"&gt;&lt;a class="text-cut" href="javascript:;"(click)="categoryEvent(2084263373)"&gt;{{"2084263373" | translate}}&lt;/a&gt;&lt;/li&gt;</v>
      </c>
    </row>
    <row r="268" spans="1:8" ht="14.25" customHeight="1">
      <c r="A268" s="2">
        <v>2084263369</v>
      </c>
      <c r="B268" s="2" t="s">
        <v>8980</v>
      </c>
      <c r="C268" s="2" t="s">
        <v>8981</v>
      </c>
      <c r="D268" s="116" t="str">
        <f t="shared" si="18"/>
        <v>0,23632,2084263358,2084263369</v>
      </c>
      <c r="E268" s="3" t="str">
        <f ca="1">IFERROR(__xludf.DUMMYFUNCTION("GOOGLETRANSLATE(B268,""ja"",""vi"")"),"Meter")</f>
        <v>Meter</v>
      </c>
      <c r="F268" s="3" t="str">
        <f ca="1">IFERROR(__xludf.DUMMYFUNCTION("GOOGLETRANSLATE(C268,""ja"",""vi"")"),"Đấu giá&gt; thiết bị điện tử tiêu dùng, AV, camera&gt; Linh kiện điện tử&gt; mét")</f>
        <v>Đấu giá&gt; thiết bị điện tử tiêu dùng, AV, camera&gt; Linh kiện điện tử&gt; mét</v>
      </c>
      <c r="G268" s="228" t="str">
        <f t="shared" ca="1" si="19"/>
        <v>"2084263369" : "Meter",</v>
      </c>
      <c r="H268" s="229" t="str">
        <f t="shared" si="20"/>
        <v>&lt;li class="col-md-3"&gt;&lt;a class="text-cut" href="javascript:;"(click)="categoryEvent(2084263369)"&gt;{{"2084263369" | translate}}&lt;/a&gt;&lt;/li&gt;</v>
      </c>
    </row>
    <row r="269" spans="1:8" ht="14.25" customHeight="1">
      <c r="A269" s="2">
        <v>2084263372</v>
      </c>
      <c r="B269" s="2" t="s">
        <v>8982</v>
      </c>
      <c r="C269" s="2" t="s">
        <v>8983</v>
      </c>
      <c r="D269" s="116" t="str">
        <f t="shared" si="18"/>
        <v>0,23632,2084263358,2084263372</v>
      </c>
      <c r="E269" s="3" t="str">
        <f ca="1">IFERROR(__xludf.DUMMYFUNCTION("GOOGLETRANSLATE(B269,""ja"",""vi"")"),"Rơ le")</f>
        <v>Rơ le</v>
      </c>
      <c r="F269" s="3" t="str">
        <f ca="1">IFERROR(__xludf.DUMMYFUNCTION("GOOGLETRANSLATE(C269,""ja"",""vi"")"),"Đấu giá&gt; thiết bị điện tử tiêu dùng, AV, camera&gt; Linh kiện điện tử&gt; Relays")</f>
        <v>Đấu giá&gt; thiết bị điện tử tiêu dùng, AV, camera&gt; Linh kiện điện tử&gt; Relays</v>
      </c>
      <c r="G269" s="228" t="str">
        <f t="shared" ca="1" si="19"/>
        <v>"2084263372" : "Rơ le",</v>
      </c>
      <c r="H269" s="229" t="str">
        <f t="shared" si="20"/>
        <v>&lt;li class="col-md-3"&gt;&lt;a class="text-cut" href="javascript:;"(click)="categoryEvent(2084263372)"&gt;{{"2084263372" | translate}}&lt;/a&gt;&lt;/li&gt;</v>
      </c>
    </row>
    <row r="270" spans="1:8" ht="14.25" customHeight="1">
      <c r="A270" s="2">
        <v>2084282461</v>
      </c>
      <c r="B270" s="2" t="s">
        <v>8984</v>
      </c>
      <c r="C270" s="2" t="s">
        <v>8985</v>
      </c>
      <c r="D270" s="116" t="str">
        <f t="shared" si="18"/>
        <v>0,23632,2084263358,2084282461</v>
      </c>
      <c r="E270" s="3" t="str">
        <f ca="1">IFERROR(__xludf.DUMMYFUNCTION("GOOGLETRANSLATE(B270,""ja"",""vi"")"),"kết nối")</f>
        <v>kết nối</v>
      </c>
      <c r="F270" s="3" t="str">
        <f ca="1">IFERROR(__xludf.DUMMYFUNCTION("GOOGLETRANSLATE(C270,""ja"",""vi"")"),"Đấu giá&gt; thiết bị điện tử tiêu dùng, AV, camera&gt; Linh kiện điện tử&gt; Connectors")</f>
        <v>Đấu giá&gt; thiết bị điện tử tiêu dùng, AV, camera&gt; Linh kiện điện tử&gt; Connectors</v>
      </c>
      <c r="G270" s="228" t="str">
        <f t="shared" ca="1" si="19"/>
        <v>"2084282461" : "kết nối",</v>
      </c>
      <c r="H270" s="229" t="str">
        <f t="shared" si="20"/>
        <v>&lt;li class="col-md-3"&gt;&lt;a class="text-cut" href="javascript:;"(click)="categoryEvent(2084282461)"&gt;{{"2084282461" | translate}}&lt;/a&gt;&lt;/li&gt;</v>
      </c>
    </row>
    <row r="271" spans="1:8" ht="14.25" customHeight="1">
      <c r="A271" s="2">
        <v>2084286804</v>
      </c>
      <c r="B271" s="2" t="s">
        <v>5160</v>
      </c>
      <c r="C271" s="2" t="s">
        <v>8986</v>
      </c>
      <c r="D271" s="116" t="str">
        <f t="shared" si="18"/>
        <v>0,23632,2084263358,2084286804</v>
      </c>
      <c r="E271" s="3" t="str">
        <f ca="1">IFERROR(__xludf.DUMMYFUNCTION("GOOGLETRANSLATE(B271,""ja"",""vi"")"),"loa")</f>
        <v>loa</v>
      </c>
      <c r="F271" s="3" t="str">
        <f ca="1">IFERROR(__xludf.DUMMYFUNCTION("GOOGLETRANSLATE(C271,""ja"",""vi"")"),"Đấu giá&gt; thiết bị điện tử tiêu dùng, AV, camera&gt; Linh kiện điện tử&gt; Loa")</f>
        <v>Đấu giá&gt; thiết bị điện tử tiêu dùng, AV, camera&gt; Linh kiện điện tử&gt; Loa</v>
      </c>
      <c r="G271" s="228" t="str">
        <f t="shared" ca="1" si="19"/>
        <v>"2084286804" : "loa",</v>
      </c>
      <c r="H271" s="229" t="str">
        <f t="shared" si="20"/>
        <v>&lt;li class="col-md-3"&gt;&lt;a class="text-cut" href="javascript:;"(click)="categoryEvent(2084286804)"&gt;{{"2084286804" | translate}}&lt;/a&gt;&lt;/li&gt;</v>
      </c>
    </row>
    <row r="272" spans="1:8" ht="14.25" customHeight="1">
      <c r="A272" s="2">
        <v>2084286805</v>
      </c>
      <c r="B272" s="2" t="s">
        <v>8987</v>
      </c>
      <c r="C272" s="2" t="s">
        <v>8988</v>
      </c>
      <c r="D272" s="116" t="str">
        <f t="shared" si="18"/>
        <v>0,23632,2084263358,2084286805</v>
      </c>
      <c r="E272" s="3" t="str">
        <f ca="1">IFERROR(__xludf.DUMMYFUNCTION("GOOGLETRANSLATE(B272,""ja"",""vi"")"),"Pickup")</f>
        <v>Pickup</v>
      </c>
      <c r="F272" s="3" t="str">
        <f ca="1">IFERROR(__xludf.DUMMYFUNCTION("GOOGLETRANSLATE(C272,""ja"",""vi"")"),"Đấu giá&gt; thiết bị điện tử tiêu dùng, AV, camera&gt; Linh kiện điện tử&gt; đón")</f>
        <v>Đấu giá&gt; thiết bị điện tử tiêu dùng, AV, camera&gt; Linh kiện điện tử&gt; đón</v>
      </c>
      <c r="G272" s="228" t="str">
        <f t="shared" ca="1" si="19"/>
        <v>"2084286805" : "Pickup",</v>
      </c>
      <c r="H272" s="229" t="str">
        <f t="shared" si="20"/>
        <v>&lt;li class="col-md-3"&gt;&lt;a class="text-cut" href="javascript:;"(click)="categoryEvent(2084286805)"&gt;{{"2084286805" | translate}}&lt;/a&gt;&lt;/li&gt;</v>
      </c>
    </row>
    <row r="273" spans="1:8" ht="14.25" customHeight="1">
      <c r="A273" s="2">
        <v>2084286803</v>
      </c>
      <c r="B273" s="2" t="s">
        <v>8989</v>
      </c>
      <c r="C273" s="2" t="s">
        <v>8990</v>
      </c>
      <c r="D273" s="116" t="str">
        <f t="shared" si="18"/>
        <v>0,23632,2084263358,2084286803</v>
      </c>
      <c r="E273" s="3" t="str">
        <f ca="1">IFERROR(__xludf.DUMMYFUNCTION("GOOGLETRANSLATE(B273,""ja"",""vi"")"),"mạch tích hợp")</f>
        <v>mạch tích hợp</v>
      </c>
      <c r="F273" s="3" t="str">
        <f ca="1">IFERROR(__xludf.DUMMYFUNCTION("GOOGLETRANSLATE(C273,""ja"",""vi"")"),"Đấu giá&gt; thiết bị điện tử tiêu dùng, AV, camera&gt; Linh kiện điện tử&gt; mạch tích hợp")</f>
        <v>Đấu giá&gt; thiết bị điện tử tiêu dùng, AV, camera&gt; Linh kiện điện tử&gt; mạch tích hợp</v>
      </c>
      <c r="G273" s="228" t="str">
        <f t="shared" ca="1" si="19"/>
        <v>"2084286803" : "mạch tích hợp",</v>
      </c>
      <c r="H273" s="229" t="str">
        <f t="shared" si="20"/>
        <v>&lt;li class="col-md-3"&gt;&lt;a class="text-cut" href="javascript:;"(click)="categoryEvent(2084286803)"&gt;{{"2084286803" | translate}}&lt;/a&gt;&lt;/li&gt;</v>
      </c>
    </row>
    <row r="274" spans="1:8" ht="14.25" customHeight="1">
      <c r="A274" s="2">
        <v>2084286802</v>
      </c>
      <c r="B274" s="2" t="s">
        <v>8991</v>
      </c>
      <c r="C274" s="2" t="s">
        <v>8992</v>
      </c>
      <c r="D274" s="116" t="str">
        <f t="shared" si="18"/>
        <v>0,23632,2084263358,2084286802</v>
      </c>
      <c r="E274" s="3" t="str">
        <f ca="1">IFERROR(__xludf.DUMMYFUNCTION("GOOGLETRANSLATE(B274,""ja"",""vi"")"),"khối thiết bị đầu cuối")</f>
        <v>khối thiết bị đầu cuối</v>
      </c>
      <c r="F274" s="3" t="str">
        <f ca="1">IFERROR(__xludf.DUMMYFUNCTION("GOOGLETRANSLATE(C274,""ja"",""vi"")"),"Đấu giá&gt; thiết bị điện tử tiêu dùng, AV, camera&gt; Linh kiện điện tử&gt; khối thiết bị đầu cuối")</f>
        <v>Đấu giá&gt; thiết bị điện tử tiêu dùng, AV, camera&gt; Linh kiện điện tử&gt; khối thiết bị đầu cuối</v>
      </c>
      <c r="G274" s="228" t="str">
        <f t="shared" ca="1" si="19"/>
        <v>"2084286802" : "khối thiết bị đầu cuối",</v>
      </c>
      <c r="H274" s="229" t="str">
        <f t="shared" si="20"/>
        <v>&lt;li class="col-md-3"&gt;&lt;a class="text-cut" href="javascript:;"(click)="categoryEvent(2084286802)"&gt;{{"2084286802" | translate}}&lt;/a&gt;&lt;/li&gt;</v>
      </c>
    </row>
    <row r="275" spans="1:8" ht="14.25" customHeight="1">
      <c r="A275" s="2">
        <v>2084263374</v>
      </c>
      <c r="B275" s="2" t="s">
        <v>16</v>
      </c>
      <c r="C275" s="2" t="s">
        <v>8993</v>
      </c>
      <c r="D275" s="116" t="str">
        <f t="shared" si="18"/>
        <v>0,23632,2084263358,2084263374</v>
      </c>
      <c r="E275" s="3" t="str">
        <f ca="1">IFERROR(__xludf.DUMMYFUNCTION("GOOGLETRANSLATE(B275,""ja"",""vi"")"),"nếu không thì")</f>
        <v>nếu không thì</v>
      </c>
      <c r="F275" s="3" t="str">
        <f ca="1">IFERROR(__xludf.DUMMYFUNCTION("GOOGLETRANSLATE(C275,""ja"",""vi"")"),"Đấu giá&gt; thiết bị điện tử tiêu dùng, AV, camera&gt; Linh kiện điện tử&gt; Khác")</f>
        <v>Đấu giá&gt; thiết bị điện tử tiêu dùng, AV, camera&gt; Linh kiện điện tử&gt; Khác</v>
      </c>
      <c r="G275" s="228" t="str">
        <f t="shared" ca="1" si="19"/>
        <v>"2084263374" : "nếu không thì",</v>
      </c>
      <c r="H275" s="229" t="str">
        <f t="shared" si="20"/>
        <v>&lt;li class="col-md-3"&gt;&lt;a class="text-cut" href="javascript:;"(click)="categoryEvent(2084263374)"&gt;{{"2084263374" | translate}}&lt;/a&gt;&lt;/li&gt;</v>
      </c>
    </row>
    <row r="276" spans="1:8" ht="14.25" customHeight="1">
      <c r="E276" s="3"/>
      <c r="F276" s="3"/>
      <c r="G276" s="228"/>
      <c r="H276" s="229"/>
    </row>
    <row r="277" spans="1:8" ht="14.25" customHeight="1">
      <c r="E277" s="3"/>
      <c r="F277" s="3"/>
      <c r="G277" s="228"/>
      <c r="H277" s="229"/>
    </row>
    <row r="278" spans="1:8" ht="14.25" customHeight="1">
      <c r="A278" s="324">
        <v>22844</v>
      </c>
      <c r="B278" s="232"/>
      <c r="C278" s="232"/>
      <c r="D278" s="233"/>
      <c r="E278" s="3"/>
      <c r="F278" s="3"/>
      <c r="G278" s="228"/>
      <c r="H278" s="229"/>
    </row>
    <row r="279" spans="1:8" ht="14.25" customHeight="1">
      <c r="A279" s="2">
        <v>2084315793</v>
      </c>
      <c r="B279" s="2" t="s">
        <v>6941</v>
      </c>
      <c r="C279" s="2" t="s">
        <v>6942</v>
      </c>
      <c r="D279" s="2" t="s">
        <v>8994</v>
      </c>
      <c r="E279" s="3" t="str">
        <f ca="1">IFERROR(__xludf.DUMMYFUNCTION("GOOGLETRANSLATE(B279,""ja"",""vi"")"),"Nintendo công tắc")</f>
        <v>Nintendo công tắc</v>
      </c>
      <c r="F279" s="3" t="str">
        <f ca="1">IFERROR(__xludf.DUMMYFUNCTION("GOOGLETRANSLATE(C279,""ja"",""vi"")"),"Đấu giá&gt; Đồ chơi, Trò chơi&gt; Trò chơi&gt; TV Trò chơi&gt; Nintendo switch")</f>
        <v>Đấu giá&gt; Đồ chơi, Trò chơi&gt; Trò chơi&gt; TV Trò chơi&gt; Nintendo switch</v>
      </c>
      <c r="G279" s="228" t="str">
        <f t="shared" ca="1" si="19"/>
        <v>"2084315793" : "Nintendo công tắc",</v>
      </c>
      <c r="H279" s="229" t="str">
        <f t="shared" si="20"/>
        <v>&lt;li class="col-md-3"&gt;&lt;a class="text-cut" href="javascript:;"(click)="categoryEvent(2084315793)"&gt;{{"2084315793" | translate}}&lt;/a&gt;&lt;/li&gt;</v>
      </c>
    </row>
    <row r="280" spans="1:8" ht="14.25" customHeight="1">
      <c r="A280" s="2">
        <v>2084315791</v>
      </c>
      <c r="B280" s="2" t="s">
        <v>6948</v>
      </c>
      <c r="C280" s="2" t="s">
        <v>6950</v>
      </c>
      <c r="D280" s="2" t="s">
        <v>8995</v>
      </c>
      <c r="E280" s="3" t="str">
        <f ca="1">IFERROR(__xludf.DUMMYFUNCTION("GOOGLETRANSLATE(B280,""ja"",""vi"")"),"Nintendo cổ điển Mini")</f>
        <v>Nintendo cổ điển Mini</v>
      </c>
      <c r="F280" s="3" t="str">
        <f ca="1">IFERROR(__xludf.DUMMYFUNCTION("GOOGLETRANSLATE(C280,""ja"",""vi"")"),"Đấu giá&gt; Đồ chơi, Trò chơi&gt; Trò chơi&gt; TV Trò chơi&gt; Nintendo cổ điển Mini")</f>
        <v>Đấu giá&gt; Đồ chơi, Trò chơi&gt; Trò chơi&gt; TV Trò chơi&gt; Nintendo cổ điển Mini</v>
      </c>
      <c r="G280" s="228" t="str">
        <f t="shared" ca="1" si="19"/>
        <v>"2084315791" : "Nintendo cổ điển Mini",</v>
      </c>
      <c r="H280" s="229" t="str">
        <f t="shared" si="20"/>
        <v>&lt;li class="col-md-3"&gt;&lt;a class="text-cut" href="javascript:;"(click)="categoryEvent(2084315791)"&gt;{{"2084315791" | translate}}&lt;/a&gt;&lt;/li&gt;</v>
      </c>
    </row>
    <row r="281" spans="1:8" ht="14.25" customHeight="1">
      <c r="A281" s="2">
        <v>2084290226</v>
      </c>
      <c r="B281" s="2" t="s">
        <v>6951</v>
      </c>
      <c r="C281" s="2" t="s">
        <v>6952</v>
      </c>
      <c r="D281" s="2" t="s">
        <v>8996</v>
      </c>
      <c r="E281" s="3" t="str">
        <f ca="1">IFERROR(__xludf.DUMMYFUNCTION("GOOGLETRANSLATE(B281,""ja"",""vi"")"),"Nintendo 3DS")</f>
        <v>Nintendo 3DS</v>
      </c>
      <c r="F281" s="3" t="str">
        <f ca="1">IFERROR(__xludf.DUMMYFUNCTION("GOOGLETRANSLATE(C281,""ja"",""vi"")"),"Đấu giá&gt; Đồ chơi, Trò chơi&gt; Trò chơi&gt; TV Trò chơi&gt; Nintendo 3DS")</f>
        <v>Đấu giá&gt; Đồ chơi, Trò chơi&gt; Trò chơi&gt; TV Trò chơi&gt; Nintendo 3DS</v>
      </c>
      <c r="G281" s="228" t="str">
        <f t="shared" ca="1" si="19"/>
        <v>"2084290226" : "Nintendo 3DS",</v>
      </c>
      <c r="H281" s="229" t="str">
        <f t="shared" si="20"/>
        <v>&lt;li class="col-md-3"&gt;&lt;a class="text-cut" href="javascript:;"(click)="categoryEvent(2084290226)"&gt;{{"2084290226" | translate}}&lt;/a&gt;&lt;/li&gt;</v>
      </c>
    </row>
    <row r="282" spans="1:8" ht="14.25" customHeight="1">
      <c r="A282" s="2">
        <v>2084056539</v>
      </c>
      <c r="B282" s="2" t="s">
        <v>6956</v>
      </c>
      <c r="C282" s="2" t="s">
        <v>6957</v>
      </c>
      <c r="D282" s="2" t="s">
        <v>8997</v>
      </c>
      <c r="E282" s="3" t="str">
        <f ca="1">IFERROR(__xludf.DUMMYFUNCTION("GOOGLETRANSLATE(B282,""ja"",""vi"")"),"Nintendo DS")</f>
        <v>Nintendo DS</v>
      </c>
      <c r="F282" s="3" t="str">
        <f ca="1">IFERROR(__xludf.DUMMYFUNCTION("GOOGLETRANSLATE(C282,""ja"",""vi"")"),"Đấu giá&gt; Đồ chơi, Trò chơi&gt; Trò chơi&gt; TV Trò chơi&gt; Nintendo DS")</f>
        <v>Đấu giá&gt; Đồ chơi, Trò chơi&gt; Trò chơi&gt; TV Trò chơi&gt; Nintendo DS</v>
      </c>
      <c r="G282" s="228" t="str">
        <f t="shared" ca="1" si="19"/>
        <v>"2084056539" : "Nintendo DS",</v>
      </c>
      <c r="H282" s="229" t="str">
        <f t="shared" si="20"/>
        <v>&lt;li class="col-md-3"&gt;&lt;a class="text-cut" href="javascript:;"(click)="categoryEvent(2084056539)"&gt;{{"2084056539" | translate}}&lt;/a&gt;&lt;/li&gt;</v>
      </c>
    </row>
    <row r="283" spans="1:8" ht="14.25" customHeight="1">
      <c r="A283" s="2">
        <v>2084310052</v>
      </c>
      <c r="B283" s="2" t="s">
        <v>6958</v>
      </c>
      <c r="C283" s="2" t="s">
        <v>6959</v>
      </c>
      <c r="D283" s="2" t="s">
        <v>8998</v>
      </c>
      <c r="E283" s="3" t="str">
        <f ca="1">IFERROR(__xludf.DUMMYFUNCTION("GOOGLETRANSLATE(B283,""ja"",""vi"")"),"Wii U")</f>
        <v>Wii U</v>
      </c>
      <c r="F283" s="3" t="str">
        <f ca="1">IFERROR(__xludf.DUMMYFUNCTION("GOOGLETRANSLATE(C283,""ja"",""vi"")"),"Đấu giá&gt; Đồ chơi, Trò chơi&gt; Trò chơi&gt; Video Games&gt; Wii U")</f>
        <v>Đấu giá&gt; Đồ chơi, Trò chơi&gt; Trò chơi&gt; Video Games&gt; Wii U</v>
      </c>
      <c r="G283" s="228" t="str">
        <f t="shared" ca="1" si="19"/>
        <v>"2084310052" : "Wii U",</v>
      </c>
      <c r="H283" s="229" t="str">
        <f t="shared" si="20"/>
        <v>&lt;li class="col-md-3"&gt;&lt;a class="text-cut" href="javascript:;"(click)="categoryEvent(2084310052)"&gt;{{"2084310052" | translate}}&lt;/a&gt;&lt;/li&gt;</v>
      </c>
    </row>
    <row r="284" spans="1:8" ht="14.25" customHeight="1">
      <c r="A284" s="2">
        <v>2084217064</v>
      </c>
      <c r="B284" s="2" t="s">
        <v>6963</v>
      </c>
      <c r="C284" s="2" t="s">
        <v>6964</v>
      </c>
      <c r="D284" s="2" t="s">
        <v>8999</v>
      </c>
      <c r="E284" s="3" t="str">
        <f ca="1">IFERROR(__xludf.DUMMYFUNCTION("GOOGLETRANSLATE(B284,""ja"",""vi"")"),"Wii")</f>
        <v>Wii</v>
      </c>
      <c r="F284" s="3" t="str">
        <f ca="1">IFERROR(__xludf.DUMMYFUNCTION("GOOGLETRANSLATE(C284,""ja"",""vi"")"),"Đấu giá&gt; Đồ chơi, Trò chơi&gt; Trò chơi&gt; Video Games&gt; Wii")</f>
        <v>Đấu giá&gt; Đồ chơi, Trò chơi&gt; Trò chơi&gt; Video Games&gt; Wii</v>
      </c>
      <c r="G284" s="228" t="str">
        <f t="shared" ca="1" si="19"/>
        <v>"2084217064" : "Wii",</v>
      </c>
      <c r="H284" s="229" t="str">
        <f t="shared" si="20"/>
        <v>&lt;li class="col-md-3"&gt;&lt;a class="text-cut" href="javascript:;"(click)="categoryEvent(2084217064)"&gt;{{"2084217064" | translate}}&lt;/a&gt;&lt;/li&gt;</v>
      </c>
    </row>
    <row r="285" spans="1:8" ht="14.25" customHeight="1">
      <c r="A285" s="2">
        <v>2084301277</v>
      </c>
      <c r="B285" s="2" t="s">
        <v>6968</v>
      </c>
      <c r="C285" s="2" t="s">
        <v>6969</v>
      </c>
      <c r="D285" s="2" t="s">
        <v>9000</v>
      </c>
      <c r="E285" s="3" t="str">
        <f ca="1">IFERROR(__xludf.DUMMYFUNCTION("GOOGLETRANSLATE(B285,""ja"",""vi"")"),"PS Vita")</f>
        <v>PS Vita</v>
      </c>
      <c r="F285" s="3" t="str">
        <f ca="1">IFERROR(__xludf.DUMMYFUNCTION("GOOGLETRANSLATE(C285,""ja"",""vi"")"),"Đấu giá&gt; Đồ chơi, Trò chơi&gt; Trò chơi&gt; Video Games&gt; PS Vita")</f>
        <v>Đấu giá&gt; Đồ chơi, Trò chơi&gt; Trò chơi&gt; Video Games&gt; PS Vita</v>
      </c>
      <c r="G285" s="228" t="str">
        <f t="shared" ca="1" si="19"/>
        <v>"2084301277" : "PS Vita",</v>
      </c>
      <c r="H285" s="229" t="str">
        <f t="shared" si="20"/>
        <v>&lt;li class="col-md-3"&gt;&lt;a class="text-cut" href="javascript:;"(click)="categoryEvent(2084301277)"&gt;{{"2084301277" | translate}}&lt;/a&gt;&lt;/li&gt;</v>
      </c>
    </row>
    <row r="286" spans="1:8" ht="14.25" customHeight="1">
      <c r="A286" s="2">
        <v>2084057109</v>
      </c>
      <c r="B286" s="2" t="s">
        <v>6971</v>
      </c>
      <c r="C286" s="2" t="s">
        <v>6973</v>
      </c>
      <c r="D286" s="2" t="s">
        <v>9001</v>
      </c>
      <c r="E286" s="3" t="str">
        <f ca="1">IFERROR(__xludf.DUMMYFUNCTION("GOOGLETRANSLATE(B286,""ja"",""vi"")"),"PSP (PlayStation Portable)")</f>
        <v>PSP (PlayStation Portable)</v>
      </c>
      <c r="F286" s="3" t="str">
        <f ca="1">IFERROR(__xludf.DUMMYFUNCTION("GOOGLETRANSLATE(C286,""ja"",""vi"")"),"Đấu giá&gt; Đồ chơi, Trò chơi&gt; Trò chơi&gt; Video Games&gt; PSP (PlayStation Portable)")</f>
        <v>Đấu giá&gt; Đồ chơi, Trò chơi&gt; Trò chơi&gt; Video Games&gt; PSP (PlayStation Portable)</v>
      </c>
      <c r="G286" s="228" t="str">
        <f t="shared" ca="1" si="19"/>
        <v>"2084057109" : "PSP (PlayStation Portable)",</v>
      </c>
      <c r="H286" s="229" t="str">
        <f t="shared" si="20"/>
        <v>&lt;li class="col-md-3"&gt;&lt;a class="text-cut" href="javascript:;"(click)="categoryEvent(2084057109)"&gt;{{"2084057109" | translate}}&lt;/a&gt;&lt;/li&gt;</v>
      </c>
    </row>
    <row r="287" spans="1:8" ht="14.25" customHeight="1">
      <c r="A287" s="2">
        <v>2084313826</v>
      </c>
      <c r="B287" s="2" t="s">
        <v>6978</v>
      </c>
      <c r="C287" s="2" t="s">
        <v>6979</v>
      </c>
      <c r="D287" s="2" t="s">
        <v>9002</v>
      </c>
      <c r="E287" s="3" t="str">
        <f ca="1">IFERROR(__xludf.DUMMYFUNCTION("GOOGLETRANSLATE(B287,""ja"",""vi"")"),"PlayStation 4")</f>
        <v>PlayStation 4</v>
      </c>
      <c r="F287" s="3" t="str">
        <f ca="1">IFERROR(__xludf.DUMMYFUNCTION("GOOGLETRANSLATE(C287,""ja"",""vi"")"),"Đấu giá&gt; Đồ chơi, Trò chơi&gt; Trò chơi&gt; TV Trò chơi&gt; PlayStation 4")</f>
        <v>Đấu giá&gt; Đồ chơi, Trò chơi&gt; Trò chơi&gt; TV Trò chơi&gt; PlayStation 4</v>
      </c>
      <c r="G287" s="228" t="str">
        <f t="shared" ca="1" si="19"/>
        <v>"2084313826" : "PlayStation 4",</v>
      </c>
      <c r="H287" s="229" t="str">
        <f t="shared" si="20"/>
        <v>&lt;li class="col-md-3"&gt;&lt;a class="text-cut" href="javascript:;"(click)="categoryEvent(2084313826)"&gt;{{"2084313826" | translate}}&lt;/a&gt;&lt;/li&gt;</v>
      </c>
    </row>
    <row r="288" spans="1:8" ht="14.25" customHeight="1">
      <c r="A288" s="2">
        <v>2084216435</v>
      </c>
      <c r="B288" s="2" t="s">
        <v>6985</v>
      </c>
      <c r="C288" s="2" t="s">
        <v>6986</v>
      </c>
      <c r="D288" s="2" t="s">
        <v>9003</v>
      </c>
      <c r="E288" s="3" t="str">
        <f ca="1">IFERROR(__xludf.DUMMYFUNCTION("GOOGLETRANSLATE(B288,""ja"",""vi"")"),"PlayStation 3")</f>
        <v>PlayStation 3</v>
      </c>
      <c r="F288" s="3" t="str">
        <f ca="1">IFERROR(__xludf.DUMMYFUNCTION("GOOGLETRANSLATE(C288,""ja"",""vi"")"),"Đấu giá&gt; Đồ chơi, Trò chơi&gt; Trò chơi&gt; TV Trò chơi&gt; PlayStation 3")</f>
        <v>Đấu giá&gt; Đồ chơi, Trò chơi&gt; Trò chơi&gt; TV Trò chơi&gt; PlayStation 3</v>
      </c>
      <c r="G288" s="228" t="str">
        <f t="shared" ca="1" si="19"/>
        <v>"2084216435" : "PlayStation 3",</v>
      </c>
      <c r="H288" s="229" t="str">
        <f t="shared" si="20"/>
        <v>&lt;li class="col-md-3"&gt;&lt;a class="text-cut" href="javascript:;"(click)="categoryEvent(2084216435)"&gt;{{"2084216435" | translate}}&lt;/a&gt;&lt;/li&gt;</v>
      </c>
    </row>
    <row r="289" spans="1:8" ht="14.25" customHeight="1">
      <c r="A289" s="2">
        <v>2084006668</v>
      </c>
      <c r="B289" s="2" t="s">
        <v>6988</v>
      </c>
      <c r="C289" s="2" t="s">
        <v>6990</v>
      </c>
      <c r="D289" s="2" t="s">
        <v>9004</v>
      </c>
      <c r="E289" s="3" t="str">
        <f ca="1">IFERROR(__xludf.DUMMYFUNCTION("GOOGLETRANSLATE(B289,""ja"",""vi"")"),"PlayStation 2")</f>
        <v>PlayStation 2</v>
      </c>
      <c r="F289" s="3" t="str">
        <f ca="1">IFERROR(__xludf.DUMMYFUNCTION("GOOGLETRANSLATE(C289,""ja"",""vi"")"),"Đấu giá&gt; Đồ chơi, Trò chơi&gt; Trò chơi&gt; TV Trò chơi&gt; PlayStation 2")</f>
        <v>Đấu giá&gt; Đồ chơi, Trò chơi&gt; Trò chơi&gt; TV Trò chơi&gt; PlayStation 2</v>
      </c>
      <c r="G289" s="228" t="str">
        <f t="shared" ca="1" si="19"/>
        <v>"2084006668" : "PlayStation 2",</v>
      </c>
      <c r="H289" s="229" t="str">
        <f t="shared" si="20"/>
        <v>&lt;li class="col-md-3"&gt;&lt;a class="text-cut" href="javascript:;"(click)="categoryEvent(2084006668)"&gt;{{"2084006668" | translate}}&lt;/a&gt;&lt;/li&gt;</v>
      </c>
    </row>
    <row r="290" spans="1:8" ht="14.25" customHeight="1">
      <c r="A290" s="2">
        <v>2084314664</v>
      </c>
      <c r="B290" s="2" t="s">
        <v>6994</v>
      </c>
      <c r="C290" s="2" t="s">
        <v>6995</v>
      </c>
      <c r="D290" s="2" t="s">
        <v>9005</v>
      </c>
      <c r="E290" s="3" t="str">
        <f ca="1">IFERROR(__xludf.DUMMYFUNCTION("GOOGLETRANSLATE(B290,""ja"",""vi"")"),"Xbox One")</f>
        <v>Xbox One</v>
      </c>
      <c r="F290" s="3" t="str">
        <f ca="1">IFERROR(__xludf.DUMMYFUNCTION("GOOGLETRANSLATE(C290,""ja"",""vi"")"),"Đấu giá&gt; Đồ chơi, Trò chơi&gt; Trò chơi&gt; Video Games&gt; Xbox One")</f>
        <v>Đấu giá&gt; Đồ chơi, Trò chơi&gt; Trò chơi&gt; Video Games&gt; Xbox One</v>
      </c>
      <c r="G290" s="228" t="str">
        <f t="shared" ca="1" si="19"/>
        <v>"2084314664" : "Xbox One",</v>
      </c>
      <c r="H290" s="229" t="str">
        <f t="shared" si="20"/>
        <v>&lt;li class="col-md-3"&gt;&lt;a class="text-cut" href="javascript:;"(click)="categoryEvent(2084314664)"&gt;{{"2084314664" | translate}}&lt;/a&gt;&lt;/li&gt;</v>
      </c>
    </row>
    <row r="291" spans="1:8" ht="14.25" customHeight="1">
      <c r="A291" s="2">
        <v>2084235546</v>
      </c>
      <c r="B291" s="2" t="s">
        <v>7001</v>
      </c>
      <c r="C291" s="2" t="s">
        <v>7002</v>
      </c>
      <c r="D291" s="2" t="s">
        <v>9006</v>
      </c>
      <c r="E291" s="3" t="str">
        <f ca="1">IFERROR(__xludf.DUMMYFUNCTION("GOOGLETRANSLATE(B291,""ja"",""vi"")"),"Xbox 360")</f>
        <v>Xbox 360</v>
      </c>
      <c r="F291" s="3" t="str">
        <f ca="1">IFERROR(__xludf.DUMMYFUNCTION("GOOGLETRANSLATE(C291,""ja"",""vi"")"),"Đấu giá&gt; Đồ chơi, Trò chơi&gt; Trò chơi&gt; Video Games&gt; Xbox 360")</f>
        <v>Đấu giá&gt; Đồ chơi, Trò chơi&gt; Trò chơi&gt; Video Games&gt; Xbox 360</v>
      </c>
      <c r="G291" s="228" t="str">
        <f t="shared" ca="1" si="19"/>
        <v>"2084235546" : "Xbox 360",</v>
      </c>
      <c r="H291" s="229" t="str">
        <f t="shared" si="20"/>
        <v>&lt;li class="col-md-3"&gt;&lt;a class="text-cut" href="javascript:;"(click)="categoryEvent(2084235546)"&gt;{{"2084235546" | translate}}&lt;/a&gt;&lt;/li&gt;</v>
      </c>
    </row>
    <row r="292" spans="1:8" ht="14.25" customHeight="1">
      <c r="A292" s="2">
        <v>22860</v>
      </c>
      <c r="B292" s="2" t="s">
        <v>7009</v>
      </c>
      <c r="C292" s="2" t="s">
        <v>7010</v>
      </c>
      <c r="D292" s="2" t="s">
        <v>9007</v>
      </c>
      <c r="E292" s="3" t="str">
        <f ca="1">IFERROR(__xludf.DUMMYFUNCTION("GOOGLETRANSLATE(B292,""ja"",""vi"")"),"Playstation")</f>
        <v>Playstation</v>
      </c>
      <c r="F292" s="3" t="str">
        <f ca="1">IFERROR(__xludf.DUMMYFUNCTION("GOOGLETRANSLATE(C292,""ja"",""vi"")"),"Đấu giá&gt; Đồ chơi, Trò chơi&gt; Trò chơi&gt; TV Trò chơi&gt; PlayStation")</f>
        <v>Đấu giá&gt; Đồ chơi, Trò chơi&gt; Trò chơi&gt; TV Trò chơi&gt; PlayStation</v>
      </c>
      <c r="G292" s="228" t="str">
        <f t="shared" ca="1" si="19"/>
        <v>"22860" : "Playstation",</v>
      </c>
      <c r="H292" s="229" t="str">
        <f t="shared" si="20"/>
        <v>&lt;li class="col-md-3"&gt;&lt;a class="text-cut" href="javascript:;"(click)="categoryEvent(22860)"&gt;{{"22860" | translate}}&lt;/a&gt;&lt;/li&gt;</v>
      </c>
    </row>
    <row r="293" spans="1:8" ht="14.25" customHeight="1">
      <c r="A293" s="2">
        <v>2084041580</v>
      </c>
      <c r="B293" s="2" t="s">
        <v>7015</v>
      </c>
      <c r="C293" s="2" t="s">
        <v>7017</v>
      </c>
      <c r="D293" s="2" t="s">
        <v>9008</v>
      </c>
      <c r="E293" s="3" t="str">
        <f ca="1">IFERROR(__xludf.DUMMYFUNCTION("GOOGLETRANSLATE(B293,""ja"",""vi"")"),"Game Boy Advance")</f>
        <v>Game Boy Advance</v>
      </c>
      <c r="F293" s="3" t="str">
        <f ca="1">IFERROR(__xludf.DUMMYFUNCTION("GOOGLETRANSLATE(C293,""ja"",""vi"")"),"Đấu giá&gt; Đồ chơi, Trò chơi&gt; Trò chơi&gt; TV Trò chơi&gt; Game Boy Advance")</f>
        <v>Đấu giá&gt; Đồ chơi, Trò chơi&gt; Trò chơi&gt; TV Trò chơi&gt; Game Boy Advance</v>
      </c>
      <c r="G293" s="228" t="str">
        <f t="shared" ca="1" si="19"/>
        <v>"2084041580" : "Game Boy Advance",</v>
      </c>
      <c r="H293" s="229" t="str">
        <f t="shared" si="20"/>
        <v>&lt;li class="col-md-3"&gt;&lt;a class="text-cut" href="javascript:;"(click)="categoryEvent(2084041580)"&gt;{{"2084041580" | translate}}&lt;/a&gt;&lt;/li&gt;</v>
      </c>
    </row>
    <row r="294" spans="1:8" ht="14.25" customHeight="1">
      <c r="A294" s="2">
        <v>2084063616</v>
      </c>
      <c r="B294" s="2" t="s">
        <v>7020</v>
      </c>
      <c r="C294" s="2" t="s">
        <v>7023</v>
      </c>
      <c r="D294" s="2" t="s">
        <v>9009</v>
      </c>
      <c r="E294" s="3" t="str">
        <f ca="1">IFERROR(__xludf.DUMMYFUNCTION("GOOGLETRANSLATE(B294,""ja"",""vi"")"),"Game Boy Micro")</f>
        <v>Game Boy Micro</v>
      </c>
      <c r="F294" s="3" t="str">
        <f ca="1">IFERROR(__xludf.DUMMYFUNCTION("GOOGLETRANSLATE(C294,""ja"",""vi"")"),"Đấu giá&gt; Đồ chơi, Trò chơi&gt; Trò chơi&gt; TV Trò chơi&gt; Game Boy Micro")</f>
        <v>Đấu giá&gt; Đồ chơi, Trò chơi&gt; Trò chơi&gt; TV Trò chơi&gt; Game Boy Micro</v>
      </c>
      <c r="G294" s="228" t="str">
        <f t="shared" ca="1" si="19"/>
        <v>"2084063616" : "Game Boy Micro",</v>
      </c>
      <c r="H294" s="229" t="str">
        <f t="shared" si="20"/>
        <v>&lt;li class="col-md-3"&gt;&lt;a class="text-cut" href="javascript:;"(click)="categoryEvent(2084063616)"&gt;{{"2084063616" | translate}}&lt;/a&gt;&lt;/li&gt;</v>
      </c>
    </row>
    <row r="295" spans="1:8" ht="14.25" customHeight="1">
      <c r="A295" s="2">
        <v>27812</v>
      </c>
      <c r="B295" s="2" t="s">
        <v>7025</v>
      </c>
      <c r="C295" s="2" t="s">
        <v>7027</v>
      </c>
      <c r="D295" s="2" t="s">
        <v>9010</v>
      </c>
      <c r="E295" s="3" t="str">
        <f ca="1">IFERROR(__xludf.DUMMYFUNCTION("GOOGLETRANSLATE(B295,""ja"",""vi"")"),"game Boy")</f>
        <v>game Boy</v>
      </c>
      <c r="F295" s="3" t="str">
        <f ca="1">IFERROR(__xludf.DUMMYFUNCTION("GOOGLETRANSLATE(C295,""ja"",""vi"")"),"Đấu giá&gt; Đồ chơi, Trò chơi&gt; Trò chơi&gt; TV Trò chơi&gt; Game Boy")</f>
        <v>Đấu giá&gt; Đồ chơi, Trò chơi&gt; Trò chơi&gt; TV Trò chơi&gt; Game Boy</v>
      </c>
      <c r="G295" s="228" t="str">
        <f t="shared" ca="1" si="19"/>
        <v>"27812" : "game Boy",</v>
      </c>
      <c r="H295" s="229" t="str">
        <f t="shared" si="20"/>
        <v>&lt;li class="col-md-3"&gt;&lt;a class="text-cut" href="javascript:;"(click)="categoryEvent(27812)"&gt;{{"27812" | translate}}&lt;/a&gt;&lt;/li&gt;</v>
      </c>
    </row>
    <row r="296" spans="1:8" ht="14.25" customHeight="1">
      <c r="A296" s="2">
        <v>2084045784</v>
      </c>
      <c r="B296" s="2" t="s">
        <v>7031</v>
      </c>
      <c r="C296" s="2" t="s">
        <v>7033</v>
      </c>
      <c r="D296" s="2" t="s">
        <v>9011</v>
      </c>
      <c r="E296" s="3" t="str">
        <f ca="1">IFERROR(__xludf.DUMMYFUNCTION("GOOGLETRANSLATE(B296,""ja"",""vi"")"),"GameCube")</f>
        <v>GameCube</v>
      </c>
      <c r="F296" s="3" t="str">
        <f ca="1">IFERROR(__xludf.DUMMYFUNCTION("GOOGLETRANSLATE(C296,""ja"",""vi"")"),"Đấu giá&gt; Đồ chơi, Trò chơi&gt; Trò chơi&gt; TV Trò chơi&gt; GameCube")</f>
        <v>Đấu giá&gt; Đồ chơi, Trò chơi&gt; Trò chơi&gt; TV Trò chơi&gt; GameCube</v>
      </c>
      <c r="G296" s="228" t="str">
        <f t="shared" ca="1" si="19"/>
        <v>"2084045784" : "GameCube",</v>
      </c>
      <c r="H296" s="229" t="str">
        <f t="shared" si="20"/>
        <v>&lt;li class="col-md-3"&gt;&lt;a class="text-cut" href="javascript:;"(click)="categoryEvent(2084045784)"&gt;{{"2084045784" | translate}}&lt;/a&gt;&lt;/li&gt;</v>
      </c>
    </row>
    <row r="297" spans="1:8" ht="14.25" customHeight="1">
      <c r="A297" s="2">
        <v>22850</v>
      </c>
      <c r="B297" s="2" t="s">
        <v>7038</v>
      </c>
      <c r="C297" s="2" t="s">
        <v>7039</v>
      </c>
      <c r="D297" s="2" t="s">
        <v>9012</v>
      </c>
      <c r="E297" s="3" t="str">
        <f ca="1">IFERROR(__xludf.DUMMYFUNCTION("GOOGLETRANSLATE(B297,""ja"",""vi"")"),"NINTENDO 64")</f>
        <v>NINTENDO 64</v>
      </c>
      <c r="F297" s="3" t="str">
        <f ca="1">IFERROR(__xludf.DUMMYFUNCTION("GOOGLETRANSLATE(C297,""ja"",""vi"")"),"Đấu giá&gt; Đồ chơi, Trò chơi&gt; Trò chơi&gt; Video Games&gt; NINTENDO 64")</f>
        <v>Đấu giá&gt; Đồ chơi, Trò chơi&gt; Trò chơi&gt; Video Games&gt; NINTENDO 64</v>
      </c>
      <c r="G297" s="228" t="str">
        <f t="shared" ca="1" si="19"/>
        <v>"22850" : "NINTENDO 64",</v>
      </c>
      <c r="H297" s="229" t="str">
        <f t="shared" si="20"/>
        <v>&lt;li class="col-md-3"&gt;&lt;a class="text-cut" href="javascript:;"(click)="categoryEvent(22850)"&gt;{{"22850" | translate}}&lt;/a&gt;&lt;/li&gt;</v>
      </c>
    </row>
    <row r="298" spans="1:8" ht="14.25" customHeight="1">
      <c r="A298" s="2">
        <v>22852</v>
      </c>
      <c r="B298" s="2" t="s">
        <v>7044</v>
      </c>
      <c r="C298" s="2" t="s">
        <v>7046</v>
      </c>
      <c r="D298" s="2" t="s">
        <v>9013</v>
      </c>
      <c r="E298" s="3" t="str">
        <f ca="1">IFERROR(__xludf.DUMMYFUNCTION("GOOGLETRANSLATE(B298,""ja"",""vi"")"),"Hệ thống Super Nintendo Entertainment")</f>
        <v>Hệ thống Super Nintendo Entertainment</v>
      </c>
      <c r="F298" s="3" t="str">
        <f ca="1">IFERROR(__xludf.DUMMYFUNCTION("GOOGLETRANSLATE(C298,""ja"",""vi"")"),"Đấu giá&gt; Đồ chơi, Trò chơi&gt; Trò chơi&gt; TV Trò chơi&gt; Hệ thống Super Nintendo Entertainment")</f>
        <v>Đấu giá&gt; Đồ chơi, Trò chơi&gt; Trò chơi&gt; TV Trò chơi&gt; Hệ thống Super Nintendo Entertainment</v>
      </c>
      <c r="G298" s="228" t="str">
        <f t="shared" ca="1" si="19"/>
        <v>"22852" : "Hệ thống Super Nintendo Entertainment",</v>
      </c>
      <c r="H298" s="229" t="str">
        <f t="shared" si="20"/>
        <v>&lt;li class="col-md-3"&gt;&lt;a class="text-cut" href="javascript:;"(click)="categoryEvent(22852)"&gt;{{"22852" | translate}}&lt;/a&gt;&lt;/li&gt;</v>
      </c>
    </row>
    <row r="299" spans="1:8" ht="14.25" customHeight="1">
      <c r="A299" s="2">
        <v>22853</v>
      </c>
      <c r="B299" s="2" t="s">
        <v>7049</v>
      </c>
      <c r="C299" s="2" t="s">
        <v>7051</v>
      </c>
      <c r="D299" s="2" t="s">
        <v>9014</v>
      </c>
      <c r="E299" s="3" t="str">
        <f ca="1">IFERROR(__xludf.DUMMYFUNCTION("GOOGLETRANSLATE(B299,""ja"",""vi"")"),"NES")</f>
        <v>NES</v>
      </c>
      <c r="F299" s="3" t="str">
        <f ca="1">IFERROR(__xludf.DUMMYFUNCTION("GOOGLETRANSLATE(C299,""ja"",""vi"")"),"Đấu giá&gt; Đồ chơi, Trò chơi&gt; Trò chơi&gt; TV Trò chơi&gt; NES")</f>
        <v>Đấu giá&gt; Đồ chơi, Trò chơi&gt; Trò chơi&gt; TV Trò chơi&gt; NES</v>
      </c>
      <c r="G299" s="228" t="str">
        <f t="shared" ca="1" si="19"/>
        <v>"22853" : "NES",</v>
      </c>
      <c r="H299" s="229" t="str">
        <f t="shared" si="20"/>
        <v>&lt;li class="col-md-3"&gt;&lt;a class="text-cut" href="javascript:;"(click)="categoryEvent(22853)"&gt;{{"22853" | translate}}&lt;/a&gt;&lt;/li&gt;</v>
      </c>
    </row>
    <row r="300" spans="1:8" ht="14.25" customHeight="1">
      <c r="A300" s="2">
        <v>2084047852</v>
      </c>
      <c r="B300" s="2" t="s">
        <v>7054</v>
      </c>
      <c r="C300" s="2" t="s">
        <v>7055</v>
      </c>
      <c r="D300" s="2" t="s">
        <v>9015</v>
      </c>
      <c r="E300" s="3" t="str">
        <f ca="1">IFERROR(__xludf.DUMMYFUNCTION("GOOGLETRANSLATE(B300,""ja"",""vi"")"),"Xbox")</f>
        <v>Xbox</v>
      </c>
      <c r="F300" s="3" t="str">
        <f ca="1">IFERROR(__xludf.DUMMYFUNCTION("GOOGLETRANSLATE(C300,""ja"",""vi"")"),"Đấu giá&gt; Đồ chơi, Trò chơi&gt; Trò chơi&gt; Video Games&gt; Xbox")</f>
        <v>Đấu giá&gt; Đồ chơi, Trò chơi&gt; Trò chơi&gt; Video Games&gt; Xbox</v>
      </c>
      <c r="G300" s="228" t="str">
        <f t="shared" ca="1" si="19"/>
        <v>"2084047852" : "Xbox",</v>
      </c>
      <c r="H300" s="229" t="str">
        <f t="shared" si="20"/>
        <v>&lt;li class="col-md-3"&gt;&lt;a class="text-cut" href="javascript:;"(click)="categoryEvent(2084047852)"&gt;{{"2084047852" | translate}}&lt;/a&gt;&lt;/li&gt;</v>
      </c>
    </row>
    <row r="301" spans="1:8" ht="14.25" customHeight="1">
      <c r="A301" s="2">
        <v>40505</v>
      </c>
      <c r="B301" s="2" t="s">
        <v>7058</v>
      </c>
      <c r="C301" s="2" t="s">
        <v>7059</v>
      </c>
      <c r="D301" s="2" t="s">
        <v>9016</v>
      </c>
      <c r="E301" s="3" t="str">
        <f ca="1">IFERROR(__xludf.DUMMYFUNCTION("GOOGLETRANSLATE(B301,""ja"",""vi"")"),"Sega")</f>
        <v>Sega</v>
      </c>
      <c r="F301" s="3" t="str">
        <f ca="1">IFERROR(__xludf.DUMMYFUNCTION("GOOGLETRANSLATE(C301,""ja"",""vi"")"),"Đấu giá&gt; Đồ chơi, Trò chơi&gt; Trò chơi&gt; TV Trò chơi&gt; Sega")</f>
        <v>Đấu giá&gt; Đồ chơi, Trò chơi&gt; Trò chơi&gt; TV Trò chơi&gt; Sega</v>
      </c>
      <c r="G301" s="228" t="str">
        <f t="shared" ca="1" si="19"/>
        <v>"40505" : "Sega",</v>
      </c>
      <c r="H301" s="229" t="str">
        <f t="shared" si="20"/>
        <v>&lt;li class="col-md-3"&gt;&lt;a class="text-cut" href="javascript:;"(click)="categoryEvent(40505)"&gt;{{"40505" | translate}}&lt;/a&gt;&lt;/li&gt;</v>
      </c>
    </row>
    <row r="302" spans="1:8" ht="14.25" customHeight="1">
      <c r="A302" s="2">
        <v>2084005537</v>
      </c>
      <c r="B302" s="2" t="s">
        <v>7060</v>
      </c>
      <c r="C302" s="2" t="s">
        <v>7061</v>
      </c>
      <c r="D302" s="2" t="s">
        <v>9017</v>
      </c>
      <c r="E302" s="3" t="str">
        <f ca="1">IFERROR(__xludf.DUMMYFUNCTION("GOOGLETRANSLATE(B302,""ja"",""vi"")"),"NeoGeo")</f>
        <v>NeoGeo</v>
      </c>
      <c r="F302" s="3" t="str">
        <f ca="1">IFERROR(__xludf.DUMMYFUNCTION("GOOGLETRANSLATE(C302,""ja"",""vi"")"),"Đấu giá&gt; Đồ chơi, Trò chơi&gt; Trò chơi&gt; TV Trò chơi&gt; NeoGeo")</f>
        <v>Đấu giá&gt; Đồ chơi, Trò chơi&gt; Trò chơi&gt; TV Trò chơi&gt; NeoGeo</v>
      </c>
      <c r="G302" s="228" t="str">
        <f t="shared" ca="1" si="19"/>
        <v>"2084005537" : "NeoGeo",</v>
      </c>
      <c r="H302" s="229" t="str">
        <f t="shared" si="20"/>
        <v>&lt;li class="col-md-3"&gt;&lt;a class="text-cut" href="javascript:;"(click)="categoryEvent(2084005537)"&gt;{{"2084005537" | translate}}&lt;/a&gt;&lt;/li&gt;</v>
      </c>
    </row>
    <row r="303" spans="1:8" ht="14.25" customHeight="1">
      <c r="A303" s="2">
        <v>2084005532</v>
      </c>
      <c r="B303" s="2" t="s">
        <v>7064</v>
      </c>
      <c r="C303" s="2" t="s">
        <v>7066</v>
      </c>
      <c r="D303" s="2" t="s">
        <v>9018</v>
      </c>
      <c r="E303" s="3" t="str">
        <f ca="1">IFERROR(__xludf.DUMMYFUNCTION("GOOGLETRANSLATE(B303,""ja"",""vi"")"),"3DO")</f>
        <v>3DO</v>
      </c>
      <c r="F303" s="3" t="str">
        <f ca="1">IFERROR(__xludf.DUMMYFUNCTION("GOOGLETRANSLATE(C303,""ja"",""vi"")"),"Đấu giá&gt; Đồ chơi, Trò chơi&gt; Trò chơi&gt; Video Games&gt; 3DO")</f>
        <v>Đấu giá&gt; Đồ chơi, Trò chơi&gt; Trò chơi&gt; Video Games&gt; 3DO</v>
      </c>
      <c r="G303" s="228" t="str">
        <f t="shared" ca="1" si="19"/>
        <v>"2084005532" : "3DO",</v>
      </c>
      <c r="H303" s="229" t="str">
        <f t="shared" si="20"/>
        <v>&lt;li class="col-md-3"&gt;&lt;a class="text-cut" href="javascript:;"(click)="categoryEvent(2084005532)"&gt;{{"2084005532" | translate}}&lt;/a&gt;&lt;/li&gt;</v>
      </c>
    </row>
    <row r="304" spans="1:8" ht="14.25" customHeight="1">
      <c r="A304" s="2">
        <v>2084006676</v>
      </c>
      <c r="B304" s="2" t="s">
        <v>7067</v>
      </c>
      <c r="C304" s="2" t="s">
        <v>7069</v>
      </c>
      <c r="D304" s="2" t="s">
        <v>9019</v>
      </c>
      <c r="E304" s="3" t="str">
        <f ca="1">IFERROR(__xludf.DUMMYFUNCTION("GOOGLETRANSLATE(B304,""ja"",""vi"")"),"NEC")</f>
        <v>NEC</v>
      </c>
      <c r="F304" s="3" t="str">
        <f ca="1">IFERROR(__xludf.DUMMYFUNCTION("GOOGLETRANSLATE(C304,""ja"",""vi"")"),"Đấu giá&gt; Đồ chơi, Trò chơi&gt; Trò chơi&gt; video game&gt; NEC")</f>
        <v>Đấu giá&gt; Đồ chơi, Trò chơi&gt; Trò chơi&gt; video game&gt; NEC</v>
      </c>
      <c r="G304" s="228" t="str">
        <f t="shared" ca="1" si="19"/>
        <v>"2084006676" : "NEC",</v>
      </c>
      <c r="H304" s="229" t="str">
        <f t="shared" si="20"/>
        <v>&lt;li class="col-md-3"&gt;&lt;a class="text-cut" href="javascript:;"(click)="categoryEvent(2084006676)"&gt;{{"2084006676" | translate}}&lt;/a&gt;&lt;/li&gt;</v>
      </c>
    </row>
    <row r="305" spans="1:8" ht="14.25" customHeight="1">
      <c r="A305" s="2">
        <v>22864</v>
      </c>
      <c r="B305" s="2" t="s">
        <v>7071</v>
      </c>
      <c r="C305" s="2" t="s">
        <v>7073</v>
      </c>
      <c r="D305" s="2" t="s">
        <v>9020</v>
      </c>
      <c r="E305" s="3" t="str">
        <f ca="1">IFERROR(__xludf.DUMMYFUNCTION("GOOGLETRANSLATE(B305,""ja"",""vi"")"),"di động")</f>
        <v>di động</v>
      </c>
      <c r="F305" s="3" t="str">
        <f ca="1">IFERROR(__xludf.DUMMYFUNCTION("GOOGLETRANSLATE(C305,""ja"",""vi"")"),"Đấu giá&gt; Đồ chơi, Trò chơi&gt; Trò chơi&gt; TV Trò chơi&gt; xách tay")</f>
        <v>Đấu giá&gt; Đồ chơi, Trò chơi&gt; Trò chơi&gt; TV Trò chơi&gt; xách tay</v>
      </c>
      <c r="G305" s="228" t="str">
        <f t="shared" ca="1" si="19"/>
        <v>"22864" : "di động",</v>
      </c>
      <c r="H305" s="229" t="str">
        <f t="shared" si="20"/>
        <v>&lt;li class="col-md-3"&gt;&lt;a class="text-cut" href="javascript:;"(click)="categoryEvent(22864)"&gt;{{"22864" | translate}}&lt;/a&gt;&lt;/li&gt;</v>
      </c>
    </row>
    <row r="306" spans="1:8" ht="14.25" customHeight="1">
      <c r="A306" s="2">
        <v>2084047781</v>
      </c>
      <c r="B306" s="2" t="s">
        <v>7074</v>
      </c>
      <c r="C306" s="2" t="s">
        <v>7076</v>
      </c>
      <c r="D306" s="2" t="s">
        <v>9021</v>
      </c>
      <c r="E306" s="3" t="str">
        <f ca="1">IFERROR(__xludf.DUMMYFUNCTION("GOOGLETRANSLATE(B306,""ja"",""vi"")"),"Arcade trò chơi")</f>
        <v>Arcade trò chơi</v>
      </c>
      <c r="F306" s="3" t="str">
        <f ca="1">IFERROR(__xludf.DUMMYFUNCTION("GOOGLETRANSLATE(C306,""ja"",""vi"")"),"Đấu giá&gt; Đồ chơi, Trò chơi&gt; Trò chơi&gt; TV Trò chơi&gt; Trò chơi")</f>
        <v>Đấu giá&gt; Đồ chơi, Trò chơi&gt; Trò chơi&gt; TV Trò chơi&gt; Trò chơi</v>
      </c>
      <c r="G306" s="228" t="str">
        <f t="shared" ca="1" si="19"/>
        <v>"2084047781" : "Arcade trò chơi",</v>
      </c>
      <c r="H306" s="229" t="str">
        <f t="shared" si="20"/>
        <v>&lt;li class="col-md-3"&gt;&lt;a class="text-cut" href="javascript:;"(click)="categoryEvent(2084047781)"&gt;{{"2084047781" | translate}}&lt;/a&gt;&lt;/li&gt;</v>
      </c>
    </row>
    <row r="307" spans="1:8" ht="14.25" customHeight="1">
      <c r="A307" s="2">
        <v>2084005147</v>
      </c>
      <c r="B307" s="2" t="s">
        <v>7079</v>
      </c>
      <c r="C307" s="2" t="s">
        <v>7080</v>
      </c>
      <c r="D307" s="2" t="s">
        <v>9022</v>
      </c>
      <c r="E307" s="3" t="str">
        <f ca="1">IFERROR(__xludf.DUMMYFUNCTION("GOOGLETRANSLATE(B307,""ja"",""vi"")"),"CD nhạc trò chơi")</f>
        <v>CD nhạc trò chơi</v>
      </c>
      <c r="F307" s="3" t="str">
        <f ca="1">IFERROR(__xludf.DUMMYFUNCTION("GOOGLETRANSLATE(C307,""ja"",""vi"")"),"Đấu giá&gt; Đồ chơi, Trò chơi&gt; Trò chơi&gt; TV Trò chơi&gt; CD trò chơi âm nhạc")</f>
        <v>Đấu giá&gt; Đồ chơi, Trò chơi&gt; Trò chơi&gt; TV Trò chơi&gt; CD trò chơi âm nhạc</v>
      </c>
      <c r="G307" s="228" t="str">
        <f t="shared" ca="1" si="19"/>
        <v>"2084005147" : "CD nhạc trò chơi",</v>
      </c>
      <c r="H307" s="229" t="str">
        <f t="shared" si="20"/>
        <v>&lt;li class="col-md-3"&gt;&lt;a class="text-cut" href="javascript:;"(click)="categoryEvent(2084005147)"&gt;{{"2084005147" | translate}}&lt;/a&gt;&lt;/li&gt;</v>
      </c>
    </row>
    <row r="308" spans="1:8" ht="14.25" customHeight="1">
      <c r="A308" s="2">
        <v>2084009067</v>
      </c>
      <c r="B308" s="2" t="s">
        <v>7084</v>
      </c>
      <c r="C308" s="2" t="s">
        <v>7085</v>
      </c>
      <c r="D308" s="2" t="s">
        <v>9023</v>
      </c>
      <c r="E308" s="3" t="str">
        <f ca="1">IFERROR(__xludf.DUMMYFUNCTION("GOOGLETRANSLATE(B308,""ja"",""vi"")"),"Chiến lược trò chơi")</f>
        <v>Chiến lược trò chơi</v>
      </c>
      <c r="F308" s="3" t="str">
        <f ca="1">IFERROR(__xludf.DUMMYFUNCTION("GOOGLETRANSLATE(C308,""ja"",""vi"")"),"Đấu giá&gt; Đồ chơi, Trò chơi&gt; Trò chơi&gt; TV Trò chơi&gt; Chiến lược Game")</f>
        <v>Đấu giá&gt; Đồ chơi, Trò chơi&gt; Trò chơi&gt; TV Trò chơi&gt; Chiến lược Game</v>
      </c>
      <c r="G308" s="228" t="str">
        <f t="shared" ca="1" si="19"/>
        <v>"2084009067" : "Chiến lược trò chơi",</v>
      </c>
      <c r="H308" s="229" t="str">
        <f t="shared" si="20"/>
        <v>&lt;li class="col-md-3"&gt;&lt;a class="text-cut" href="javascript:;"(click)="categoryEvent(2084009067)"&gt;{{"2084009067" | translate}}&lt;/a&gt;&lt;/li&gt;</v>
      </c>
    </row>
    <row r="309" spans="1:8" ht="14.25" customHeight="1">
      <c r="A309" s="2">
        <v>2084047654</v>
      </c>
      <c r="B309" s="2" t="s">
        <v>7089</v>
      </c>
      <c r="C309" s="2" t="s">
        <v>7090</v>
      </c>
      <c r="D309" s="2" t="s">
        <v>9024</v>
      </c>
      <c r="E309" s="3" t="str">
        <f ca="1">IFERROR(__xludf.DUMMYFUNCTION("GOOGLETRANSLATE(B309,""ja"",""vi"")"),"tạp chí game")</f>
        <v>tạp chí game</v>
      </c>
      <c r="F309" s="3" t="str">
        <f ca="1">IFERROR(__xludf.DUMMYFUNCTION("GOOGLETRANSLATE(C309,""ja"",""vi"")"),"Đấu giá&gt; Đồ chơi, Trò chơi&gt; Trò chơi&gt; TV Trò chơi&gt; Trò chơi tạp chí")</f>
        <v>Đấu giá&gt; Đồ chơi, Trò chơi&gt; Trò chơi&gt; TV Trò chơi&gt; Trò chơi tạp chí</v>
      </c>
      <c r="G309" s="228" t="str">
        <f t="shared" ca="1" si="19"/>
        <v>"2084047654" : "tạp chí game",</v>
      </c>
      <c r="H309" s="229" t="str">
        <f t="shared" si="20"/>
        <v>&lt;li class="col-md-3"&gt;&lt;a class="text-cut" href="javascript:;"(click)="categoryEvent(2084047654)"&gt;{{"2084047654" | translate}}&lt;/a&gt;&lt;/li&gt;</v>
      </c>
    </row>
    <row r="310" spans="1:8" ht="14.25" customHeight="1">
      <c r="A310" s="2">
        <v>2084005119</v>
      </c>
      <c r="B310" s="2" t="s">
        <v>389</v>
      </c>
      <c r="C310" s="2" t="s">
        <v>7095</v>
      </c>
      <c r="D310" s="2" t="s">
        <v>9025</v>
      </c>
      <c r="E310" s="3" t="str">
        <f ca="1">IFERROR(__xludf.DUMMYFUNCTION("GOOGLETRANSLATE(B310,""ja"",""vi"")"),"thẻ điện thoại")</f>
        <v>thẻ điện thoại</v>
      </c>
      <c r="F310" s="3" t="str">
        <f ca="1">IFERROR(__xludf.DUMMYFUNCTION("GOOGLETRANSLATE(C310,""ja"",""vi"")"),"Đấu giá&gt; Đồ chơi, Trò chơi&gt; Trò chơi&gt; TV Games&gt; Thẻ điện thoại")</f>
        <v>Đấu giá&gt; Đồ chơi, Trò chơi&gt; Trò chơi&gt; TV Games&gt; Thẻ điện thoại</v>
      </c>
      <c r="G310" s="228" t="str">
        <f t="shared" ca="1" si="19"/>
        <v>"2084005119" : "thẻ điện thoại",</v>
      </c>
      <c r="H310" s="229" t="str">
        <f t="shared" si="20"/>
        <v>&lt;li class="col-md-3"&gt;&lt;a class="text-cut" href="javascript:;"(click)="categoryEvent(2084005119)"&gt;{{"2084005119" | translate}}&lt;/a&gt;&lt;/li&gt;</v>
      </c>
    </row>
    <row r="311" spans="1:8" ht="14.25" customHeight="1">
      <c r="A311" s="2">
        <v>22892</v>
      </c>
      <c r="B311" s="2" t="s">
        <v>16</v>
      </c>
      <c r="C311" s="2" t="s">
        <v>7098</v>
      </c>
      <c r="D311" s="2" t="s">
        <v>9026</v>
      </c>
      <c r="E311" s="3" t="str">
        <f ca="1">IFERROR(__xludf.DUMMYFUNCTION("GOOGLETRANSLATE(B311,""ja"",""vi"")"),"nếu không thì")</f>
        <v>nếu không thì</v>
      </c>
      <c r="F311" s="3" t="str">
        <f ca="1">IFERROR(__xludf.DUMMYFUNCTION("GOOGLETRANSLATE(C311,""ja"",""vi"")"),"Đấu giá&gt; Đồ chơi, Trò chơi&gt; Trò chơi&gt; TV Trò chơi&gt; Khác")</f>
        <v>Đấu giá&gt; Đồ chơi, Trò chơi&gt; Trò chơi&gt; TV Trò chơi&gt; Khác</v>
      </c>
      <c r="G311" s="228" t="str">
        <f t="shared" ca="1" si="19"/>
        <v>"22892" : "nếu không thì",</v>
      </c>
      <c r="H311" s="229" t="str">
        <f t="shared" si="20"/>
        <v>&lt;li class="col-md-3"&gt;&lt;a class="text-cut" href="javascript:;"(click)="categoryEvent(22892)"&gt;{{"22892" | translate}}&lt;/a&gt;&lt;/li&gt;</v>
      </c>
    </row>
    <row r="312" spans="1:8" ht="14.25" customHeight="1">
      <c r="E312" s="3"/>
      <c r="F312" s="3"/>
      <c r="G312" s="228"/>
      <c r="H312" s="229"/>
    </row>
    <row r="313" spans="1:8" ht="14.25" customHeight="1">
      <c r="E313" s="3"/>
      <c r="F313" s="3"/>
      <c r="G313" s="228"/>
      <c r="H313" s="229"/>
    </row>
    <row r="314" spans="1:8" ht="14.25" customHeight="1">
      <c r="A314" s="322">
        <v>23336</v>
      </c>
      <c r="B314" s="232"/>
      <c r="C314" s="232"/>
      <c r="D314" s="233"/>
      <c r="E314" s="3"/>
      <c r="F314" s="3"/>
      <c r="G314" s="228"/>
      <c r="H314" s="229"/>
    </row>
    <row r="315" spans="1:8" ht="14.25" customHeight="1">
      <c r="A315" s="2">
        <v>2084039759</v>
      </c>
      <c r="B315" s="2" t="s">
        <v>8520</v>
      </c>
      <c r="C315" s="2" t="s">
        <v>8521</v>
      </c>
      <c r="D315" s="116" t="str">
        <f t="shared" ref="D315:D332" si="21">CONCATENATE("0,","23336,",A315)</f>
        <v>0,23336,2084039759</v>
      </c>
      <c r="E315" s="3" t="str">
        <f ca="1">IFERROR(__xludf.DUMMYFUNCTION("GOOGLETRANSLATE(B315,""ja"",""vi"")"),"PC")</f>
        <v>PC</v>
      </c>
      <c r="F315" s="3" t="str">
        <f ca="1">IFERROR(__xludf.DUMMYFUNCTION("GOOGLETRANSLATE(C315,""ja"",""vi"")"),"Đấu giá&gt; máy tính&gt; máy tính cá nhân")</f>
        <v>Đấu giá&gt; máy tính&gt; máy tính cá nhân</v>
      </c>
      <c r="G315" s="228" t="str">
        <f t="shared" ca="1" si="19"/>
        <v>"2084039759" : "PC",</v>
      </c>
      <c r="H315" s="229" t="str">
        <f t="shared" si="20"/>
        <v>&lt;li class="col-md-3"&gt;&lt;a class="text-cut" href="javascript:;"(click)="categoryEvent(2084039759)"&gt;{{"2084039759" | translate}}&lt;/a&gt;&lt;/li&gt;</v>
      </c>
    </row>
    <row r="316" spans="1:8" ht="14.25" customHeight="1">
      <c r="A316" s="2">
        <v>2084292086</v>
      </c>
      <c r="B316" s="2" t="s">
        <v>9027</v>
      </c>
      <c r="C316" s="2" t="s">
        <v>8533</v>
      </c>
      <c r="D316" s="116" t="str">
        <f t="shared" si="21"/>
        <v>0,23336,2084292086</v>
      </c>
      <c r="E316" s="3" t="str">
        <f ca="1">IFERROR(__xludf.DUMMYFUNCTION("GOOGLETRANSLATE(B316,""ja"",""vi"")"),"viên thuốc")</f>
        <v>viên thuốc</v>
      </c>
      <c r="F316" s="3" t="str">
        <f ca="1">IFERROR(__xludf.DUMMYFUNCTION("GOOGLETRANSLATE(C316,""ja"",""vi"")"),"Đấu giá&gt; máy tính&gt; tablet")</f>
        <v>Đấu giá&gt; máy tính&gt; tablet</v>
      </c>
      <c r="G316" s="228" t="str">
        <f t="shared" ca="1" si="19"/>
        <v>"2084292086" : "viên thuốc",</v>
      </c>
      <c r="H316" s="229" t="str">
        <f t="shared" si="20"/>
        <v>&lt;li class="col-md-3"&gt;&lt;a class="text-cut" href="javascript:;"(click)="categoryEvent(2084292086)"&gt;{{"2084292086" | translate}}&lt;/a&gt;&lt;/li&gt;</v>
      </c>
    </row>
    <row r="317" spans="1:8" ht="14.25" customHeight="1">
      <c r="A317" s="2">
        <v>2084005067</v>
      </c>
      <c r="B317" s="2" t="s">
        <v>8538</v>
      </c>
      <c r="C317" s="2" t="s">
        <v>8539</v>
      </c>
      <c r="D317" s="116" t="str">
        <f t="shared" si="21"/>
        <v>0,23336,2084005067</v>
      </c>
      <c r="E317" s="3" t="str">
        <f ca="1">IFERROR(__xludf.DUMMYFUNCTION("GOOGLETRANSLATE(B317,""ja"",""vi"")"),"điện thoại thông minh, điện thoại di động")</f>
        <v>điện thoại thông minh, điện thoại di động</v>
      </c>
      <c r="F317" s="3" t="str">
        <f ca="1">IFERROR(__xludf.DUMMYFUNCTION("GOOGLETRANSLATE(C317,""ja"",""vi"")"),"Đấu giá&gt; máy tính&gt; điện thoại thông minh, điện thoại di động")</f>
        <v>Đấu giá&gt; máy tính&gt; điện thoại thông minh, điện thoại di động</v>
      </c>
      <c r="G317" s="228" t="str">
        <f t="shared" ca="1" si="19"/>
        <v>"2084005067" : "điện thoại thông minh, điện thoại di động",</v>
      </c>
      <c r="H317" s="229" t="str">
        <f t="shared" si="20"/>
        <v>&lt;li class="col-md-3"&gt;&lt;a class="text-cut" href="javascript:;"(click)="categoryEvent(2084005067)"&gt;{{"2084005067" | translate}}&lt;/a&gt;&lt;/li&gt;</v>
      </c>
    </row>
    <row r="318" spans="1:8" ht="14.25" customHeight="1">
      <c r="A318" s="2">
        <v>2084288672</v>
      </c>
      <c r="B318" s="2" t="s">
        <v>8544</v>
      </c>
      <c r="C318" s="2" t="s">
        <v>8546</v>
      </c>
      <c r="D318" s="116" t="str">
        <f t="shared" si="21"/>
        <v>0,23336,2084288672</v>
      </c>
      <c r="E318" s="3" t="str">
        <f ca="1">IFERROR(__xludf.DUMMYFUNCTION("GOOGLETRANSLATE(B318,""ja"",""vi"")"),"E-book reader")</f>
        <v>E-book reader</v>
      </c>
      <c r="F318" s="3" t="str">
        <f ca="1">IFERROR(__xludf.DUMMYFUNCTION("GOOGLETRANSLATE(C318,""ja"",""vi"")"),"Đấu giá&gt; Computer&gt; e-book reader")</f>
        <v>Đấu giá&gt; Computer&gt; e-book reader</v>
      </c>
      <c r="G318" s="228" t="str">
        <f t="shared" ca="1" si="19"/>
        <v>"2084288672" : "E-book reader",</v>
      </c>
      <c r="H318" s="229" t="str">
        <f t="shared" si="20"/>
        <v>&lt;li class="col-md-3"&gt;&lt;a class="text-cut" href="javascript:;"(click)="categoryEvent(2084288672)"&gt;{{"2084288672" | translate}}&lt;/a&gt;&lt;/li&gt;</v>
      </c>
    </row>
    <row r="319" spans="1:8" ht="14.25" customHeight="1">
      <c r="A319" s="2">
        <v>2084261633</v>
      </c>
      <c r="B319" s="2" t="s">
        <v>8435</v>
      </c>
      <c r="C319" s="2" t="s">
        <v>8550</v>
      </c>
      <c r="D319" s="116" t="str">
        <f t="shared" si="21"/>
        <v>0,23336,2084261633</v>
      </c>
      <c r="E319" s="3" t="str">
        <f ca="1">IFERROR(__xludf.DUMMYFUNCTION("GOOGLETRANSLATE(B319,""ja"",""vi"")"),"máy ảnh kỹ thuật số")</f>
        <v>máy ảnh kỹ thuật số</v>
      </c>
      <c r="F319" s="3" t="str">
        <f ca="1">IFERROR(__xludf.DUMMYFUNCTION("GOOGLETRANSLATE(C319,""ja"",""vi"")"),"Đấu giá&gt; Máy vi tính&gt; máy ảnh kỹ thuật số")</f>
        <v>Đấu giá&gt; Máy vi tính&gt; máy ảnh kỹ thuật số</v>
      </c>
      <c r="G319" s="228" t="str">
        <f t="shared" ca="1" si="19"/>
        <v>"2084261633" : "máy ảnh kỹ thuật số",</v>
      </c>
      <c r="H319" s="229" t="str">
        <f t="shared" si="20"/>
        <v>&lt;li class="col-md-3"&gt;&lt;a class="text-cut" href="javascript:;"(click)="categoryEvent(2084261633)"&gt;{{"2084261633" | translate}}&lt;/a&gt;&lt;/li&gt;</v>
      </c>
    </row>
    <row r="320" spans="1:8" ht="14.25" customHeight="1">
      <c r="A320" s="2">
        <v>2084039561</v>
      </c>
      <c r="B320" s="2" t="s">
        <v>8555</v>
      </c>
      <c r="C320" s="2" t="s">
        <v>8556</v>
      </c>
      <c r="D320" s="116" t="str">
        <f t="shared" si="21"/>
        <v>0,23336,2084039561</v>
      </c>
      <c r="E320" s="3" t="str">
        <f ca="1">IFERROR(__xludf.DUMMYFUNCTION("GOOGLETRANSLATE(B320,""ja"",""vi"")"),"chu vi")</f>
        <v>chu vi</v>
      </c>
      <c r="F320" s="3" t="str">
        <f ca="1">IFERROR(__xludf.DUMMYFUNCTION("GOOGLETRANSLATE(C320,""ja"",""vi"")"),"Đấu giá&gt; máy tính&gt; thiết bị ngoại vi")</f>
        <v>Đấu giá&gt; máy tính&gt; thiết bị ngoại vi</v>
      </c>
      <c r="G320" s="228" t="str">
        <f t="shared" ca="1" si="19"/>
        <v>"2084039561" : "chu vi",</v>
      </c>
      <c r="H320" s="229" t="str">
        <f t="shared" si="20"/>
        <v>&lt;li class="col-md-3"&gt;&lt;a class="text-cut" href="javascript:;"(click)="categoryEvent(2084039561)"&gt;{{"2084039561" | translate}}&lt;/a&gt;&lt;/li&gt;</v>
      </c>
    </row>
    <row r="321" spans="1:8" ht="14.25" customHeight="1">
      <c r="A321" s="2">
        <v>23568</v>
      </c>
      <c r="B321" s="2" t="s">
        <v>5007</v>
      </c>
      <c r="C321" s="2" t="s">
        <v>8559</v>
      </c>
      <c r="D321" s="116" t="str">
        <f t="shared" si="21"/>
        <v>0,23336,23568</v>
      </c>
      <c r="E321" s="3" t="str">
        <f ca="1">IFERROR(__xludf.DUMMYFUNCTION("GOOGLETRANSLATE(B321,""ja"",""vi"")"),"phần mềm")</f>
        <v>phần mềm</v>
      </c>
      <c r="F321" s="3" t="str">
        <f ca="1">IFERROR(__xludf.DUMMYFUNCTION("GOOGLETRANSLATE(C321,""ja"",""vi"")"),"Đấu giá&gt; máy tính&gt; Phần mềm")</f>
        <v>Đấu giá&gt; máy tính&gt; Phần mềm</v>
      </c>
      <c r="G321" s="228" t="str">
        <f t="shared" ca="1" si="19"/>
        <v>"23568" : "phần mềm",</v>
      </c>
      <c r="H321" s="229" t="str">
        <f t="shared" si="20"/>
        <v>&lt;li class="col-md-3"&gt;&lt;a class="text-cut" href="javascript:;"(click)="categoryEvent(23568)"&gt;{{"23568" | translate}}&lt;/a&gt;&lt;/li&gt;</v>
      </c>
    </row>
    <row r="322" spans="1:8" ht="14.25" customHeight="1">
      <c r="A322" s="2">
        <v>2084039461</v>
      </c>
      <c r="B322" s="2" t="s">
        <v>8561</v>
      </c>
      <c r="C322" s="2" t="s">
        <v>8563</v>
      </c>
      <c r="D322" s="116" t="str">
        <f t="shared" si="21"/>
        <v>0,23336,2084039461</v>
      </c>
      <c r="E322" s="3" t="str">
        <f ca="1">IFERROR(__xludf.DUMMYFUNCTION("GOOGLETRANSLATE(B322,""ja"",""vi"")"),"cung cấp")</f>
        <v>cung cấp</v>
      </c>
      <c r="F322" s="3" t="str">
        <f ca="1">IFERROR(__xludf.DUMMYFUNCTION("GOOGLETRANSLATE(C322,""ja"",""vi"")"),"Đấu giá&gt; máy tính&gt; cung cấp")</f>
        <v>Đấu giá&gt; máy tính&gt; cung cấp</v>
      </c>
      <c r="G322" s="228" t="str">
        <f t="shared" ca="1" si="19"/>
        <v>"2084039461" : "cung cấp",</v>
      </c>
      <c r="H322" s="229" t="str">
        <f t="shared" si="20"/>
        <v>&lt;li class="col-md-3"&gt;&lt;a class="text-cut" href="javascript:;"(click)="categoryEvent(2084039461)"&gt;{{"2084039461" | translate}}&lt;/a&gt;&lt;/li&gt;</v>
      </c>
    </row>
    <row r="323" spans="1:8" ht="14.25" customHeight="1">
      <c r="A323" s="2">
        <v>2084039480</v>
      </c>
      <c r="B323" s="2" t="s">
        <v>3876</v>
      </c>
      <c r="C323" s="2" t="s">
        <v>8567</v>
      </c>
      <c r="D323" s="116" t="str">
        <f t="shared" si="21"/>
        <v>0,23336,2084039480</v>
      </c>
      <c r="E323" s="3" t="str">
        <f ca="1">IFERROR(__xludf.DUMMYFUNCTION("GOOGLETRANSLATE(B323,""ja"",""vi"")"),"bộ phận")</f>
        <v>bộ phận</v>
      </c>
      <c r="F323" s="3" t="str">
        <f ca="1">IFERROR(__xludf.DUMMYFUNCTION("GOOGLETRANSLATE(C323,""ja"",""vi"")"),"Đấu giá&gt; máy tính&gt; phụ tùng")</f>
        <v>Đấu giá&gt; máy tính&gt; phụ tùng</v>
      </c>
      <c r="G323" s="228" t="str">
        <f t="shared" ref="G323:G386" ca="1" si="22">CONCATENATE(CHAR(34)&amp;"",A323,""&amp;CHAR(34)," : ", CHAR(34)&amp;"",E323,""&amp;CHAR(34),",")</f>
        <v>"2084039480" : "bộ phận",</v>
      </c>
      <c r="H323" s="229" t="str">
        <f t="shared" ref="H323:H386" si="23">CONCATENATE("&lt;li class=",CHAR(34)&amp;"","col-md-3",""&amp;CHAR(34),"&gt;","&lt;a class=",CHAR(34)&amp;"","text-cut",""&amp;CHAR(34)," href=",CHAR(34)&amp;"","javascript:;",""&amp;CHAR(34), "(click)=",CHAR(34)&amp;"","categoryEvent(",A323,")",""&amp;CHAR(34),"&gt;{{",CHAR(34)&amp;"",A323,""&amp;CHAR(34)," | translate}}&lt;/a&gt;&lt;/li&gt;")</f>
        <v>&lt;li class="col-md-3"&gt;&lt;a class="text-cut" href="javascript:;"(click)="categoryEvent(2084039480)"&gt;{{"2084039480" | translate}}&lt;/a&gt;&lt;/li&gt;</v>
      </c>
    </row>
    <row r="324" spans="1:8" ht="14.25" customHeight="1">
      <c r="A324" s="2">
        <v>2084049588</v>
      </c>
      <c r="B324" s="2" t="s">
        <v>8570</v>
      </c>
      <c r="C324" s="2" t="s">
        <v>8571</v>
      </c>
      <c r="D324" s="116" t="str">
        <f t="shared" si="21"/>
        <v>0,23336,2084049588</v>
      </c>
      <c r="E324" s="3" t="str">
        <f ca="1">IFERROR(__xludf.DUMMYFUNCTION("GOOGLETRANSLATE(B324,""ja"",""vi"")"),"máy chủ")</f>
        <v>máy chủ</v>
      </c>
      <c r="F324" s="3" t="str">
        <f ca="1">IFERROR(__xludf.DUMMYFUNCTION("GOOGLETRANSLATE(C324,""ja"",""vi"")"),"Đấu giá&gt; máy tính&gt; Máy chủ")</f>
        <v>Đấu giá&gt; máy tính&gt; Máy chủ</v>
      </c>
      <c r="G324" s="228" t="str">
        <f t="shared" ca="1" si="22"/>
        <v>"2084049588" : "máy chủ",</v>
      </c>
      <c r="H324" s="229" t="str">
        <f t="shared" si="23"/>
        <v>&lt;li class="col-md-3"&gt;&lt;a class="text-cut" href="javascript:;"(click)="categoryEvent(2084049588)"&gt;{{"2084049588" | translate}}&lt;/a&gt;&lt;/li&gt;</v>
      </c>
    </row>
    <row r="325" spans="1:8" ht="14.25" customHeight="1">
      <c r="A325" s="2">
        <v>23560</v>
      </c>
      <c r="B325" s="2" t="s">
        <v>8574</v>
      </c>
      <c r="C325" s="2" t="s">
        <v>8575</v>
      </c>
      <c r="D325" s="116" t="str">
        <f t="shared" si="21"/>
        <v>0,23336,23560</v>
      </c>
      <c r="E325" s="3" t="str">
        <f ca="1">IFERROR(__xludf.DUMMYFUNCTION("GOOGLETRANSLATE(B325,""ja"",""vi"")"),"Workstation")</f>
        <v>Workstation</v>
      </c>
      <c r="F325" s="3" t="str">
        <f ca="1">IFERROR(__xludf.DUMMYFUNCTION("GOOGLETRANSLATE(C325,""ja"",""vi"")"),"Đấu giá&gt; máy tính&gt; máy trạm")</f>
        <v>Đấu giá&gt; máy tính&gt; máy trạm</v>
      </c>
      <c r="G325" s="228" t="str">
        <f t="shared" ca="1" si="22"/>
        <v>"23560" : "Workstation",</v>
      </c>
      <c r="H325" s="229" t="str">
        <f t="shared" si="23"/>
        <v>&lt;li class="col-md-3"&gt;&lt;a class="text-cut" href="javascript:;"(click)="categoryEvent(23560)"&gt;{{"23560" | translate}}&lt;/a&gt;&lt;/li&gt;</v>
      </c>
    </row>
    <row r="326" spans="1:8" ht="14.25" customHeight="1">
      <c r="A326" s="2">
        <v>23557</v>
      </c>
      <c r="B326" s="2" t="s">
        <v>8578</v>
      </c>
      <c r="C326" s="2" t="s">
        <v>8579</v>
      </c>
      <c r="D326" s="116" t="str">
        <f t="shared" si="21"/>
        <v>0,23336,23557</v>
      </c>
      <c r="E326" s="3" t="str">
        <f ca="1">IFERROR(__xludf.DUMMYFUNCTION("GOOGLETRANSLATE(B326,""ja"",""vi"")"),"PDA")</f>
        <v>PDA</v>
      </c>
      <c r="F326" s="3" t="str">
        <f ca="1">IFERROR(__xludf.DUMMYFUNCTION("GOOGLETRANSLATE(C326,""ja"",""vi"")"),"Đấu giá&gt; máy tính&gt; PDA")</f>
        <v>Đấu giá&gt; máy tính&gt; PDA</v>
      </c>
      <c r="G326" s="228" t="str">
        <f t="shared" ca="1" si="22"/>
        <v>"23557" : "PDA",</v>
      </c>
      <c r="H326" s="229" t="str">
        <f t="shared" si="23"/>
        <v>&lt;li class="col-md-3"&gt;&lt;a class="text-cut" href="javascript:;"(click)="categoryEvent(23557)"&gt;{{"23557" | translate}}&lt;/a&gt;&lt;/li&gt;</v>
      </c>
    </row>
    <row r="327" spans="1:8" ht="14.25" customHeight="1">
      <c r="A327" s="2">
        <v>2084039460</v>
      </c>
      <c r="B327" s="2" t="s">
        <v>8580</v>
      </c>
      <c r="C327" s="2" t="s">
        <v>8581</v>
      </c>
      <c r="D327" s="116" t="str">
        <f t="shared" si="21"/>
        <v>0,23336,2084039460</v>
      </c>
      <c r="E327" s="3" t="str">
        <f ca="1">IFERROR(__xludf.DUMMYFUNCTION("GOOGLETRANSLATE(B327,""ja"",""vi"")"),"Pocket máy tính")</f>
        <v>Pocket máy tính</v>
      </c>
      <c r="F327" s="3" t="str">
        <f ca="1">IFERROR(__xludf.DUMMYFUNCTION("GOOGLETRANSLATE(C327,""ja"",""vi"")"),"Đấu giá&gt; Máy vi tính&gt; máy tính bỏ túi")</f>
        <v>Đấu giá&gt; Máy vi tính&gt; máy tính bỏ túi</v>
      </c>
      <c r="G327" s="228" t="str">
        <f t="shared" ca="1" si="22"/>
        <v>"2084039460" : "Pocket máy tính",</v>
      </c>
      <c r="H327" s="229" t="str">
        <f t="shared" si="23"/>
        <v>&lt;li class="col-md-3"&gt;&lt;a class="text-cut" href="javascript:;"(click)="categoryEvent(2084039460)"&gt;{{"2084039460" | translate}}&lt;/a&gt;&lt;/li&gt;</v>
      </c>
    </row>
    <row r="328" spans="1:8" ht="14.25" customHeight="1">
      <c r="A328" s="2">
        <v>27751</v>
      </c>
      <c r="B328" s="2" t="s">
        <v>8583</v>
      </c>
      <c r="C328" s="2" t="s">
        <v>8584</v>
      </c>
      <c r="D328" s="116" t="str">
        <f t="shared" si="21"/>
        <v>0,23336,27751</v>
      </c>
      <c r="E328" s="3" t="str">
        <f ca="1">IFERROR(__xludf.DUMMYFUNCTION("GOOGLETRANSLATE(B328,""ja"",""vi"")"),"tên miền")</f>
        <v>tên miền</v>
      </c>
      <c r="F328" s="3" t="str">
        <f ca="1">IFERROR(__xludf.DUMMYFUNCTION("GOOGLETRANSLATE(C328,""ja"",""vi"")"),"Đấu giá&gt; máy tính&gt; tên miền")</f>
        <v>Đấu giá&gt; máy tính&gt; tên miền</v>
      </c>
      <c r="G328" s="228" t="str">
        <f t="shared" ca="1" si="22"/>
        <v>"27751" : "tên miền",</v>
      </c>
      <c r="H328" s="229" t="str">
        <f t="shared" si="23"/>
        <v>&lt;li class="col-md-3"&gt;&lt;a class="text-cut" href="javascript:;"(click)="categoryEvent(27751)"&gt;{{"27751" | translate}}&lt;/a&gt;&lt;/li&gt;</v>
      </c>
    </row>
    <row r="329" spans="1:8" ht="14.25" customHeight="1">
      <c r="A329" s="2">
        <v>2084048038</v>
      </c>
      <c r="B329" s="2" t="s">
        <v>8585</v>
      </c>
      <c r="C329" s="2" t="s">
        <v>8586</v>
      </c>
      <c r="D329" s="116" t="str">
        <f t="shared" si="21"/>
        <v>0,23336,2084048038</v>
      </c>
      <c r="E329" s="3" t="str">
        <f ca="1">IFERROR(__xludf.DUMMYFUNCTION("GOOGLETRANSLATE(B329,""ja"",""vi"")"),"bàn máy tính")</f>
        <v>bàn máy tính</v>
      </c>
      <c r="F329" s="3" t="str">
        <f ca="1">IFERROR(__xludf.DUMMYFUNCTION("GOOGLETRANSLATE(C329,""ja"",""vi"")"),"Đấu giá&gt; máy tính&gt; máy tính bàn")</f>
        <v>Đấu giá&gt; máy tính&gt; máy tính bàn</v>
      </c>
      <c r="G329" s="228" t="str">
        <f t="shared" ca="1" si="22"/>
        <v>"2084048038" : "bàn máy tính",</v>
      </c>
      <c r="H329" s="229" t="str">
        <f t="shared" si="23"/>
        <v>&lt;li class="col-md-3"&gt;&lt;a class="text-cut" href="javascript:;"(click)="categoryEvent(2084048038)"&gt;{{"2084048038" | translate}}&lt;/a&gt;&lt;/li&gt;</v>
      </c>
    </row>
    <row r="330" spans="1:8" ht="14.25" customHeight="1">
      <c r="A330" s="2">
        <v>21908</v>
      </c>
      <c r="B330" s="2" t="s">
        <v>8590</v>
      </c>
      <c r="C330" s="2" t="s">
        <v>8591</v>
      </c>
      <c r="D330" s="116" t="str">
        <f t="shared" si="21"/>
        <v>0,23336,21908</v>
      </c>
      <c r="E330" s="3" t="str">
        <f ca="1">IFERROR(__xludf.DUMMYFUNCTION("GOOGLETRANSLATE(B330,""ja"",""vi"")"),"Máy tính, tạp chí Internet")</f>
        <v>Máy tính, tạp chí Internet</v>
      </c>
      <c r="F330" s="3" t="str">
        <f ca="1">IFERROR(__xludf.DUMMYFUNCTION("GOOGLETRANSLATE(C330,""ja"",""vi"")"),"Đấu giá&gt; máy tính&gt; máy tính, tạp chí Internet")</f>
        <v>Đấu giá&gt; máy tính&gt; máy tính, tạp chí Internet</v>
      </c>
      <c r="G330" s="228" t="str">
        <f t="shared" ca="1" si="22"/>
        <v>"21908" : "Máy tính, tạp chí Internet",</v>
      </c>
      <c r="H330" s="229" t="str">
        <f t="shared" si="23"/>
        <v>&lt;li class="col-md-3"&gt;&lt;a class="text-cut" href="javascript:;"(click)="categoryEvent(21908)"&gt;{{"21908" | translate}}&lt;/a&gt;&lt;/li&gt;</v>
      </c>
    </row>
    <row r="331" spans="1:8" ht="14.25" customHeight="1">
      <c r="A331" s="2">
        <v>21700</v>
      </c>
      <c r="B331" s="2" t="s">
        <v>5274</v>
      </c>
      <c r="C331" s="2" t="s">
        <v>8595</v>
      </c>
      <c r="D331" s="116" t="str">
        <f t="shared" si="21"/>
        <v>0,23336,21700</v>
      </c>
      <c r="E331" s="3" t="str">
        <f ca="1">IFERROR(__xludf.DUMMYFUNCTION("GOOGLETRANSLATE(B331,""ja"",""vi"")"),"điều này")</f>
        <v>điều này</v>
      </c>
      <c r="F331" s="3" t="str">
        <f ca="1">IFERROR(__xludf.DUMMYFUNCTION("GOOGLETRANSLATE(C331,""ja"",""vi"")"),"Đấu giá&gt; máy tính&gt; Sách")</f>
        <v>Đấu giá&gt; máy tính&gt; Sách</v>
      </c>
      <c r="G331" s="228" t="str">
        <f t="shared" ca="1" si="22"/>
        <v>"21700" : "điều này",</v>
      </c>
      <c r="H331" s="229" t="str">
        <f t="shared" si="23"/>
        <v>&lt;li class="col-md-3"&gt;&lt;a class="text-cut" href="javascript:;"(click)="categoryEvent(21700)"&gt;{{"21700" | translate}}&lt;/a&gt;&lt;/li&gt;</v>
      </c>
    </row>
    <row r="332" spans="1:8" ht="14.25" customHeight="1">
      <c r="A332" s="2">
        <v>23564</v>
      </c>
      <c r="B332" s="2" t="s">
        <v>16</v>
      </c>
      <c r="C332" s="2" t="s">
        <v>8600</v>
      </c>
      <c r="D332" s="116" t="str">
        <f t="shared" si="21"/>
        <v>0,23336,23564</v>
      </c>
      <c r="E332" s="3" t="str">
        <f ca="1">IFERROR(__xludf.DUMMYFUNCTION("GOOGLETRANSLATE(B332,""ja"",""vi"")"),"nếu không thì")</f>
        <v>nếu không thì</v>
      </c>
      <c r="F332" s="3" t="str">
        <f ca="1">IFERROR(__xludf.DUMMYFUNCTION("GOOGLETRANSLATE(C332,""ja"",""vi"")"),"Đấu giá&gt; máy tính&gt; Khác")</f>
        <v>Đấu giá&gt; máy tính&gt; Khác</v>
      </c>
      <c r="G332" s="228" t="str">
        <f t="shared" ca="1" si="22"/>
        <v>"23564" : "nếu không thì",</v>
      </c>
      <c r="H332" s="229" t="str">
        <f t="shared" si="23"/>
        <v>&lt;li class="col-md-3"&gt;&lt;a class="text-cut" href="javascript:;"(click)="categoryEvent(23564)"&gt;{{"23564" | translate}}&lt;/a&gt;&lt;/li&gt;</v>
      </c>
    </row>
    <row r="333" spans="1:8" ht="14.25" customHeight="1">
      <c r="E333" s="3"/>
      <c r="F333" s="3"/>
      <c r="G333" s="228"/>
      <c r="H333" s="229"/>
    </row>
    <row r="334" spans="1:8" ht="14.25" customHeight="1">
      <c r="E334" s="3"/>
      <c r="F334" s="3"/>
      <c r="G334" s="228"/>
      <c r="H334" s="229"/>
    </row>
    <row r="335" spans="1:8" ht="14.25" customHeight="1">
      <c r="A335" s="321">
        <v>24466</v>
      </c>
      <c r="B335" s="232"/>
      <c r="C335" s="232"/>
      <c r="D335" s="233"/>
      <c r="E335" s="3"/>
      <c r="F335" s="3"/>
      <c r="G335" s="228"/>
      <c r="H335" s="229"/>
    </row>
    <row r="336" spans="1:8" ht="14.25" customHeight="1">
      <c r="A336" s="2">
        <v>2084008355</v>
      </c>
      <c r="B336" s="2" t="s">
        <v>3134</v>
      </c>
      <c r="C336" s="2" t="s">
        <v>3135</v>
      </c>
      <c r="D336" s="116" t="str">
        <f t="shared" ref="D336:D350" si="24">CONCATENATE("0,","23632,24466,",A336)</f>
        <v>0,23632,24466,2084008355</v>
      </c>
      <c r="E336" s="3" t="str">
        <f ca="1">IFERROR(__xludf.DUMMYFUNCTION("GOOGLETRANSLATE(B336,""ja"",""vi"")"),"ủi")</f>
        <v>ủi</v>
      </c>
      <c r="F336" s="3" t="str">
        <f ca="1">IFERROR(__xludf.DUMMYFUNCTION("GOOGLETRANSLATE(C336,""ja"",""vi"")"),"Đấu giá&gt; thiết bị điện tử tiêu dùng, AV, máy ảnh&gt; Thiết bị gia dụng&gt; Sắt")</f>
        <v>Đấu giá&gt; thiết bị điện tử tiêu dùng, AV, máy ảnh&gt; Thiết bị gia dụng&gt; Sắt</v>
      </c>
      <c r="G336" s="228" t="str">
        <f t="shared" ca="1" si="22"/>
        <v>"2084008355" : "ủi",</v>
      </c>
      <c r="H336" s="229" t="str">
        <f t="shared" si="23"/>
        <v>&lt;li class="col-md-3"&gt;&lt;a class="text-cut" href="javascript:;"(click)="categoryEvent(2084008355)"&gt;{{"2084008355" | translate}}&lt;/a&gt;&lt;/li&gt;</v>
      </c>
    </row>
    <row r="337" spans="1:8" ht="14.25" customHeight="1">
      <c r="A337" s="2">
        <v>23764</v>
      </c>
      <c r="B337" s="2" t="s">
        <v>3140</v>
      </c>
      <c r="C337" s="2" t="s">
        <v>3141</v>
      </c>
      <c r="D337" s="116" t="str">
        <f t="shared" si="24"/>
        <v>0,23632,24466,23764</v>
      </c>
      <c r="E337" s="3" t="str">
        <f ca="1">IFERROR(__xludf.DUMMYFUNCTION("GOOGLETRANSLATE(B337,""ja"",""vi"")"),"thiết bị nghe")</f>
        <v>thiết bị nghe</v>
      </c>
      <c r="F337" s="3" t="str">
        <f ca="1">IFERROR(__xludf.DUMMYFUNCTION("GOOGLETRANSLATE(C337,""ja"",""vi"")"),"Đấu giá&gt; thiết bị điện tử tiêu dùng, AV, máy ảnh&gt; Máy móc gia dụng&gt; Thiết bị âm thanh")</f>
        <v>Đấu giá&gt; thiết bị điện tử tiêu dùng, AV, máy ảnh&gt; Máy móc gia dụng&gt; Thiết bị âm thanh</v>
      </c>
      <c r="G337" s="228" t="str">
        <f t="shared" ca="1" si="22"/>
        <v>"23764" : "thiết bị nghe",</v>
      </c>
      <c r="H337" s="229" t="str">
        <f t="shared" si="23"/>
        <v>&lt;li class="col-md-3"&gt;&lt;a class="text-cut" href="javascript:;"(click)="categoryEvent(23764)"&gt;{{"23764" | translate}}&lt;/a&gt;&lt;/li&gt;</v>
      </c>
    </row>
    <row r="338" spans="1:8" ht="14.25" customHeight="1">
      <c r="A338" s="2">
        <v>2084008364</v>
      </c>
      <c r="B338" s="2" t="s">
        <v>3147</v>
      </c>
      <c r="C338" s="2" t="s">
        <v>3148</v>
      </c>
      <c r="D338" s="116" t="str">
        <f t="shared" si="24"/>
        <v>0,23632,24466,2084008364</v>
      </c>
      <c r="E338" s="3" t="str">
        <f ca="1">IFERROR(__xludf.DUMMYFUNCTION("GOOGLETRANSLATE(B338,""ja"",""vi"")"),"Nhà bếp, bàn ăn")</f>
        <v>Nhà bếp, bàn ăn</v>
      </c>
      <c r="F338" s="3" t="str">
        <f ca="1">IFERROR(__xludf.DUMMYFUNCTION("GOOGLETRANSLATE(C338,""ja"",""vi"")"),"Đấu giá&gt; thiết bị điện tử tiêu dùng, AV, máy ảnh&gt; Máy móc gia dụng&gt; bếp, bàn ăn")</f>
        <v>Đấu giá&gt; thiết bị điện tử tiêu dùng, AV, máy ảnh&gt; Máy móc gia dụng&gt; bếp, bàn ăn</v>
      </c>
      <c r="G338" s="228" t="str">
        <f t="shared" ca="1" si="22"/>
        <v>"2084008364" : "Nhà bếp, bàn ăn",</v>
      </c>
      <c r="H338" s="229" t="str">
        <f t="shared" si="23"/>
        <v>&lt;li class="col-md-3"&gt;&lt;a class="text-cut" href="javascript:;"(click)="categoryEvent(2084008364)"&gt;{{"2084008364" | translate}}&lt;/a&gt;&lt;/li&gt;</v>
      </c>
    </row>
    <row r="339" spans="1:8" ht="14.25" customHeight="1">
      <c r="A339" s="2">
        <v>23884</v>
      </c>
      <c r="B339" s="2" t="s">
        <v>3151</v>
      </c>
      <c r="C339" s="2" t="s">
        <v>3152</v>
      </c>
      <c r="D339" s="116" t="str">
        <f t="shared" si="24"/>
        <v>0,23632,24466,23884</v>
      </c>
      <c r="E339" s="3" t="str">
        <f ca="1">IFERROR(__xludf.DUMMYFUNCTION("GOOGLETRANSLATE(B339,""ja"",""vi"")"),"TV")</f>
        <v>TV</v>
      </c>
      <c r="F339" s="3" t="str">
        <f ca="1">IFERROR(__xludf.DUMMYFUNCTION("GOOGLETRANSLATE(C339,""ja"",""vi"")"),"Đấu giá&gt; thiết bị điện tử tiêu dùng, AV, máy ảnh&gt; Máy móc gia dụng&gt; TV")</f>
        <v>Đấu giá&gt; thiết bị điện tử tiêu dùng, AV, máy ảnh&gt; Máy móc gia dụng&gt; TV</v>
      </c>
      <c r="G339" s="228" t="str">
        <f t="shared" ca="1" si="22"/>
        <v>"23884" : "TV",</v>
      </c>
      <c r="H339" s="229" t="str">
        <f t="shared" si="23"/>
        <v>&lt;li class="col-md-3"&gt;&lt;a class="text-cut" href="javascript:;"(click)="categoryEvent(23884)"&gt;{{"23884" | translate}}&lt;/a&gt;&lt;/li&gt;</v>
      </c>
    </row>
    <row r="340" spans="1:8" ht="14.25" customHeight="1">
      <c r="A340" s="2">
        <v>23900</v>
      </c>
      <c r="B340" s="2" t="s">
        <v>3157</v>
      </c>
      <c r="C340" s="2" t="s">
        <v>3158</v>
      </c>
      <c r="D340" s="116" t="str">
        <f t="shared" si="24"/>
        <v>0,23632,24466,23900</v>
      </c>
      <c r="E340" s="3" t="str">
        <f ca="1">IFERROR(__xludf.DUMMYFUNCTION("GOOGLETRANSLATE(B340,""ja"",""vi"")"),"boong video")</f>
        <v>boong video</v>
      </c>
      <c r="F340" s="3" t="str">
        <f ca="1">IFERROR(__xludf.DUMMYFUNCTION("GOOGLETRANSLATE(C340,""ja"",""vi"")"),"Đấu giá&gt; thiết bị điện tử tiêu dùng, AV, camera&gt; đồ dùng gia đình&gt; boong video")</f>
        <v>Đấu giá&gt; thiết bị điện tử tiêu dùng, AV, camera&gt; đồ dùng gia đình&gt; boong video</v>
      </c>
      <c r="G340" s="228" t="str">
        <f t="shared" ca="1" si="22"/>
        <v>"23900" : "boong video",</v>
      </c>
      <c r="H340" s="229" t="str">
        <f t="shared" si="23"/>
        <v>&lt;li class="col-md-3"&gt;&lt;a class="text-cut" href="javascript:;"(click)="categoryEvent(23900)"&gt;{{"23900" | translate}}&lt;/a&gt;&lt;/li&gt;</v>
      </c>
    </row>
    <row r="341" spans="1:8" ht="14.25" customHeight="1">
      <c r="A341" s="2">
        <v>2084044960</v>
      </c>
      <c r="B341" s="2" t="s">
        <v>2970</v>
      </c>
      <c r="C341" s="2" t="s">
        <v>3161</v>
      </c>
      <c r="D341" s="116" t="str">
        <f t="shared" si="24"/>
        <v>0,23632,24466,2084044960</v>
      </c>
      <c r="E341" s="3" t="str">
        <f ca="1">IFERROR(__xludf.DUMMYFUNCTION("GOOGLETRANSLATE(B341,""ja"",""vi"")"),"máy sấy tóc")</f>
        <v>máy sấy tóc</v>
      </c>
      <c r="F341" s="3" t="str">
        <f ca="1">IFERROR(__xludf.DUMMYFUNCTION("GOOGLETRANSLATE(C341,""ja"",""vi"")"),"Đấu giá&gt; thiết bị điện tử tiêu dùng, AV, camera&gt; đồ dùng gia đình&gt; Máy sấy tóc")</f>
        <v>Đấu giá&gt; thiết bị điện tử tiêu dùng, AV, camera&gt; đồ dùng gia đình&gt; Máy sấy tóc</v>
      </c>
      <c r="G341" s="228" t="str">
        <f t="shared" ca="1" si="22"/>
        <v>"2084044960" : "máy sấy tóc",</v>
      </c>
      <c r="H341" s="229" t="str">
        <f t="shared" si="23"/>
        <v>&lt;li class="col-md-3"&gt;&lt;a class="text-cut" href="javascript:;"(click)="categoryEvent(2084044960)"&gt;{{"2084044960" | translate}}&lt;/a&gt;&lt;/li&gt;</v>
      </c>
    </row>
    <row r="342" spans="1:8" ht="14.25" customHeight="1">
      <c r="A342" s="2">
        <v>2084008354</v>
      </c>
      <c r="B342" s="2" t="s">
        <v>3166</v>
      </c>
      <c r="C342" s="2" t="s">
        <v>3168</v>
      </c>
      <c r="D342" s="116" t="str">
        <f t="shared" si="24"/>
        <v>0,23632,24466,2084008354</v>
      </c>
      <c r="E342" s="3" t="str">
        <f ca="1">IFERROR(__xludf.DUMMYFUNCTION("GOOGLETRANSLATE(B342,""ja"",""vi"")"),"máy may")</f>
        <v>máy may</v>
      </c>
      <c r="F342" s="3" t="str">
        <f ca="1">IFERROR(__xludf.DUMMYFUNCTION("GOOGLETRANSLATE(C342,""ja"",""vi"")"),"Đấu giá&gt; thiết bị điện tử tiêu dùng, AV, camera&gt; đồ dùng gia đình&gt; máy may")</f>
        <v>Đấu giá&gt; thiết bị điện tử tiêu dùng, AV, camera&gt; đồ dùng gia đình&gt; máy may</v>
      </c>
      <c r="G342" s="228" t="str">
        <f t="shared" ca="1" si="22"/>
        <v>"2084008354" : "máy may",</v>
      </c>
      <c r="H342" s="229" t="str">
        <f t="shared" si="23"/>
        <v>&lt;li class="col-md-3"&gt;&lt;a class="text-cut" href="javascript:;"(click)="categoryEvent(2084008354)"&gt;{{"2084008354" | translate}}&lt;/a&gt;&lt;/li&gt;</v>
      </c>
    </row>
    <row r="343" spans="1:8" ht="14.25" customHeight="1">
      <c r="A343" s="2">
        <v>23880</v>
      </c>
      <c r="B343" s="2" t="s">
        <v>3171</v>
      </c>
      <c r="C343" s="2" t="s">
        <v>3173</v>
      </c>
      <c r="D343" s="116" t="str">
        <f t="shared" si="24"/>
        <v>0,23632,24466,23880</v>
      </c>
      <c r="E343" s="3" t="str">
        <f ca="1">IFERROR(__xludf.DUMMYFUNCTION("GOOGLETRANSLATE(B343,""ja"",""vi"")"),"thiết bị video")</f>
        <v>thiết bị video</v>
      </c>
      <c r="F343" s="3" t="str">
        <f ca="1">IFERROR(__xludf.DUMMYFUNCTION("GOOGLETRANSLATE(C343,""ja"",""vi"")"),"Đấu giá&gt; thiết bị điện tử tiêu dùng, AV, máy ảnh&gt; Máy móc gia dụng&gt; thiết bị video")</f>
        <v>Đấu giá&gt; thiết bị điện tử tiêu dùng, AV, máy ảnh&gt; Máy móc gia dụng&gt; thiết bị video</v>
      </c>
      <c r="G343" s="228" t="str">
        <f t="shared" ca="1" si="22"/>
        <v>"23880" : "thiết bị video",</v>
      </c>
      <c r="H343" s="229" t="str">
        <f t="shared" si="23"/>
        <v>&lt;li class="col-md-3"&gt;&lt;a class="text-cut" href="javascript:;"(click)="categoryEvent(23880)"&gt;{{"23880" | translate}}&lt;/a&gt;&lt;/li&gt;</v>
      </c>
    </row>
    <row r="344" spans="1:8" ht="14.25" customHeight="1">
      <c r="A344" s="2">
        <v>24442</v>
      </c>
      <c r="B344" s="2" t="s">
        <v>3179</v>
      </c>
      <c r="C344" s="2" t="s">
        <v>3180</v>
      </c>
      <c r="D344" s="116" t="str">
        <f t="shared" si="24"/>
        <v>0,23632,24466,24442</v>
      </c>
      <c r="E344" s="3" t="str">
        <f ca="1">IFERROR(__xludf.DUMMYFUNCTION("GOOGLETRANSLATE(B344,""ja"",""vi"")"),"máy sấy")</f>
        <v>máy sấy</v>
      </c>
      <c r="F344" s="3" t="str">
        <f ca="1">IFERROR(__xludf.DUMMYFUNCTION("GOOGLETRANSLATE(C344,""ja"",""vi"")"),"Đấu giá&gt; thiết bị điện tử tiêu dùng, AV, camera&gt; đồ dùng gia đình&gt; Máy sấy")</f>
        <v>Đấu giá&gt; thiết bị điện tử tiêu dùng, AV, camera&gt; đồ dùng gia đình&gt; Máy sấy</v>
      </c>
      <c r="G344" s="228" t="str">
        <f t="shared" ca="1" si="22"/>
        <v>"24442" : "máy sấy",</v>
      </c>
      <c r="H344" s="229" t="str">
        <f t="shared" si="23"/>
        <v>&lt;li class="col-md-3"&gt;&lt;a class="text-cut" href="javascript:;"(click)="categoryEvent(24442)"&gt;{{"24442" | translate}}&lt;/a&gt;&lt;/li&gt;</v>
      </c>
    </row>
    <row r="345" spans="1:8" ht="14.25" customHeight="1">
      <c r="A345" s="2">
        <v>24690</v>
      </c>
      <c r="B345" s="2" t="s">
        <v>3187</v>
      </c>
      <c r="C345" s="2" t="s">
        <v>3188</v>
      </c>
      <c r="D345" s="116" t="str">
        <f t="shared" si="24"/>
        <v>0,23632,24466,24690</v>
      </c>
      <c r="E345" s="3" t="str">
        <f ca="1">IFERROR(__xludf.DUMMYFUNCTION("GOOGLETRANSLATE(B345,""ja"",""vi"")"),"thiết bị chiếu sáng")</f>
        <v>thiết bị chiếu sáng</v>
      </c>
      <c r="F345" s="3" t="str">
        <f ca="1">IFERROR(__xludf.DUMMYFUNCTION("GOOGLETRANSLATE(C345,""ja"",""vi"")"),"Đấu giá&gt; thiết bị điện tử tiêu dùng, AV, camera&gt; đồ dùng gia đình&gt; Thiết bị chiếu sáng")</f>
        <v>Đấu giá&gt; thiết bị điện tử tiêu dùng, AV, camera&gt; đồ dùng gia đình&gt; Thiết bị chiếu sáng</v>
      </c>
      <c r="G345" s="228" t="str">
        <f t="shared" ca="1" si="22"/>
        <v>"24690" : "thiết bị chiếu sáng",</v>
      </c>
      <c r="H345" s="229" t="str">
        <f t="shared" si="23"/>
        <v>&lt;li class="col-md-3"&gt;&lt;a class="text-cut" href="javascript:;"(click)="categoryEvent(24690)"&gt;{{"24690" | translate}}&lt;/a&gt;&lt;/li&gt;</v>
      </c>
    </row>
    <row r="346" spans="1:8" ht="14.25" customHeight="1">
      <c r="A346" s="2">
        <v>24454</v>
      </c>
      <c r="B346" s="2" t="s">
        <v>3192</v>
      </c>
      <c r="C346" s="2" t="s">
        <v>3194</v>
      </c>
      <c r="D346" s="116" t="str">
        <f t="shared" si="24"/>
        <v>0,23632,24466,24454</v>
      </c>
      <c r="E346" s="3" t="str">
        <f ca="1">IFERROR(__xludf.DUMMYFUNCTION("GOOGLETRANSLATE(B346,""ja"",""vi"")"),"máy giặt")</f>
        <v>máy giặt</v>
      </c>
      <c r="F346" s="3" t="str">
        <f ca="1">IFERROR(__xludf.DUMMYFUNCTION("GOOGLETRANSLATE(C346,""ja"",""vi"")"),"Đấu giá&gt; thiết bị điện tử tiêu dùng, AV, camera&gt; đồ dùng gia đình&gt; máy giặt")</f>
        <v>Đấu giá&gt; thiết bị điện tử tiêu dùng, AV, camera&gt; đồ dùng gia đình&gt; máy giặt</v>
      </c>
      <c r="G346" s="228" t="str">
        <f t="shared" ca="1" si="22"/>
        <v>"24454" : "máy giặt",</v>
      </c>
      <c r="H346" s="229" t="str">
        <f t="shared" si="23"/>
        <v>&lt;li class="col-md-3"&gt;&lt;a class="text-cut" href="javascript:;"(click)="categoryEvent(24454)"&gt;{{"24454" | translate}}&lt;/a&gt;&lt;/li&gt;</v>
      </c>
    </row>
    <row r="347" spans="1:8" ht="14.25" customHeight="1">
      <c r="A347" s="2">
        <v>24450</v>
      </c>
      <c r="B347" s="2" t="s">
        <v>3199</v>
      </c>
      <c r="C347" s="2" t="s">
        <v>3200</v>
      </c>
      <c r="D347" s="116" t="str">
        <f t="shared" si="24"/>
        <v>0,23632,24466,24450</v>
      </c>
      <c r="E347" s="3" t="str">
        <f ca="1">IFERROR(__xludf.DUMMYFUNCTION("GOOGLETRANSLATE(B347,""ja"",""vi"")"),"máy hút bụi")</f>
        <v>máy hút bụi</v>
      </c>
      <c r="F347" s="3" t="str">
        <f ca="1">IFERROR(__xludf.DUMMYFUNCTION("GOOGLETRANSLATE(C347,""ja"",""vi"")"),"Đấu giá&gt; thiết bị điện tử tiêu dùng, AV, camera&gt; đồ dùng gia đình&gt; máy hút bụi")</f>
        <v>Đấu giá&gt; thiết bị điện tử tiêu dùng, AV, camera&gt; đồ dùng gia đình&gt; máy hút bụi</v>
      </c>
      <c r="G347" s="228" t="str">
        <f t="shared" ca="1" si="22"/>
        <v>"24450" : "máy hút bụi",</v>
      </c>
      <c r="H347" s="229" t="str">
        <f t="shared" si="23"/>
        <v>&lt;li class="col-md-3"&gt;&lt;a class="text-cut" href="javascript:;"(click)="categoryEvent(24450)"&gt;{{"24450" | translate}}&lt;/a&gt;&lt;/li&gt;</v>
      </c>
    </row>
    <row r="348" spans="1:8" ht="14.25" customHeight="1">
      <c r="A348" s="2">
        <v>2084042672</v>
      </c>
      <c r="B348" s="2" t="s">
        <v>3202</v>
      </c>
      <c r="C348" s="2" t="s">
        <v>3203</v>
      </c>
      <c r="D348" s="116" t="str">
        <f t="shared" si="24"/>
        <v>0,23632,24466,2084042672</v>
      </c>
      <c r="E348" s="3" t="str">
        <f ca="1">IFERROR(__xludf.DUMMYFUNCTION("GOOGLETRANSLATE(B348,""ja"",""vi"")"),"Điện thoại, fax")</f>
        <v>Điện thoại, fax</v>
      </c>
      <c r="F348" s="3" t="str">
        <f ca="1">IFERROR(__xludf.DUMMYFUNCTION("GOOGLETRANSLATE(C348,""ja"",""vi"")"),"Đấu giá&gt; thiết bị điện tử tiêu dùng, AV, camera&gt; đồ dùng gia đình&gt; điện thoại, fax")</f>
        <v>Đấu giá&gt; thiết bị điện tử tiêu dùng, AV, camera&gt; đồ dùng gia đình&gt; điện thoại, fax</v>
      </c>
      <c r="G348" s="228" t="str">
        <f t="shared" ca="1" si="22"/>
        <v>"2084042672" : "Điện thoại, fax",</v>
      </c>
      <c r="H348" s="229" t="str">
        <f t="shared" si="23"/>
        <v>&lt;li class="col-md-3"&gt;&lt;a class="text-cut" href="javascript:;"(click)="categoryEvent(2084042672)"&gt;{{"2084042672" | translate}}&lt;/a&gt;&lt;/li&gt;</v>
      </c>
    </row>
    <row r="349" spans="1:8" ht="14.25" customHeight="1">
      <c r="A349" s="2">
        <v>2084008356</v>
      </c>
      <c r="B349" s="2" t="s">
        <v>3207</v>
      </c>
      <c r="C349" s="2" t="s">
        <v>3208</v>
      </c>
      <c r="D349" s="116" t="str">
        <f t="shared" si="24"/>
        <v>0,23632,24466,2084008356</v>
      </c>
      <c r="E349" s="3" t="str">
        <f ca="1">IFERROR(__xludf.DUMMYFUNCTION("GOOGLETRANSLATE(B349,""ja"",""vi"")"),"Làm nóng và làm mát, điều hòa không khí")</f>
        <v>Làm nóng và làm mát, điều hòa không khí</v>
      </c>
      <c r="F349" s="3" t="str">
        <f ca="1">IFERROR(__xludf.DUMMYFUNCTION("GOOGLETRANSLATE(C349,""ja"",""vi"")"),"Đấu giá&gt; thiết bị điện tử tiêu dùng, AV, camera&gt; đồ dùng gia đình&gt; làm nóng và làm mát, điều hòa không khí")</f>
        <v>Đấu giá&gt; thiết bị điện tử tiêu dùng, AV, camera&gt; đồ dùng gia đình&gt; làm nóng và làm mát, điều hòa không khí</v>
      </c>
      <c r="G349" s="228" t="str">
        <f t="shared" ca="1" si="22"/>
        <v>"2084008356" : "Làm nóng và làm mát, điều hòa không khí",</v>
      </c>
      <c r="H349" s="229" t="str">
        <f t="shared" si="23"/>
        <v>&lt;li class="col-md-3"&gt;&lt;a class="text-cut" href="javascript:;"(click)="categoryEvent(2084008356)"&gt;{{"2084008356" | translate}}&lt;/a&gt;&lt;/li&gt;</v>
      </c>
    </row>
    <row r="350" spans="1:8" ht="14.25" customHeight="1">
      <c r="A350" s="2">
        <v>2084061709</v>
      </c>
      <c r="B350" s="2" t="s">
        <v>16</v>
      </c>
      <c r="C350" s="2" t="s">
        <v>3215</v>
      </c>
      <c r="D350" s="116" t="str">
        <f t="shared" si="24"/>
        <v>0,23632,24466,2084061709</v>
      </c>
      <c r="E350" s="3" t="str">
        <f ca="1">IFERROR(__xludf.DUMMYFUNCTION("GOOGLETRANSLATE(B350,""ja"",""vi"")"),"nếu không thì")</f>
        <v>nếu không thì</v>
      </c>
      <c r="F350" s="3" t="str">
        <f ca="1">IFERROR(__xludf.DUMMYFUNCTION("GOOGLETRANSLATE(C350,""ja"",""vi"")"),"Đấu giá&gt; thiết bị điện tử tiêu dùng, AV, máy ảnh&gt; Máy móc gia dụng&gt; Khác")</f>
        <v>Đấu giá&gt; thiết bị điện tử tiêu dùng, AV, máy ảnh&gt; Máy móc gia dụng&gt; Khác</v>
      </c>
      <c r="G350" s="228" t="str">
        <f t="shared" ca="1" si="22"/>
        <v>"2084061709" : "nếu không thì",</v>
      </c>
      <c r="H350" s="229" t="str">
        <f t="shared" si="23"/>
        <v>&lt;li class="col-md-3"&gt;&lt;a class="text-cut" href="javascript:;"(click)="categoryEvent(2084061709)"&gt;{{"2084061709" | translate}}&lt;/a&gt;&lt;/li&gt;</v>
      </c>
    </row>
    <row r="351" spans="1:8" ht="14.25" customHeight="1">
      <c r="E351" s="3"/>
      <c r="F351" s="3"/>
      <c r="G351" s="228"/>
      <c r="H351" s="229"/>
    </row>
    <row r="352" spans="1:8" ht="14.25" customHeight="1">
      <c r="E352" s="3"/>
      <c r="F352" s="3"/>
      <c r="G352" s="228"/>
      <c r="H352" s="229"/>
    </row>
    <row r="353" spans="1:8" ht="14.25" customHeight="1">
      <c r="A353" s="312">
        <v>24690</v>
      </c>
      <c r="B353" s="232"/>
      <c r="C353" s="232"/>
      <c r="D353" s="233"/>
      <c r="E353" s="3"/>
      <c r="F353" s="3"/>
      <c r="G353" s="228"/>
      <c r="H353" s="229"/>
    </row>
    <row r="354" spans="1:8" ht="14.25" customHeight="1">
      <c r="A354" s="2">
        <v>2084057374</v>
      </c>
      <c r="B354" s="2" t="s">
        <v>9028</v>
      </c>
      <c r="C354" s="2" t="s">
        <v>9029</v>
      </c>
      <c r="D354" s="116" t="str">
        <f t="shared" ref="D354:D369" si="25">CONCATENATE("0,","24198,24230,24690,",A354)</f>
        <v>0,24198,24230,24690,2084057374</v>
      </c>
      <c r="E354" s="3" t="str">
        <f ca="1">IFERROR(__xludf.DUMMYFUNCTION("GOOGLETRANSLATE(B354,""ja"",""vi"")"),"đèn huỳnh quang, bóng đèn")</f>
        <v>đèn huỳnh quang, bóng đèn</v>
      </c>
      <c r="F354" s="3" t="str">
        <f ca="1">IFERROR(__xludf.DUMMYFUNCTION("GOOGLETRANSLATE(C354,""ja"",""vi"")"),"Đấu giá&gt; nhà, nội thất&gt; nội thất, nội thất&gt; đèn&gt; đèn huỳnh quang, bóng đèn")</f>
        <v>Đấu giá&gt; nhà, nội thất&gt; nội thất, nội thất&gt; đèn&gt; đèn huỳnh quang, bóng đèn</v>
      </c>
      <c r="G354" s="228" t="str">
        <f t="shared" ca="1" si="22"/>
        <v>"2084057374" : "đèn huỳnh quang, bóng đèn",</v>
      </c>
      <c r="H354" s="229" t="str">
        <f t="shared" si="23"/>
        <v>&lt;li class="col-md-3"&gt;&lt;a class="text-cut" href="javascript:;"(click)="categoryEvent(2084057374)"&gt;{{"2084057374" | translate}}&lt;/a&gt;&lt;/li&gt;</v>
      </c>
    </row>
    <row r="355" spans="1:8" ht="14.25" customHeight="1">
      <c r="A355" s="2">
        <v>2084007892</v>
      </c>
      <c r="B355" s="2" t="s">
        <v>9030</v>
      </c>
      <c r="C355" s="2" t="s">
        <v>9031</v>
      </c>
      <c r="D355" s="116" t="str">
        <f t="shared" si="25"/>
        <v>0,24198,24230,24690,2084007892</v>
      </c>
      <c r="E355" s="3" t="str">
        <f ca="1">IFERROR(__xludf.DUMMYFUNCTION("GOOGLETRANSLATE(B355,""ja"",""vi"")"),"ánh sáng trần")</f>
        <v>ánh sáng trần</v>
      </c>
      <c r="F355" s="3" t="str">
        <f ca="1">IFERROR(__xludf.DUMMYFUNCTION("GOOGLETRANSLATE(C355,""ja"",""vi"")"),"Đấu giá&gt; nhà, nội thất&gt; nội thất, nội thất&gt; đèn&gt; đèn trần")</f>
        <v>Đấu giá&gt; nhà, nội thất&gt; nội thất, nội thất&gt; đèn&gt; đèn trần</v>
      </c>
      <c r="G355" s="228" t="str">
        <f t="shared" ca="1" si="22"/>
        <v>"2084007892" : "ánh sáng trần",</v>
      </c>
      <c r="H355" s="229" t="str">
        <f t="shared" si="23"/>
        <v>&lt;li class="col-md-3"&gt;&lt;a class="text-cut" href="javascript:;"(click)="categoryEvent(2084007892)"&gt;{{"2084007892" | translate}}&lt;/a&gt;&lt;/li&gt;</v>
      </c>
    </row>
    <row r="356" spans="1:8" ht="14.25" customHeight="1">
      <c r="A356" s="2">
        <v>2084007891</v>
      </c>
      <c r="B356" s="2" t="s">
        <v>9032</v>
      </c>
      <c r="C356" s="2" t="s">
        <v>9033</v>
      </c>
      <c r="D356" s="116" t="str">
        <f t="shared" si="25"/>
        <v>0,24198,24230,24690,2084007891</v>
      </c>
      <c r="E356" s="3" t="str">
        <f ca="1">IFERROR(__xludf.DUMMYFUNCTION("GOOGLETRANSLATE(B356,""ja"",""vi"")"),"tầng đứng")</f>
        <v>tầng đứng</v>
      </c>
      <c r="F356" s="3" t="str">
        <f ca="1">IFERROR(__xludf.DUMMYFUNCTION("GOOGLETRANSLATE(C356,""ja"",""vi"")"),"Auction&gt; nhà, nội thất&gt; nội thất, nội thất&gt; đèn&gt; sàn đứng")</f>
        <v>Auction&gt; nhà, nội thất&gt; nội thất, nội thất&gt; đèn&gt; sàn đứng</v>
      </c>
      <c r="G356" s="228" t="str">
        <f t="shared" ca="1" si="22"/>
        <v>"2084007891" : "tầng đứng",</v>
      </c>
      <c r="H356" s="229" t="str">
        <f t="shared" si="23"/>
        <v>&lt;li class="col-md-3"&gt;&lt;a class="text-cut" href="javascript:;"(click)="categoryEvent(2084007891)"&gt;{{"2084007891" | translate}}&lt;/a&gt;&lt;/li&gt;</v>
      </c>
    </row>
    <row r="357" spans="1:8" ht="14.25" customHeight="1">
      <c r="A357" s="2">
        <v>2084007890</v>
      </c>
      <c r="B357" s="2" t="s">
        <v>9034</v>
      </c>
      <c r="C357" s="2" t="s">
        <v>9035</v>
      </c>
      <c r="D357" s="116" t="str">
        <f t="shared" si="25"/>
        <v>0,24198,24230,24690,2084007890</v>
      </c>
      <c r="E357" s="3" t="str">
        <f ca="1">IFERROR(__xludf.DUMMYFUNCTION("GOOGLETRANSLATE(B357,""ja"",""vi"")"),"đèn bàn")</f>
        <v>đèn bàn</v>
      </c>
      <c r="F357" s="3" t="str">
        <f ca="1">IFERROR(__xludf.DUMMYFUNCTION("GOOGLETRANSLATE(C357,""ja"",""vi"")"),"Đấu giá&gt; nhà, nội thất&gt; nội thất, nội thất&gt; đèn&gt; bàn đứng")</f>
        <v>Đấu giá&gt; nhà, nội thất&gt; nội thất, nội thất&gt; đèn&gt; bàn đứng</v>
      </c>
      <c r="G357" s="228" t="str">
        <f t="shared" ca="1" si="22"/>
        <v>"2084007890" : "đèn bàn",</v>
      </c>
      <c r="H357" s="229" t="str">
        <f t="shared" si="23"/>
        <v>&lt;li class="col-md-3"&gt;&lt;a class="text-cut" href="javascript:;"(click)="categoryEvent(2084007890)"&gt;{{"2084007890" | translate}}&lt;/a&gt;&lt;/li&gt;</v>
      </c>
    </row>
    <row r="358" spans="1:8" ht="14.25" customHeight="1">
      <c r="A358" s="2">
        <v>2084047858</v>
      </c>
      <c r="B358" s="2" t="s">
        <v>1970</v>
      </c>
      <c r="C358" s="2" t="s">
        <v>9036</v>
      </c>
      <c r="D358" s="116" t="str">
        <f t="shared" si="25"/>
        <v>0,24198,24230,24690,2084047858</v>
      </c>
      <c r="E358" s="3" t="str">
        <f ca="1">IFERROR(__xludf.DUMMYFUNCTION("GOOGLETRANSLATE(B358,""ja"",""vi"")"),"Bàn cho ánh sáng nhiệm vụ")</f>
        <v>Bàn cho ánh sáng nhiệm vụ</v>
      </c>
      <c r="F358" s="3" t="str">
        <f ca="1">IFERROR(__xludf.DUMMYFUNCTION("GOOGLETRANSLATE(C358,""ja"",""vi"")"),"Đấu giá&gt; nhà, nội thất&gt; nội thất, nội thất&gt; đèn&gt; ánh sáng nhiệm vụ cho bàn")</f>
        <v>Đấu giá&gt; nhà, nội thất&gt; nội thất, nội thất&gt; đèn&gt; ánh sáng nhiệm vụ cho bàn</v>
      </c>
      <c r="G358" s="228" t="str">
        <f t="shared" ca="1" si="22"/>
        <v>"2084047858" : "Bàn cho ánh sáng nhiệm vụ",</v>
      </c>
      <c r="H358" s="229" t="str">
        <f t="shared" si="23"/>
        <v>&lt;li class="col-md-3"&gt;&lt;a class="text-cut" href="javascript:;"(click)="categoryEvent(2084047858)"&gt;{{"2084047858" | translate}}&lt;/a&gt;&lt;/li&gt;</v>
      </c>
    </row>
    <row r="359" spans="1:8" ht="14.25" customHeight="1">
      <c r="A359" s="2">
        <v>2084049719</v>
      </c>
      <c r="B359" s="2" t="s">
        <v>9037</v>
      </c>
      <c r="C359" s="2" t="s">
        <v>9038</v>
      </c>
      <c r="D359" s="116" t="str">
        <f t="shared" si="25"/>
        <v>0,24198,24230,24690,2084049719</v>
      </c>
      <c r="E359" s="3" t="str">
        <f ca="1">IFERROR(__xludf.DUMMYFUNCTION("GOOGLETRANSLATE(B359,""ja"",""vi"")"),"đèn lồng giấy")</f>
        <v>đèn lồng giấy</v>
      </c>
      <c r="F359" s="3" t="str">
        <f ca="1">IFERROR(__xludf.DUMMYFUNCTION("GOOGLETRANSLATE(C359,""ja"",""vi"")"),"Đấu giá&gt; nhà, nội thất&gt; nội thất, nội thất&gt; đèn&gt; Andon")</f>
        <v>Đấu giá&gt; nhà, nội thất&gt; nội thất, nội thất&gt; đèn&gt; Andon</v>
      </c>
      <c r="G359" s="228" t="str">
        <f t="shared" ca="1" si="22"/>
        <v>"2084049719" : "đèn lồng giấy",</v>
      </c>
      <c r="H359" s="229" t="str">
        <f t="shared" si="23"/>
        <v>&lt;li class="col-md-3"&gt;&lt;a class="text-cut" href="javascript:;"(click)="categoryEvent(2084049719)"&gt;{{"2084049719" | translate}}&lt;/a&gt;&lt;/li&gt;</v>
      </c>
    </row>
    <row r="360" spans="1:8" ht="14.25" customHeight="1">
      <c r="A360" s="2">
        <v>2084213841</v>
      </c>
      <c r="B360" s="2" t="s">
        <v>9039</v>
      </c>
      <c r="C360" s="2" t="s">
        <v>9040</v>
      </c>
      <c r="D360" s="116" t="str">
        <f t="shared" si="25"/>
        <v>0,24198,24230,24690,2084213841</v>
      </c>
      <c r="E360" s="3" t="str">
        <f ca="1">IFERROR(__xludf.DUMMYFUNCTION("GOOGLETRANSLATE(B360,""ja"",""vi"")"),"Aroma ánh sáng, đèn")</f>
        <v>Aroma ánh sáng, đèn</v>
      </c>
      <c r="F360" s="3" t="str">
        <f ca="1">IFERROR(__xludf.DUMMYFUNCTION("GOOGLETRANSLATE(C360,""ja"",""vi"")"),"Đấu giá&gt; nhà, nội thất&gt; nội thất, nội thất&gt; đèn&gt; đèn hương thơm, đèn")</f>
        <v>Đấu giá&gt; nhà, nội thất&gt; nội thất, nội thất&gt; đèn&gt; đèn hương thơm, đèn</v>
      </c>
      <c r="G360" s="228" t="str">
        <f t="shared" ca="1" si="22"/>
        <v>"2084213841" : "Aroma ánh sáng, đèn",</v>
      </c>
      <c r="H360" s="229" t="str">
        <f t="shared" si="23"/>
        <v>&lt;li class="col-md-3"&gt;&lt;a class="text-cut" href="javascript:;"(click)="categoryEvent(2084213841)"&gt;{{"2084213841" | translate}}&lt;/a&gt;&lt;/li&gt;</v>
      </c>
    </row>
    <row r="361" spans="1:8" ht="14.25" customHeight="1">
      <c r="A361" s="2">
        <v>2084057373</v>
      </c>
      <c r="B361" s="2" t="s">
        <v>9041</v>
      </c>
      <c r="C361" s="2" t="s">
        <v>9042</v>
      </c>
      <c r="D361" s="116" t="str">
        <f t="shared" si="25"/>
        <v>0,24198,24230,24690,2084057373</v>
      </c>
      <c r="E361" s="3" t="str">
        <f ca="1">IFERROR(__xludf.DUMMYFUNCTION("GOOGLETRANSLATE(B361,""ja"",""vi"")"),"đèn ngoài trời")</f>
        <v>đèn ngoài trời</v>
      </c>
      <c r="F361" s="3" t="str">
        <f ca="1">IFERROR(__xludf.DUMMYFUNCTION("GOOGLETRANSLATE(C361,""ja"",""vi"")"),"Đấu giá&gt; nhà, nội thất&gt; nội thất, nội thất&gt; đèn&gt; đèn ngoài trời")</f>
        <v>Đấu giá&gt; nhà, nội thất&gt; nội thất, nội thất&gt; đèn&gt; đèn ngoài trời</v>
      </c>
      <c r="G361" s="228" t="str">
        <f t="shared" ca="1" si="22"/>
        <v>"2084057373" : "đèn ngoài trời",</v>
      </c>
      <c r="H361" s="229" t="str">
        <f t="shared" si="23"/>
        <v>&lt;li class="col-md-3"&gt;&lt;a class="text-cut" href="javascript:;"(click)="categoryEvent(2084057373)"&gt;{{"2084057373" | translate}}&lt;/a&gt;&lt;/li&gt;</v>
      </c>
    </row>
    <row r="362" spans="1:8" ht="14.25" customHeight="1">
      <c r="A362" s="2">
        <v>2084047055</v>
      </c>
      <c r="B362" s="2" t="s">
        <v>9043</v>
      </c>
      <c r="C362" s="2" t="s">
        <v>9044</v>
      </c>
      <c r="D362" s="116" t="str">
        <f t="shared" si="25"/>
        <v>0,24198,24230,24690,2084047055</v>
      </c>
      <c r="E362" s="3" t="str">
        <f ca="1">IFERROR(__xludf.DUMMYFUNCTION("GOOGLETRANSLATE(B362,""ja"",""vi"")"),"chiếu sáng")</f>
        <v>chiếu sáng</v>
      </c>
      <c r="F362" s="3" t="str">
        <f ca="1">IFERROR(__xludf.DUMMYFUNCTION("GOOGLETRANSLATE(C362,""ja"",""vi"")"),"Đấu giá&gt; nhà, nội thất&gt; nội thất, nội thất&gt; đèn&gt; Chiếu sáng")</f>
        <v>Đấu giá&gt; nhà, nội thất&gt; nội thất, nội thất&gt; đèn&gt; Chiếu sáng</v>
      </c>
      <c r="G362" s="228" t="str">
        <f t="shared" ca="1" si="22"/>
        <v>"2084047055" : "chiếu sáng",</v>
      </c>
      <c r="H362" s="229" t="str">
        <f t="shared" si="23"/>
        <v>&lt;li class="col-md-3"&gt;&lt;a class="text-cut" href="javascript:;"(click)="categoryEvent(2084047055)"&gt;{{"2084047055" | translate}}&lt;/a&gt;&lt;/li&gt;</v>
      </c>
    </row>
    <row r="363" spans="1:8" ht="14.25" customHeight="1">
      <c r="A363" s="2">
        <v>2084047047</v>
      </c>
      <c r="B363" s="2" t="s">
        <v>1781</v>
      </c>
      <c r="C363" s="2" t="s">
        <v>9045</v>
      </c>
      <c r="D363" s="116" t="str">
        <f t="shared" si="25"/>
        <v>0,24198,24230,24690,2084047047</v>
      </c>
      <c r="E363" s="3" t="str">
        <f ca="1">IFERROR(__xludf.DUMMYFUNCTION("GOOGLETRANSLATE(B363,""ja"",""vi"")"),"vườn ánh sáng")</f>
        <v>vườn ánh sáng</v>
      </c>
      <c r="F363" s="3" t="str">
        <f ca="1">IFERROR(__xludf.DUMMYFUNCTION("GOOGLETRANSLATE(C363,""ja"",""vi"")"),"Đấu giá&gt; nhà, nội thất&gt; nội thất, nội thất&gt; đèn&gt; Vườn Đèn")</f>
        <v>Đấu giá&gt; nhà, nội thất&gt; nội thất, nội thất&gt; đèn&gt; Vườn Đèn</v>
      </c>
      <c r="G363" s="228" t="str">
        <f t="shared" ca="1" si="22"/>
        <v>"2084047047" : "vườn ánh sáng",</v>
      </c>
      <c r="H363" s="229" t="str">
        <f t="shared" si="23"/>
        <v>&lt;li class="col-md-3"&gt;&lt;a class="text-cut" href="javascript:;"(click)="categoryEvent(2084047047)"&gt;{{"2084047047" | translate}}&lt;/a&gt;&lt;/li&gt;</v>
      </c>
    </row>
    <row r="364" spans="1:8" ht="14.25" customHeight="1">
      <c r="A364" s="2">
        <v>2084055705</v>
      </c>
      <c r="B364" s="2" t="s">
        <v>9046</v>
      </c>
      <c r="C364" s="2" t="s">
        <v>9047</v>
      </c>
      <c r="D364" s="116" t="str">
        <f t="shared" si="25"/>
        <v>0,24198,24230,24690,2084055705</v>
      </c>
      <c r="E364" s="3" t="str">
        <f ca="1">IFERROR(__xludf.DUMMYFUNCTION("GOOGLETRANSLATE(B364,""ja"",""vi"")"),"Cảm biến với ánh sáng")</f>
        <v>Cảm biến với ánh sáng</v>
      </c>
      <c r="F364" s="3" t="str">
        <f ca="1">IFERROR(__xludf.DUMMYFUNCTION("GOOGLETRANSLATE(C364,""ja"",""vi"")"),"Đấu giá&gt; nhà, nội thất&gt; nội thất, nội thất&gt; đèn&gt; cảm biến với ánh sáng")</f>
        <v>Đấu giá&gt; nhà, nội thất&gt; nội thất, nội thất&gt; đèn&gt; cảm biến với ánh sáng</v>
      </c>
      <c r="G364" s="228" t="str">
        <f t="shared" ca="1" si="22"/>
        <v>"2084055705" : "Cảm biến với ánh sáng",</v>
      </c>
      <c r="H364" s="229" t="str">
        <f t="shared" si="23"/>
        <v>&lt;li class="col-md-3"&gt;&lt;a class="text-cut" href="javascript:;"(click)="categoryEvent(2084055705)"&gt;{{"2084055705" | translate}}&lt;/a&gt;&lt;/li&gt;</v>
      </c>
    </row>
    <row r="365" spans="1:8" ht="14.25" customHeight="1">
      <c r="A365" s="2">
        <v>2084062682</v>
      </c>
      <c r="B365" s="2" t="s">
        <v>9048</v>
      </c>
      <c r="C365" s="2" t="s">
        <v>9049</v>
      </c>
      <c r="D365" s="116" t="str">
        <f t="shared" si="25"/>
        <v>0,24198,24230,24690,2084062682</v>
      </c>
      <c r="E365" s="3" t="str">
        <f ca="1">IFERROR(__xludf.DUMMYFUNCTION("GOOGLETRANSLATE(B365,""ja"",""vi"")"),"Đối với đặc biệt")</f>
        <v>Đối với đặc biệt</v>
      </c>
      <c r="F365" s="3" t="str">
        <f ca="1">IFERROR(__xludf.DUMMYFUNCTION("GOOGLETRANSLATE(C365,""ja"",""vi"")"),"Đấu giá&gt; nhà, nội thất&gt; nội thất, nội thất&gt; đèn&gt; cho đặc biệt")</f>
        <v>Đấu giá&gt; nhà, nội thất&gt; nội thất, nội thất&gt; đèn&gt; cho đặc biệt</v>
      </c>
      <c r="G365" s="228" t="str">
        <f t="shared" ca="1" si="22"/>
        <v>"2084062682" : "Đối với đặc biệt",</v>
      </c>
      <c r="H365" s="229" t="str">
        <f t="shared" si="23"/>
        <v>&lt;li class="col-md-3"&gt;&lt;a class="text-cut" href="javascript:;"(click)="categoryEvent(2084062682)"&gt;{{"2084062682" | translate}}&lt;/a&gt;&lt;/li&gt;</v>
      </c>
    </row>
    <row r="366" spans="1:8" ht="14.25" customHeight="1">
      <c r="A366" s="2">
        <v>2084057375</v>
      </c>
      <c r="B366" s="2" t="s">
        <v>9050</v>
      </c>
      <c r="C366" s="2" t="s">
        <v>9051</v>
      </c>
      <c r="D366" s="116" t="str">
        <f t="shared" si="25"/>
        <v>0,24198,24230,24690,2084057375</v>
      </c>
      <c r="E366" s="3" t="str">
        <f ca="1">IFERROR(__xludf.DUMMYFUNCTION("GOOGLETRANSLATE(B366,""ja"",""vi"")"),"Dây sắt ống")</f>
        <v>Dây sắt ống</v>
      </c>
      <c r="F366" s="3" t="str">
        <f ca="1">IFERROR(__xludf.DUMMYFUNCTION("GOOGLETRANSLATE(C366,""ja"",""vi"")"),"Đấu giá&gt; nhà, nội thất&gt; nội thất, nội thất&gt; đèn&gt; dây ống đường sắt")</f>
        <v>Đấu giá&gt; nhà, nội thất&gt; nội thất, nội thất&gt; đèn&gt; dây ống đường sắt</v>
      </c>
      <c r="G366" s="228" t="str">
        <f t="shared" ca="1" si="22"/>
        <v>"2084057375" : "Dây sắt ống",</v>
      </c>
      <c r="H366" s="229" t="str">
        <f t="shared" si="23"/>
        <v>&lt;li class="col-md-3"&gt;&lt;a class="text-cut" href="javascript:;"(click)="categoryEvent(2084057375)"&gt;{{"2084057375" | translate}}&lt;/a&gt;&lt;/li&gt;</v>
      </c>
    </row>
    <row r="367" spans="1:8" ht="14.25" customHeight="1">
      <c r="A367" s="2">
        <v>2084057370</v>
      </c>
      <c r="B367" s="2" t="s">
        <v>9052</v>
      </c>
      <c r="C367" s="2" t="s">
        <v>9053</v>
      </c>
      <c r="D367" s="116" t="str">
        <f t="shared" si="25"/>
        <v>0,24198,24230,24690,2084057370</v>
      </c>
      <c r="E367" s="3" t="str">
        <f ca="1">IFERROR(__xludf.DUMMYFUNCTION("GOOGLETRANSLATE(B367,""ja"",""vi"")"),"Ánh sáng cho hệ thống dây điện đường sắt ống")</f>
        <v>Ánh sáng cho hệ thống dây điện đường sắt ống</v>
      </c>
      <c r="F367" s="3" t="str">
        <f ca="1">IFERROR(__xludf.DUMMYFUNCTION("GOOGLETRANSLATE(C367,""ja"",""vi"")"),"Đấu giá&gt; nhà, nội thất&gt; nội thất, nội thất&gt; chiếu sáng&gt; ánh sáng cho hệ thống dây điện đường sắt ống")</f>
        <v>Đấu giá&gt; nhà, nội thất&gt; nội thất, nội thất&gt; chiếu sáng&gt; ánh sáng cho hệ thống dây điện đường sắt ống</v>
      </c>
      <c r="G367" s="228" t="str">
        <f t="shared" ca="1" si="22"/>
        <v>"2084057370" : "Ánh sáng cho hệ thống dây điện đường sắt ống",</v>
      </c>
      <c r="H367" s="229" t="str">
        <f t="shared" si="23"/>
        <v>&lt;li class="col-md-3"&gt;&lt;a class="text-cut" href="javascript:;"(click)="categoryEvent(2084057370)"&gt;{{"2084057370" | translate}}&lt;/a&gt;&lt;/li&gt;</v>
      </c>
    </row>
    <row r="368" spans="1:8" ht="14.25" customHeight="1">
      <c r="A368" s="2">
        <v>2084057371</v>
      </c>
      <c r="B368" s="2" t="s">
        <v>9054</v>
      </c>
      <c r="C368" s="2" t="s">
        <v>9055</v>
      </c>
      <c r="D368" s="116" t="str">
        <f t="shared" si="25"/>
        <v>0,24198,24230,24690,2084057371</v>
      </c>
      <c r="E368" s="3" t="str">
        <f ca="1">IFERROR(__xludf.DUMMYFUNCTION("GOOGLETRANSLATE(B368,""ja"",""vi"")"),"Spotlight")</f>
        <v>Spotlight</v>
      </c>
      <c r="F368" s="3" t="str">
        <f ca="1">IFERROR(__xludf.DUMMYFUNCTION("GOOGLETRANSLATE(C368,""ja"",""vi"")"),"Đấu giá&gt; nhà, nội thất&gt; nội thất, nội thất&gt; đèn&gt; ánh đèn sân khấu")</f>
        <v>Đấu giá&gt; nhà, nội thất&gt; nội thất, nội thất&gt; đèn&gt; ánh đèn sân khấu</v>
      </c>
      <c r="G368" s="228" t="str">
        <f t="shared" ca="1" si="22"/>
        <v>"2084057371" : "Spotlight",</v>
      </c>
      <c r="H368" s="229" t="str">
        <f t="shared" si="23"/>
        <v>&lt;li class="col-md-3"&gt;&lt;a class="text-cut" href="javascript:;"(click)="categoryEvent(2084057371)"&gt;{{"2084057371" | translate}}&lt;/a&gt;&lt;/li&gt;</v>
      </c>
    </row>
    <row r="369" spans="1:8" ht="14.25" customHeight="1">
      <c r="A369" s="2">
        <v>2084007893</v>
      </c>
      <c r="B369" s="2" t="s">
        <v>16</v>
      </c>
      <c r="C369" s="2" t="s">
        <v>9056</v>
      </c>
      <c r="D369" s="116" t="str">
        <f t="shared" si="25"/>
        <v>0,24198,24230,24690,2084007893</v>
      </c>
      <c r="E369" s="3" t="str">
        <f ca="1">IFERROR(__xludf.DUMMYFUNCTION("GOOGLETRANSLATE(B369,""ja"",""vi"")"),"nếu không thì")</f>
        <v>nếu không thì</v>
      </c>
      <c r="F369" s="3" t="str">
        <f ca="1">IFERROR(__xludf.DUMMYFUNCTION("GOOGLETRANSLATE(C369,""ja"",""vi"")"),"Đấu giá&gt; nhà, nội thất&gt; nội thất, nội thất&gt; đèn&gt; Khác")</f>
        <v>Đấu giá&gt; nhà, nội thất&gt; nội thất, nội thất&gt; đèn&gt; Khác</v>
      </c>
      <c r="G369" s="228" t="str">
        <f t="shared" ca="1" si="22"/>
        <v>"2084007893" : "nếu không thì",</v>
      </c>
      <c r="H369" s="229" t="str">
        <f t="shared" si="23"/>
        <v>&lt;li class="col-md-3"&gt;&lt;a class="text-cut" href="javascript:;"(click)="categoryEvent(2084007893)"&gt;{{"2084007893" | translate}}&lt;/a&gt;&lt;/li&gt;</v>
      </c>
    </row>
    <row r="370" spans="1:8" ht="14.25" customHeight="1">
      <c r="E370" s="3"/>
      <c r="F370" s="3"/>
      <c r="G370" s="228"/>
      <c r="H370" s="229"/>
    </row>
    <row r="371" spans="1:8" ht="14.25" customHeight="1">
      <c r="E371" s="3"/>
      <c r="F371" s="3"/>
      <c r="G371" s="228"/>
      <c r="H371" s="229"/>
    </row>
    <row r="372" spans="1:8" ht="14.25" customHeight="1">
      <c r="A372" s="313">
        <v>2084213062</v>
      </c>
      <c r="B372" s="232"/>
      <c r="C372" s="232"/>
      <c r="D372" s="233"/>
      <c r="E372" s="3"/>
      <c r="F372" s="3"/>
      <c r="G372" s="228"/>
      <c r="H372" s="229"/>
    </row>
    <row r="373" spans="1:8" ht="14.25" customHeight="1">
      <c r="A373" s="2">
        <v>2084024554</v>
      </c>
      <c r="B373" s="2" t="s">
        <v>3578</v>
      </c>
      <c r="C373" s="2" t="s">
        <v>9057</v>
      </c>
      <c r="D373" s="116" t="str">
        <f t="shared" ref="D373:D380" si="26">CONCATENATE("0,","23632,2084213062,",A373)</f>
        <v>0,23632,2084213062,2084024554</v>
      </c>
      <c r="E373" s="3" t="str">
        <f ca="1">IFERROR(__xludf.DUMMYFUNCTION("GOOGLETRANSLATE(B373,""ja"",""vi"")"),"đồng hồ nhân vật")</f>
        <v>đồng hồ nhân vật</v>
      </c>
      <c r="F373" s="3" t="str">
        <f ca="1">IFERROR(__xludf.DUMMYFUNCTION("GOOGLETRANSLATE(C373,""ja"",""vi"")"),"Đấu giá&gt; thiết bị điện tử tiêu dùng, AV, camera&gt; Đồng hồ&gt; nhân vật đồng hồ đeo tay")</f>
        <v>Đấu giá&gt; thiết bị điện tử tiêu dùng, AV, camera&gt; Đồng hồ&gt; nhân vật đồng hồ đeo tay</v>
      </c>
      <c r="G373" s="228" t="str">
        <f t="shared" ca="1" si="22"/>
        <v>"2084024554" : "đồng hồ nhân vật",</v>
      </c>
      <c r="H373" s="229" t="str">
        <f t="shared" si="23"/>
        <v>&lt;li class="col-md-3"&gt;&lt;a class="text-cut" href="javascript:;"(click)="categoryEvent(2084024554)"&gt;{{"2084024554" | translate}}&lt;/a&gt;&lt;/li&gt;</v>
      </c>
    </row>
    <row r="374" spans="1:8" ht="14.25" customHeight="1">
      <c r="A374" s="2">
        <v>2084316075</v>
      </c>
      <c r="B374" s="2" t="s">
        <v>3571</v>
      </c>
      <c r="C374" s="2" t="s">
        <v>9058</v>
      </c>
      <c r="D374" s="116" t="str">
        <f t="shared" si="26"/>
        <v>0,23632,2084213062,2084316075</v>
      </c>
      <c r="E374" s="3" t="str">
        <f ca="1">IFERROR(__xludf.DUMMYFUNCTION("GOOGLETRANSLATE(B374,""ja"",""vi"")"),"cơ thể đồng hồ thông minh")</f>
        <v>cơ thể đồng hồ thông minh</v>
      </c>
      <c r="F374" s="3" t="str">
        <f ca="1">IFERROR(__xludf.DUMMYFUNCTION("GOOGLETRANSLATE(C374,""ja"",""vi"")"),"Đấu giá&gt; thiết bị điện tử tiêu dùng, AV, camera&gt; đồng hồ&gt; cơ thể đồng hồ thông minh")</f>
        <v>Đấu giá&gt; thiết bị điện tử tiêu dùng, AV, camera&gt; đồng hồ&gt; cơ thể đồng hồ thông minh</v>
      </c>
      <c r="G374" s="228" t="str">
        <f t="shared" ca="1" si="22"/>
        <v>"2084316075" : "cơ thể đồng hồ thông minh",</v>
      </c>
      <c r="H374" s="229" t="str">
        <f t="shared" si="23"/>
        <v>&lt;li class="col-md-3"&gt;&lt;a class="text-cut" href="javascript:;"(click)="categoryEvent(2084316075)"&gt;{{"2084316075" | translate}}&lt;/a&gt;&lt;/li&gt;</v>
      </c>
    </row>
    <row r="375" spans="1:8" ht="14.25" customHeight="1">
      <c r="A375" s="2">
        <v>23260</v>
      </c>
      <c r="B375" s="2" t="s">
        <v>3544</v>
      </c>
      <c r="C375" s="2" t="s">
        <v>9059</v>
      </c>
      <c r="D375" s="116" t="str">
        <f t="shared" si="26"/>
        <v>0,23632,2084213062,23260</v>
      </c>
      <c r="E375" s="3" t="str">
        <f ca="1">IFERROR(__xludf.DUMMYFUNCTION("GOOGLETRANSLATE(B375,""ja"",""vi"")"),"đồng hồ thương hiệu")</f>
        <v>đồng hồ thương hiệu</v>
      </c>
      <c r="F375" s="3" t="str">
        <f ca="1">IFERROR(__xludf.DUMMYFUNCTION("GOOGLETRANSLATE(C375,""ja"",""vi"")"),"Đấu giá&gt; thiết bị điện tử tiêu dùng, AV, camera&gt; đồng hồ&gt; Đồng hồ")</f>
        <v>Đấu giá&gt; thiết bị điện tử tiêu dùng, AV, camera&gt; đồng hồ&gt; Đồng hồ</v>
      </c>
      <c r="G375" s="228" t="str">
        <f t="shared" ca="1" si="22"/>
        <v>"23260" : "đồng hồ thương hiệu",</v>
      </c>
      <c r="H375" s="229" t="str">
        <f t="shared" si="23"/>
        <v>&lt;li class="col-md-3"&gt;&lt;a class="text-cut" href="javascript:;"(click)="categoryEvent(23260)"&gt;{{"23260" | translate}}&lt;/a&gt;&lt;/li&gt;</v>
      </c>
    </row>
    <row r="376" spans="1:8" ht="14.25" customHeight="1">
      <c r="A376" s="2">
        <v>23268</v>
      </c>
      <c r="B376" s="2" t="s">
        <v>9060</v>
      </c>
      <c r="C376" s="2" t="s">
        <v>9061</v>
      </c>
      <c r="D376" s="116" t="str">
        <f t="shared" si="26"/>
        <v>0,23632,2084213062,23268</v>
      </c>
      <c r="E376" s="3" t="str">
        <f ca="1">IFERROR(__xludf.DUMMYFUNCTION("GOOGLETRANSLATE(B376,""ja"",""vi"")"),"Chung đồng hồ (đối với nữ)")</f>
        <v>Chung đồng hồ (đối với nữ)</v>
      </c>
      <c r="F376" s="3" t="str">
        <f ca="1">IFERROR(__xludf.DUMMYFUNCTION("GOOGLETRANSLATE(C376,""ja"",""vi"")"),"Đấu giá&gt; thiết bị điện tử tiêu dùng, AV, camera&gt; đồng hồ&gt; đồng hồ đeo tay chung (đối với nữ)")</f>
        <v>Đấu giá&gt; thiết bị điện tử tiêu dùng, AV, camera&gt; đồng hồ&gt; đồng hồ đeo tay chung (đối với nữ)</v>
      </c>
      <c r="G376" s="228" t="str">
        <f t="shared" ca="1" si="22"/>
        <v>"23268" : "Chung đồng hồ (đối với nữ)",</v>
      </c>
      <c r="H376" s="229" t="str">
        <f t="shared" si="23"/>
        <v>&lt;li class="col-md-3"&gt;&lt;a class="text-cut" href="javascript:;"(click)="categoryEvent(23268)"&gt;{{"23268" | translate}}&lt;/a&gt;&lt;/li&gt;</v>
      </c>
    </row>
    <row r="377" spans="1:8" ht="14.25" customHeight="1">
      <c r="A377" s="2">
        <v>23272</v>
      </c>
      <c r="B377" s="2" t="s">
        <v>9062</v>
      </c>
      <c r="C377" s="2" t="s">
        <v>9063</v>
      </c>
      <c r="D377" s="116" t="str">
        <f t="shared" si="26"/>
        <v>0,23632,2084213062,23272</v>
      </c>
      <c r="E377" s="3" t="str">
        <f ca="1">IFERROR(__xludf.DUMMYFUNCTION("GOOGLETRANSLATE(B377,""ja"",""vi"")"),"Chung Watch (unisex)")</f>
        <v>Chung Watch (unisex)</v>
      </c>
      <c r="F377" s="3" t="str">
        <f ca="1">IFERROR(__xludf.DUMMYFUNCTION("GOOGLETRANSLATE(C377,""ja"",""vi"")"),"Đấu giá&gt; thiết bị điện tử tiêu dùng, AV, camera&gt; Đồng hồ&gt; đồng hồ đeo tay nói chung (cả nam và nữ)")</f>
        <v>Đấu giá&gt; thiết bị điện tử tiêu dùng, AV, camera&gt; Đồng hồ&gt; đồng hồ đeo tay nói chung (cả nam và nữ)</v>
      </c>
      <c r="G377" s="228" t="str">
        <f t="shared" ca="1" si="22"/>
        <v>"23272" : "Chung Watch (unisex)",</v>
      </c>
      <c r="H377" s="229" t="str">
        <f t="shared" si="23"/>
        <v>&lt;li class="col-md-3"&gt;&lt;a class="text-cut" href="javascript:;"(click)="categoryEvent(23272)"&gt;{{"23272" | translate}}&lt;/a&gt;&lt;/li&gt;</v>
      </c>
    </row>
    <row r="378" spans="1:8" ht="14.25" customHeight="1">
      <c r="A378" s="2">
        <v>23264</v>
      </c>
      <c r="B378" s="2" t="s">
        <v>9064</v>
      </c>
      <c r="C378" s="2" t="s">
        <v>9065</v>
      </c>
      <c r="D378" s="116" t="str">
        <f t="shared" si="26"/>
        <v>0,23632,2084213062,23264</v>
      </c>
      <c r="E378" s="3" t="str">
        <f ca="1">IFERROR(__xludf.DUMMYFUNCTION("GOOGLETRANSLATE(B378,""ja"",""vi"")"),"Chung đồng hồ (dành cho nam giới)")</f>
        <v>Chung đồng hồ (dành cho nam giới)</v>
      </c>
      <c r="F378" s="3" t="str">
        <f ca="1">IFERROR(__xludf.DUMMYFUNCTION("GOOGLETRANSLATE(C378,""ja"",""vi"")"),"Đấu giá&gt; thiết bị điện tử tiêu dùng, AV, camera&gt; Đồng hồ&gt; General đồng hồ (dành cho nam giới)")</f>
        <v>Đấu giá&gt; thiết bị điện tử tiêu dùng, AV, camera&gt; Đồng hồ&gt; General đồng hồ (dành cho nam giới)</v>
      </c>
      <c r="G378" s="228" t="str">
        <f t="shared" ca="1" si="22"/>
        <v>"23264" : "Chung đồng hồ (dành cho nam giới)",</v>
      </c>
      <c r="H378" s="229" t="str">
        <f t="shared" si="23"/>
        <v>&lt;li class="col-md-3"&gt;&lt;a class="text-cut" href="javascript:;"(click)="categoryEvent(23264)"&gt;{{"23264" | translate}}&lt;/a&gt;&lt;/li&gt;</v>
      </c>
    </row>
    <row r="379" spans="1:8" ht="14.25" customHeight="1">
      <c r="A379" s="2">
        <v>23276</v>
      </c>
      <c r="B379" s="2" t="s">
        <v>3584</v>
      </c>
      <c r="C379" s="2" t="s">
        <v>9066</v>
      </c>
      <c r="D379" s="116" t="str">
        <f t="shared" si="26"/>
        <v>0,23632,2084213062,23276</v>
      </c>
      <c r="E379" s="3" t="str">
        <f ca="1">IFERROR(__xludf.DUMMYFUNCTION("GOOGLETRANSLATE(B379,""ja"",""vi"")"),"Pocket Watch")</f>
        <v>Pocket Watch</v>
      </c>
      <c r="F379" s="3" t="str">
        <f ca="1">IFERROR(__xludf.DUMMYFUNCTION("GOOGLETRANSLATE(C379,""ja"",""vi"")"),"Đấu giá&gt; thiết bị điện tử tiêu dùng, AV, camera&gt; Đồng hồ&gt; đồng hồ bỏ túi")</f>
        <v>Đấu giá&gt; thiết bị điện tử tiêu dùng, AV, camera&gt; Đồng hồ&gt; đồng hồ bỏ túi</v>
      </c>
      <c r="G379" s="228" t="str">
        <f t="shared" ca="1" si="22"/>
        <v>"23276" : "Pocket Watch",</v>
      </c>
      <c r="H379" s="229" t="str">
        <f t="shared" si="23"/>
        <v>&lt;li class="col-md-3"&gt;&lt;a class="text-cut" href="javascript:;"(click)="categoryEvent(23276)"&gt;{{"23276" | translate}}&lt;/a&gt;&lt;/li&gt;</v>
      </c>
    </row>
    <row r="380" spans="1:8" ht="14.25" customHeight="1">
      <c r="A380" s="2">
        <v>2084032117</v>
      </c>
      <c r="B380" s="2" t="s">
        <v>3614</v>
      </c>
      <c r="C380" s="2" t="s">
        <v>9067</v>
      </c>
      <c r="D380" s="116" t="str">
        <f t="shared" si="26"/>
        <v>0,23632,2084213062,2084032117</v>
      </c>
      <c r="E380" s="3" t="str">
        <f ca="1">IFERROR(__xludf.DUMMYFUNCTION("GOOGLETRANSLATE(B380,""ja"",""vi"")"),"đồng hồ bàn, đồng hồ treo tường")</f>
        <v>đồng hồ bàn, đồng hồ treo tường</v>
      </c>
      <c r="F380" s="3" t="str">
        <f ca="1">IFERROR(__xludf.DUMMYFUNCTION("GOOGLETRANSLATE(C380,""ja"",""vi"")"),"Đấu giá&gt; thiết bị điện tử tiêu dùng, AV, camera&gt; đồng hồ&gt; bảng đồng hồ, đồng hồ treo tường")</f>
        <v>Đấu giá&gt; thiết bị điện tử tiêu dùng, AV, camera&gt; đồng hồ&gt; bảng đồng hồ, đồng hồ treo tường</v>
      </c>
      <c r="G380" s="228" t="str">
        <f t="shared" ca="1" si="22"/>
        <v>"2084032117" : "đồng hồ bàn, đồng hồ treo tường",</v>
      </c>
      <c r="H380" s="229" t="str">
        <f t="shared" si="23"/>
        <v>&lt;li class="col-md-3"&gt;&lt;a class="text-cut" href="javascript:;"(click)="categoryEvent(2084032117)"&gt;{{"2084032117" | translate}}&lt;/a&gt;&lt;/li&gt;</v>
      </c>
    </row>
    <row r="381" spans="1:8" ht="14.25" customHeight="1">
      <c r="E381" s="3"/>
      <c r="F381" s="3"/>
      <c r="G381" s="228"/>
      <c r="H381" s="229"/>
    </row>
    <row r="382" spans="1:8" ht="14.25" customHeight="1">
      <c r="E382" s="3"/>
      <c r="F382" s="3"/>
      <c r="G382" s="228"/>
      <c r="H382" s="229"/>
    </row>
    <row r="383" spans="1:8" ht="14.25" customHeight="1">
      <c r="A383" s="318">
        <v>23761</v>
      </c>
      <c r="B383" s="232"/>
      <c r="C383" s="232"/>
      <c r="D383" s="233"/>
      <c r="E383" s="3"/>
      <c r="F383" s="3"/>
      <c r="G383" s="228"/>
      <c r="H383" s="229"/>
    </row>
    <row r="384" spans="1:8" ht="14.25" customHeight="1">
      <c r="A384" s="2">
        <v>2084036890</v>
      </c>
      <c r="B384" s="2" t="s">
        <v>7511</v>
      </c>
      <c r="C384" s="2" t="s">
        <v>7514</v>
      </c>
      <c r="D384" s="2" t="s">
        <v>7515</v>
      </c>
      <c r="E384" s="3" t="str">
        <f ca="1">IFERROR(__xludf.DUMMYFUNCTION("GOOGLETRANSLATE(B384,""ja"",""vi"")"),"phụ kiện")</f>
        <v>phụ kiện</v>
      </c>
      <c r="F384" s="3" t="str">
        <f ca="1">IFERROR(__xludf.DUMMYFUNCTION("GOOGLETRANSLATE(C384,""ja"",""vi"")"),"Đấu giá&gt; Sở thích, văn hóa&gt; radio nghiệp dư&gt; Accessories")</f>
        <v>Đấu giá&gt; Sở thích, văn hóa&gt; radio nghiệp dư&gt; Accessories</v>
      </c>
      <c r="G384" s="228" t="str">
        <f t="shared" ca="1" si="22"/>
        <v>"2084036890" : "phụ kiện",</v>
      </c>
      <c r="H384" s="229" t="str">
        <f t="shared" si="23"/>
        <v>&lt;li class="col-md-3"&gt;&lt;a class="text-cut" href="javascript:;"(click)="categoryEvent(2084036890)"&gt;{{"2084036890" | translate}}&lt;/a&gt;&lt;/li&gt;</v>
      </c>
    </row>
    <row r="385" spans="1:8" ht="14.25" customHeight="1">
      <c r="A385" s="2">
        <v>23762</v>
      </c>
      <c r="B385" s="2" t="s">
        <v>5012</v>
      </c>
      <c r="C385" s="2" t="s">
        <v>7517</v>
      </c>
      <c r="D385" s="2" t="s">
        <v>7518</v>
      </c>
      <c r="E385" s="3" t="str">
        <f ca="1">IFERROR(__xludf.DUMMYFUNCTION("GOOGLETRANSLATE(B385,""ja"",""vi"")"),"Antenna")</f>
        <v>Antenna</v>
      </c>
      <c r="F385" s="3" t="str">
        <f ca="1">IFERROR(__xludf.DUMMYFUNCTION("GOOGLETRANSLATE(C385,""ja"",""vi"")"),"Đấu giá&gt; Sở thích, văn hóa&gt; radio nghiệp dư&gt; ăng ten")</f>
        <v>Đấu giá&gt; Sở thích, văn hóa&gt; radio nghiệp dư&gt; ăng ten</v>
      </c>
      <c r="G385" s="228" t="str">
        <f t="shared" ca="1" si="22"/>
        <v>"23762" : "Antenna",</v>
      </c>
      <c r="H385" s="229" t="str">
        <f t="shared" si="23"/>
        <v>&lt;li class="col-md-3"&gt;&lt;a class="text-cut" href="javascript:;"(click)="categoryEvent(23762)"&gt;{{"23762" | translate}}&lt;/a&gt;&lt;/li&gt;</v>
      </c>
    </row>
    <row r="386" spans="1:8" ht="14.25" customHeight="1">
      <c r="A386" s="2">
        <v>23763</v>
      </c>
      <c r="B386" s="2" t="s">
        <v>7519</v>
      </c>
      <c r="C386" s="2" t="s">
        <v>7520</v>
      </c>
      <c r="D386" s="2" t="s">
        <v>7521</v>
      </c>
      <c r="E386" s="3" t="str">
        <f ca="1">IFERROR(__xludf.DUMMYFUNCTION("GOOGLETRANSLATE(B386,""ja"",""vi"")"),"thu phát")</f>
        <v>thu phát</v>
      </c>
      <c r="F386" s="3" t="str">
        <f ca="1">IFERROR(__xludf.DUMMYFUNCTION("GOOGLETRANSLATE(C386,""ja"",""vi"")"),"Đấu giá&gt; Sở thích, văn hóa&gt; radio nghiệp dư&gt; thu phát")</f>
        <v>Đấu giá&gt; Sở thích, văn hóa&gt; radio nghiệp dư&gt; thu phát</v>
      </c>
      <c r="G386" s="228" t="str">
        <f t="shared" ca="1" si="22"/>
        <v>"23763" : "thu phát",</v>
      </c>
      <c r="H386" s="229" t="str">
        <f t="shared" si="23"/>
        <v>&lt;li class="col-md-3"&gt;&lt;a class="text-cut" href="javascript:;"(click)="categoryEvent(23763)"&gt;{{"23763" | translate}}&lt;/a&gt;&lt;/li&gt;</v>
      </c>
    </row>
    <row r="387" spans="1:8" ht="14.25" customHeight="1">
      <c r="A387" s="2">
        <v>2084036891</v>
      </c>
      <c r="B387" s="2" t="s">
        <v>7522</v>
      </c>
      <c r="C387" s="2" t="s">
        <v>7523</v>
      </c>
      <c r="D387" s="2" t="s">
        <v>7524</v>
      </c>
      <c r="E387" s="3" t="str">
        <f ca="1">IFERROR(__xludf.DUMMYFUNCTION("GOOGLETRANSLATE(B387,""ja"",""vi"")"),"Một máy thu")</f>
        <v>Một máy thu</v>
      </c>
      <c r="F387" s="3" t="str">
        <f ca="1">IFERROR(__xludf.DUMMYFUNCTION("GOOGLETRANSLATE(C387,""ja"",""vi"")"),"Đấu giá&gt; Hobby, văn hóa&gt; radio nghiệp dư&gt; receiver")</f>
        <v>Đấu giá&gt; Hobby, văn hóa&gt; radio nghiệp dư&gt; receiver</v>
      </c>
      <c r="G387" s="228" t="str">
        <f t="shared" ref="G387:G389" ca="1" si="27">CONCATENATE(CHAR(34)&amp;"",A387,""&amp;CHAR(34)," : ", CHAR(34)&amp;"",E387,""&amp;CHAR(34),",")</f>
        <v>"2084036891" : "Một máy thu",</v>
      </c>
      <c r="H387" s="229" t="str">
        <f t="shared" ref="H387:H389" si="28">CONCATENATE("&lt;li class=",CHAR(34)&amp;"","col-md-3",""&amp;CHAR(34),"&gt;","&lt;a class=",CHAR(34)&amp;"","text-cut",""&amp;CHAR(34)," href=",CHAR(34)&amp;"","javascript:;",""&amp;CHAR(34), "(click)=",CHAR(34)&amp;"","categoryEvent(",A387,")",""&amp;CHAR(34),"&gt;{{",CHAR(34)&amp;"",A387,""&amp;CHAR(34)," | translate}}&lt;/a&gt;&lt;/li&gt;")</f>
        <v>&lt;li class="col-md-3"&gt;&lt;a class="text-cut" href="javascript:;"(click)="categoryEvent(2084036891)"&gt;{{"2084036891" | translate}}&lt;/a&gt;&lt;/li&gt;</v>
      </c>
    </row>
    <row r="388" spans="1:8" ht="14.25" customHeight="1">
      <c r="A388" s="2">
        <v>2084263358</v>
      </c>
      <c r="B388" s="2" t="s">
        <v>7525</v>
      </c>
      <c r="C388" s="2" t="s">
        <v>7526</v>
      </c>
      <c r="D388" s="2" t="s">
        <v>7527</v>
      </c>
      <c r="E388" s="3" t="str">
        <f ca="1">IFERROR(__xludf.DUMMYFUNCTION("GOOGLETRANSLATE(B388,""ja"",""vi"")"),"linh kiện điện tử")</f>
        <v>linh kiện điện tử</v>
      </c>
      <c r="F388" s="3" t="str">
        <f ca="1">IFERROR(__xludf.DUMMYFUNCTION("GOOGLETRANSLATE(C388,""ja"",""vi"")"),"Đấu giá&gt; Sở thích, văn hóa&gt; radio nghiệp dư&gt; Linh kiện điện tử")</f>
        <v>Đấu giá&gt; Sở thích, văn hóa&gt; radio nghiệp dư&gt; Linh kiện điện tử</v>
      </c>
      <c r="G388" s="228" t="str">
        <f t="shared" ca="1" si="27"/>
        <v>"2084263358" : "linh kiện điện tử",</v>
      </c>
      <c r="H388" s="229" t="str">
        <f t="shared" si="28"/>
        <v>&lt;li class="col-md-3"&gt;&lt;a class="text-cut" href="javascript:;"(click)="categoryEvent(2084263358)"&gt;{{"2084263358" | translate}}&lt;/a&gt;&lt;/li&gt;</v>
      </c>
    </row>
    <row r="389" spans="1:8" ht="14.25" customHeight="1">
      <c r="A389" s="2">
        <v>23765</v>
      </c>
      <c r="B389" s="2" t="s">
        <v>16</v>
      </c>
      <c r="C389" s="2" t="s">
        <v>7528</v>
      </c>
      <c r="D389" s="2" t="s">
        <v>7529</v>
      </c>
      <c r="E389" s="3" t="str">
        <f ca="1">IFERROR(__xludf.DUMMYFUNCTION("GOOGLETRANSLATE(B389,""ja"",""vi"")"),"nếu không thì")</f>
        <v>nếu không thì</v>
      </c>
      <c r="F389" s="3" t="str">
        <f ca="1">IFERROR(__xludf.DUMMYFUNCTION("GOOGLETRANSLATE(C389,""ja"",""vi"")"),"Đấu giá&gt; Sở thích, văn hóa&gt; radio nghiệp dư&gt; Khác")</f>
        <v>Đấu giá&gt; Sở thích, văn hóa&gt; radio nghiệp dư&gt; Khác</v>
      </c>
      <c r="G389" s="228" t="str">
        <f t="shared" ca="1" si="27"/>
        <v>"23765" : "nếu không thì",</v>
      </c>
      <c r="H389" s="229" t="str">
        <f t="shared" si="28"/>
        <v>&lt;li class="col-md-3"&gt;&lt;a class="text-cut" href="javascript:;"(click)="categoryEvent(23765)"&gt;{{"23765" | translate}}&lt;/a&gt;&lt;/li&gt;</v>
      </c>
    </row>
    <row r="390" spans="1:8" ht="14.25" customHeight="1"/>
    <row r="391" spans="1:8" ht="14.25" customHeight="1"/>
    <row r="392" spans="1:8" ht="14.25" customHeight="1"/>
    <row r="393" spans="1:8" ht="14.25" customHeight="1"/>
    <row r="394" spans="1:8" ht="14.25" customHeight="1"/>
    <row r="395" spans="1:8" ht="14.25" customHeight="1"/>
    <row r="396" spans="1:8" ht="14.25" customHeight="1"/>
    <row r="397" spans="1:8" ht="14.25" customHeight="1"/>
    <row r="398" spans="1:8" ht="14.25" customHeight="1"/>
    <row r="399" spans="1:8" ht="14.25" customHeight="1"/>
    <row r="400" spans="1:8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A383:D383"/>
    <mergeCell ref="A236:D236"/>
    <mergeCell ref="A244:D244"/>
    <mergeCell ref="A335:D335"/>
    <mergeCell ref="A314:D314"/>
    <mergeCell ref="A254:D254"/>
    <mergeCell ref="A278:D278"/>
    <mergeCell ref="A148:D148"/>
    <mergeCell ref="A157:D157"/>
    <mergeCell ref="A166:D166"/>
    <mergeCell ref="A353:D353"/>
    <mergeCell ref="A372:D372"/>
    <mergeCell ref="A212:D212"/>
    <mergeCell ref="A200:D200"/>
    <mergeCell ref="A187:D187"/>
    <mergeCell ref="A226:D226"/>
    <mergeCell ref="A30:D30"/>
    <mergeCell ref="A50:D50"/>
    <mergeCell ref="A81:D81"/>
    <mergeCell ref="A103:D103"/>
    <mergeCell ref="A122:D122"/>
    <mergeCell ref="A116:D116"/>
  </mergeCells>
  <pageMargins left="0.7" right="0.7" top="0.75" bottom="0.75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1"/>
  <sheetViews>
    <sheetView topLeftCell="D1" workbookViewId="0">
      <selection activeCell="H2" sqref="H2"/>
    </sheetView>
  </sheetViews>
  <sheetFormatPr defaultColWidth="12.59765625" defaultRowHeight="15" customHeight="1"/>
  <cols>
    <col min="1" max="1" width="15.3984375" customWidth="1"/>
    <col min="2" max="2" width="19.8984375" customWidth="1"/>
    <col min="3" max="3" width="53.8984375" customWidth="1"/>
    <col min="4" max="4" width="20.8984375" customWidth="1"/>
    <col min="5" max="6" width="7.59765625" customWidth="1"/>
    <col min="7" max="7" width="36.5" customWidth="1"/>
    <col min="8" max="8" width="36.5" style="229" customWidth="1"/>
    <col min="9" max="9" width="52.69921875" customWidth="1"/>
    <col min="10" max="10" width="43.8984375" customWidth="1"/>
    <col min="11" max="27" width="7.59765625" customWidth="1"/>
  </cols>
  <sheetData>
    <row r="1" spans="1:9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9" ht="14.25" customHeight="1">
      <c r="A2" s="73">
        <v>22192</v>
      </c>
      <c r="B2" s="73" t="s">
        <v>7873</v>
      </c>
      <c r="C2" s="73" t="s">
        <v>8176</v>
      </c>
      <c r="D2" s="11" t="str">
        <f t="shared" ref="D2:D14" si="0">CONCATENATE("0,","22152,",A2)</f>
        <v>0,22152,22192</v>
      </c>
      <c r="E2" s="3" t="str">
        <f ca="1">IFERROR(__xludf.DUMMYFUNCTION("GOOGLETRANSLATE(B2,""ja"",""vi"")"),"CD")</f>
        <v>CD</v>
      </c>
      <c r="F2" s="3" t="str">
        <f ca="1">IFERROR(__xludf.DUMMYFUNCTION("GOOGLETRANSLATE(C2,""ja"",""vi"")"),"Đấu giá&gt; Âm nhạc&gt; CD")</f>
        <v>Đấu giá&gt; Âm nhạc&gt; CD</v>
      </c>
      <c r="H2" s="229" t="str">
        <f ca="1">CONCATENATE(CHAR(34)&amp;"",A2,""&amp;CHAR(34)," : ", CHAR(34)&amp;"",E2,""&amp;CHAR(34),",")</f>
        <v>"22192" : "CD",</v>
      </c>
      <c r="I2" s="229" t="str">
        <f t="shared" ref="I2:I14" si="1"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href="javascript:;"(click)="categoryEvent(22192)"&gt;{{"22192" | translate}}&lt;/a&gt;&lt;/li&gt;</v>
      </c>
    </row>
    <row r="3" spans="1:9" ht="14.25" customHeight="1">
      <c r="A3" s="12">
        <v>22260</v>
      </c>
      <c r="B3" s="12" t="s">
        <v>410</v>
      </c>
      <c r="C3" s="12" t="s">
        <v>8183</v>
      </c>
      <c r="D3" s="13" t="str">
        <f t="shared" si="0"/>
        <v>0,22152,22260</v>
      </c>
      <c r="E3" s="3" t="str">
        <f ca="1">IFERROR(__xludf.DUMMYFUNCTION("GOOGLETRANSLATE(B3,""ja"",""vi"")"),"kỷ lục")</f>
        <v>kỷ lục</v>
      </c>
      <c r="F3" s="3" t="str">
        <f ca="1">IFERROR(__xludf.DUMMYFUNCTION("GOOGLETRANSLATE(C3,""ja"",""vi"")"),"Đấu giá&gt; Âm nhạc&gt; Ghi")</f>
        <v>Đấu giá&gt; Âm nhạc&gt; Ghi</v>
      </c>
      <c r="H3" s="229" t="str">
        <f t="shared" ref="H3:H66" ca="1" si="2">CONCATENATE(CHAR(34)&amp;"",A3,""&amp;CHAR(34)," : ", CHAR(34)&amp;"",E3,""&amp;CHAR(34),",")</f>
        <v>"22260" : "kỷ lục",</v>
      </c>
      <c r="I3" s="229" t="str">
        <f t="shared" si="1"/>
        <v>&lt;li class="col-md-3"&gt;&lt;a class="text-cut" href="javascript:;"(click)="categoryEvent(22260)"&gt;{{"22260" | translate}}&lt;/a&gt;&lt;/li&gt;</v>
      </c>
    </row>
    <row r="4" spans="1:9" ht="14.25" customHeight="1">
      <c r="A4" s="14">
        <v>22344</v>
      </c>
      <c r="B4" s="14" t="s">
        <v>414</v>
      </c>
      <c r="C4" s="14" t="s">
        <v>8188</v>
      </c>
      <c r="D4" s="174" t="str">
        <f t="shared" si="0"/>
        <v>0,22152,22344</v>
      </c>
      <c r="E4" s="3" t="str">
        <f ca="1">IFERROR(__xludf.DUMMYFUNCTION("GOOGLETRANSLATE(B4,""ja"",""vi"")"),"băng cassette")</f>
        <v>băng cassette</v>
      </c>
      <c r="F4" s="3" t="str">
        <f ca="1">IFERROR(__xludf.DUMMYFUNCTION("GOOGLETRANSLATE(C4,""ja"",""vi"")"),"Đấu giá&gt; nhạc&gt; băng cassette")</f>
        <v>Đấu giá&gt; nhạc&gt; băng cassette</v>
      </c>
      <c r="H4" s="229" t="str">
        <f t="shared" ca="1" si="2"/>
        <v>"22344" : "băng cassette",</v>
      </c>
      <c r="I4" s="229" t="str">
        <f t="shared" si="1"/>
        <v>&lt;li class="col-md-3"&gt;&lt;a class="text-cut" href="javascript:;"(click)="categoryEvent(22344)"&gt;{{"22344" | translate}}&lt;/a&gt;&lt;/li&gt;</v>
      </c>
    </row>
    <row r="5" spans="1:9" ht="14.25" customHeight="1">
      <c r="A5" s="15">
        <v>2084046929</v>
      </c>
      <c r="B5" s="15" t="s">
        <v>380</v>
      </c>
      <c r="C5" s="15" t="s">
        <v>8192</v>
      </c>
      <c r="D5" s="175" t="str">
        <f t="shared" si="0"/>
        <v>0,22152,2084046929</v>
      </c>
      <c r="E5" s="3" t="str">
        <f ca="1">IFERROR(__xludf.DUMMYFUNCTION("GOOGLETRANSLATE(B5,""ja"",""vi"")"),"DVD")</f>
        <v>DVD</v>
      </c>
      <c r="F5" s="3" t="str">
        <f ca="1">IFERROR(__xludf.DUMMYFUNCTION("GOOGLETRANSLATE(C5,""ja"",""vi"")"),"Đấu giá&gt; Âm nhạc&gt; DVD")</f>
        <v>Đấu giá&gt; Âm nhạc&gt; DVD</v>
      </c>
      <c r="H5" s="229" t="str">
        <f t="shared" ca="1" si="2"/>
        <v>"2084046929" : "DVD",</v>
      </c>
      <c r="I5" s="229" t="str">
        <f t="shared" si="1"/>
        <v>&lt;li class="col-md-3"&gt;&lt;a class="text-cut" href="javascript:;"(click)="categoryEvent(2084046929)"&gt;{{"2084046929" | translate}}&lt;/a&gt;&lt;/li&gt;</v>
      </c>
    </row>
    <row r="6" spans="1:9" ht="14.25" customHeight="1">
      <c r="A6" s="17">
        <v>2084249081</v>
      </c>
      <c r="B6" s="17" t="s">
        <v>7558</v>
      </c>
      <c r="C6" s="17" t="s">
        <v>8199</v>
      </c>
      <c r="D6" s="176" t="str">
        <f t="shared" si="0"/>
        <v>0,22152,2084249081</v>
      </c>
      <c r="E6" s="3" t="str">
        <f ca="1">IFERROR(__xludf.DUMMYFUNCTION("GOOGLETRANSLATE(B6,""ja"",""vi"")"),"Blu-ray")</f>
        <v>Blu-ray</v>
      </c>
      <c r="F6" s="3" t="str">
        <f ca="1">IFERROR(__xludf.DUMMYFUNCTION("GOOGLETRANSLATE(C6,""ja"",""vi"")"),"Đấu giá&gt; Âm nhạc&gt; Blu-ray")</f>
        <v>Đấu giá&gt; Âm nhạc&gt; Blu-ray</v>
      </c>
      <c r="H6" s="229" t="str">
        <f t="shared" ca="1" si="2"/>
        <v>"2084249081" : "Blu-ray",</v>
      </c>
      <c r="I6" s="229" t="str">
        <f t="shared" si="1"/>
        <v>&lt;li class="col-md-3"&gt;&lt;a class="text-cut" href="javascript:;"(click)="categoryEvent(2084249081)"&gt;{{"2084249081" | translate}}&lt;/a&gt;&lt;/li&gt;</v>
      </c>
    </row>
    <row r="7" spans="1:9" ht="14.25" customHeight="1">
      <c r="A7" s="18">
        <v>22244</v>
      </c>
      <c r="B7" s="18" t="s">
        <v>386</v>
      </c>
      <c r="C7" s="18" t="s">
        <v>8204</v>
      </c>
      <c r="D7" s="177" t="str">
        <f t="shared" si="0"/>
        <v>0,22152,22244</v>
      </c>
      <c r="E7" s="3" t="str">
        <f ca="1">IFERROR(__xludf.DUMMYFUNCTION("GOOGLETRANSLATE(B7,""ja"",""vi"")"),"video")</f>
        <v>video</v>
      </c>
      <c r="F7" s="3" t="str">
        <f ca="1">IFERROR(__xludf.DUMMYFUNCTION("GOOGLETRANSLATE(C7,""ja"",""vi"")"),"Đấu giá&gt; Âm nhạc&gt; Video")</f>
        <v>Đấu giá&gt; Âm nhạc&gt; Video</v>
      </c>
      <c r="H7" s="229" t="str">
        <f t="shared" ca="1" si="2"/>
        <v>"22244" : "video",</v>
      </c>
      <c r="I7" s="229" t="str">
        <f t="shared" si="1"/>
        <v>&lt;li class="col-md-3"&gt;&lt;a class="text-cut" href="javascript:;"(click)="categoryEvent(22244)"&gt;{{"22244" | translate}}&lt;/a&gt;&lt;/li&gt;</v>
      </c>
    </row>
    <row r="8" spans="1:9" ht="14.25" customHeight="1">
      <c r="A8" s="19">
        <v>2084005202</v>
      </c>
      <c r="B8" s="19" t="s">
        <v>393</v>
      </c>
      <c r="C8" s="19" t="s">
        <v>8210</v>
      </c>
      <c r="D8" s="178" t="str">
        <f t="shared" si="0"/>
        <v>0,22152,2084005202</v>
      </c>
      <c r="E8" s="3" t="str">
        <f ca="1">IFERROR(__xludf.DUMMYFUNCTION("GOOGLETRANSLATE(B8,""ja"",""vi"")"),"đĩa Laser")</f>
        <v>đĩa Laser</v>
      </c>
      <c r="F8" s="3" t="str">
        <f ca="1">IFERROR(__xludf.DUMMYFUNCTION("GOOGLETRANSLATE(C8,""ja"",""vi"")"),"Đấu giá&gt; nhạc&gt; đĩa laze")</f>
        <v>Đấu giá&gt; nhạc&gt; đĩa laze</v>
      </c>
      <c r="H8" s="229" t="str">
        <f t="shared" ca="1" si="2"/>
        <v>"2084005202" : "đĩa Laser",</v>
      </c>
      <c r="I8" s="229" t="str">
        <f t="shared" si="1"/>
        <v>&lt;li class="col-md-3"&gt;&lt;a class="text-cut" href="javascript:;"(click)="categoryEvent(2084005202)"&gt;{{"2084005202" | translate}}&lt;/a&gt;&lt;/li&gt;</v>
      </c>
    </row>
    <row r="9" spans="1:9" ht="14.25" customHeight="1">
      <c r="A9" s="20">
        <v>2084224176</v>
      </c>
      <c r="B9" s="20" t="s">
        <v>8217</v>
      </c>
      <c r="C9" s="20" t="s">
        <v>8219</v>
      </c>
      <c r="D9" s="179" t="str">
        <f t="shared" si="0"/>
        <v>0,22152,2084224176</v>
      </c>
      <c r="E9" s="3" t="str">
        <f ca="1">IFERROR(__xludf.DUMMYFUNCTION("GOOGLETRANSLATE(B9,""ja"",""vi"")"),"SP bảng &lt;")</f>
        <v>SP bảng &lt;</v>
      </c>
      <c r="F9" s="3" t="str">
        <f ca="1">IFERROR(__xludf.DUMMYFUNCTION("GOOGLETRANSLATE(C9,""ja"",""vi"")"),"Đấu giá&gt; Âm nhạc&gt; SP bản")</f>
        <v>Đấu giá&gt; Âm nhạc&gt; SP bản</v>
      </c>
      <c r="H9" s="229" t="str">
        <f t="shared" ca="1" si="2"/>
        <v>"2084224176" : "SP bảng &lt;",</v>
      </c>
      <c r="I9" s="229" t="str">
        <f t="shared" si="1"/>
        <v>&lt;li class="col-md-3"&gt;&lt;a class="text-cut" href="javascript:;"(click)="categoryEvent(2084224176)"&gt;{{"2084224176" | translate}}&lt;/a&gt;&lt;/li&gt;</v>
      </c>
    </row>
    <row r="10" spans="1:9" ht="14.25" customHeight="1">
      <c r="A10" s="21">
        <v>22436</v>
      </c>
      <c r="B10" s="21" t="s">
        <v>6471</v>
      </c>
      <c r="C10" s="21" t="s">
        <v>8224</v>
      </c>
      <c r="D10" s="180" t="str">
        <f t="shared" si="0"/>
        <v>0,22152,22436</v>
      </c>
      <c r="E10" s="3" t="str">
        <f ca="1">IFERROR(__xludf.DUMMYFUNCTION("GOOGLETRANSLATE(B10,""ja"",""vi"")"),"công cụ và thiết bị âm nhạc")</f>
        <v>công cụ và thiết bị âm nhạc</v>
      </c>
      <c r="F10" s="3" t="str">
        <f ca="1">IFERROR(__xludf.DUMMYFUNCTION("GOOGLETRANSLATE(C10,""ja"",""vi"")"),"Đấu giá&gt; Âm nhạc&gt; nhạc cụ và thiết bị âm nhạc")</f>
        <v>Đấu giá&gt; Âm nhạc&gt; nhạc cụ và thiết bị âm nhạc</v>
      </c>
      <c r="H10" s="229" t="str">
        <f t="shared" ca="1" si="2"/>
        <v>"22436" : "công cụ và thiết bị âm nhạc",</v>
      </c>
      <c r="I10" s="229" t="str">
        <f t="shared" si="1"/>
        <v>&lt;li class="col-md-3"&gt;&lt;a class="text-cut" href="javascript:;"(click)="categoryEvent(22436)"&gt;{{"22436" | translate}}&lt;/a&gt;&lt;/li&gt;</v>
      </c>
    </row>
    <row r="11" spans="1:9" ht="14.25" customHeight="1">
      <c r="A11" s="22">
        <v>2084044331</v>
      </c>
      <c r="B11" s="22" t="s">
        <v>8230</v>
      </c>
      <c r="C11" s="22" t="s">
        <v>8232</v>
      </c>
      <c r="D11" s="216" t="str">
        <f t="shared" si="0"/>
        <v>0,22152,2084044331</v>
      </c>
      <c r="E11" s="3" t="str">
        <f ca="1">IFERROR(__xludf.DUMMYFUNCTION("GOOGLETRANSLATE(B11,""ja"",""vi"")"),"chứng từ tiền mặt, vé")</f>
        <v>chứng từ tiền mặt, vé</v>
      </c>
      <c r="F11" s="3" t="str">
        <f ca="1">IFERROR(__xludf.DUMMYFUNCTION("GOOGLETRANSLATE(C11,""ja"",""vi"")"),"Đấu giá&gt; Âm nhạc&gt; chứng từ, vé")</f>
        <v>Đấu giá&gt; Âm nhạc&gt; chứng từ, vé</v>
      </c>
      <c r="H11" s="229" t="str">
        <f t="shared" ca="1" si="2"/>
        <v>"2084044331" : "chứng từ tiền mặt, vé",</v>
      </c>
      <c r="I11" s="229" t="str">
        <f t="shared" si="1"/>
        <v>&lt;li class="col-md-3"&gt;&lt;a class="text-cut" href="javascript:;"(click)="categoryEvent(2084044331)"&gt;{{"2084044331" | translate}}&lt;/a&gt;&lt;/li&gt;</v>
      </c>
    </row>
    <row r="12" spans="1:9" ht="14.25" customHeight="1">
      <c r="A12" s="23">
        <v>21788</v>
      </c>
      <c r="B12" s="23" t="s">
        <v>162</v>
      </c>
      <c r="C12" s="23" t="s">
        <v>8236</v>
      </c>
      <c r="D12" s="25" t="str">
        <f t="shared" si="0"/>
        <v>0,22152,21788</v>
      </c>
      <c r="E12" s="3" t="str">
        <f ca="1">IFERROR(__xludf.DUMMYFUNCTION("GOOGLETRANSLATE(B12,""ja"",""vi"")"),"Sách, tạp chí")</f>
        <v>Sách, tạp chí</v>
      </c>
      <c r="F12" s="3" t="str">
        <f ca="1">IFERROR(__xludf.DUMMYFUNCTION("GOOGLETRANSLATE(C12,""ja"",""vi"")"),"Đấu giá&gt; Âm nhạc&gt; Sách, tạp chí")</f>
        <v>Đấu giá&gt; Âm nhạc&gt; Sách, tạp chí</v>
      </c>
      <c r="H12" s="229" t="str">
        <f t="shared" ca="1" si="2"/>
        <v>"21788" : "Sách, tạp chí",</v>
      </c>
      <c r="I12" s="229" t="str">
        <f t="shared" si="1"/>
        <v>&lt;li class="col-md-3"&gt;&lt;a class="text-cut" href="javascript:;"(click)="categoryEvent(21788)"&gt;{{"21788" | translate}}&lt;/a&gt;&lt;/li&gt;</v>
      </c>
    </row>
    <row r="13" spans="1:9" ht="14.25" customHeight="1">
      <c r="A13" s="217">
        <v>22396</v>
      </c>
      <c r="B13" s="217" t="s">
        <v>8238</v>
      </c>
      <c r="C13" s="217" t="s">
        <v>8240</v>
      </c>
      <c r="D13" s="218" t="str">
        <f t="shared" si="0"/>
        <v>0,22152,22396</v>
      </c>
      <c r="E13" s="3" t="str">
        <f ca="1">IFERROR(__xludf.DUMMYFUNCTION("GOOGLETRANSLATE(B13,""ja"",""vi"")"),"Kỷ vật, vật lưu niệm")</f>
        <v>Kỷ vật, vật lưu niệm</v>
      </c>
      <c r="F13" s="3" t="str">
        <f ca="1">IFERROR(__xludf.DUMMYFUNCTION("GOOGLETRANSLATE(C13,""ja"",""vi"")"),"Đấu giá&gt; Âm nhạc&gt; kỷ vật, vật lưu niệm")</f>
        <v>Đấu giá&gt; Âm nhạc&gt; kỷ vật, vật lưu niệm</v>
      </c>
      <c r="H13" s="229" t="str">
        <f t="shared" ca="1" si="2"/>
        <v>"22396" : "Kỷ vật, vật lưu niệm",</v>
      </c>
      <c r="I13" s="229" t="str">
        <f t="shared" si="1"/>
        <v>&lt;li class="col-md-3"&gt;&lt;a class="text-cut" href="javascript:;"(click)="categoryEvent(22396)"&gt;{{"22396" | translate}}&lt;/a&gt;&lt;/li&gt;</v>
      </c>
    </row>
    <row r="14" spans="1:9" ht="14.25" customHeight="1">
      <c r="A14" s="195">
        <v>2084307734</v>
      </c>
      <c r="B14" s="195" t="s">
        <v>8257</v>
      </c>
      <c r="C14" s="195" t="s">
        <v>8258</v>
      </c>
      <c r="D14" s="196" t="str">
        <f t="shared" si="0"/>
        <v>0,22152,2084307734</v>
      </c>
      <c r="E14" s="3" t="str">
        <f ca="1">IFERROR(__xludf.DUMMYFUNCTION("GOOGLETRANSLATE(B14,""ja"",""vi"")"),"sản xuất âm nhạc")</f>
        <v>sản xuất âm nhạc</v>
      </c>
      <c r="F14" s="3" t="str">
        <f ca="1">IFERROR(__xludf.DUMMYFUNCTION("GOOGLETRANSLATE(C14,""ja"",""vi"")"),"Đấu giá&gt; Âm nhạc&gt; Sản xuất âm nhạc")</f>
        <v>Đấu giá&gt; Âm nhạc&gt; Sản xuất âm nhạc</v>
      </c>
      <c r="H14" s="229" t="str">
        <f t="shared" ca="1" si="2"/>
        <v>"2084307734" : "sản xuất âm nhạc",</v>
      </c>
      <c r="I14" s="229" t="str">
        <f t="shared" si="1"/>
        <v>&lt;li class="col-md-3"&gt;&lt;a class="text-cut" href="javascript:;"(click)="categoryEvent(2084307734)"&gt;{{"2084307734" | translate}}&lt;/a&gt;&lt;/li&gt;</v>
      </c>
    </row>
    <row r="15" spans="1:9" ht="24" customHeight="1">
      <c r="A15" s="73"/>
      <c r="B15" s="73"/>
      <c r="C15" s="73"/>
      <c r="D15" s="70"/>
      <c r="E15" s="3"/>
      <c r="F15" s="3"/>
      <c r="H15" s="229" t="str">
        <f t="shared" si="2"/>
        <v>"" : "",</v>
      </c>
      <c r="I15" s="229"/>
    </row>
    <row r="16" spans="1:9" ht="24" customHeight="1">
      <c r="A16" s="299">
        <v>22192</v>
      </c>
      <c r="B16" s="258"/>
      <c r="C16" s="258"/>
      <c r="D16" s="258"/>
      <c r="E16" s="3"/>
      <c r="F16" s="3"/>
      <c r="H16" s="229" t="str">
        <f t="shared" si="2"/>
        <v>"22192" : "",</v>
      </c>
      <c r="I16" s="229"/>
    </row>
    <row r="17" spans="1:9" ht="14.25" customHeight="1">
      <c r="A17" s="73">
        <v>2084005055</v>
      </c>
      <c r="B17" s="73" t="s">
        <v>8271</v>
      </c>
      <c r="C17" s="73" t="s">
        <v>8272</v>
      </c>
      <c r="D17" s="70" t="str">
        <f t="shared" ref="D17:D37" si="3">CONCATENATE("0,","22152,22192,",A17)</f>
        <v>0,22152,22192,2084005055</v>
      </c>
      <c r="E17" s="3" t="str">
        <f ca="1">IFERROR(__xludf.DUMMYFUNCTION("GOOGLETRANSLATE(B19,""ja"",""vi"")"),"Pop Nhật Bản")</f>
        <v>Pop Nhật Bản</v>
      </c>
      <c r="F17" s="3" t="str">
        <f ca="1">IFERROR(__xludf.DUMMYFUNCTION("GOOGLETRANSLATE(C19,""ja"",""vi"")"),"Đấu giá&gt; Âm nhạc&gt; CD&gt; Pop Nhật Bản")</f>
        <v>Đấu giá&gt; Âm nhạc&gt; CD&gt; Pop Nhật Bản</v>
      </c>
      <c r="H17" s="229" t="str">
        <f t="shared" ca="1" si="2"/>
        <v>"2084005055" : "Pop Nhật Bản",</v>
      </c>
      <c r="I17" s="229" t="str">
        <f t="shared" ref="I17:I37" si="4">CONCATENATE("&lt;li class=",CHAR(34)&amp;"","col-md-3",""&amp;CHAR(34),"&gt;","&lt;a class=",CHAR(34)&amp;"","text-cut",""&amp;CHAR(34)," href=",CHAR(34)&amp;"","javascript:;",""&amp;CHAR(34), "(click)=",CHAR(34)&amp;"","categoryEvent(",A17,")",""&amp;CHAR(34),"&gt;{{",CHAR(34)&amp;"",A17,""&amp;CHAR(34)," | translate}}&lt;/a&gt;&lt;/li&gt;")</f>
        <v>&lt;li class="col-md-3"&gt;&lt;a class="text-cut" href="javascript:;"(click)="categoryEvent(2084005055)"&gt;{{"2084005055" | translate}}&lt;/a&gt;&lt;/li&gt;</v>
      </c>
    </row>
    <row r="18" spans="1:9" ht="14.25" customHeight="1">
      <c r="A18" s="73">
        <v>22196</v>
      </c>
      <c r="B18" s="73" t="s">
        <v>8276</v>
      </c>
      <c r="C18" s="73" t="s">
        <v>8277</v>
      </c>
      <c r="D18" s="70" t="str">
        <f t="shared" si="3"/>
        <v>0,22152,22192,22196</v>
      </c>
      <c r="E18" s="3" t="str">
        <f ca="1">IFERROR(__xludf.DUMMYFUNCTION("GOOGLETRANSLATE(B20,""ja"",""vi"")"),"Rock, Pop (Western)")</f>
        <v>Rock, Pop (Western)</v>
      </c>
      <c r="F18" s="3" t="str">
        <f ca="1">IFERROR(__xludf.DUMMYFUNCTION("GOOGLETRANSLATE(C20,""ja"",""vi"")"),"Đấu giá&gt; Âm nhạc&gt; CD&gt; Rock, Pop (Western)")</f>
        <v>Đấu giá&gt; Âm nhạc&gt; CD&gt; Rock, Pop (Western)</v>
      </c>
      <c r="H18" s="229" t="str">
        <f t="shared" ca="1" si="2"/>
        <v>"22196" : "Rock, Pop (Western)",</v>
      </c>
      <c r="I18" s="229" t="str">
        <f t="shared" si="4"/>
        <v>&lt;li class="col-md-3"&gt;&lt;a class="text-cut" href="javascript:;"(click)="categoryEvent(22196)"&gt;{{"22196" | translate}}&lt;/a&gt;&lt;/li&gt;</v>
      </c>
    </row>
    <row r="19" spans="1:9" ht="14.25" customHeight="1">
      <c r="A19" s="73">
        <v>22228</v>
      </c>
      <c r="B19" s="73" t="s">
        <v>7573</v>
      </c>
      <c r="C19" s="73" t="s">
        <v>8280</v>
      </c>
      <c r="D19" s="70" t="str">
        <f t="shared" si="3"/>
        <v>0,22152,22192,22228</v>
      </c>
      <c r="E19" s="3" t="str">
        <f ca="1">IFERROR(__xludf.DUMMYFUNCTION("GOOGLETRANSLATE(B21,""ja"",""vi"")"),"phim âm nhạc")</f>
        <v>phim âm nhạc</v>
      </c>
      <c r="F19" s="3" t="str">
        <f ca="1">IFERROR(__xludf.DUMMYFUNCTION("GOOGLETRANSLATE(C21,""ja"",""vi"")"),"Đấu giá&gt; Âm nhạc&gt; CD&gt; nhạc phim")</f>
        <v>Đấu giá&gt; Âm nhạc&gt; CD&gt; nhạc phim</v>
      </c>
      <c r="H19" s="229" t="str">
        <f t="shared" ca="1" si="2"/>
        <v>"22228" : "phim âm nhạc",</v>
      </c>
      <c r="I19" s="229" t="str">
        <f t="shared" si="4"/>
        <v>&lt;li class="col-md-3"&gt;&lt;a class="text-cut" href="javascript:;"(click)="categoryEvent(22228)"&gt;{{"22228" | translate}}&lt;/a&gt;&lt;/li&gt;</v>
      </c>
    </row>
    <row r="20" spans="1:9" ht="14.25" customHeight="1">
      <c r="A20" s="73">
        <v>2084005149</v>
      </c>
      <c r="B20" s="73" t="s">
        <v>8284</v>
      </c>
      <c r="C20" s="73" t="s">
        <v>8285</v>
      </c>
      <c r="D20" s="70" t="str">
        <f t="shared" si="3"/>
        <v>0,22152,22192,2084005149</v>
      </c>
      <c r="E20" s="3" t="str">
        <f ca="1">IFERROR(__xludf.DUMMYFUNCTION("GOOGLETRANSLATE(B22,""ja"",""vi"")"),"Anime bài hát")</f>
        <v>Anime bài hát</v>
      </c>
      <c r="F20" s="3" t="str">
        <f ca="1">IFERROR(__xludf.DUMMYFUNCTION("GOOGLETRANSLATE(C22,""ja"",""vi"")"),"Đấu giá&gt; Âm nhạc&gt; CD&gt; bài hát phim hoạt hình")</f>
        <v>Đấu giá&gt; Âm nhạc&gt; CD&gt; bài hát phim hoạt hình</v>
      </c>
      <c r="H20" s="229" t="str">
        <f t="shared" ca="1" si="2"/>
        <v>"2084005149" : "Anime bài hát",</v>
      </c>
      <c r="I20" s="229" t="str">
        <f t="shared" si="4"/>
        <v>&lt;li class="col-md-3"&gt;&lt;a class="text-cut" href="javascript:;"(click)="categoryEvent(2084005149)"&gt;{{"2084005149" | translate}}&lt;/a&gt;&lt;/li&gt;</v>
      </c>
    </row>
    <row r="21" spans="1:9" ht="14.25" customHeight="1">
      <c r="A21" s="73">
        <v>22208</v>
      </c>
      <c r="B21" s="73" t="s">
        <v>8291</v>
      </c>
      <c r="C21" s="73" t="s">
        <v>8293</v>
      </c>
      <c r="D21" s="70" t="str">
        <f t="shared" si="3"/>
        <v>0,22152,22192,22208</v>
      </c>
      <c r="E21" s="3" t="str">
        <f ca="1">IFERROR(__xludf.DUMMYFUNCTION("GOOGLETRANSLATE(B23,""ja"",""vi"")"),"nhạc jazz")</f>
        <v>nhạc jazz</v>
      </c>
      <c r="F21" s="3" t="str">
        <f ca="1">IFERROR(__xludf.DUMMYFUNCTION("GOOGLETRANSLATE(C23,""ja"",""vi"")"),"Đấu giá&gt; Âm nhạc&gt; CD&gt; Jazz")</f>
        <v>Đấu giá&gt; Âm nhạc&gt; CD&gt; Jazz</v>
      </c>
      <c r="H21" s="229" t="str">
        <f t="shared" ca="1" si="2"/>
        <v>"22208" : "nhạc jazz",</v>
      </c>
      <c r="I21" s="229" t="str">
        <f t="shared" si="4"/>
        <v>&lt;li class="col-md-3"&gt;&lt;a class="text-cut" href="javascript:;"(click)="categoryEvent(22208)"&gt;{{"22208" | translate}}&lt;/a&gt;&lt;/li&gt;</v>
      </c>
    </row>
    <row r="22" spans="1:9" ht="14.25" customHeight="1">
      <c r="A22" s="73">
        <v>22232</v>
      </c>
      <c r="B22" s="73" t="s">
        <v>8300</v>
      </c>
      <c r="C22" s="74" t="s">
        <v>8301</v>
      </c>
      <c r="D22" s="70" t="str">
        <f t="shared" si="3"/>
        <v>0,22152,22192,22232</v>
      </c>
      <c r="E22" s="3" t="str">
        <f ca="1">IFERROR(__xludf.DUMMYFUNCTION("GOOGLETRANSLATE(B24,""ja"",""vi"")"),"cổ điển")</f>
        <v>cổ điển</v>
      </c>
      <c r="F22" s="3" t="str">
        <f ca="1">IFERROR(__xludf.DUMMYFUNCTION("GOOGLETRANSLATE(C24,""ja"",""vi"")"),"&gt; Đấu giá&gt; Âm nhạc&gt; CD&gt; cổ điển")</f>
        <v>&gt; Đấu giá&gt; Âm nhạc&gt; CD&gt; cổ điển</v>
      </c>
      <c r="H22" s="229" t="str">
        <f t="shared" ca="1" si="2"/>
        <v>"22232" : "cổ điển",</v>
      </c>
      <c r="I22" s="229" t="str">
        <f t="shared" si="4"/>
        <v>&lt;li class="col-md-3"&gt;&lt;a class="text-cut" href="javascript:;"(click)="categoryEvent(22232)"&gt;{{"22232" | translate}}&lt;/a&gt;&lt;/li&gt;</v>
      </c>
    </row>
    <row r="23" spans="1:9" ht="14.25" customHeight="1">
      <c r="A23" s="73">
        <v>22212</v>
      </c>
      <c r="B23" s="73" t="s">
        <v>8305</v>
      </c>
      <c r="C23" s="73" t="s">
        <v>8306</v>
      </c>
      <c r="D23" s="70" t="str">
        <f t="shared" si="3"/>
        <v>0,22152,22192,22212</v>
      </c>
      <c r="E23" s="3" t="str">
        <f ca="1">IFERROR(__xludf.DUMMYFUNCTION("GOOGLETRANSLATE(B25,""ja"",""vi"")"),"Âm nhạc thế giới")</f>
        <v>Âm nhạc thế giới</v>
      </c>
      <c r="F23" s="3" t="str">
        <f ca="1">IFERROR(__xludf.DUMMYFUNCTION("GOOGLETRANSLATE(C25,""ja"",""vi"")"),"Đấu giá&gt; Âm nhạc&gt; CD&gt; Âm nhạc thế giới")</f>
        <v>Đấu giá&gt; Âm nhạc&gt; CD&gt; Âm nhạc thế giới</v>
      </c>
      <c r="H23" s="229" t="str">
        <f t="shared" ca="1" si="2"/>
        <v>"22212" : "Âm nhạc thế giới",</v>
      </c>
      <c r="I23" s="229" t="str">
        <f t="shared" si="4"/>
        <v>&lt;li class="col-md-3"&gt;&lt;a class="text-cut" href="javascript:;"(click)="categoryEvent(22212)"&gt;{{"22212" | translate}}&lt;/a&gt;&lt;/li&gt;</v>
      </c>
    </row>
    <row r="24" spans="1:9" ht="14.25" customHeight="1">
      <c r="A24" s="73">
        <v>2084005147</v>
      </c>
      <c r="B24" s="73" t="s">
        <v>8308</v>
      </c>
      <c r="C24" s="73" t="s">
        <v>8309</v>
      </c>
      <c r="D24" s="70" t="str">
        <f t="shared" si="3"/>
        <v>0,22152,22192,2084005147</v>
      </c>
      <c r="E24" s="3" t="str">
        <f ca="1">IFERROR(__xludf.DUMMYFUNCTION("GOOGLETRANSLATE(B26,""ja"",""vi"")"),"trò chơi âm nhạc")</f>
        <v>trò chơi âm nhạc</v>
      </c>
      <c r="F24" s="3" t="str">
        <f ca="1">IFERROR(__xludf.DUMMYFUNCTION("GOOGLETRANSLATE(C26,""ja"",""vi"")"),"Đấu giá&gt; Âm nhạc&gt; CD&gt; trò chơi âm nhạc")</f>
        <v>Đấu giá&gt; Âm nhạc&gt; CD&gt; trò chơi âm nhạc</v>
      </c>
      <c r="H24" s="229" t="str">
        <f t="shared" ca="1" si="2"/>
        <v>"2084005147" : "trò chơi âm nhạc",</v>
      </c>
      <c r="I24" s="229" t="str">
        <f t="shared" si="4"/>
        <v>&lt;li class="col-md-3"&gt;&lt;a class="text-cut" href="javascript:;"(click)="categoryEvent(2084005147)"&gt;{{"2084005147" | translate}}&lt;/a&gt;&lt;/li&gt;</v>
      </c>
    </row>
    <row r="25" spans="1:9" ht="14.25" customHeight="1">
      <c r="A25" s="73">
        <v>2084006949</v>
      </c>
      <c r="B25" s="73" t="s">
        <v>8313</v>
      </c>
      <c r="C25" s="73" t="s">
        <v>8314</v>
      </c>
      <c r="D25" s="70" t="str">
        <f t="shared" si="3"/>
        <v>0,22152,22192,2084006949</v>
      </c>
      <c r="E25" s="3" t="str">
        <f ca="1">IFERROR(__xludf.DUMMYFUNCTION("GOOGLETRANSLATE(B27,""ja"",""vi"")"),"Câu lạc bộ, khiêu vũ")</f>
        <v>Câu lạc bộ, khiêu vũ</v>
      </c>
      <c r="F25" s="3" t="str">
        <f ca="1">IFERROR(__xludf.DUMMYFUNCTION("GOOGLETRANSLATE(C27,""ja"",""vi"")"),"Đấu giá&gt; Âm nhạc&gt; CD&gt; Club, Dance")</f>
        <v>Đấu giá&gt; Âm nhạc&gt; CD&gt; Club, Dance</v>
      </c>
      <c r="H25" s="229" t="str">
        <f t="shared" ca="1" si="2"/>
        <v>"2084006949" : "Câu lạc bộ, khiêu vũ",</v>
      </c>
      <c r="I25" s="229" t="str">
        <f t="shared" si="4"/>
        <v>&lt;li class="col-md-3"&gt;&lt;a class="text-cut" href="javascript:;"(click)="categoryEvent(2084006949)"&gt;{{"2084006949" | translate}}&lt;/a&gt;&lt;/li&gt;</v>
      </c>
    </row>
    <row r="26" spans="1:9" ht="14.25" customHeight="1">
      <c r="A26" s="73">
        <v>22216</v>
      </c>
      <c r="B26" s="73" t="s">
        <v>8315</v>
      </c>
      <c r="C26" s="73" t="s">
        <v>8316</v>
      </c>
      <c r="D26" s="70" t="str">
        <f t="shared" si="3"/>
        <v>0,22152,22192,22216</v>
      </c>
      <c r="E26" s="3" t="str">
        <f ca="1">IFERROR(__xludf.DUMMYFUNCTION("GOOGLETRANSLATE(B28,""ja"",""vi"")"),"R &amp; B, soul")</f>
        <v>R &amp; B, soul</v>
      </c>
      <c r="F26" s="3" t="str">
        <f ca="1">IFERROR(__xludf.DUMMYFUNCTION("GOOGLETRANSLATE(C28,""ja"",""vi"")"),"Đấu giá&gt; Âm nhạc&gt; CD&gt; R &amp; B, soul")</f>
        <v>Đấu giá&gt; Âm nhạc&gt; CD&gt; R &amp; B, soul</v>
      </c>
      <c r="H26" s="229" t="str">
        <f t="shared" ca="1" si="2"/>
        <v>"22216" : "R &amp; B, soul",</v>
      </c>
      <c r="I26" s="229" t="str">
        <f t="shared" si="4"/>
        <v>&lt;li class="col-md-3"&gt;&lt;a class="text-cut" href="javascript:;"(click)="categoryEvent(22216)"&gt;{{"22216" | translate}}&lt;/a&gt;&lt;/li&gt;</v>
      </c>
    </row>
    <row r="27" spans="1:9" ht="14.25" customHeight="1">
      <c r="A27" s="73">
        <v>22220</v>
      </c>
      <c r="B27" s="73" t="s">
        <v>8320</v>
      </c>
      <c r="C27" s="73" t="s">
        <v>8321</v>
      </c>
      <c r="D27" s="70" t="str">
        <f t="shared" si="3"/>
        <v>0,22152,22192,22220</v>
      </c>
      <c r="E27" s="3" t="str">
        <f ca="1">IFERROR(__xludf.DUMMYFUNCTION("GOOGLETRANSLATE(B29,""ja"",""vi"")"),"Rap, hip hop")</f>
        <v>Rap, hip hop</v>
      </c>
      <c r="F27" s="3" t="str">
        <f ca="1">IFERROR(__xludf.DUMMYFUNCTION("GOOGLETRANSLATE(C29,""ja"",""vi"")"),"Đấu giá&gt; Âm nhạc&gt; CD&gt; Rap, hip-hop")</f>
        <v>Đấu giá&gt; Âm nhạc&gt; CD&gt; Rap, hip-hop</v>
      </c>
      <c r="H27" s="229" t="str">
        <f t="shared" ca="1" si="2"/>
        <v>"22220" : "Rap, hip hop",</v>
      </c>
      <c r="I27" s="229" t="str">
        <f t="shared" si="4"/>
        <v>&lt;li class="col-md-3"&gt;&lt;a class="text-cut" href="javascript:;"(click)="categoryEvent(22220)"&gt;{{"22220" | translate}}&lt;/a&gt;&lt;/li&gt;</v>
      </c>
    </row>
    <row r="28" spans="1:9" ht="14.25" customHeight="1">
      <c r="A28" s="73">
        <v>2084047455</v>
      </c>
      <c r="B28" s="73" t="s">
        <v>8322</v>
      </c>
      <c r="C28" s="73" t="s">
        <v>8323</v>
      </c>
      <c r="D28" s="70" t="str">
        <f t="shared" si="3"/>
        <v>0,22152,22192,2084047455</v>
      </c>
      <c r="E28" s="3" t="str">
        <f ca="1">IFERROR(__xludf.DUMMYFUNCTION("GOOGLETRANSLATE(B30,""ja"",""vi"")"),"TV Drama Soundtrack")</f>
        <v>TV Drama Soundtrack</v>
      </c>
      <c r="F28" s="3" t="str">
        <f ca="1">IFERROR(__xludf.DUMMYFUNCTION("GOOGLETRANSLATE(C30,""ja"",""vi"")"),"Đấu giá&gt; Âm nhạc&gt; CD&gt; TV Drama Soundtrack")</f>
        <v>Đấu giá&gt; Âm nhạc&gt; CD&gt; TV Drama Soundtrack</v>
      </c>
      <c r="H28" s="229" t="str">
        <f t="shared" ca="1" si="2"/>
        <v>"2084047455" : "TV Drama Soundtrack",</v>
      </c>
      <c r="I28" s="229" t="str">
        <f t="shared" si="4"/>
        <v>&lt;li class="col-md-3"&gt;&lt;a class="text-cut" href="javascript:;"(click)="categoryEvent(2084047455)"&gt;{{"2084047455" | translate}}&lt;/a&gt;&lt;/li&gt;</v>
      </c>
    </row>
    <row r="29" spans="1:9" ht="14.25" customHeight="1">
      <c r="A29" s="73">
        <v>2084256921</v>
      </c>
      <c r="B29" s="73" t="s">
        <v>8329</v>
      </c>
      <c r="C29" s="73" t="s">
        <v>8330</v>
      </c>
      <c r="D29" s="70" t="str">
        <f t="shared" si="3"/>
        <v>0,22152,22192,2084256921</v>
      </c>
      <c r="E29" s="3" t="str">
        <f ca="1">IFERROR(__xludf.DUMMYFUNCTION("GOOGLETRANSLATE(B31,""ja"",""vi"")"),"Healing, New Age")</f>
        <v>Healing, New Age</v>
      </c>
      <c r="F29" s="3" t="str">
        <f ca="1">IFERROR(__xludf.DUMMYFUNCTION("GOOGLETRANSLATE(C31,""ja"",""vi"")"),"Đấu giá&gt; Âm nhạc&gt; CD&gt; Healing, New Age")</f>
        <v>Đấu giá&gt; Âm nhạc&gt; CD&gt; Healing, New Age</v>
      </c>
      <c r="H29" s="229" t="str">
        <f t="shared" ca="1" si="2"/>
        <v>"2084256921" : "Healing, New Age",</v>
      </c>
      <c r="I29" s="229" t="str">
        <f t="shared" si="4"/>
        <v>&lt;li class="col-md-3"&gt;&lt;a class="text-cut" href="javascript:;"(click)="categoryEvent(2084256921)"&gt;{{"2084256921" | translate}}&lt;/a&gt;&lt;/li&gt;</v>
      </c>
    </row>
    <row r="30" spans="1:9" ht="14.25" customHeight="1">
      <c r="A30" s="73">
        <v>2084005264</v>
      </c>
      <c r="B30" s="73" t="s">
        <v>8333</v>
      </c>
      <c r="C30" s="73" t="s">
        <v>8336</v>
      </c>
      <c r="D30" s="70" t="str">
        <f t="shared" si="3"/>
        <v>0,22152,22192,2084005264</v>
      </c>
      <c r="E30" s="3" t="str">
        <f ca="1">IFERROR(__xludf.DUMMYFUNCTION("GOOGLETRANSLATE(B32,""ja"",""vi"")"),"màu xanh")</f>
        <v>màu xanh</v>
      </c>
      <c r="F30" s="3" t="str">
        <f ca="1">IFERROR(__xludf.DUMMYFUNCTION("GOOGLETRANSLATE(C32,""ja"",""vi"")"),"Đấu giá&gt; Âm nhạc&gt; CD&gt; Blues")</f>
        <v>Đấu giá&gt; Âm nhạc&gt; CD&gt; Blues</v>
      </c>
      <c r="H30" s="229" t="str">
        <f t="shared" ca="1" si="2"/>
        <v>"2084005264" : "màu xanh",</v>
      </c>
      <c r="I30" s="229" t="str">
        <f t="shared" si="4"/>
        <v>&lt;li class="col-md-3"&gt;&lt;a class="text-cut" href="javascript:;"(click)="categoryEvent(2084005264)"&gt;{{"2084005264" | translate}}&lt;/a&gt;&lt;/li&gt;</v>
      </c>
    </row>
    <row r="31" spans="1:9" ht="14.25" customHeight="1">
      <c r="A31" s="73">
        <v>2084044749</v>
      </c>
      <c r="B31" s="73" t="s">
        <v>8338</v>
      </c>
      <c r="C31" s="73" t="s">
        <v>8339</v>
      </c>
      <c r="D31" s="70" t="str">
        <f t="shared" si="3"/>
        <v>0,22152,22192,2084044749</v>
      </c>
      <c r="E31" s="3" t="str">
        <f ca="1">IFERROR(__xludf.DUMMYFUNCTION("GOOGLETRANSLATE(B33,""ja"",""vi"")"),"ballad")</f>
        <v>ballad</v>
      </c>
      <c r="F31" s="3" t="str">
        <f ca="1">IFERROR(__xludf.DUMMYFUNCTION("GOOGLETRANSLATE(C33,""ja"",""vi"")"),"Đấu giá&gt; Âm nhạc&gt; CD&gt; Enka")</f>
        <v>Đấu giá&gt; Âm nhạc&gt; CD&gt; Enka</v>
      </c>
      <c r="H31" s="229" t="str">
        <f t="shared" ca="1" si="2"/>
        <v>"2084044749" : "ballad",</v>
      </c>
      <c r="I31" s="229" t="str">
        <f t="shared" si="4"/>
        <v>&lt;li class="col-md-3"&gt;&lt;a class="text-cut" href="javascript:;"(click)="categoryEvent(2084044749)"&gt;{{"2084044749" | translate}}&lt;/a&gt;&lt;/li&gt;</v>
      </c>
    </row>
    <row r="32" spans="1:9" ht="14.25" customHeight="1">
      <c r="A32" s="73">
        <v>2084047957</v>
      </c>
      <c r="B32" s="73" t="s">
        <v>8344</v>
      </c>
      <c r="C32" s="73" t="s">
        <v>8345</v>
      </c>
      <c r="D32" s="70" t="str">
        <f t="shared" si="3"/>
        <v>0,22152,22192,2084047957</v>
      </c>
      <c r="E32" s="3" t="str">
        <f ca="1">IFERROR(__xludf.DUMMYFUNCTION("GOOGLETRANSLATE(B34,""ja"",""vi"")"),"Giải trí, người kể chuyện")</f>
        <v>Giải trí, người kể chuyện</v>
      </c>
      <c r="F32" s="3" t="str">
        <f ca="1">IFERROR(__xludf.DUMMYFUNCTION("GOOGLETRANSLATE(C34,""ja"",""vi"")"),"Đấu giá&gt; Âm nhạc&gt; CD&gt; giải trí, người kể chuyện")</f>
        <v>Đấu giá&gt; Âm nhạc&gt; CD&gt; giải trí, người kể chuyện</v>
      </c>
      <c r="H32" s="229" t="str">
        <f t="shared" ca="1" si="2"/>
        <v>"2084047957" : "Giải trí, người kể chuyện",</v>
      </c>
      <c r="I32" s="229" t="str">
        <f t="shared" si="4"/>
        <v>&lt;li class="col-md-3"&gt;&lt;a class="text-cut" href="javascript:;"(click)="categoryEvent(2084047957)"&gt;{{"2084047957" | translate}}&lt;/a&gt;&lt;/li&gt;</v>
      </c>
    </row>
    <row r="33" spans="1:9" ht="14.25" customHeight="1">
      <c r="A33" s="73">
        <v>2084047840</v>
      </c>
      <c r="B33" s="73" t="s">
        <v>8348</v>
      </c>
      <c r="C33" s="73" t="s">
        <v>8349</v>
      </c>
      <c r="D33" s="70" t="str">
        <f t="shared" si="3"/>
        <v>0,22152,22192,2084047840</v>
      </c>
      <c r="E33" s="3" t="str">
        <f ca="1">IFERROR(__xludf.DUMMYFUNCTION("GOOGLETRANSLATE(B35,""ja"",""vi"")"),"âm nhạc tôn giáo")</f>
        <v>âm nhạc tôn giáo</v>
      </c>
      <c r="F33" s="3" t="str">
        <f ca="1">IFERROR(__xludf.DUMMYFUNCTION("GOOGLETRANSLATE(C35,""ja"",""vi"")"),"Đấu giá&gt; Âm nhạc&gt; CD&gt; Nhạc Tôn Giáo")</f>
        <v>Đấu giá&gt; Âm nhạc&gt; CD&gt; Nhạc Tôn Giáo</v>
      </c>
      <c r="H33" s="229" t="str">
        <f t="shared" ca="1" si="2"/>
        <v>"2084047840" : "âm nhạc tôn giáo",</v>
      </c>
      <c r="I33" s="229" t="str">
        <f t="shared" si="4"/>
        <v>&lt;li class="col-md-3"&gt;&lt;a class="text-cut" href="javascript:;"(click)="categoryEvent(2084047840)"&gt;{{"2084047840" | translate}}&lt;/a&gt;&lt;/li&gt;</v>
      </c>
    </row>
    <row r="34" spans="1:9" ht="14.25" customHeight="1">
      <c r="A34" s="73">
        <v>22236</v>
      </c>
      <c r="B34" s="73" t="s">
        <v>8352</v>
      </c>
      <c r="C34" s="73" t="s">
        <v>8353</v>
      </c>
      <c r="D34" s="70" t="str">
        <f t="shared" si="3"/>
        <v>0,22152,22192,22236</v>
      </c>
      <c r="E34" s="3" t="str">
        <f ca="1">IFERROR(__xludf.DUMMYFUNCTION("GOOGLETRANSLATE(B36,""ja"",""vi"")"),"Vườn ươm vần, giáo dục")</f>
        <v>Vườn ươm vần, giáo dục</v>
      </c>
      <c r="F34" s="3" t="str">
        <f ca="1">IFERROR(__xludf.DUMMYFUNCTION("GOOGLETRANSLATE(C36,""ja"",""vi"")"),"Đấu giá&gt; Âm nhạc&gt; CD&gt; vườn ươm vần, giáo dục")</f>
        <v>Đấu giá&gt; Âm nhạc&gt; CD&gt; vườn ươm vần, giáo dục</v>
      </c>
      <c r="H34" s="229" t="str">
        <f t="shared" ca="1" si="2"/>
        <v>"22236" : "Vườn ươm vần, giáo dục",</v>
      </c>
      <c r="I34" s="229" t="str">
        <f t="shared" si="4"/>
        <v>&lt;li class="col-md-3"&gt;&lt;a class="text-cut" href="javascript:;"(click)="categoryEvent(22236)"&gt;{{"22236" | translate}}&lt;/a&gt;&lt;/li&gt;</v>
      </c>
    </row>
    <row r="35" spans="1:9" ht="14.25" customHeight="1">
      <c r="A35" s="73">
        <v>2084256906</v>
      </c>
      <c r="B35" s="73" t="s">
        <v>8354</v>
      </c>
      <c r="C35" s="73" t="s">
        <v>8355</v>
      </c>
      <c r="D35" s="70" t="str">
        <f t="shared" si="3"/>
        <v>0,22152,22192,2084256906</v>
      </c>
      <c r="E35" s="3" t="str">
        <f ca="1">IFERROR(__xludf.DUMMYFUNCTION("GOOGLETRANSLATE(B37,""ja"",""vi"")"),"Niệm")</f>
        <v>Niệm</v>
      </c>
      <c r="F35" s="3" t="str">
        <f ca="1">IFERROR(__xludf.DUMMYFUNCTION("GOOGLETRANSLATE(C37,""ja"",""vi"")"),"Đấu giá&gt; Âm nhạc&gt; CD&gt; đọc")</f>
        <v>Đấu giá&gt; Âm nhạc&gt; CD&gt; đọc</v>
      </c>
      <c r="H35" s="229" t="str">
        <f t="shared" ca="1" si="2"/>
        <v>"2084256906" : "Niệm",</v>
      </c>
      <c r="I35" s="229" t="str">
        <f t="shared" si="4"/>
        <v>&lt;li class="col-md-3"&gt;&lt;a class="text-cut" href="javascript:;"(click)="categoryEvent(2084256906)"&gt;{{"2084256906" | translate}}&lt;/a&gt;&lt;/li&gt;</v>
      </c>
    </row>
    <row r="36" spans="1:9" ht="14.25" customHeight="1">
      <c r="A36" s="73">
        <v>2084047451</v>
      </c>
      <c r="B36" s="73" t="s">
        <v>7660</v>
      </c>
      <c r="C36" s="73" t="s">
        <v>8359</v>
      </c>
      <c r="D36" s="70" t="str">
        <f t="shared" si="3"/>
        <v>0,22152,22192,2084047451</v>
      </c>
      <c r="E36" s="3" t="str">
        <f ca="1">IFERROR(__xludf.DUMMYFUNCTION("GOOGLETRANSLATE(B38,""ja"",""vi"")"),"CD cuốn sách")</f>
        <v>CD cuốn sách</v>
      </c>
      <c r="F36" s="3" t="str">
        <f ca="1">IFERROR(__xludf.DUMMYFUNCTION("GOOGLETRANSLATE(C38,""ja"",""vi"")"),"Đấu giá&gt; Âm nhạc&gt; CD&gt; cuốn sách CD")</f>
        <v>Đấu giá&gt; Âm nhạc&gt; CD&gt; cuốn sách CD</v>
      </c>
      <c r="H36" s="229" t="str">
        <f t="shared" ca="1" si="2"/>
        <v>"2084047451" : "CD cuốn sách",</v>
      </c>
      <c r="I36" s="229" t="str">
        <f t="shared" si="4"/>
        <v>&lt;li class="col-md-3"&gt;&lt;a class="text-cut" href="javascript:;"(click)="categoryEvent(2084047451)"&gt;{{"2084047451" | translate}}&lt;/a&gt;&lt;/li&gt;</v>
      </c>
    </row>
    <row r="37" spans="1:9" ht="14.25" customHeight="1">
      <c r="A37" s="73">
        <v>22240</v>
      </c>
      <c r="B37" s="73" t="s">
        <v>16</v>
      </c>
      <c r="C37" s="73" t="s">
        <v>8362</v>
      </c>
      <c r="D37" s="70" t="str">
        <f t="shared" si="3"/>
        <v>0,22152,22192,22240</v>
      </c>
      <c r="E37" s="3" t="str">
        <f ca="1">IFERROR(__xludf.DUMMYFUNCTION("GOOGLETRANSLATE(B39,""ja"",""vi"")"),"nếu không thì")</f>
        <v>nếu không thì</v>
      </c>
      <c r="F37" s="3" t="str">
        <f ca="1">IFERROR(__xludf.DUMMYFUNCTION("GOOGLETRANSLATE(C39,""ja"",""vi"")"),"Đấu giá&gt; Âm nhạc&gt; CD&gt; Khác")</f>
        <v>Đấu giá&gt; Âm nhạc&gt; CD&gt; Khác</v>
      </c>
      <c r="H37" s="229" t="str">
        <f t="shared" ca="1" si="2"/>
        <v>"22240" : "nếu không thì",</v>
      </c>
      <c r="I37" s="229" t="str">
        <f t="shared" si="4"/>
        <v>&lt;li class="col-md-3"&gt;&lt;a class="text-cut" href="javascript:;"(click)="categoryEvent(22240)"&gt;{{"22240" | translate}}&lt;/a&gt;&lt;/li&gt;</v>
      </c>
    </row>
    <row r="38" spans="1:9" ht="14.25" customHeight="1">
      <c r="E38" s="3"/>
      <c r="F38" s="3"/>
      <c r="H38" s="229" t="str">
        <f t="shared" si="2"/>
        <v>"" : "",</v>
      </c>
      <c r="I38" s="229"/>
    </row>
    <row r="39" spans="1:9" ht="21" customHeight="1">
      <c r="A39" s="304">
        <v>22260</v>
      </c>
      <c r="B39" s="232"/>
      <c r="C39" s="232"/>
      <c r="D39" s="233"/>
      <c r="E39" s="3"/>
      <c r="F39" s="3"/>
      <c r="H39" s="229" t="str">
        <f t="shared" si="2"/>
        <v>"22260" : "",</v>
      </c>
      <c r="I39" s="229"/>
    </row>
    <row r="40" spans="1:9" ht="14.25" customHeight="1">
      <c r="A40" s="73">
        <v>22284</v>
      </c>
      <c r="B40" s="73" t="s">
        <v>8315</v>
      </c>
      <c r="C40" s="73" t="s">
        <v>8373</v>
      </c>
      <c r="D40" s="11" t="str">
        <f t="shared" ref="D40:D56" si="5">CONCATENATE("0,","22152,22260,",A40)</f>
        <v>0,22152,22260,22284</v>
      </c>
      <c r="E40" s="3" t="str">
        <f ca="1">IFERROR(__xludf.DUMMYFUNCTION("GOOGLETRANSLATE(B44,""ja"",""vi"")"),"R &amp; B, soul")</f>
        <v>R &amp; B, soul</v>
      </c>
      <c r="F40" s="3" t="str">
        <f ca="1">IFERROR(__xludf.DUMMYFUNCTION("GOOGLETRANSLATE(C44,""ja"",""vi"")"),"Đấu giá&gt; nhạc&gt; kỷ lục&gt; R &amp; B, soul")</f>
        <v>Đấu giá&gt; nhạc&gt; kỷ lục&gt; R &amp; B, soul</v>
      </c>
      <c r="H40" s="229" t="str">
        <f t="shared" ca="1" si="2"/>
        <v>"22284" : "R &amp; B, soul",</v>
      </c>
      <c r="I40" s="229" t="str">
        <f t="shared" ref="I40:I56" si="6">CONCATENATE("&lt;li class=",CHAR(34)&amp;"","col-md-3",""&amp;CHAR(34),"&gt;","&lt;a class=",CHAR(34)&amp;"","text-cut",""&amp;CHAR(34)," href=",CHAR(34)&amp;"","javascript:;",""&amp;CHAR(34), "(click)=",CHAR(34)&amp;"","categoryEvent(",A40,")",""&amp;CHAR(34),"&gt;{{",CHAR(34)&amp;"",A40,""&amp;CHAR(34)," | translate}}&lt;/a&gt;&lt;/li&gt;")</f>
        <v>&lt;li class="col-md-3"&gt;&lt;a class="text-cut" href="javascript:;"(click)="categoryEvent(22284)"&gt;{{"22284" | translate}}&lt;/a&gt;&lt;/li&gt;</v>
      </c>
    </row>
    <row r="41" spans="1:9" ht="14.25" customHeight="1">
      <c r="A41" s="73">
        <v>2084007037</v>
      </c>
      <c r="B41" s="73" t="s">
        <v>8284</v>
      </c>
      <c r="C41" s="73" t="s">
        <v>8377</v>
      </c>
      <c r="D41" s="11" t="str">
        <f t="shared" si="5"/>
        <v>0,22152,22260,2084007037</v>
      </c>
      <c r="E41" s="3" t="str">
        <f ca="1">IFERROR(__xludf.DUMMYFUNCTION("GOOGLETRANSLATE(B45,""ja"",""vi"")"),"Anime bài hát")</f>
        <v>Anime bài hát</v>
      </c>
      <c r="F41" s="3" t="str">
        <f ca="1">IFERROR(__xludf.DUMMYFUNCTION("GOOGLETRANSLATE(C45,""ja"",""vi"")"),"Đấu giá&gt; nhạc&gt; kỷ lục&gt; phim hoạt hình bài hát")</f>
        <v>Đấu giá&gt; nhạc&gt; kỷ lục&gt; phim hoạt hình bài hát</v>
      </c>
      <c r="H41" s="229" t="str">
        <f t="shared" ca="1" si="2"/>
        <v>"2084007037" : "Anime bài hát",</v>
      </c>
      <c r="I41" s="229" t="str">
        <f t="shared" si="6"/>
        <v>&lt;li class="col-md-3"&gt;&lt;a class="text-cut" href="javascript:;"(click)="categoryEvent(2084007037)"&gt;{{"2084007037" | translate}}&lt;/a&gt;&lt;/li&gt;</v>
      </c>
    </row>
    <row r="42" spans="1:9" ht="14.25" customHeight="1">
      <c r="A42" s="73">
        <v>22300</v>
      </c>
      <c r="B42" s="73" t="s">
        <v>8300</v>
      </c>
      <c r="C42" s="73" t="s">
        <v>8382</v>
      </c>
      <c r="D42" s="11" t="str">
        <f t="shared" si="5"/>
        <v>0,22152,22260,22300</v>
      </c>
      <c r="E42" s="3" t="str">
        <f ca="1">IFERROR(__xludf.DUMMYFUNCTION("GOOGLETRANSLATE(B46,""ja"",""vi"")"),"cổ điển")</f>
        <v>cổ điển</v>
      </c>
      <c r="F42" s="3" t="str">
        <f ca="1">IFERROR(__xludf.DUMMYFUNCTION("GOOGLETRANSLATE(C46,""ja"",""vi"")"),"Đấu giá&gt; nhạc&gt; kỷ lục&gt; cổ điển")</f>
        <v>Đấu giá&gt; nhạc&gt; kỷ lục&gt; cổ điển</v>
      </c>
      <c r="H42" s="229" t="str">
        <f t="shared" ca="1" si="2"/>
        <v>"22300" : "cổ điển",</v>
      </c>
      <c r="I42" s="229" t="str">
        <f t="shared" si="6"/>
        <v>&lt;li class="col-md-3"&gt;&lt;a class="text-cut" href="javascript:;"(click)="categoryEvent(22300)"&gt;{{"22300" | translate}}&lt;/a&gt;&lt;/li&gt;</v>
      </c>
    </row>
    <row r="43" spans="1:9" ht="14.25" customHeight="1">
      <c r="A43" s="73">
        <v>2084007035</v>
      </c>
      <c r="B43" s="73" t="s">
        <v>8313</v>
      </c>
      <c r="C43" s="73" t="s">
        <v>8384</v>
      </c>
      <c r="D43" s="11" t="str">
        <f t="shared" si="5"/>
        <v>0,22152,22260,2084007035</v>
      </c>
      <c r="E43" s="3" t="str">
        <f ca="1">IFERROR(__xludf.DUMMYFUNCTION("GOOGLETRANSLATE(B47,""ja"",""vi"")"),"Câu lạc bộ, khiêu vũ")</f>
        <v>Câu lạc bộ, khiêu vũ</v>
      </c>
      <c r="F43" s="3" t="str">
        <f ca="1">IFERROR(__xludf.DUMMYFUNCTION("GOOGLETRANSLATE(C47,""ja"",""vi"")"),"Đấu giá&gt; nhạc&gt; kỷ lục&gt; Club, Dance")</f>
        <v>Đấu giá&gt; nhạc&gt; kỷ lục&gt; Club, Dance</v>
      </c>
      <c r="H43" s="229" t="str">
        <f t="shared" ca="1" si="2"/>
        <v>"2084007035" : "Câu lạc bộ, khiêu vũ",</v>
      </c>
      <c r="I43" s="229" t="str">
        <f t="shared" si="6"/>
        <v>&lt;li class="col-md-3"&gt;&lt;a class="text-cut" href="javascript:;"(click)="categoryEvent(2084007035)"&gt;{{"2084007035" | translate}}&lt;/a&gt;&lt;/li&gt;</v>
      </c>
    </row>
    <row r="44" spans="1:9" ht="14.25" customHeight="1">
      <c r="A44" s="73">
        <v>2084007038</v>
      </c>
      <c r="B44" s="73" t="s">
        <v>8308</v>
      </c>
      <c r="C44" s="73" t="s">
        <v>8386</v>
      </c>
      <c r="D44" s="11" t="str">
        <f t="shared" si="5"/>
        <v>0,22152,22260,2084007038</v>
      </c>
      <c r="E44" s="3" t="str">
        <f ca="1">IFERROR(__xludf.DUMMYFUNCTION("GOOGLETRANSLATE(B48,""ja"",""vi"")"),"trò chơi âm nhạc")</f>
        <v>trò chơi âm nhạc</v>
      </c>
      <c r="F44" s="3" t="str">
        <f ca="1">IFERROR(__xludf.DUMMYFUNCTION("GOOGLETRANSLATE(C48,""ja"",""vi"")"),"Đấu giá&gt; nhạc&gt; kỷ lục&gt; trò chơi âm nhạc")</f>
        <v>Đấu giá&gt; nhạc&gt; kỷ lục&gt; trò chơi âm nhạc</v>
      </c>
      <c r="H44" s="229" t="str">
        <f t="shared" ca="1" si="2"/>
        <v>"2084007038" : "trò chơi âm nhạc",</v>
      </c>
      <c r="I44" s="229" t="str">
        <f t="shared" si="6"/>
        <v>&lt;li class="col-md-3"&gt;&lt;a class="text-cut" href="javascript:;"(click)="categoryEvent(2084007038)"&gt;{{"2084007038" | translate}}&lt;/a&gt;&lt;/li&gt;</v>
      </c>
    </row>
    <row r="45" spans="1:9" ht="14.25" customHeight="1">
      <c r="A45" s="73">
        <v>22276</v>
      </c>
      <c r="B45" s="73" t="s">
        <v>8291</v>
      </c>
      <c r="C45" s="73" t="s">
        <v>8389</v>
      </c>
      <c r="D45" s="11" t="str">
        <f t="shared" si="5"/>
        <v>0,22152,22260,22276</v>
      </c>
      <c r="E45" s="3" t="str">
        <f ca="1">IFERROR(__xludf.DUMMYFUNCTION("GOOGLETRANSLATE(B49,""ja"",""vi"")"),"nhạc jazz")</f>
        <v>nhạc jazz</v>
      </c>
      <c r="F45" s="3" t="str">
        <f ca="1">IFERROR(__xludf.DUMMYFUNCTION("GOOGLETRANSLATE(C49,""ja"",""vi"")"),"Đấu giá&gt; nhạc&gt; kỷ lục&gt; Jazz")</f>
        <v>Đấu giá&gt; nhạc&gt; kỷ lục&gt; Jazz</v>
      </c>
      <c r="H45" s="229" t="str">
        <f t="shared" ca="1" si="2"/>
        <v>"22276" : "nhạc jazz",</v>
      </c>
      <c r="I45" s="229" t="str">
        <f t="shared" si="6"/>
        <v>&lt;li class="col-md-3"&gt;&lt;a class="text-cut" href="javascript:;"(click)="categoryEvent(22276)"&gt;{{"22276" | translate}}&lt;/a&gt;&lt;/li&gt;</v>
      </c>
    </row>
    <row r="46" spans="1:9" ht="14.25" customHeight="1">
      <c r="A46" s="73">
        <v>2084005056</v>
      </c>
      <c r="B46" s="73" t="s">
        <v>8271</v>
      </c>
      <c r="C46" s="73" t="s">
        <v>8392</v>
      </c>
      <c r="D46" s="11" t="str">
        <f t="shared" si="5"/>
        <v>0,22152,22260,2084005056</v>
      </c>
      <c r="E46" s="3" t="str">
        <f ca="1">IFERROR(__xludf.DUMMYFUNCTION("GOOGLETRANSLATE(B50,""ja"",""vi"")"),"Pop Nhật Bản")</f>
        <v>Pop Nhật Bản</v>
      </c>
      <c r="F46" s="3" t="str">
        <f ca="1">IFERROR(__xludf.DUMMYFUNCTION("GOOGLETRANSLATE(C50,""ja"",""vi"")"),"Đấu giá&gt; nhạc&gt; kỷ lục&gt; Pop Nhật Bản")</f>
        <v>Đấu giá&gt; nhạc&gt; kỷ lục&gt; Pop Nhật Bản</v>
      </c>
      <c r="H46" s="229" t="str">
        <f t="shared" ca="1" si="2"/>
        <v>"2084005056" : "Pop Nhật Bản",</v>
      </c>
      <c r="I46" s="229" t="str">
        <f t="shared" si="6"/>
        <v>&lt;li class="col-md-3"&gt;&lt;a class="text-cut" href="javascript:;"(click)="categoryEvent(2084005056)"&gt;{{"2084005056" | translate}}&lt;/a&gt;&lt;/li&gt;</v>
      </c>
    </row>
    <row r="47" spans="1:9" ht="14.25" customHeight="1">
      <c r="A47" s="73">
        <v>2084258238</v>
      </c>
      <c r="B47" s="73" t="s">
        <v>8329</v>
      </c>
      <c r="C47" s="73" t="s">
        <v>8397</v>
      </c>
      <c r="D47" s="11" t="str">
        <f t="shared" si="5"/>
        <v>0,22152,22260,2084258238</v>
      </c>
      <c r="E47" s="3" t="str">
        <f ca="1">IFERROR(__xludf.DUMMYFUNCTION("GOOGLETRANSLATE(B51,""ja"",""vi"")"),"Healing, New Age")</f>
        <v>Healing, New Age</v>
      </c>
      <c r="F47" s="3" t="str">
        <f ca="1">IFERROR(__xludf.DUMMYFUNCTION("GOOGLETRANSLATE(C51,""ja"",""vi"")"),"Đấu giá&gt; nhạc&gt; kỷ lục&gt; Healing, New Age")</f>
        <v>Đấu giá&gt; nhạc&gt; kỷ lục&gt; Healing, New Age</v>
      </c>
      <c r="H47" s="229" t="str">
        <f t="shared" ca="1" si="2"/>
        <v>"2084258238" : "Healing, New Age",</v>
      </c>
      <c r="I47" s="229" t="str">
        <f t="shared" si="6"/>
        <v>&lt;li class="col-md-3"&gt;&lt;a class="text-cut" href="javascript:;"(click)="categoryEvent(2084258238)"&gt;{{"2084258238" | translate}}&lt;/a&gt;&lt;/li&gt;</v>
      </c>
    </row>
    <row r="48" spans="1:9" ht="14.25" customHeight="1">
      <c r="A48" s="73">
        <v>2084005265</v>
      </c>
      <c r="B48" s="73" t="s">
        <v>8333</v>
      </c>
      <c r="C48" s="73" t="s">
        <v>8402</v>
      </c>
      <c r="D48" s="11" t="str">
        <f t="shared" si="5"/>
        <v>0,22152,22260,2084005265</v>
      </c>
      <c r="E48" s="3" t="str">
        <f ca="1">IFERROR(__xludf.DUMMYFUNCTION("GOOGLETRANSLATE(B52,""ja"",""vi"")"),"màu xanh")</f>
        <v>màu xanh</v>
      </c>
      <c r="F48" s="3" t="str">
        <f ca="1">IFERROR(__xludf.DUMMYFUNCTION("GOOGLETRANSLATE(C52,""ja"",""vi"")"),"Đấu giá&gt; Âm nhạc&gt; Ghi lại&gt; Blues")</f>
        <v>Đấu giá&gt; Âm nhạc&gt; Ghi lại&gt; Blues</v>
      </c>
      <c r="H48" s="229" t="str">
        <f t="shared" ca="1" si="2"/>
        <v>"2084005265" : "màu xanh",</v>
      </c>
      <c r="I48" s="229" t="str">
        <f t="shared" si="6"/>
        <v>&lt;li class="col-md-3"&gt;&lt;a class="text-cut" href="javascript:;"(click)="categoryEvent(2084005265)"&gt;{{"2084005265" | translate}}&lt;/a&gt;&lt;/li&gt;</v>
      </c>
    </row>
    <row r="49" spans="1:9" ht="14.25" customHeight="1">
      <c r="A49" s="73">
        <v>22288</v>
      </c>
      <c r="B49" s="73" t="s">
        <v>8320</v>
      </c>
      <c r="C49" s="73" t="s">
        <v>8404</v>
      </c>
      <c r="D49" s="11" t="str">
        <f t="shared" si="5"/>
        <v>0,22152,22260,22288</v>
      </c>
      <c r="E49" s="3" t="str">
        <f ca="1">IFERROR(__xludf.DUMMYFUNCTION("GOOGLETRANSLATE(B53,""ja"",""vi"")"),"Rap, hip hop")</f>
        <v>Rap, hip hop</v>
      </c>
      <c r="F49" s="3" t="str">
        <f ca="1">IFERROR(__xludf.DUMMYFUNCTION("GOOGLETRANSLATE(C53,""ja"",""vi"")"),"Đấu giá&gt; nhạc&gt; kỷ lục&gt; rap, hip-hop")</f>
        <v>Đấu giá&gt; nhạc&gt; kỷ lục&gt; rap, hip-hop</v>
      </c>
      <c r="H49" s="229" t="str">
        <f t="shared" ca="1" si="2"/>
        <v>"22288" : "Rap, hip hop",</v>
      </c>
      <c r="I49" s="229" t="str">
        <f t="shared" si="6"/>
        <v>&lt;li class="col-md-3"&gt;&lt;a class="text-cut" href="javascript:;"(click)="categoryEvent(22288)"&gt;{{"22288" | translate}}&lt;/a&gt;&lt;/li&gt;</v>
      </c>
    </row>
    <row r="50" spans="1:9" ht="14.25" customHeight="1">
      <c r="A50" s="73">
        <v>2084048577</v>
      </c>
      <c r="B50" s="73" t="s">
        <v>8407</v>
      </c>
      <c r="C50" s="73" t="s">
        <v>8408</v>
      </c>
      <c r="D50" s="11" t="str">
        <f t="shared" si="5"/>
        <v>0,22152,22260,2084048577</v>
      </c>
      <c r="E50" s="3" t="str">
        <f ca="1">IFERROR(__xludf.DUMMYFUNCTION("GOOGLETRANSLATE(B54,""ja"",""vi"")"),"Reggae")</f>
        <v>Reggae</v>
      </c>
      <c r="F50" s="3" t="str">
        <f ca="1">IFERROR(__xludf.DUMMYFUNCTION("GOOGLETRANSLATE(C54,""ja"",""vi"")"),"Đấu giá&gt; Âm nhạc&gt; Ghi lại&gt; Reggae")</f>
        <v>Đấu giá&gt; Âm nhạc&gt; Ghi lại&gt; Reggae</v>
      </c>
      <c r="H50" s="229" t="str">
        <f t="shared" ca="1" si="2"/>
        <v>"2084048577" : "Reggae",</v>
      </c>
      <c r="I50" s="229" t="str">
        <f t="shared" si="6"/>
        <v>&lt;li class="col-md-3"&gt;&lt;a class="text-cut" href="javascript:;"(click)="categoryEvent(2084048577)"&gt;{{"2084048577" | translate}}&lt;/a&gt;&lt;/li&gt;</v>
      </c>
    </row>
    <row r="51" spans="1:9" ht="14.25" customHeight="1">
      <c r="A51" s="73">
        <v>22264</v>
      </c>
      <c r="B51" s="73" t="s">
        <v>8276</v>
      </c>
      <c r="C51" s="73" t="s">
        <v>8413</v>
      </c>
      <c r="D51" s="11" t="str">
        <f t="shared" si="5"/>
        <v>0,22152,22260,22264</v>
      </c>
      <c r="E51" s="3" t="str">
        <f ca="1">IFERROR(__xludf.DUMMYFUNCTION("GOOGLETRANSLATE(B55,""ja"",""vi"")"),"Rock, Pop (Western)")</f>
        <v>Rock, Pop (Western)</v>
      </c>
      <c r="F51" s="3" t="str">
        <f ca="1">IFERROR(__xludf.DUMMYFUNCTION("GOOGLETRANSLATE(C55,""ja"",""vi"")"),"Đấu giá&gt; Âm nhạc&gt; Ghi lại&gt; Rock, Pop (Western)")</f>
        <v>Đấu giá&gt; Âm nhạc&gt; Ghi lại&gt; Rock, Pop (Western)</v>
      </c>
      <c r="H51" s="229" t="str">
        <f t="shared" ca="1" si="2"/>
        <v>"22264" : "Rock, Pop (Western)",</v>
      </c>
      <c r="I51" s="229" t="str">
        <f t="shared" si="6"/>
        <v>&lt;li class="col-md-3"&gt;&lt;a class="text-cut" href="javascript:;"(click)="categoryEvent(22264)"&gt;{{"22264" | translate}}&lt;/a&gt;&lt;/li&gt;</v>
      </c>
    </row>
    <row r="52" spans="1:9" ht="14.25" customHeight="1">
      <c r="A52" s="73">
        <v>22280</v>
      </c>
      <c r="B52" s="73" t="s">
        <v>8305</v>
      </c>
      <c r="C52" s="73" t="s">
        <v>8415</v>
      </c>
      <c r="D52" s="11" t="str">
        <f t="shared" si="5"/>
        <v>0,22152,22260,22280</v>
      </c>
      <c r="E52" s="3" t="str">
        <f ca="1">IFERROR(__xludf.DUMMYFUNCTION("GOOGLETRANSLATE(B56,""ja"",""vi"")"),"Âm nhạc thế giới")</f>
        <v>Âm nhạc thế giới</v>
      </c>
      <c r="F52" s="3" t="str">
        <f ca="1">IFERROR(__xludf.DUMMYFUNCTION("GOOGLETRANSLATE(C56,""ja"",""vi"")"),"Đấu giá&gt; nhạc&gt; kỷ lục&gt; Âm nhạc thế giới")</f>
        <v>Đấu giá&gt; nhạc&gt; kỷ lục&gt; Âm nhạc thế giới</v>
      </c>
      <c r="H52" s="229" t="str">
        <f t="shared" ca="1" si="2"/>
        <v>"22280" : "Âm nhạc thế giới",</v>
      </c>
      <c r="I52" s="229" t="str">
        <f t="shared" si="6"/>
        <v>&lt;li class="col-md-3"&gt;&lt;a class="text-cut" href="javascript:;"(click)="categoryEvent(22280)"&gt;{{"22280" | translate}}&lt;/a&gt;&lt;/li&gt;</v>
      </c>
    </row>
    <row r="53" spans="1:9" ht="14.25" customHeight="1">
      <c r="A53" s="73">
        <v>22296</v>
      </c>
      <c r="B53" s="73" t="s">
        <v>7573</v>
      </c>
      <c r="C53" s="73" t="s">
        <v>8418</v>
      </c>
      <c r="D53" s="11" t="str">
        <f t="shared" si="5"/>
        <v>0,22152,22260,22296</v>
      </c>
      <c r="E53" s="3" t="str">
        <f ca="1">IFERROR(__xludf.DUMMYFUNCTION("GOOGLETRANSLATE(B57,""ja"",""vi"")"),"phim âm nhạc")</f>
        <v>phim âm nhạc</v>
      </c>
      <c r="F53" s="3" t="str">
        <f ca="1">IFERROR(__xludf.DUMMYFUNCTION("GOOGLETRANSLATE(C57,""ja"",""vi"")"),"Đấu giá&gt; nhạc&gt; kỷ lục&gt; Phim Âm nhạc")</f>
        <v>Đấu giá&gt; nhạc&gt; kỷ lục&gt; Phim Âm nhạc</v>
      </c>
      <c r="H53" s="229" t="str">
        <f t="shared" ca="1" si="2"/>
        <v>"22296" : "phim âm nhạc",</v>
      </c>
      <c r="I53" s="229" t="str">
        <f t="shared" si="6"/>
        <v>&lt;li class="col-md-3"&gt;&lt;a class="text-cut" href="javascript:;"(click)="categoryEvent(22296)"&gt;{{"22296" | translate}}&lt;/a&gt;&lt;/li&gt;</v>
      </c>
    </row>
    <row r="54" spans="1:9" ht="14.25" customHeight="1">
      <c r="A54" s="73">
        <v>2084044750</v>
      </c>
      <c r="B54" s="73" t="s">
        <v>8338</v>
      </c>
      <c r="C54" s="73" t="s">
        <v>8421</v>
      </c>
      <c r="D54" s="11" t="str">
        <f t="shared" si="5"/>
        <v>0,22152,22260,2084044750</v>
      </c>
      <c r="E54" s="3" t="str">
        <f ca="1">IFERROR(__xludf.DUMMYFUNCTION("GOOGLETRANSLATE(B58,""ja"",""vi"")"),"ballad")</f>
        <v>ballad</v>
      </c>
      <c r="F54" s="3" t="str">
        <f ca="1">IFERROR(__xludf.DUMMYFUNCTION("GOOGLETRANSLATE(C58,""ja"",""vi"")"),"Đấu giá&gt; nhạc&gt; kỷ lục&gt; Enka")</f>
        <v>Đấu giá&gt; nhạc&gt; kỷ lục&gt; Enka</v>
      </c>
      <c r="H54" s="229" t="str">
        <f t="shared" ca="1" si="2"/>
        <v>"2084044750" : "ballad",</v>
      </c>
      <c r="I54" s="229" t="str">
        <f t="shared" si="6"/>
        <v>&lt;li class="col-md-3"&gt;&lt;a class="text-cut" href="javascript:;"(click)="categoryEvent(2084044750)"&gt;{{"2084044750" | translate}}&lt;/a&gt;&lt;/li&gt;</v>
      </c>
    </row>
    <row r="55" spans="1:9" ht="14.25" customHeight="1">
      <c r="A55" s="73">
        <v>22304</v>
      </c>
      <c r="B55" s="73" t="s">
        <v>8352</v>
      </c>
      <c r="C55" s="73" t="s">
        <v>8424</v>
      </c>
      <c r="D55" s="11" t="str">
        <f t="shared" si="5"/>
        <v>0,22152,22260,22304</v>
      </c>
      <c r="E55" s="3" t="str">
        <f ca="1">IFERROR(__xludf.DUMMYFUNCTION("GOOGLETRANSLATE(B59,""ja"",""vi"")"),"Vườn ươm vần, giáo dục")</f>
        <v>Vườn ươm vần, giáo dục</v>
      </c>
      <c r="F55" s="3" t="str">
        <f ca="1">IFERROR(__xludf.DUMMYFUNCTION("GOOGLETRANSLATE(C59,""ja"",""vi"")"),"Đấu giá&gt; nhạc&gt; kỷ lục&gt; vườn ươm vần, giáo dục")</f>
        <v>Đấu giá&gt; nhạc&gt; kỷ lục&gt; vườn ươm vần, giáo dục</v>
      </c>
      <c r="H55" s="229" t="str">
        <f t="shared" ca="1" si="2"/>
        <v>"22304" : "Vườn ươm vần, giáo dục",</v>
      </c>
      <c r="I55" s="229" t="str">
        <f t="shared" si="6"/>
        <v>&lt;li class="col-md-3"&gt;&lt;a class="text-cut" href="javascript:;"(click)="categoryEvent(22304)"&gt;{{"22304" | translate}}&lt;/a&gt;&lt;/li&gt;</v>
      </c>
    </row>
    <row r="56" spans="1:9" ht="14.25" customHeight="1">
      <c r="A56" s="73">
        <v>22308</v>
      </c>
      <c r="B56" s="73" t="s">
        <v>16</v>
      </c>
      <c r="C56" s="73" t="s">
        <v>8427</v>
      </c>
      <c r="D56" s="11" t="str">
        <f t="shared" si="5"/>
        <v>0,22152,22260,22308</v>
      </c>
      <c r="E56" s="3" t="str">
        <f ca="1">IFERROR(__xludf.DUMMYFUNCTION("GOOGLETRANSLATE(B60,""ja"",""vi"")"),"nếu không thì")</f>
        <v>nếu không thì</v>
      </c>
      <c r="F56" s="3" t="str">
        <f ca="1">IFERROR(__xludf.DUMMYFUNCTION("GOOGLETRANSLATE(C60,""ja"",""vi"")"),"Đấu giá&gt; nhạc&gt; kỷ lục&gt; Khác")</f>
        <v>Đấu giá&gt; nhạc&gt; kỷ lục&gt; Khác</v>
      </c>
      <c r="H56" s="229" t="str">
        <f t="shared" ca="1" si="2"/>
        <v>"22308" : "nếu không thì",</v>
      </c>
      <c r="I56" s="229" t="str">
        <f t="shared" si="6"/>
        <v>&lt;li class="col-md-3"&gt;&lt;a class="text-cut" href="javascript:;"(click)="categoryEvent(22308)"&gt;{{"22308" | translate}}&lt;/a&gt;&lt;/li&gt;</v>
      </c>
    </row>
    <row r="57" spans="1:9" ht="14.25" customHeight="1">
      <c r="E57" s="3"/>
      <c r="F57" s="3"/>
      <c r="H57" s="229" t="str">
        <f t="shared" si="2"/>
        <v>"" : "",</v>
      </c>
      <c r="I57" s="229"/>
    </row>
    <row r="58" spans="1:9" ht="24.6" customHeight="1">
      <c r="A58" s="305">
        <v>22344</v>
      </c>
      <c r="B58" s="232"/>
      <c r="C58" s="232"/>
      <c r="D58" s="233"/>
      <c r="E58" s="3"/>
      <c r="F58" s="3"/>
      <c r="H58" s="229" t="str">
        <f t="shared" si="2"/>
        <v>"22344" : "",</v>
      </c>
      <c r="I58" s="229"/>
    </row>
    <row r="59" spans="1:9" ht="14.25" customHeight="1">
      <c r="A59" s="73">
        <v>22368</v>
      </c>
      <c r="B59" s="73" t="s">
        <v>8315</v>
      </c>
      <c r="C59" s="73" t="s">
        <v>8434</v>
      </c>
      <c r="D59" s="11" t="str">
        <f t="shared" ref="D59:D72" si="7">CONCATENATE("0,","22152,22344,",A59)</f>
        <v>0,22152,22344,22368</v>
      </c>
      <c r="E59" s="3" t="str">
        <f ca="1">IFERROR(__xludf.DUMMYFUNCTION("GOOGLETRANSLATE(B64,""ja"",""vi"")"),"R &amp; B, soul")</f>
        <v>R &amp; B, soul</v>
      </c>
      <c r="F59" s="3" t="str">
        <f ca="1">IFERROR(__xludf.DUMMYFUNCTION("GOOGLETRANSLATE(C64,""ja"",""vi"")"),"Đấu giá&gt; nhạc&gt; băng cassette&gt; R &amp; B, soul")</f>
        <v>Đấu giá&gt; nhạc&gt; băng cassette&gt; R &amp; B, soul</v>
      </c>
      <c r="H59" s="229" t="str">
        <f t="shared" ca="1" si="2"/>
        <v>"22368" : "R &amp; B, soul",</v>
      </c>
      <c r="I59" s="229" t="str">
        <f t="shared" ref="I59:I72" si="8">CONCATENATE("&lt;li class=",CHAR(34)&amp;"","col-md-3",""&amp;CHAR(34),"&gt;","&lt;a class=",CHAR(34)&amp;"","text-cut",""&amp;CHAR(34)," href=",CHAR(34)&amp;"","javascript:;",""&amp;CHAR(34), "(click)=",CHAR(34)&amp;"","categoryEvent(",A59,")",""&amp;CHAR(34),"&gt;{{",CHAR(34)&amp;"",A59,""&amp;CHAR(34)," | translate}}&lt;/a&gt;&lt;/li&gt;")</f>
        <v>&lt;li class="col-md-3"&gt;&lt;a class="text-cut" href="javascript:;"(click)="categoryEvent(22368)"&gt;{{"22368" | translate}}&lt;/a&gt;&lt;/li&gt;</v>
      </c>
    </row>
    <row r="60" spans="1:9" ht="14.25" customHeight="1">
      <c r="A60" s="73">
        <v>2084006987</v>
      </c>
      <c r="B60" s="73" t="s">
        <v>8284</v>
      </c>
      <c r="C60" s="73" t="s">
        <v>8438</v>
      </c>
      <c r="D60" s="11" t="str">
        <f t="shared" si="7"/>
        <v>0,22152,22344,2084006987</v>
      </c>
      <c r="E60" s="3" t="str">
        <f ca="1">IFERROR(__xludf.DUMMYFUNCTION("GOOGLETRANSLATE(B65,""ja"",""vi"")"),"Anime bài hát")</f>
        <v>Anime bài hát</v>
      </c>
      <c r="F60" s="3" t="str">
        <f ca="1">IFERROR(__xludf.DUMMYFUNCTION("GOOGLETRANSLATE(C65,""ja"",""vi"")"),"Đấu giá&gt; nhạc&gt; băng băng&gt; phim hoạt hình bài hát")</f>
        <v>Đấu giá&gt; nhạc&gt; băng băng&gt; phim hoạt hình bài hát</v>
      </c>
      <c r="H60" s="229" t="str">
        <f t="shared" ca="1" si="2"/>
        <v>"2084006987" : "Anime bài hát",</v>
      </c>
      <c r="I60" s="229" t="str">
        <f t="shared" si="8"/>
        <v>&lt;li class="col-md-3"&gt;&lt;a class="text-cut" href="javascript:;"(click)="categoryEvent(2084006987)"&gt;{{"2084006987" | translate}}&lt;/a&gt;&lt;/li&gt;</v>
      </c>
    </row>
    <row r="61" spans="1:9" ht="14.25" customHeight="1">
      <c r="A61" s="73">
        <v>22384</v>
      </c>
      <c r="B61" s="73" t="s">
        <v>8300</v>
      </c>
      <c r="C61" s="73" t="s">
        <v>8440</v>
      </c>
      <c r="D61" s="11" t="str">
        <f t="shared" si="7"/>
        <v>0,22152,22344,22384</v>
      </c>
      <c r="E61" s="3" t="str">
        <f ca="1">IFERROR(__xludf.DUMMYFUNCTION("GOOGLETRANSLATE(B66,""ja"",""vi"")"),"cổ điển")</f>
        <v>cổ điển</v>
      </c>
      <c r="F61" s="3" t="str">
        <f ca="1">IFERROR(__xludf.DUMMYFUNCTION("GOOGLETRANSLATE(C66,""ja"",""vi"")"),"Đấu giá&gt; nhạc&gt; băng cassette&gt; cổ điển")</f>
        <v>Đấu giá&gt; nhạc&gt; băng cassette&gt; cổ điển</v>
      </c>
      <c r="H61" s="229" t="str">
        <f t="shared" ca="1" si="2"/>
        <v>"22384" : "cổ điển",</v>
      </c>
      <c r="I61" s="229" t="str">
        <f t="shared" si="8"/>
        <v>&lt;li class="col-md-3"&gt;&lt;a class="text-cut" href="javascript:;"(click)="categoryEvent(22384)"&gt;{{"22384" | translate}}&lt;/a&gt;&lt;/li&gt;</v>
      </c>
    </row>
    <row r="62" spans="1:9" ht="14.25" customHeight="1">
      <c r="A62" s="73">
        <v>2084006986</v>
      </c>
      <c r="B62" s="73" t="s">
        <v>8313</v>
      </c>
      <c r="C62" s="73" t="s">
        <v>8444</v>
      </c>
      <c r="D62" s="11" t="str">
        <f t="shared" si="7"/>
        <v>0,22152,22344,2084006986</v>
      </c>
      <c r="E62" s="3" t="str">
        <f ca="1">IFERROR(__xludf.DUMMYFUNCTION("GOOGLETRANSLATE(B67,""ja"",""vi"")"),"Câu lạc bộ, khiêu vũ")</f>
        <v>Câu lạc bộ, khiêu vũ</v>
      </c>
      <c r="F62" s="3" t="str">
        <f ca="1">IFERROR(__xludf.DUMMYFUNCTION("GOOGLETRANSLATE(C67,""ja"",""vi"")"),"Đấu giá&gt; nhạc&gt; băng băng&gt; Club, Dance")</f>
        <v>Đấu giá&gt; nhạc&gt; băng băng&gt; Club, Dance</v>
      </c>
      <c r="H62" s="229" t="str">
        <f t="shared" ca="1" si="2"/>
        <v>"2084006986" : "Câu lạc bộ, khiêu vũ",</v>
      </c>
      <c r="I62" s="229" t="str">
        <f t="shared" si="8"/>
        <v>&lt;li class="col-md-3"&gt;&lt;a class="text-cut" href="javascript:;"(click)="categoryEvent(2084006986)"&gt;{{"2084006986" | translate}}&lt;/a&gt;&lt;/li&gt;</v>
      </c>
    </row>
    <row r="63" spans="1:9" ht="14.25" customHeight="1">
      <c r="A63" s="73">
        <v>2084006988</v>
      </c>
      <c r="B63" s="73" t="s">
        <v>8308</v>
      </c>
      <c r="C63" s="73" t="s">
        <v>8445</v>
      </c>
      <c r="D63" s="11" t="str">
        <f t="shared" si="7"/>
        <v>0,22152,22344,2084006988</v>
      </c>
      <c r="E63" s="3" t="str">
        <f ca="1">IFERROR(__xludf.DUMMYFUNCTION("GOOGLETRANSLATE(B68,""ja"",""vi"")"),"trò chơi âm nhạc")</f>
        <v>trò chơi âm nhạc</v>
      </c>
      <c r="F63" s="3" t="str">
        <f ca="1">IFERROR(__xludf.DUMMYFUNCTION("GOOGLETRANSLATE(C68,""ja"",""vi"")"),"Đấu giá&gt; nhạc&gt; băng băng&gt; trò chơi âm nhạc")</f>
        <v>Đấu giá&gt; nhạc&gt; băng băng&gt; trò chơi âm nhạc</v>
      </c>
      <c r="H63" s="229" t="str">
        <f t="shared" ca="1" si="2"/>
        <v>"2084006988" : "trò chơi âm nhạc",</v>
      </c>
      <c r="I63" s="229" t="str">
        <f t="shared" si="8"/>
        <v>&lt;li class="col-md-3"&gt;&lt;a class="text-cut" href="javascript:;"(click)="categoryEvent(2084006988)"&gt;{{"2084006988" | translate}}&lt;/a&gt;&lt;/li&gt;</v>
      </c>
    </row>
    <row r="64" spans="1:9" ht="14.25" customHeight="1">
      <c r="A64" s="73">
        <v>22360</v>
      </c>
      <c r="B64" s="73" t="s">
        <v>8291</v>
      </c>
      <c r="C64" s="73" t="s">
        <v>8446</v>
      </c>
      <c r="D64" s="11" t="str">
        <f t="shared" si="7"/>
        <v>0,22152,22344,22360</v>
      </c>
      <c r="E64" s="3" t="str">
        <f ca="1">IFERROR(__xludf.DUMMYFUNCTION("GOOGLETRANSLATE(B69,""ja"",""vi"")"),"nhạc jazz")</f>
        <v>nhạc jazz</v>
      </c>
      <c r="F64" s="3" t="str">
        <f ca="1">IFERROR(__xludf.DUMMYFUNCTION("GOOGLETRANSLATE(C69,""ja"",""vi"")"),"Đấu giá&gt; nhạc&gt; băng băng&gt; Jazz")</f>
        <v>Đấu giá&gt; nhạc&gt; băng băng&gt; Jazz</v>
      </c>
      <c r="H64" s="229" t="str">
        <f t="shared" ca="1" si="2"/>
        <v>"22360" : "nhạc jazz",</v>
      </c>
      <c r="I64" s="229" t="str">
        <f t="shared" si="8"/>
        <v>&lt;li class="col-md-3"&gt;&lt;a class="text-cut" href="javascript:;"(click)="categoryEvent(22360)"&gt;{{"22360" | translate}}&lt;/a&gt;&lt;/li&gt;</v>
      </c>
    </row>
    <row r="65" spans="1:9" ht="14.25" customHeight="1">
      <c r="A65" s="73">
        <v>2084005445</v>
      </c>
      <c r="B65" s="73" t="s">
        <v>8271</v>
      </c>
      <c r="C65" s="73" t="s">
        <v>8448</v>
      </c>
      <c r="D65" s="11" t="str">
        <f t="shared" si="7"/>
        <v>0,22152,22344,2084005445</v>
      </c>
      <c r="E65" s="3" t="str">
        <f ca="1">IFERROR(__xludf.DUMMYFUNCTION("GOOGLETRANSLATE(B70,""ja"",""vi"")"),"Pop Nhật Bản")</f>
        <v>Pop Nhật Bản</v>
      </c>
      <c r="F65" s="3" t="str">
        <f ca="1">IFERROR(__xludf.DUMMYFUNCTION("GOOGLETRANSLATE(C70,""ja"",""vi"")"),"Đấu giá&gt; nhạc&gt; băng cassette&gt; Nhật Bản Pop")</f>
        <v>Đấu giá&gt; nhạc&gt; băng cassette&gt; Nhật Bản Pop</v>
      </c>
      <c r="H65" s="229" t="str">
        <f t="shared" ca="1" si="2"/>
        <v>"2084005445" : "Pop Nhật Bản",</v>
      </c>
      <c r="I65" s="229" t="str">
        <f t="shared" si="8"/>
        <v>&lt;li class="col-md-3"&gt;&lt;a class="text-cut" href="javascript:;"(click)="categoryEvent(2084005445)"&gt;{{"2084005445" | translate}}&lt;/a&gt;&lt;/li&gt;</v>
      </c>
    </row>
    <row r="66" spans="1:9" ht="14.25" customHeight="1">
      <c r="A66" s="73">
        <v>2084005266</v>
      </c>
      <c r="B66" s="73" t="s">
        <v>8333</v>
      </c>
      <c r="C66" s="73" t="s">
        <v>8449</v>
      </c>
      <c r="D66" s="11" t="str">
        <f t="shared" si="7"/>
        <v>0,22152,22344,2084005266</v>
      </c>
      <c r="E66" s="3" t="str">
        <f ca="1">IFERROR(__xludf.DUMMYFUNCTION("GOOGLETRANSLATE(B71,""ja"",""vi"")"),"màu xanh")</f>
        <v>màu xanh</v>
      </c>
      <c r="F66" s="3" t="str">
        <f ca="1">IFERROR(__xludf.DUMMYFUNCTION("GOOGLETRANSLATE(C71,""ja"",""vi"")"),"Đấu giá&gt; nhạc&gt; băng băng&gt; Blues")</f>
        <v>Đấu giá&gt; nhạc&gt; băng băng&gt; Blues</v>
      </c>
      <c r="H66" s="229" t="str">
        <f t="shared" ca="1" si="2"/>
        <v>"2084005266" : "màu xanh",</v>
      </c>
      <c r="I66" s="229" t="str">
        <f t="shared" si="8"/>
        <v>&lt;li class="col-md-3"&gt;&lt;a class="text-cut" href="javascript:;"(click)="categoryEvent(2084005266)"&gt;{{"2084005266" | translate}}&lt;/a&gt;&lt;/li&gt;</v>
      </c>
    </row>
    <row r="67" spans="1:9" ht="14.25" customHeight="1">
      <c r="A67" s="73">
        <v>22372</v>
      </c>
      <c r="B67" s="73" t="s">
        <v>8320</v>
      </c>
      <c r="C67" s="73" t="s">
        <v>8450</v>
      </c>
      <c r="D67" s="11" t="str">
        <f t="shared" si="7"/>
        <v>0,22152,22344,22372</v>
      </c>
      <c r="E67" s="3" t="str">
        <f ca="1">IFERROR(__xludf.DUMMYFUNCTION("GOOGLETRANSLATE(B72,""ja"",""vi"")"),"Rap, hip hop")</f>
        <v>Rap, hip hop</v>
      </c>
      <c r="F67" s="3" t="str">
        <f ca="1">IFERROR(__xludf.DUMMYFUNCTION("GOOGLETRANSLATE(C72,""ja"",""vi"")"),"Đấu giá&gt; nhạc&gt; băng băng&gt; rap, hip-hop")</f>
        <v>Đấu giá&gt; nhạc&gt; băng băng&gt; rap, hip-hop</v>
      </c>
      <c r="H67" s="229" t="str">
        <f t="shared" ref="H67:H130" ca="1" si="9">CONCATENATE(CHAR(34)&amp;"",A67,""&amp;CHAR(34)," : ", CHAR(34)&amp;"",E67,""&amp;CHAR(34),",")</f>
        <v>"22372" : "Rap, hip hop",</v>
      </c>
      <c r="I67" s="229" t="str">
        <f t="shared" si="8"/>
        <v>&lt;li class="col-md-3"&gt;&lt;a class="text-cut" href="javascript:;"(click)="categoryEvent(22372)"&gt;{{"22372" | translate}}&lt;/a&gt;&lt;/li&gt;</v>
      </c>
    </row>
    <row r="68" spans="1:9" ht="14.25" customHeight="1">
      <c r="A68" s="73">
        <v>22348</v>
      </c>
      <c r="B68" s="73" t="s">
        <v>8276</v>
      </c>
      <c r="C68" s="73" t="s">
        <v>8454</v>
      </c>
      <c r="D68" s="11" t="str">
        <f t="shared" si="7"/>
        <v>0,22152,22344,22348</v>
      </c>
      <c r="E68" s="3" t="str">
        <f ca="1">IFERROR(__xludf.DUMMYFUNCTION("GOOGLETRANSLATE(B73,""ja"",""vi"")"),"Rock, Pop (Western)")</f>
        <v>Rock, Pop (Western)</v>
      </c>
      <c r="F68" s="3" t="str">
        <f ca="1">IFERROR(__xludf.DUMMYFUNCTION("GOOGLETRANSLATE(C73,""ja"",""vi"")"),"Đấu giá&gt; nhạc&gt; băng băng&gt; Khóa, pops (Western)")</f>
        <v>Đấu giá&gt; nhạc&gt; băng băng&gt; Khóa, pops (Western)</v>
      </c>
      <c r="H68" s="229" t="str">
        <f t="shared" ca="1" si="9"/>
        <v>"22348" : "Rock, Pop (Western)",</v>
      </c>
      <c r="I68" s="229" t="str">
        <f t="shared" si="8"/>
        <v>&lt;li class="col-md-3"&gt;&lt;a class="text-cut" href="javascript:;"(click)="categoryEvent(22348)"&gt;{{"22348" | translate}}&lt;/a&gt;&lt;/li&gt;</v>
      </c>
    </row>
    <row r="69" spans="1:9" ht="14.25" customHeight="1">
      <c r="A69" s="73">
        <v>22364</v>
      </c>
      <c r="B69" s="73" t="s">
        <v>8305</v>
      </c>
      <c r="C69" s="73" t="s">
        <v>8455</v>
      </c>
      <c r="D69" s="11" t="str">
        <f t="shared" si="7"/>
        <v>0,22152,22344,22364</v>
      </c>
      <c r="E69" s="3" t="str">
        <f ca="1">IFERROR(__xludf.DUMMYFUNCTION("GOOGLETRANSLATE(B74,""ja"",""vi"")"),"Âm nhạc thế giới")</f>
        <v>Âm nhạc thế giới</v>
      </c>
      <c r="F69" s="3" t="str">
        <f ca="1">IFERROR(__xludf.DUMMYFUNCTION("GOOGLETRANSLATE(C74,""ja"",""vi"")"),"Đấu giá&gt; nhạc&gt; băng cassette&gt; Âm nhạc thế giới")</f>
        <v>Đấu giá&gt; nhạc&gt; băng cassette&gt; Âm nhạc thế giới</v>
      </c>
      <c r="H69" s="229" t="str">
        <f t="shared" ca="1" si="9"/>
        <v>"22364" : "Âm nhạc thế giới",</v>
      </c>
      <c r="I69" s="229" t="str">
        <f t="shared" si="8"/>
        <v>&lt;li class="col-md-3"&gt;&lt;a class="text-cut" href="javascript:;"(click)="categoryEvent(22364)"&gt;{{"22364" | translate}}&lt;/a&gt;&lt;/li&gt;</v>
      </c>
    </row>
    <row r="70" spans="1:9" ht="14.25" customHeight="1">
      <c r="A70" s="73">
        <v>22380</v>
      </c>
      <c r="B70" s="73" t="s">
        <v>7573</v>
      </c>
      <c r="C70" s="73" t="s">
        <v>8457</v>
      </c>
      <c r="D70" s="11" t="str">
        <f t="shared" si="7"/>
        <v>0,22152,22344,22380</v>
      </c>
      <c r="E70" s="3" t="str">
        <f ca="1">IFERROR(__xludf.DUMMYFUNCTION("GOOGLETRANSLATE(B75,""ja"",""vi"")"),"phim âm nhạc")</f>
        <v>phim âm nhạc</v>
      </c>
      <c r="F70" s="3" t="str">
        <f ca="1">IFERROR(__xludf.DUMMYFUNCTION("GOOGLETRANSLATE(C75,""ja"",""vi"")"),"Đấu giá&gt; nhạc&gt; băng băng&gt; Phim Âm nhạc")</f>
        <v>Đấu giá&gt; nhạc&gt; băng băng&gt; Phim Âm nhạc</v>
      </c>
      <c r="H70" s="229" t="str">
        <f t="shared" ca="1" si="9"/>
        <v>"22380" : "phim âm nhạc",</v>
      </c>
      <c r="I70" s="229" t="str">
        <f t="shared" si="8"/>
        <v>&lt;li class="col-md-3"&gt;&lt;a class="text-cut" href="javascript:;"(click)="categoryEvent(22380)"&gt;{{"22380" | translate}}&lt;/a&gt;&lt;/li&gt;</v>
      </c>
    </row>
    <row r="71" spans="1:9" ht="14.25" customHeight="1">
      <c r="A71" s="73">
        <v>22388</v>
      </c>
      <c r="B71" s="73" t="s">
        <v>8352</v>
      </c>
      <c r="C71" s="73" t="s">
        <v>8459</v>
      </c>
      <c r="D71" s="11" t="str">
        <f t="shared" si="7"/>
        <v>0,22152,22344,22388</v>
      </c>
      <c r="E71" s="3" t="str">
        <f ca="1">IFERROR(__xludf.DUMMYFUNCTION("GOOGLETRANSLATE(B76,""ja"",""vi"")"),"Vườn ươm vần, giáo dục")</f>
        <v>Vườn ươm vần, giáo dục</v>
      </c>
      <c r="F71" s="3" t="str">
        <f ca="1">IFERROR(__xludf.DUMMYFUNCTION("GOOGLETRANSLATE(C76,""ja"",""vi"")"),"Đấu giá&gt; nhạc&gt; băng băng&gt; vườn ươm vần, giáo dục")</f>
        <v>Đấu giá&gt; nhạc&gt; băng băng&gt; vườn ươm vần, giáo dục</v>
      </c>
      <c r="H71" s="229" t="str">
        <f t="shared" ca="1" si="9"/>
        <v>"22388" : "Vườn ươm vần, giáo dục",</v>
      </c>
      <c r="I71" s="229" t="str">
        <f t="shared" si="8"/>
        <v>&lt;li class="col-md-3"&gt;&lt;a class="text-cut" href="javascript:;"(click)="categoryEvent(22388)"&gt;{{"22388" | translate}}&lt;/a&gt;&lt;/li&gt;</v>
      </c>
    </row>
    <row r="72" spans="1:9" ht="14.25" customHeight="1">
      <c r="A72" s="73">
        <v>22392</v>
      </c>
      <c r="B72" s="73" t="s">
        <v>16</v>
      </c>
      <c r="C72" s="73" t="s">
        <v>8461</v>
      </c>
      <c r="D72" s="11" t="str">
        <f t="shared" si="7"/>
        <v>0,22152,22344,22392</v>
      </c>
      <c r="E72" s="3" t="str">
        <f ca="1">IFERROR(__xludf.DUMMYFUNCTION("GOOGLETRANSLATE(B77,""ja"",""vi"")"),"nếu không thì")</f>
        <v>nếu không thì</v>
      </c>
      <c r="F72" s="3" t="str">
        <f ca="1">IFERROR(__xludf.DUMMYFUNCTION("GOOGLETRANSLATE(C77,""ja"",""vi"")"),"Đấu giá&gt; nhạc&gt; băng cassette&gt; Khác")</f>
        <v>Đấu giá&gt; nhạc&gt; băng cassette&gt; Khác</v>
      </c>
      <c r="H72" s="229" t="str">
        <f t="shared" ca="1" si="9"/>
        <v>"22392" : "nếu không thì",</v>
      </c>
      <c r="I72" s="229" t="str">
        <f t="shared" si="8"/>
        <v>&lt;li class="col-md-3"&gt;&lt;a class="text-cut" href="javascript:;"(click)="categoryEvent(22392)"&gt;{{"22392" | translate}}&lt;/a&gt;&lt;/li&gt;</v>
      </c>
    </row>
    <row r="73" spans="1:9" ht="14.25" customHeight="1">
      <c r="E73" s="3"/>
      <c r="F73" s="3"/>
      <c r="H73" s="229" t="str">
        <f t="shared" si="9"/>
        <v>"" : "",</v>
      </c>
      <c r="I73" s="229"/>
    </row>
    <row r="74" spans="1:9" ht="25.8" customHeight="1">
      <c r="A74" s="306">
        <v>2084046929</v>
      </c>
      <c r="B74" s="232"/>
      <c r="C74" s="232"/>
      <c r="D74" s="233"/>
      <c r="E74" s="3"/>
      <c r="F74" s="3"/>
      <c r="H74" s="229" t="str">
        <f t="shared" si="9"/>
        <v>"2084046929" : "",</v>
      </c>
      <c r="I74" s="229" t="str">
        <f t="shared" ref="I74:I79" si="10">CONCATENATE("&lt;li class=",CHAR(34)&amp;"","col-md-3",""&amp;CHAR(34),"&gt;","&lt;a class=",CHAR(34)&amp;"","text-cut",""&amp;CHAR(34)," href=",CHAR(34)&amp;"","javascript:;",""&amp;CHAR(34), "(click)=",CHAR(34)&amp;"","categoryEvent(",A74,")",""&amp;CHAR(34),"&gt;{{",CHAR(34)&amp;"",A74,""&amp;CHAR(34)," | translate}}&lt;/a&gt;&lt;/li&gt;")</f>
        <v>&lt;li class="col-md-3"&gt;&lt;a class="text-cut" href="javascript:;"(click)="categoryEvent(2084046929)"&gt;{{"2084046929" | translate}}&lt;/a&gt;&lt;/li&gt;</v>
      </c>
    </row>
    <row r="75" spans="1:9" ht="14.25" customHeight="1">
      <c r="A75" s="73">
        <v>2084041520</v>
      </c>
      <c r="B75" s="73" t="s">
        <v>8271</v>
      </c>
      <c r="C75" s="73" t="s">
        <v>8468</v>
      </c>
      <c r="D75" s="11" t="str">
        <f t="shared" ref="D75:D79" si="11">CONCATENATE("0,","22152,2084046929,",A75)</f>
        <v>0,22152,2084046929,2084041520</v>
      </c>
      <c r="E75" s="3" t="str">
        <f ca="1">IFERROR(__xludf.DUMMYFUNCTION("GOOGLETRANSLATE(B81,""ja"",""vi"")"),"Pop Nhật Bản")</f>
        <v>Pop Nhật Bản</v>
      </c>
      <c r="F75" s="3" t="str">
        <f ca="1">IFERROR(__xludf.DUMMYFUNCTION("GOOGLETRANSLATE(C81,""ja"",""vi"")"),"Đấu giá&gt; nhạc&gt; DVD&gt; Pop Nhật Bản")</f>
        <v>Đấu giá&gt; nhạc&gt; DVD&gt; Pop Nhật Bản</v>
      </c>
      <c r="H75" s="229" t="str">
        <f t="shared" ca="1" si="9"/>
        <v>"2084041520" : "Pop Nhật Bản",</v>
      </c>
      <c r="I75" s="229" t="str">
        <f t="shared" si="10"/>
        <v>&lt;li class="col-md-3"&gt;&lt;a class="text-cut" href="javascript:;"(click)="categoryEvent(2084041520)"&gt;{{"2084041520" | translate}}&lt;/a&gt;&lt;/li&gt;</v>
      </c>
    </row>
    <row r="76" spans="1:9" ht="14.25" customHeight="1">
      <c r="A76" s="73">
        <v>2084041521</v>
      </c>
      <c r="B76" s="73" t="s">
        <v>8276</v>
      </c>
      <c r="C76" s="73" t="s">
        <v>8471</v>
      </c>
      <c r="D76" s="11" t="str">
        <f t="shared" si="11"/>
        <v>0,22152,2084046929,2084041521</v>
      </c>
      <c r="E76" s="3" t="str">
        <f ca="1">IFERROR(__xludf.DUMMYFUNCTION("GOOGLETRANSLATE(B82,""ja"",""vi"")"),"Rock, Pop (Western)")</f>
        <v>Rock, Pop (Western)</v>
      </c>
      <c r="F76" s="3" t="str">
        <f ca="1">IFERROR(__xludf.DUMMYFUNCTION("GOOGLETRANSLATE(C82,""ja"",""vi"")"),"Đấu giá&gt; nhạc&gt; DVD&gt; Khóa, pops (Western)")</f>
        <v>Đấu giá&gt; nhạc&gt; DVD&gt; Khóa, pops (Western)</v>
      </c>
      <c r="H76" s="229" t="str">
        <f t="shared" ca="1" si="9"/>
        <v>"2084041521" : "Rock, Pop (Western)",</v>
      </c>
      <c r="I76" s="229" t="str">
        <f t="shared" si="10"/>
        <v>&lt;li class="col-md-3"&gt;&lt;a class="text-cut" href="javascript:;"(click)="categoryEvent(2084041521)"&gt;{{"2084041521" | translate}}&lt;/a&gt;&lt;/li&gt;</v>
      </c>
    </row>
    <row r="77" spans="1:9" ht="14.25" customHeight="1">
      <c r="A77" s="73">
        <v>2084048523</v>
      </c>
      <c r="B77" s="73" t="s">
        <v>8291</v>
      </c>
      <c r="C77" s="73" t="s">
        <v>8475</v>
      </c>
      <c r="D77" s="11" t="str">
        <f t="shared" si="11"/>
        <v>0,22152,2084046929,2084048523</v>
      </c>
      <c r="E77" s="3" t="str">
        <f ca="1">IFERROR(__xludf.DUMMYFUNCTION("GOOGLETRANSLATE(B83,""ja"",""vi"")"),"nhạc jazz")</f>
        <v>nhạc jazz</v>
      </c>
      <c r="F77" s="3" t="str">
        <f ca="1">IFERROR(__xludf.DUMMYFUNCTION("GOOGLETRANSLATE(C83,""ja"",""vi"")"),"Đấu giá&gt; Âm nhạc&gt; DVD&gt; Jazz")</f>
        <v>Đấu giá&gt; Âm nhạc&gt; DVD&gt; Jazz</v>
      </c>
      <c r="H77" s="229" t="str">
        <f t="shared" ca="1" si="9"/>
        <v>"2084048523" : "nhạc jazz",</v>
      </c>
      <c r="I77" s="229" t="str">
        <f t="shared" si="10"/>
        <v>&lt;li class="col-md-3"&gt;&lt;a class="text-cut" href="javascript:;"(click)="categoryEvent(2084048523)"&gt;{{"2084048523" | translate}}&lt;/a&gt;&lt;/li&gt;</v>
      </c>
    </row>
    <row r="78" spans="1:9" ht="14.25" customHeight="1">
      <c r="A78" s="73">
        <v>2084049856</v>
      </c>
      <c r="B78" s="73" t="s">
        <v>8300</v>
      </c>
      <c r="C78" s="73" t="s">
        <v>8477</v>
      </c>
      <c r="D78" s="11" t="str">
        <f t="shared" si="11"/>
        <v>0,22152,2084046929,2084049856</v>
      </c>
      <c r="E78" s="3" t="str">
        <f ca="1">IFERROR(__xludf.DUMMYFUNCTION("GOOGLETRANSLATE(B84,""ja"",""vi"")"),"cổ điển")</f>
        <v>cổ điển</v>
      </c>
      <c r="F78" s="3" t="str">
        <f ca="1">IFERROR(__xludf.DUMMYFUNCTION("GOOGLETRANSLATE(C84,""ja"",""vi"")"),"Đấu giá&gt; Âm nhạc&gt; DVD&gt; cổ điển")</f>
        <v>Đấu giá&gt; Âm nhạc&gt; DVD&gt; cổ điển</v>
      </c>
      <c r="H78" s="229" t="str">
        <f t="shared" ca="1" si="9"/>
        <v>"2084049856" : "cổ điển",</v>
      </c>
      <c r="I78" s="229" t="str">
        <f t="shared" si="10"/>
        <v>&lt;li class="col-md-3"&gt;&lt;a class="text-cut" href="javascript:;"(click)="categoryEvent(2084049856)"&gt;{{"2084049856" | translate}}&lt;/a&gt;&lt;/li&gt;</v>
      </c>
    </row>
    <row r="79" spans="1:9" ht="14.25" customHeight="1">
      <c r="A79" s="73">
        <v>2084041526</v>
      </c>
      <c r="B79" s="74" t="s">
        <v>8481</v>
      </c>
      <c r="C79" s="73" t="s">
        <v>8482</v>
      </c>
      <c r="D79" s="11" t="str">
        <f t="shared" si="11"/>
        <v>0,22152,2084046929,2084041526</v>
      </c>
      <c r="E79" s="3" t="str">
        <f ca="1">IFERROR(__xludf.DUMMYFUNCTION("GOOGLETRANSLATE(B85,""ja"",""vi"")"),"&gt; khác")</f>
        <v>&gt; khác</v>
      </c>
      <c r="F79" s="3" t="str">
        <f ca="1">IFERROR(__xludf.DUMMYFUNCTION("GOOGLETRANSLATE(C85,""ja"",""vi"")"),"Đấu giá&gt; Âm nhạc&gt; DVD&gt; Khác")</f>
        <v>Đấu giá&gt; Âm nhạc&gt; DVD&gt; Khác</v>
      </c>
      <c r="H79" s="229" t="str">
        <f t="shared" ca="1" si="9"/>
        <v>"2084041526" : "&gt; khác",</v>
      </c>
      <c r="I79" s="229" t="str">
        <f t="shared" si="10"/>
        <v>&lt;li class="col-md-3"&gt;&lt;a class="text-cut" href="javascript:;"(click)="categoryEvent(2084041526)"&gt;{{"2084041526" | translate}}&lt;/a&gt;&lt;/li&gt;</v>
      </c>
    </row>
    <row r="80" spans="1:9" ht="14.25" customHeight="1">
      <c r="E80" s="3"/>
      <c r="F80" s="3"/>
      <c r="H80" s="229" t="str">
        <f t="shared" si="9"/>
        <v>"" : "",</v>
      </c>
      <c r="I80" s="229"/>
    </row>
    <row r="81" spans="1:9" ht="24" customHeight="1">
      <c r="A81" s="308">
        <v>2084249081</v>
      </c>
      <c r="B81" s="232"/>
      <c r="C81" s="232"/>
      <c r="D81" s="233"/>
      <c r="E81" s="3"/>
      <c r="F81" s="3"/>
      <c r="H81" s="229" t="str">
        <f t="shared" si="9"/>
        <v>"2084249081" : "",</v>
      </c>
      <c r="I81" s="229"/>
    </row>
    <row r="82" spans="1:9" ht="14.25" customHeight="1">
      <c r="A82" s="73">
        <v>2084249085</v>
      </c>
      <c r="B82" s="73" t="s">
        <v>8291</v>
      </c>
      <c r="C82" s="73" t="s">
        <v>8486</v>
      </c>
      <c r="D82" s="11" t="str">
        <f t="shared" ref="D82:D84" si="12">CONCATENATE("0,","22152,2084249081,",A82)</f>
        <v>0,22152,2084249081,2084249085</v>
      </c>
      <c r="E82" s="3" t="str">
        <f ca="1">IFERROR(__xludf.DUMMYFUNCTION("GOOGLETRANSLATE(B89,""ja"",""vi"")"),"nhạc jazz")</f>
        <v>nhạc jazz</v>
      </c>
      <c r="F82" s="3" t="str">
        <f ca="1">IFERROR(__xludf.DUMMYFUNCTION("GOOGLETRANSLATE(C89,""ja"",""vi"")"),"Đấu giá&gt; Âm nhạc&gt; Blu-ray&gt; Jazz")</f>
        <v>Đấu giá&gt; Âm nhạc&gt; Blu-ray&gt; Jazz</v>
      </c>
      <c r="H82" s="229" t="str">
        <f t="shared" ca="1" si="9"/>
        <v>"2084249085" : "nhạc jazz",</v>
      </c>
      <c r="I82" s="229" t="str">
        <f>CONCATENATE("&lt;li class=",CHAR(34)&amp;"","col-md-3",""&amp;CHAR(34),"&gt;","&lt;a class=",CHAR(34)&amp;"","text-cut",""&amp;CHAR(34)," href=",CHAR(34)&amp;"","javascript:;",""&amp;CHAR(34), "(click)=",CHAR(34)&amp;"","categoryEvent(",A82,")",""&amp;CHAR(34),"&gt;{{",CHAR(34)&amp;"",A82,""&amp;CHAR(34)," | translate}}&lt;/a&gt;&lt;/li&gt;")</f>
        <v>&lt;li class="col-md-3"&gt;&lt;a class="text-cut" href="javascript:;"(click)="categoryEvent(2084249085)"&gt;{{"2084249085" | translate}}&lt;/a&gt;&lt;/li&gt;</v>
      </c>
    </row>
    <row r="83" spans="1:9" ht="14.25" customHeight="1">
      <c r="A83" s="73">
        <v>2084249087</v>
      </c>
      <c r="B83" s="73" t="s">
        <v>7719</v>
      </c>
      <c r="C83" s="73" t="s">
        <v>8489</v>
      </c>
      <c r="D83" s="11" t="str">
        <f t="shared" si="12"/>
        <v>0,22152,2084249081,2084249087</v>
      </c>
      <c r="E83" s="3" t="str">
        <f ca="1">IFERROR(__xludf.DUMMYFUNCTION("GOOGLETRANSLATE(B90,""ja"",""vi"")"),"nhạc")</f>
        <v>nhạc</v>
      </c>
      <c r="F83" s="3" t="str">
        <f ca="1">IFERROR(__xludf.DUMMYFUNCTION("GOOGLETRANSLATE(C90,""ja"",""vi"")"),"Đấu giá&gt; Âm nhạc&gt; Blu-ray&gt; Nhạc")</f>
        <v>Đấu giá&gt; Âm nhạc&gt; Blu-ray&gt; Nhạc</v>
      </c>
      <c r="H83" s="229" t="str">
        <f t="shared" ca="1" si="9"/>
        <v>"2084249087" : "nhạc",</v>
      </c>
      <c r="I83" s="229" t="str">
        <f>CONCATENATE("&lt;li class=",CHAR(34)&amp;"","col-md-3",""&amp;CHAR(34),"&gt;","&lt;a class=",CHAR(34)&amp;"","text-cut",""&amp;CHAR(34)," href=",CHAR(34)&amp;"","javascript:;",""&amp;CHAR(34), "(click)=",CHAR(34)&amp;"","categoryEvent(",A83,")",""&amp;CHAR(34),"&gt;{{",CHAR(34)&amp;"",A83,""&amp;CHAR(34)," | translate}}&lt;/a&gt;&lt;/li&gt;")</f>
        <v>&lt;li class="col-md-3"&gt;&lt;a class="text-cut" href="javascript:;"(click)="categoryEvent(2084249087)"&gt;{{"2084249087" | translate}}&lt;/a&gt;&lt;/li&gt;</v>
      </c>
    </row>
    <row r="84" spans="1:9" ht="14.25" customHeight="1">
      <c r="A84" s="73">
        <v>2084249086</v>
      </c>
      <c r="B84" s="73" t="s">
        <v>16</v>
      </c>
      <c r="C84" s="73" t="s">
        <v>8490</v>
      </c>
      <c r="D84" s="11" t="str">
        <f t="shared" si="12"/>
        <v>0,22152,2084249081,2084249086</v>
      </c>
      <c r="E84" s="3" t="str">
        <f ca="1">IFERROR(__xludf.DUMMYFUNCTION("GOOGLETRANSLATE(B91,""ja"",""vi"")"),"nếu không thì")</f>
        <v>nếu không thì</v>
      </c>
      <c r="F84" s="3" t="str">
        <f ca="1">IFERROR(__xludf.DUMMYFUNCTION("GOOGLETRANSLATE(C91,""ja"",""vi"")"),"Đấu giá&gt; Âm nhạc&gt; Blu-ray&gt; Khác")</f>
        <v>Đấu giá&gt; Âm nhạc&gt; Blu-ray&gt; Khác</v>
      </c>
      <c r="H84" s="229" t="str">
        <f t="shared" ca="1" si="9"/>
        <v>"2084249086" : "nếu không thì",</v>
      </c>
      <c r="I84" s="229" t="str">
        <f>CONCATENATE("&lt;li class=",CHAR(34)&amp;"","col-md-3",""&amp;CHAR(34),"&gt;","&lt;a class=",CHAR(34)&amp;"","text-cut",""&amp;CHAR(34)," href=",CHAR(34)&amp;"","javascript:;",""&amp;CHAR(34), "(click)=",CHAR(34)&amp;"","categoryEvent(",A84,")",""&amp;CHAR(34),"&gt;{{",CHAR(34)&amp;"",A84,""&amp;CHAR(34)," | translate}}&lt;/a&gt;&lt;/li&gt;")</f>
        <v>&lt;li class="col-md-3"&gt;&lt;a class="text-cut" href="javascript:;"(click)="categoryEvent(2084249086)"&gt;{{"2084249086" | translate}}&lt;/a&gt;&lt;/li&gt;</v>
      </c>
    </row>
    <row r="85" spans="1:9" ht="14.25" customHeight="1">
      <c r="E85" s="3"/>
      <c r="F85" s="3"/>
      <c r="H85" s="229" t="str">
        <f t="shared" si="9"/>
        <v>"" : "",</v>
      </c>
      <c r="I85" s="229"/>
    </row>
    <row r="86" spans="1:9" ht="14.25" customHeight="1">
      <c r="E86" s="3"/>
      <c r="F86" s="3"/>
      <c r="H86" s="229" t="str">
        <f t="shared" si="9"/>
        <v>"" : "",</v>
      </c>
      <c r="I86" s="229"/>
    </row>
    <row r="87" spans="1:9" ht="24.6" customHeight="1">
      <c r="A87" s="326">
        <v>22244</v>
      </c>
      <c r="B87" s="232"/>
      <c r="C87" s="232"/>
      <c r="D87" s="233"/>
      <c r="E87" s="3"/>
      <c r="F87" s="3"/>
      <c r="H87" s="229" t="str">
        <f t="shared" si="9"/>
        <v>"22244" : "",</v>
      </c>
      <c r="I87" s="229"/>
    </row>
    <row r="88" spans="1:9" ht="14.25" customHeight="1">
      <c r="A88" s="73">
        <v>2084006999</v>
      </c>
      <c r="B88" s="73" t="s">
        <v>8315</v>
      </c>
      <c r="C88" s="73" t="s">
        <v>8493</v>
      </c>
      <c r="D88" s="11" t="str">
        <f t="shared" ref="D88:D101" si="13">CONCATENATE("0,","22152,22244,",A88)</f>
        <v>0,22152,22244,2084006999</v>
      </c>
      <c r="E88" s="3" t="str">
        <f ca="1">IFERROR(__xludf.DUMMYFUNCTION("GOOGLETRANSLATE(B95,""ja"",""vi"")"),"R &amp; B, soul")</f>
        <v>R &amp; B, soul</v>
      </c>
      <c r="F88" s="3" t="str">
        <f ca="1">IFERROR(__xludf.DUMMYFUNCTION("GOOGLETRANSLATE(C95,""ja"",""vi"")"),"Đấu giá&gt; Âm nhạc&gt; Video&gt; R &amp; B, soul")</f>
        <v>Đấu giá&gt; Âm nhạc&gt; Video&gt; R &amp; B, soul</v>
      </c>
      <c r="H88" s="229" t="str">
        <f t="shared" ca="1" si="9"/>
        <v>"2084006999" : "R &amp; B, soul",</v>
      </c>
      <c r="I88" s="229" t="str">
        <f t="shared" ref="I88:I101" si="14">CONCATENATE("&lt;li class=",CHAR(34)&amp;"","col-md-3",""&amp;CHAR(34),"&gt;","&lt;a class=",CHAR(34)&amp;"","text-cut",""&amp;CHAR(34)," href=",CHAR(34)&amp;"","javascript:;",""&amp;CHAR(34), "(click)=",CHAR(34)&amp;"","categoryEvent(",A88,")",""&amp;CHAR(34),"&gt;{{",CHAR(34)&amp;"",A88,""&amp;CHAR(34)," | translate}}&lt;/a&gt;&lt;/li&gt;")</f>
        <v>&lt;li class="col-md-3"&gt;&lt;a class="text-cut" href="javascript:;"(click)="categoryEvent(2084006999)"&gt;{{"2084006999" | translate}}&lt;/a&gt;&lt;/li&gt;</v>
      </c>
    </row>
    <row r="89" spans="1:9" ht="14.25" customHeight="1">
      <c r="A89" s="73">
        <v>2084006997</v>
      </c>
      <c r="B89" s="73" t="s">
        <v>8284</v>
      </c>
      <c r="C89" s="73" t="s">
        <v>8496</v>
      </c>
      <c r="D89" s="11" t="str">
        <f t="shared" si="13"/>
        <v>0,22152,22244,2084006997</v>
      </c>
      <c r="E89" s="3" t="str">
        <f ca="1">IFERROR(__xludf.DUMMYFUNCTION("GOOGLETRANSLATE(B96,""ja"",""vi"")"),"Anime bài hát")</f>
        <v>Anime bài hát</v>
      </c>
      <c r="F89" s="3" t="str">
        <f ca="1">IFERROR(__xludf.DUMMYFUNCTION("GOOGLETRANSLATE(C96,""ja"",""vi"")"),"Đấu giá&gt; Âm nhạc&gt; Video&gt; Anime bài hát")</f>
        <v>Đấu giá&gt; Âm nhạc&gt; Video&gt; Anime bài hát</v>
      </c>
      <c r="H89" s="229" t="str">
        <f t="shared" ca="1" si="9"/>
        <v>"2084006997" : "Anime bài hát",</v>
      </c>
      <c r="I89" s="229" t="str">
        <f t="shared" si="14"/>
        <v>&lt;li class="col-md-3"&gt;&lt;a class="text-cut" href="javascript:;"(click)="categoryEvent(2084006997)"&gt;{{"2084006997" | translate}}&lt;/a&gt;&lt;/li&gt;</v>
      </c>
    </row>
    <row r="90" spans="1:9" ht="14.25" customHeight="1">
      <c r="A90" s="73">
        <v>2084007000</v>
      </c>
      <c r="B90" s="73" t="s">
        <v>8300</v>
      </c>
      <c r="C90" s="73" t="s">
        <v>8497</v>
      </c>
      <c r="D90" s="11" t="str">
        <f t="shared" si="13"/>
        <v>0,22152,22244,2084007000</v>
      </c>
      <c r="E90" s="3" t="str">
        <f ca="1">IFERROR(__xludf.DUMMYFUNCTION("GOOGLETRANSLATE(B97,""ja"",""vi"")"),"cổ điển")</f>
        <v>cổ điển</v>
      </c>
      <c r="F90" s="3" t="str">
        <f ca="1">IFERROR(__xludf.DUMMYFUNCTION("GOOGLETRANSLATE(C97,""ja"",""vi"")"),"Đấu giá&gt; Âm nhạc&gt; Video&gt; cổ điển")</f>
        <v>Đấu giá&gt; Âm nhạc&gt; Video&gt; cổ điển</v>
      </c>
      <c r="H90" s="229" t="str">
        <f t="shared" ca="1" si="9"/>
        <v>"2084007000" : "cổ điển",</v>
      </c>
      <c r="I90" s="229" t="str">
        <f t="shared" si="14"/>
        <v>&lt;li class="col-md-3"&gt;&lt;a class="text-cut" href="javascript:;"(click)="categoryEvent(2084007000)"&gt;{{"2084007000" | translate}}&lt;/a&gt;&lt;/li&gt;</v>
      </c>
    </row>
    <row r="91" spans="1:9" ht="14.25" customHeight="1">
      <c r="A91" s="73">
        <v>2084006995</v>
      </c>
      <c r="B91" s="73" t="s">
        <v>8313</v>
      </c>
      <c r="C91" s="73" t="s">
        <v>8498</v>
      </c>
      <c r="D91" s="11" t="str">
        <f t="shared" si="13"/>
        <v>0,22152,22244,2084006995</v>
      </c>
      <c r="E91" s="3" t="str">
        <f ca="1">IFERROR(__xludf.DUMMYFUNCTION("GOOGLETRANSLATE(B98,""ja"",""vi"")"),"Câu lạc bộ, khiêu vũ")</f>
        <v>Câu lạc bộ, khiêu vũ</v>
      </c>
      <c r="F91" s="3" t="str">
        <f ca="1">IFERROR(__xludf.DUMMYFUNCTION("GOOGLETRANSLATE(C98,""ja"",""vi"")"),"Đấu giá&gt; Âm nhạc&gt; Video&gt; Club, Dance")</f>
        <v>Đấu giá&gt; Âm nhạc&gt; Video&gt; Club, Dance</v>
      </c>
      <c r="H91" s="229" t="str">
        <f t="shared" ca="1" si="9"/>
        <v>"2084006995" : "Câu lạc bộ, khiêu vũ",</v>
      </c>
      <c r="I91" s="229" t="str">
        <f t="shared" si="14"/>
        <v>&lt;li class="col-md-3"&gt;&lt;a class="text-cut" href="javascript:;"(click)="categoryEvent(2084006995)"&gt;{{"2084006995" | translate}}&lt;/a&gt;&lt;/li&gt;</v>
      </c>
    </row>
    <row r="92" spans="1:9" ht="14.25" customHeight="1">
      <c r="A92" s="73">
        <v>2084006998</v>
      </c>
      <c r="B92" s="73" t="s">
        <v>8308</v>
      </c>
      <c r="C92" s="73" t="s">
        <v>8499</v>
      </c>
      <c r="D92" s="11" t="str">
        <f t="shared" si="13"/>
        <v>0,22152,22244,2084006998</v>
      </c>
      <c r="E92" s="3" t="str">
        <f ca="1">IFERROR(__xludf.DUMMYFUNCTION("GOOGLETRANSLATE(B99,""ja"",""vi"")"),"trò chơi âm nhạc")</f>
        <v>trò chơi âm nhạc</v>
      </c>
      <c r="F92" s="3" t="str">
        <f ca="1">IFERROR(__xludf.DUMMYFUNCTION("GOOGLETRANSLATE(C99,""ja"",""vi"")"),"Đấu giá&gt; Âm nhạc&gt; Video&gt; trò chơi âm nhạc")</f>
        <v>Đấu giá&gt; Âm nhạc&gt; Video&gt; trò chơi âm nhạc</v>
      </c>
      <c r="H92" s="229" t="str">
        <f t="shared" ca="1" si="9"/>
        <v>"2084006998" : "trò chơi âm nhạc",</v>
      </c>
      <c r="I92" s="229" t="str">
        <f t="shared" si="14"/>
        <v>&lt;li class="col-md-3"&gt;&lt;a class="text-cut" href="javascript:;"(click)="categoryEvent(2084006998)"&gt;{{"2084006998" | translate}}&lt;/a&gt;&lt;/li&gt;</v>
      </c>
    </row>
    <row r="93" spans="1:9" ht="14.25" customHeight="1">
      <c r="A93" s="73">
        <v>2084007001</v>
      </c>
      <c r="B93" s="73" t="s">
        <v>8291</v>
      </c>
      <c r="C93" s="73" t="s">
        <v>8501</v>
      </c>
      <c r="D93" s="11" t="str">
        <f t="shared" si="13"/>
        <v>0,22152,22244,2084007001</v>
      </c>
      <c r="E93" s="3" t="str">
        <f ca="1">IFERROR(__xludf.DUMMYFUNCTION("GOOGLETRANSLATE(B100,""ja"",""vi"")"),"nhạc jazz")</f>
        <v>nhạc jazz</v>
      </c>
      <c r="F93" s="3" t="str">
        <f ca="1">IFERROR(__xludf.DUMMYFUNCTION("GOOGLETRANSLATE(C100,""ja"",""vi"")"),"Đấu giá&gt; Âm nhạc&gt; Video&gt; Nhạc Jazz")</f>
        <v>Đấu giá&gt; Âm nhạc&gt; Video&gt; Nhạc Jazz</v>
      </c>
      <c r="H93" s="229" t="str">
        <f t="shared" ca="1" si="9"/>
        <v>"2084007001" : "nhạc jazz",</v>
      </c>
      <c r="I93" s="229" t="str">
        <f t="shared" si="14"/>
        <v>&lt;li class="col-md-3"&gt;&lt;a class="text-cut" href="javascript:;"(click)="categoryEvent(2084007001)"&gt;{{"2084007001" | translate}}&lt;/a&gt;&lt;/li&gt;</v>
      </c>
    </row>
    <row r="94" spans="1:9" ht="14.25" customHeight="1">
      <c r="A94" s="73">
        <v>2084005081</v>
      </c>
      <c r="B94" s="73" t="s">
        <v>8271</v>
      </c>
      <c r="C94" s="73" t="s">
        <v>8502</v>
      </c>
      <c r="D94" s="11" t="str">
        <f t="shared" si="13"/>
        <v>0,22152,22244,2084005081</v>
      </c>
      <c r="E94" s="3" t="str">
        <f ca="1">IFERROR(__xludf.DUMMYFUNCTION("GOOGLETRANSLATE(B101,""ja"",""vi"")"),"Pop Nhật Bản")</f>
        <v>Pop Nhật Bản</v>
      </c>
      <c r="F94" s="3" t="str">
        <f ca="1">IFERROR(__xludf.DUMMYFUNCTION("GOOGLETRANSLATE(C101,""ja"",""vi"")"),"Đấu giá&gt; Âm nhạc&gt; Video&gt; Pop Nhật Bản")</f>
        <v>Đấu giá&gt; Âm nhạc&gt; Video&gt; Pop Nhật Bản</v>
      </c>
      <c r="H94" s="229" t="str">
        <f t="shared" ca="1" si="9"/>
        <v>"2084005081" : "Pop Nhật Bản",</v>
      </c>
      <c r="I94" s="229" t="str">
        <f t="shared" si="14"/>
        <v>&lt;li class="col-md-3"&gt;&lt;a class="text-cut" href="javascript:;"(click)="categoryEvent(2084005081)"&gt;{{"2084005081" | translate}}&lt;/a&gt;&lt;/li&gt;</v>
      </c>
    </row>
    <row r="95" spans="1:9" ht="14.25" customHeight="1">
      <c r="A95" s="73">
        <v>2084007002</v>
      </c>
      <c r="B95" s="73" t="s">
        <v>8333</v>
      </c>
      <c r="C95" s="73" t="s">
        <v>8504</v>
      </c>
      <c r="D95" s="11" t="str">
        <f t="shared" si="13"/>
        <v>0,22152,22244,2084007002</v>
      </c>
      <c r="E95" s="3" t="str">
        <f ca="1">IFERROR(__xludf.DUMMYFUNCTION("GOOGLETRANSLATE(B102,""ja"",""vi"")"),"màu xanh")</f>
        <v>màu xanh</v>
      </c>
      <c r="F95" s="3" t="str">
        <f ca="1">IFERROR(__xludf.DUMMYFUNCTION("GOOGLETRANSLATE(C102,""ja"",""vi"")"),"Đấu giá&gt; Âm nhạc&gt; Video&gt; Blues")</f>
        <v>Đấu giá&gt; Âm nhạc&gt; Video&gt; Blues</v>
      </c>
      <c r="H95" s="229" t="str">
        <f t="shared" ca="1" si="9"/>
        <v>"2084007002" : "màu xanh",</v>
      </c>
      <c r="I95" s="229" t="str">
        <f t="shared" si="14"/>
        <v>&lt;li class="col-md-3"&gt;&lt;a class="text-cut" href="javascript:;"(click)="categoryEvent(2084007002)"&gt;{{"2084007002" | translate}}&lt;/a&gt;&lt;/li&gt;</v>
      </c>
    </row>
    <row r="96" spans="1:9" ht="14.25" customHeight="1">
      <c r="A96" s="73">
        <v>2084007003</v>
      </c>
      <c r="B96" s="73" t="s">
        <v>8320</v>
      </c>
      <c r="C96" s="73" t="s">
        <v>8506</v>
      </c>
      <c r="D96" s="11" t="str">
        <f t="shared" si="13"/>
        <v>0,22152,22244,2084007003</v>
      </c>
      <c r="E96" s="3" t="str">
        <f ca="1">IFERROR(__xludf.DUMMYFUNCTION("GOOGLETRANSLATE(B103,""ja"",""vi"")"),"Rap, hip hop")</f>
        <v>Rap, hip hop</v>
      </c>
      <c r="F96" s="3" t="str">
        <f ca="1">IFERROR(__xludf.DUMMYFUNCTION("GOOGLETRANSLATE(C103,""ja"",""vi"")"),"Đấu giá&gt; Âm nhạc&gt; Video&gt; rap, hip-hop")</f>
        <v>Đấu giá&gt; Âm nhạc&gt; Video&gt; rap, hip-hop</v>
      </c>
      <c r="H96" s="229" t="str">
        <f t="shared" ca="1" si="9"/>
        <v>"2084007003" : "Rap, hip hop",</v>
      </c>
      <c r="I96" s="229" t="str">
        <f t="shared" si="14"/>
        <v>&lt;li class="col-md-3"&gt;&lt;a class="text-cut" href="javascript:;"(click)="categoryEvent(2084007003)"&gt;{{"2084007003" | translate}}&lt;/a&gt;&lt;/li&gt;</v>
      </c>
    </row>
    <row r="97" spans="1:9" ht="14.25" customHeight="1">
      <c r="A97" s="73">
        <v>22248</v>
      </c>
      <c r="B97" s="73" t="s">
        <v>8276</v>
      </c>
      <c r="C97" s="73" t="s">
        <v>8507</v>
      </c>
      <c r="D97" s="11" t="str">
        <f t="shared" si="13"/>
        <v>0,22152,22244,22248</v>
      </c>
      <c r="E97" s="3" t="str">
        <f ca="1">IFERROR(__xludf.DUMMYFUNCTION("GOOGLETRANSLATE(B104,""ja"",""vi"")"),"Rock, Pop (Western)")</f>
        <v>Rock, Pop (Western)</v>
      </c>
      <c r="F97" s="3" t="str">
        <f ca="1">IFERROR(__xludf.DUMMYFUNCTION("GOOGLETRANSLATE(C104,""ja"",""vi"")"),"Đấu giá&gt; Âm nhạc&gt; Video&gt; Rock, Pop (Western)")</f>
        <v>Đấu giá&gt; Âm nhạc&gt; Video&gt; Rock, Pop (Western)</v>
      </c>
      <c r="H97" s="229" t="str">
        <f t="shared" ca="1" si="9"/>
        <v>"22248" : "Rock, Pop (Western)",</v>
      </c>
      <c r="I97" s="229" t="str">
        <f t="shared" si="14"/>
        <v>&lt;li class="col-md-3"&gt;&lt;a class="text-cut" href="javascript:;"(click)="categoryEvent(22248)"&gt;{{"22248" | translate}}&lt;/a&gt;&lt;/li&gt;</v>
      </c>
    </row>
    <row r="98" spans="1:9" ht="14.25" customHeight="1">
      <c r="A98" s="73">
        <v>2084007004</v>
      </c>
      <c r="B98" s="73" t="s">
        <v>8305</v>
      </c>
      <c r="C98" s="73" t="s">
        <v>8509</v>
      </c>
      <c r="D98" s="11" t="str">
        <f t="shared" si="13"/>
        <v>0,22152,22244,2084007004</v>
      </c>
      <c r="E98" s="3" t="str">
        <f ca="1">IFERROR(__xludf.DUMMYFUNCTION("GOOGLETRANSLATE(B105,""ja"",""vi"")"),"Âm nhạc thế giới")</f>
        <v>Âm nhạc thế giới</v>
      </c>
      <c r="F98" s="3" t="str">
        <f ca="1">IFERROR(__xludf.DUMMYFUNCTION("GOOGLETRANSLATE(C105,""ja"",""vi"")"),"Đấu giá&gt; Âm nhạc&gt; Video&gt; Âm nhạc thế giới")</f>
        <v>Đấu giá&gt; Âm nhạc&gt; Video&gt; Âm nhạc thế giới</v>
      </c>
      <c r="H98" s="229" t="str">
        <f t="shared" ca="1" si="9"/>
        <v>"2084007004" : "Âm nhạc thế giới",</v>
      </c>
      <c r="I98" s="229" t="str">
        <f t="shared" si="14"/>
        <v>&lt;li class="col-md-3"&gt;&lt;a class="text-cut" href="javascript:;"(click)="categoryEvent(2084007004)"&gt;{{"2084007004" | translate}}&lt;/a&gt;&lt;/li&gt;</v>
      </c>
    </row>
    <row r="99" spans="1:9" ht="14.25" customHeight="1">
      <c r="A99" s="73">
        <v>2084006996</v>
      </c>
      <c r="B99" s="73" t="s">
        <v>7573</v>
      </c>
      <c r="C99" s="73" t="s">
        <v>8510</v>
      </c>
      <c r="D99" s="11" t="str">
        <f t="shared" si="13"/>
        <v>0,22152,22244,2084006996</v>
      </c>
      <c r="E99" s="3" t="str">
        <f ca="1">IFERROR(__xludf.DUMMYFUNCTION("GOOGLETRANSLATE(B106,""ja"",""vi"")"),"phim âm nhạc")</f>
        <v>phim âm nhạc</v>
      </c>
      <c r="F99" s="3" t="str">
        <f ca="1">IFERROR(__xludf.DUMMYFUNCTION("GOOGLETRANSLATE(C106,""ja"",""vi"")"),"Đấu giá&gt; Âm nhạc&gt; Video&gt; Phim Âm nhạc")</f>
        <v>Đấu giá&gt; Âm nhạc&gt; Video&gt; Phim Âm nhạc</v>
      </c>
      <c r="H99" s="229" t="str">
        <f t="shared" ca="1" si="9"/>
        <v>"2084006996" : "phim âm nhạc",</v>
      </c>
      <c r="I99" s="229" t="str">
        <f t="shared" si="14"/>
        <v>&lt;li class="col-md-3"&gt;&lt;a class="text-cut" href="javascript:;"(click)="categoryEvent(2084006996)"&gt;{{"2084006996" | translate}}&lt;/a&gt;&lt;/li&gt;</v>
      </c>
    </row>
    <row r="100" spans="1:9" ht="14.25" customHeight="1">
      <c r="A100" s="73">
        <v>2084007005</v>
      </c>
      <c r="B100" s="73" t="s">
        <v>8352</v>
      </c>
      <c r="C100" s="73" t="s">
        <v>8511</v>
      </c>
      <c r="D100" s="11" t="str">
        <f t="shared" si="13"/>
        <v>0,22152,22244,2084007005</v>
      </c>
      <c r="E100" s="3" t="str">
        <f ca="1">IFERROR(__xludf.DUMMYFUNCTION("GOOGLETRANSLATE(B107,""ja"",""vi"")"),"Vườn ươm vần, giáo dục")</f>
        <v>Vườn ươm vần, giáo dục</v>
      </c>
      <c r="F100" s="3" t="str">
        <f ca="1">IFERROR(__xludf.DUMMYFUNCTION("GOOGLETRANSLATE(C107,""ja"",""vi"")"),"Đấu giá&gt; Âm nhạc&gt; Video&gt; vườn ươm vần, giáo dục")</f>
        <v>Đấu giá&gt; Âm nhạc&gt; Video&gt; vườn ươm vần, giáo dục</v>
      </c>
      <c r="H100" s="229" t="str">
        <f t="shared" ca="1" si="9"/>
        <v>"2084007005" : "Vườn ươm vần, giáo dục",</v>
      </c>
      <c r="I100" s="229" t="str">
        <f t="shared" si="14"/>
        <v>&lt;li class="col-md-3"&gt;&lt;a class="text-cut" href="javascript:;"(click)="categoryEvent(2084007005)"&gt;{{"2084007005" | translate}}&lt;/a&gt;&lt;/li&gt;</v>
      </c>
    </row>
    <row r="101" spans="1:9" ht="14.25" customHeight="1">
      <c r="A101" s="73">
        <v>22256</v>
      </c>
      <c r="B101" s="73" t="s">
        <v>16</v>
      </c>
      <c r="C101" s="73" t="s">
        <v>8514</v>
      </c>
      <c r="D101" s="11" t="str">
        <f t="shared" si="13"/>
        <v>0,22152,22244,22256</v>
      </c>
      <c r="E101" s="3" t="str">
        <f ca="1">IFERROR(__xludf.DUMMYFUNCTION("GOOGLETRANSLATE(B108,""ja"",""vi"")"),"nếu không thì")</f>
        <v>nếu không thì</v>
      </c>
      <c r="F101" s="3" t="str">
        <f ca="1">IFERROR(__xludf.DUMMYFUNCTION("GOOGLETRANSLATE(C108,""ja"",""vi"")"),"Đấu giá&gt; Âm nhạc&gt; Video&gt; Khác")</f>
        <v>Đấu giá&gt; Âm nhạc&gt; Video&gt; Khác</v>
      </c>
      <c r="H101" s="229" t="str">
        <f t="shared" ca="1" si="9"/>
        <v>"22256" : "nếu không thì",</v>
      </c>
      <c r="I101" s="229" t="str">
        <f t="shared" si="14"/>
        <v>&lt;li class="col-md-3"&gt;&lt;a class="text-cut" href="javascript:;"(click)="categoryEvent(22256)"&gt;{{"22256" | translate}}&lt;/a&gt;&lt;/li&gt;</v>
      </c>
    </row>
    <row r="102" spans="1:9" ht="14.25" customHeight="1">
      <c r="E102" s="3"/>
      <c r="F102" s="3"/>
      <c r="H102" s="229" t="str">
        <f t="shared" si="9"/>
        <v>"" : "",</v>
      </c>
      <c r="I102" s="229"/>
    </row>
    <row r="103" spans="1:9" ht="31.2" customHeight="1">
      <c r="A103" s="307">
        <v>2084005202</v>
      </c>
      <c r="B103" s="232"/>
      <c r="C103" s="232"/>
      <c r="D103" s="233"/>
      <c r="E103" s="3"/>
      <c r="F103" s="3"/>
      <c r="H103" s="229" t="str">
        <f t="shared" si="9"/>
        <v>"2084005202" : "",</v>
      </c>
      <c r="I103" s="229" t="str">
        <f t="shared" ref="I103:I117" si="15">CONCATENATE("&lt;li class=",CHAR(34)&amp;"","col-md-3",""&amp;CHAR(34),"&gt;","&lt;a class=",CHAR(34)&amp;"","text-cut",""&amp;CHAR(34)," href=",CHAR(34)&amp;"","javascript:;",""&amp;CHAR(34), "(click)=",CHAR(34)&amp;"","categoryEvent(",A103,")",""&amp;CHAR(34),"&gt;{{",CHAR(34)&amp;"",A103,""&amp;CHAR(34)," | translate}}&lt;/a&gt;&lt;/li&gt;")</f>
        <v>&lt;li class="col-md-3"&gt;&lt;a class="text-cut" href="javascript:;"(click)="categoryEvent(2084005202)"&gt;{{"2084005202" | translate}}&lt;/a&gt;&lt;/li&gt;</v>
      </c>
    </row>
    <row r="104" spans="1:9" ht="14.25" customHeight="1">
      <c r="A104" s="73">
        <v>2084007016</v>
      </c>
      <c r="B104" s="73" t="s">
        <v>8315</v>
      </c>
      <c r="C104" s="73" t="s">
        <v>8517</v>
      </c>
      <c r="D104" s="11" t="str">
        <f t="shared" ref="D104:D117" si="16">CONCATENATE("0,","22152,2084005202,",A104)</f>
        <v>0,22152,2084005202,2084007016</v>
      </c>
      <c r="E104" s="3" t="str">
        <f ca="1">IFERROR(__xludf.DUMMYFUNCTION("GOOGLETRANSLATE(B112,""ja"",""vi"")"),"R &amp; B, soul")</f>
        <v>R &amp; B, soul</v>
      </c>
      <c r="F104" s="3" t="str">
        <f ca="1">IFERROR(__xludf.DUMMYFUNCTION("GOOGLETRANSLATE(C112,""ja"",""vi"")"),"Đấu giá&gt; nhạc&gt; đĩa laze&gt; R &amp; B, soul")</f>
        <v>Đấu giá&gt; nhạc&gt; đĩa laze&gt; R &amp; B, soul</v>
      </c>
      <c r="H104" s="229" t="str">
        <f t="shared" ca="1" si="9"/>
        <v>"2084007016" : "R &amp; B, soul",</v>
      </c>
      <c r="I104" s="229" t="str">
        <f t="shared" si="15"/>
        <v>&lt;li class="col-md-3"&gt;&lt;a class="text-cut" href="javascript:;"(click)="categoryEvent(2084007016)"&gt;{{"2084007016" | translate}}&lt;/a&gt;&lt;/li&gt;</v>
      </c>
    </row>
    <row r="105" spans="1:9" ht="14.25" customHeight="1">
      <c r="A105" s="73">
        <v>2084007014</v>
      </c>
      <c r="B105" s="73" t="s">
        <v>8284</v>
      </c>
      <c r="C105" s="73" t="s">
        <v>8518</v>
      </c>
      <c r="D105" s="11" t="str">
        <f t="shared" si="16"/>
        <v>0,22152,2084005202,2084007014</v>
      </c>
      <c r="E105" s="3" t="str">
        <f ca="1">IFERROR(__xludf.DUMMYFUNCTION("GOOGLETRANSLATE(B113,""ja"",""vi"")"),"Anime bài hát")</f>
        <v>Anime bài hát</v>
      </c>
      <c r="F105" s="3" t="str">
        <f ca="1">IFERROR(__xludf.DUMMYFUNCTION("GOOGLETRANSLATE(C113,""ja"",""vi"")"),"Đấu giá&gt; nhạc&gt; đĩa laze&gt; bài hát phim hoạt hình")</f>
        <v>Đấu giá&gt; nhạc&gt; đĩa laze&gt; bài hát phim hoạt hình</v>
      </c>
      <c r="H105" s="229" t="str">
        <f t="shared" ca="1" si="9"/>
        <v>"2084007014" : "Anime bài hát",</v>
      </c>
      <c r="I105" s="229" t="str">
        <f t="shared" si="15"/>
        <v>&lt;li class="col-md-3"&gt;&lt;a class="text-cut" href="javascript:;"(click)="categoryEvent(2084007014)"&gt;{{"2084007014" | translate}}&lt;/a&gt;&lt;/li&gt;</v>
      </c>
    </row>
    <row r="106" spans="1:9" ht="14.25" customHeight="1">
      <c r="A106" s="73">
        <v>2084005538</v>
      </c>
      <c r="B106" s="73" t="s">
        <v>8300</v>
      </c>
      <c r="C106" s="73" t="s">
        <v>8519</v>
      </c>
      <c r="D106" s="11" t="str">
        <f t="shared" si="16"/>
        <v>0,22152,2084005202,2084005538</v>
      </c>
      <c r="E106" s="3" t="str">
        <f ca="1">IFERROR(__xludf.DUMMYFUNCTION("GOOGLETRANSLATE(B114,""ja"",""vi"")"),"cổ điển")</f>
        <v>cổ điển</v>
      </c>
      <c r="F106" s="3" t="str">
        <f ca="1">IFERROR(__xludf.DUMMYFUNCTION("GOOGLETRANSLATE(C114,""ja"",""vi"")"),"Đấu giá&gt; nhạc&gt; đĩa laze&gt; cổ điển")</f>
        <v>Đấu giá&gt; nhạc&gt; đĩa laze&gt; cổ điển</v>
      </c>
      <c r="H106" s="229" t="str">
        <f t="shared" ca="1" si="9"/>
        <v>"2084005538" : "cổ điển",</v>
      </c>
      <c r="I106" s="229" t="str">
        <f t="shared" si="15"/>
        <v>&lt;li class="col-md-3"&gt;&lt;a class="text-cut" href="javascript:;"(click)="categoryEvent(2084005538)"&gt;{{"2084005538" | translate}}&lt;/a&gt;&lt;/li&gt;</v>
      </c>
    </row>
    <row r="107" spans="1:9" ht="14.25" customHeight="1">
      <c r="A107" s="73">
        <v>2084007012</v>
      </c>
      <c r="B107" s="73" t="s">
        <v>8522</v>
      </c>
      <c r="C107" s="73" t="s">
        <v>8523</v>
      </c>
      <c r="D107" s="11" t="str">
        <f t="shared" si="16"/>
        <v>0,22152,2084005202,2084007012</v>
      </c>
      <c r="E107" s="3" t="str">
        <f ca="1">IFERROR(__xludf.DUMMYFUNCTION("GOOGLETRANSLATE(B115,""ja"",""vi"")"),"Club, Dan")</f>
        <v>Club, Dan</v>
      </c>
      <c r="F107" s="3" t="str">
        <f ca="1">IFERROR(__xludf.DUMMYFUNCTION("GOOGLETRANSLATE(C115,""ja"",""vi"")"),"Đấu giá&gt; nhạc&gt; đĩa laze&gt; Club, Dance")</f>
        <v>Đấu giá&gt; nhạc&gt; đĩa laze&gt; Club, Dance</v>
      </c>
      <c r="H107" s="229" t="str">
        <f t="shared" ca="1" si="9"/>
        <v>"2084007012" : "Club, Dan",</v>
      </c>
      <c r="I107" s="229" t="str">
        <f t="shared" si="15"/>
        <v>&lt;li class="col-md-3"&gt;&lt;a class="text-cut" href="javascript:;"(click)="categoryEvent(2084007012)"&gt;{{"2084007012" | translate}}&lt;/a&gt;&lt;/li&gt;</v>
      </c>
    </row>
    <row r="108" spans="1:9" ht="14.25" customHeight="1">
      <c r="A108" s="73">
        <v>2084007015</v>
      </c>
      <c r="B108" s="73" t="s">
        <v>8308</v>
      </c>
      <c r="C108" s="73" t="s">
        <v>8526</v>
      </c>
      <c r="D108" s="11" t="str">
        <f t="shared" si="16"/>
        <v>0,22152,2084005202,2084007015</v>
      </c>
      <c r="E108" s="3" t="str">
        <f ca="1">IFERROR(__xludf.DUMMYFUNCTION("GOOGLETRANSLATE(B116,""ja"",""vi"")"),"trò chơi âm nhạc")</f>
        <v>trò chơi âm nhạc</v>
      </c>
      <c r="F108" s="3" t="str">
        <f ca="1">IFERROR(__xludf.DUMMYFUNCTION("GOOGLETRANSLATE(C116,""ja"",""vi"")"),"Đấu giá&gt; nhạc&gt; đĩa laze&gt; trò chơi âm nhạc")</f>
        <v>Đấu giá&gt; nhạc&gt; đĩa laze&gt; trò chơi âm nhạc</v>
      </c>
      <c r="H108" s="229" t="str">
        <f t="shared" ca="1" si="9"/>
        <v>"2084007015" : "trò chơi âm nhạc",</v>
      </c>
      <c r="I108" s="229" t="str">
        <f t="shared" si="15"/>
        <v>&lt;li class="col-md-3"&gt;&lt;a class="text-cut" href="javascript:;"(click)="categoryEvent(2084007015)"&gt;{{"2084007015" | translate}}&lt;/a&gt;&lt;/li&gt;</v>
      </c>
    </row>
    <row r="109" spans="1:9" ht="14.25" customHeight="1">
      <c r="A109" s="73">
        <v>2084005539</v>
      </c>
      <c r="B109" s="73" t="s">
        <v>8291</v>
      </c>
      <c r="C109" s="73" t="s">
        <v>8527</v>
      </c>
      <c r="D109" s="11" t="str">
        <f t="shared" si="16"/>
        <v>0,22152,2084005202,2084005539</v>
      </c>
      <c r="E109" s="3" t="str">
        <f ca="1">IFERROR(__xludf.DUMMYFUNCTION("GOOGLETRANSLATE(B117,""ja"",""vi"")"),"nhạc jazz")</f>
        <v>nhạc jazz</v>
      </c>
      <c r="F109" s="3" t="str">
        <f ca="1">IFERROR(__xludf.DUMMYFUNCTION("GOOGLETRANSLATE(C117,""ja"",""vi"")"),"Đấu giá&gt; nhạc&gt; đĩa laze&gt; Jazz")</f>
        <v>Đấu giá&gt; nhạc&gt; đĩa laze&gt; Jazz</v>
      </c>
      <c r="H109" s="229" t="str">
        <f t="shared" ca="1" si="9"/>
        <v>"2084005539" : "nhạc jazz",</v>
      </c>
      <c r="I109" s="229" t="str">
        <f t="shared" si="15"/>
        <v>&lt;li class="col-md-3"&gt;&lt;a class="text-cut" href="javascript:;"(click)="categoryEvent(2084005539)"&gt;{{"2084005539" | translate}}&lt;/a&gt;&lt;/li&gt;</v>
      </c>
    </row>
    <row r="110" spans="1:9" ht="14.25" customHeight="1">
      <c r="A110" s="73">
        <v>2084005540</v>
      </c>
      <c r="B110" s="73" t="s">
        <v>8271</v>
      </c>
      <c r="C110" s="73" t="s">
        <v>8528</v>
      </c>
      <c r="D110" s="11" t="str">
        <f t="shared" si="16"/>
        <v>0,22152,2084005202,2084005540</v>
      </c>
      <c r="E110" s="3" t="str">
        <f ca="1">IFERROR(__xludf.DUMMYFUNCTION("GOOGLETRANSLATE(B118,""ja"",""vi"")"),"Pop Nhật Bản")</f>
        <v>Pop Nhật Bản</v>
      </c>
      <c r="F110" s="3" t="str">
        <f ca="1">IFERROR(__xludf.DUMMYFUNCTION("GOOGLETRANSLATE(C118,""ja"",""vi"")"),"Đấu giá&gt; nhạc&gt; đĩa laze&gt; Nhật Bản Pop")</f>
        <v>Đấu giá&gt; nhạc&gt; đĩa laze&gt; Nhật Bản Pop</v>
      </c>
      <c r="H110" s="229" t="str">
        <f t="shared" ca="1" si="9"/>
        <v>"2084005540" : "Pop Nhật Bản",</v>
      </c>
      <c r="I110" s="229" t="str">
        <f t="shared" si="15"/>
        <v>&lt;li class="col-md-3"&gt;&lt;a class="text-cut" href="javascript:;"(click)="categoryEvent(2084005540)"&gt;{{"2084005540" | translate}}&lt;/a&gt;&lt;/li&gt;</v>
      </c>
    </row>
    <row r="111" spans="1:9" ht="14.25" customHeight="1">
      <c r="A111" s="73">
        <v>2084007017</v>
      </c>
      <c r="B111" s="73" t="s">
        <v>8333</v>
      </c>
      <c r="C111" s="73" t="s">
        <v>8530</v>
      </c>
      <c r="D111" s="11" t="str">
        <f t="shared" si="16"/>
        <v>0,22152,2084005202,2084007017</v>
      </c>
      <c r="E111" s="3" t="str">
        <f ca="1">IFERROR(__xludf.DUMMYFUNCTION("GOOGLETRANSLATE(B119,""ja"",""vi"")"),"màu xanh")</f>
        <v>màu xanh</v>
      </c>
      <c r="F111" s="3" t="str">
        <f ca="1">IFERROR(__xludf.DUMMYFUNCTION("GOOGLETRANSLATE(C119,""ja"",""vi"")"),"Đấu giá&gt; nhạc&gt; đĩa laze&gt; Blues")</f>
        <v>Đấu giá&gt; nhạc&gt; đĩa laze&gt; Blues</v>
      </c>
      <c r="H111" s="229" t="str">
        <f t="shared" ca="1" si="9"/>
        <v>"2084007017" : "màu xanh",</v>
      </c>
      <c r="I111" s="229" t="str">
        <f t="shared" si="15"/>
        <v>&lt;li class="col-md-3"&gt;&lt;a class="text-cut" href="javascript:;"(click)="categoryEvent(2084007017)"&gt;{{"2084007017" | translate}}&lt;/a&gt;&lt;/li&gt;</v>
      </c>
    </row>
    <row r="112" spans="1:9" ht="14.25" customHeight="1">
      <c r="A112" s="73">
        <v>2084007018</v>
      </c>
      <c r="B112" s="73" t="s">
        <v>8320</v>
      </c>
      <c r="C112" s="73" t="s">
        <v>8531</v>
      </c>
      <c r="D112" s="11" t="str">
        <f t="shared" si="16"/>
        <v>0,22152,2084005202,2084007018</v>
      </c>
      <c r="E112" s="3" t="str">
        <f ca="1">IFERROR(__xludf.DUMMYFUNCTION("GOOGLETRANSLATE(B120,""ja"",""vi"")"),"Rap, hip hop")</f>
        <v>Rap, hip hop</v>
      </c>
      <c r="F112" s="3" t="str">
        <f ca="1">IFERROR(__xludf.DUMMYFUNCTION("GOOGLETRANSLATE(C120,""ja"",""vi"")"),"Đấu giá&gt; nhạc&gt; đĩa laze&gt; rap, hip-hop")</f>
        <v>Đấu giá&gt; nhạc&gt; đĩa laze&gt; rap, hip-hop</v>
      </c>
      <c r="H112" s="229" t="str">
        <f t="shared" ca="1" si="9"/>
        <v>"2084007018" : "Rap, hip hop",</v>
      </c>
      <c r="I112" s="229" t="str">
        <f t="shared" si="15"/>
        <v>&lt;li class="col-md-3"&gt;&lt;a class="text-cut" href="javascript:;"(click)="categoryEvent(2084007018)"&gt;{{"2084007018" | translate}}&lt;/a&gt;&lt;/li&gt;</v>
      </c>
    </row>
    <row r="113" spans="1:9" ht="14.25" customHeight="1">
      <c r="A113" s="73">
        <v>2084005541</v>
      </c>
      <c r="B113" s="73" t="s">
        <v>8276</v>
      </c>
      <c r="C113" s="73" t="s">
        <v>8534</v>
      </c>
      <c r="D113" s="11" t="str">
        <f t="shared" si="16"/>
        <v>0,22152,2084005202,2084005541</v>
      </c>
      <c r="E113" s="3" t="str">
        <f ca="1">IFERROR(__xludf.DUMMYFUNCTION("GOOGLETRANSLATE(B121,""ja"",""vi"")"),"Rock, Pop (Western)")</f>
        <v>Rock, Pop (Western)</v>
      </c>
      <c r="F113" s="3" t="str">
        <f ca="1">IFERROR(__xludf.DUMMYFUNCTION("GOOGLETRANSLATE(C121,""ja"",""vi"")"),"Đấu giá&gt; nhạc&gt; đĩa laze&gt; Rock, Pop (Western)")</f>
        <v>Đấu giá&gt; nhạc&gt; đĩa laze&gt; Rock, Pop (Western)</v>
      </c>
      <c r="H113" s="229" t="str">
        <f t="shared" ca="1" si="9"/>
        <v>"2084005541" : "Rock, Pop (Western)",</v>
      </c>
      <c r="I113" s="229" t="str">
        <f t="shared" si="15"/>
        <v>&lt;li class="col-md-3"&gt;&lt;a class="text-cut" href="javascript:;"(click)="categoryEvent(2084005541)"&gt;{{"2084005541" | translate}}&lt;/a&gt;&lt;/li&gt;</v>
      </c>
    </row>
    <row r="114" spans="1:9" ht="14.25" customHeight="1">
      <c r="A114" s="73">
        <v>2084007019</v>
      </c>
      <c r="B114" s="73" t="s">
        <v>8305</v>
      </c>
      <c r="C114" s="73" t="s">
        <v>8535</v>
      </c>
      <c r="D114" s="11" t="str">
        <f t="shared" si="16"/>
        <v>0,22152,2084005202,2084007019</v>
      </c>
      <c r="E114" s="3" t="str">
        <f ca="1">IFERROR(__xludf.DUMMYFUNCTION("GOOGLETRANSLATE(B122,""ja"",""vi"")"),"Âm nhạc thế giới")</f>
        <v>Âm nhạc thế giới</v>
      </c>
      <c r="F114" s="3" t="str">
        <f ca="1">IFERROR(__xludf.DUMMYFUNCTION("GOOGLETRANSLATE(C122,""ja"",""vi"")"),"Đấu giá&gt; nhạc&gt; đĩa laze&gt; Âm nhạc thế giới")</f>
        <v>Đấu giá&gt; nhạc&gt; đĩa laze&gt; Âm nhạc thế giới</v>
      </c>
      <c r="H114" s="229" t="str">
        <f t="shared" ca="1" si="9"/>
        <v>"2084007019" : "Âm nhạc thế giới",</v>
      </c>
      <c r="I114" s="229" t="str">
        <f t="shared" si="15"/>
        <v>&lt;li class="col-md-3"&gt;&lt;a class="text-cut" href="javascript:;"(click)="categoryEvent(2084007019)"&gt;{{"2084007019" | translate}}&lt;/a&gt;&lt;/li&gt;</v>
      </c>
    </row>
    <row r="115" spans="1:9" ht="14.25" customHeight="1">
      <c r="A115" s="73">
        <v>2084007013</v>
      </c>
      <c r="B115" s="73" t="s">
        <v>7573</v>
      </c>
      <c r="C115" s="73" t="s">
        <v>8536</v>
      </c>
      <c r="D115" s="11" t="str">
        <f t="shared" si="16"/>
        <v>0,22152,2084005202,2084007013</v>
      </c>
      <c r="E115" s="3" t="str">
        <f ca="1">IFERROR(__xludf.DUMMYFUNCTION("GOOGLETRANSLATE(B123,""ja"",""vi"")"),"phim âm nhạc")</f>
        <v>phim âm nhạc</v>
      </c>
      <c r="F115" s="3" t="str">
        <f ca="1">IFERROR(__xludf.DUMMYFUNCTION("GOOGLETRANSLATE(C123,""ja"",""vi"")"),"Đấu giá&gt; nhạc&gt; đĩa laze&gt; Phim Âm nhạc")</f>
        <v>Đấu giá&gt; nhạc&gt; đĩa laze&gt; Phim Âm nhạc</v>
      </c>
      <c r="H115" s="229" t="str">
        <f t="shared" ca="1" si="9"/>
        <v>"2084007013" : "phim âm nhạc",</v>
      </c>
      <c r="I115" s="229" t="str">
        <f t="shared" si="15"/>
        <v>&lt;li class="col-md-3"&gt;&lt;a class="text-cut" href="javascript:;"(click)="categoryEvent(2084007013)"&gt;{{"2084007013" | translate}}&lt;/a&gt;&lt;/li&gt;</v>
      </c>
    </row>
    <row r="116" spans="1:9" ht="14.25" customHeight="1">
      <c r="A116" s="73">
        <v>2084007020</v>
      </c>
      <c r="B116" s="73" t="s">
        <v>8352</v>
      </c>
      <c r="C116" s="73" t="s">
        <v>8541</v>
      </c>
      <c r="D116" s="11" t="str">
        <f t="shared" si="16"/>
        <v>0,22152,2084005202,2084007020</v>
      </c>
      <c r="E116" s="3" t="str">
        <f ca="1">IFERROR(__xludf.DUMMYFUNCTION("GOOGLETRANSLATE(B124,""ja"",""vi"")"),"Vườn ươm vần, giáo dục")</f>
        <v>Vườn ươm vần, giáo dục</v>
      </c>
      <c r="F116" s="3" t="str">
        <f ca="1">IFERROR(__xludf.DUMMYFUNCTION("GOOGLETRANSLATE(C124,""ja"",""vi"")"),"Đấu giá&gt; nhạc&gt; đĩa laze&gt; vườn ươm vần, giáo dục")</f>
        <v>Đấu giá&gt; nhạc&gt; đĩa laze&gt; vườn ươm vần, giáo dục</v>
      </c>
      <c r="H116" s="229" t="str">
        <f t="shared" ca="1" si="9"/>
        <v>"2084007020" : "Vườn ươm vần, giáo dục",</v>
      </c>
      <c r="I116" s="229" t="str">
        <f t="shared" si="15"/>
        <v>&lt;li class="col-md-3"&gt;&lt;a class="text-cut" href="javascript:;"(click)="categoryEvent(2084007020)"&gt;{{"2084007020" | translate}}&lt;/a&gt;&lt;/li&gt;</v>
      </c>
    </row>
    <row r="117" spans="1:9" ht="14.25" customHeight="1">
      <c r="A117" s="73">
        <v>2084005542</v>
      </c>
      <c r="B117" s="73" t="s">
        <v>16</v>
      </c>
      <c r="C117" s="73" t="s">
        <v>8542</v>
      </c>
      <c r="D117" s="11" t="str">
        <f t="shared" si="16"/>
        <v>0,22152,2084005202,2084005542</v>
      </c>
      <c r="E117" s="3" t="str">
        <f ca="1">IFERROR(__xludf.DUMMYFUNCTION("GOOGLETRANSLATE(B125,""ja"",""vi"")"),"nếu không thì")</f>
        <v>nếu không thì</v>
      </c>
      <c r="F117" s="3" t="str">
        <f ca="1">IFERROR(__xludf.DUMMYFUNCTION("GOOGLETRANSLATE(C125,""ja"",""vi"")"),"Đấu giá&gt; nhạc&gt; đĩa laze&gt; Khác")</f>
        <v>Đấu giá&gt; nhạc&gt; đĩa laze&gt; Khác</v>
      </c>
      <c r="H117" s="229" t="str">
        <f t="shared" ca="1" si="9"/>
        <v>"2084005542" : "nếu không thì",</v>
      </c>
      <c r="I117" s="229" t="str">
        <f t="shared" si="15"/>
        <v>&lt;li class="col-md-3"&gt;&lt;a class="text-cut" href="javascript:;"(click)="categoryEvent(2084005542)"&gt;{{"2084005542" | translate}}&lt;/a&gt;&lt;/li&gt;</v>
      </c>
    </row>
    <row r="118" spans="1:9" ht="14.25" customHeight="1">
      <c r="E118" s="3"/>
      <c r="F118" s="3"/>
      <c r="H118" s="229" t="str">
        <f t="shared" si="9"/>
        <v>"" : "",</v>
      </c>
      <c r="I118" s="229"/>
    </row>
    <row r="119" spans="1:9" ht="25.2" customHeight="1">
      <c r="A119" s="309">
        <v>2084224176</v>
      </c>
      <c r="B119" s="232"/>
      <c r="C119" s="232"/>
      <c r="D119" s="233"/>
      <c r="E119" s="3"/>
      <c r="F119" s="3"/>
      <c r="H119" s="229" t="str">
        <f t="shared" si="9"/>
        <v>"2084224176" : "",</v>
      </c>
      <c r="I119" s="229"/>
    </row>
    <row r="120" spans="1:9" ht="14.25" customHeight="1">
      <c r="A120" s="73">
        <v>2084224178</v>
      </c>
      <c r="B120" s="73" t="s">
        <v>8300</v>
      </c>
      <c r="C120" s="73" t="s">
        <v>8548</v>
      </c>
      <c r="D120" s="11" t="str">
        <f t="shared" ref="D120:D122" si="17">CONCATENATE("0,","20000,2084048439,2084224176,",A120)</f>
        <v>0,20000,2084048439,2084224176,2084224178</v>
      </c>
      <c r="E120" s="3" t="str">
        <f ca="1">IFERROR(__xludf.DUMMYFUNCTION("GOOGLETRANSLATE(B129,""ja"",""vi"")"),"cổ điển")</f>
        <v>cổ điển</v>
      </c>
      <c r="F120" s="3" t="str">
        <f ca="1">IFERROR(__xludf.DUMMYFUNCTION("GOOGLETRANSLATE(C129,""ja"",""vi"")"),"Đấu giá&gt; cổ, bộ sưu tập&gt; máy hát&gt; SP phiên bản&gt; cổ điển")</f>
        <v>Đấu giá&gt; cổ, bộ sưu tập&gt; máy hát&gt; SP phiên bản&gt; cổ điển</v>
      </c>
      <c r="H120" s="229" t="str">
        <f t="shared" ca="1" si="9"/>
        <v>"2084224178" : "cổ điển",</v>
      </c>
      <c r="I120" s="229" t="str">
        <f>CONCATENATE("&lt;li class=",CHAR(34)&amp;"","col-md-3",""&amp;CHAR(34),"&gt;","&lt;a class=",CHAR(34)&amp;"","text-cut",""&amp;CHAR(34)," href=",CHAR(34)&amp;"","javascript:;",""&amp;CHAR(34), "(click)=",CHAR(34)&amp;"","categoryEvent(",A120,")",""&amp;CHAR(34),"&gt;{{",CHAR(34)&amp;"",A120,""&amp;CHAR(34)," | translate}}&lt;/a&gt;&lt;/li&gt;")</f>
        <v>&lt;li class="col-md-3"&gt;&lt;a class="text-cut" href="javascript:;"(click)="categoryEvent(2084224178)"&gt;{{"2084224178" | translate}}&lt;/a&gt;&lt;/li&gt;</v>
      </c>
    </row>
    <row r="121" spans="1:9" ht="14.25" customHeight="1">
      <c r="A121" s="73">
        <v>2084224179</v>
      </c>
      <c r="B121" s="73" t="s">
        <v>8291</v>
      </c>
      <c r="C121" s="73" t="s">
        <v>8549</v>
      </c>
      <c r="D121" s="11" t="str">
        <f t="shared" si="17"/>
        <v>0,20000,2084048439,2084224176,2084224179</v>
      </c>
      <c r="E121" s="3" t="str">
        <f ca="1">IFERROR(__xludf.DUMMYFUNCTION("GOOGLETRANSLATE(B130,""ja"",""vi"")"),"nhạc jazz")</f>
        <v>nhạc jazz</v>
      </c>
      <c r="F121" s="3" t="str">
        <f ca="1">IFERROR(__xludf.DUMMYFUNCTION("GOOGLETRANSLATE(C130,""ja"",""vi"")"),"Đấu giá&gt; cổ, bộ sưu tập&gt; máy hát&gt; SP Máy móc&gt; Jazz")</f>
        <v>Đấu giá&gt; cổ, bộ sưu tập&gt; máy hát&gt; SP Máy móc&gt; Jazz</v>
      </c>
      <c r="H121" s="229" t="str">
        <f t="shared" ca="1" si="9"/>
        <v>"2084224179" : "nhạc jazz",</v>
      </c>
      <c r="I121" s="229" t="str">
        <f>CONCATENATE("&lt;li class=",CHAR(34)&amp;"","col-md-3",""&amp;CHAR(34),"&gt;","&lt;a class=",CHAR(34)&amp;"","text-cut",""&amp;CHAR(34)," href=",CHAR(34)&amp;"","javascript:;",""&amp;CHAR(34), "(click)=",CHAR(34)&amp;"","categoryEvent(",A121,")",""&amp;CHAR(34),"&gt;{{",CHAR(34)&amp;"",A121,""&amp;CHAR(34)," | translate}}&lt;/a&gt;&lt;/li&gt;")</f>
        <v>&lt;li class="col-md-3"&gt;&lt;a class="text-cut" href="javascript:;"(click)="categoryEvent(2084224179)"&gt;{{"2084224179" | translate}}&lt;/a&gt;&lt;/li&gt;</v>
      </c>
    </row>
    <row r="122" spans="1:9" ht="14.25" customHeight="1">
      <c r="A122" s="73">
        <v>2084224180</v>
      </c>
      <c r="B122" s="73" t="s">
        <v>16</v>
      </c>
      <c r="C122" s="73" t="s">
        <v>8552</v>
      </c>
      <c r="D122" s="11" t="str">
        <f t="shared" si="17"/>
        <v>0,20000,2084048439,2084224176,2084224180</v>
      </c>
      <c r="E122" s="3" t="str">
        <f ca="1">IFERROR(__xludf.DUMMYFUNCTION("GOOGLETRANSLATE(B131,""ja"",""vi"")"),"nếu không thì")</f>
        <v>nếu không thì</v>
      </c>
      <c r="F122" s="3" t="str">
        <f ca="1">IFERROR(__xludf.DUMMYFUNCTION("GOOGLETRANSLATE(C131,""ja"",""vi"")"),"Đấu giá&gt; cổ, bộ sưu tập&gt; máy hát&gt; SP Máy móc&gt; Khác")</f>
        <v>Đấu giá&gt; cổ, bộ sưu tập&gt; máy hát&gt; SP Máy móc&gt; Khác</v>
      </c>
      <c r="H122" s="229" t="str">
        <f t="shared" ca="1" si="9"/>
        <v>"2084224180" : "nếu không thì",</v>
      </c>
      <c r="I122" s="229" t="str">
        <f>CONCATENATE("&lt;li class=",CHAR(34)&amp;"","col-md-3",""&amp;CHAR(34),"&gt;","&lt;a class=",CHAR(34)&amp;"","text-cut",""&amp;CHAR(34)," href=",CHAR(34)&amp;"","javascript:;",""&amp;CHAR(34), "(click)=",CHAR(34)&amp;"","categoryEvent(",A122,")",""&amp;CHAR(34),"&gt;{{",CHAR(34)&amp;"",A122,""&amp;CHAR(34)," | translate}}&lt;/a&gt;&lt;/li&gt;")</f>
        <v>&lt;li class="col-md-3"&gt;&lt;a class="text-cut" href="javascript:;"(click)="categoryEvent(2084224180)"&gt;{{"2084224180" | translate}}&lt;/a&gt;&lt;/li&gt;</v>
      </c>
    </row>
    <row r="123" spans="1:9" ht="14.25" customHeight="1">
      <c r="E123" s="3"/>
      <c r="F123" s="3"/>
      <c r="H123" s="229" t="str">
        <f t="shared" si="9"/>
        <v>"" : "",</v>
      </c>
      <c r="I123" s="229"/>
    </row>
    <row r="124" spans="1:9" ht="14.25" customHeight="1">
      <c r="E124" s="3"/>
      <c r="F124" s="3"/>
      <c r="H124" s="229" t="str">
        <f t="shared" si="9"/>
        <v>"" : "",</v>
      </c>
      <c r="I124" s="229"/>
    </row>
    <row r="125" spans="1:9" ht="24" customHeight="1">
      <c r="A125" s="310">
        <v>22436</v>
      </c>
      <c r="B125" s="232"/>
      <c r="C125" s="232"/>
      <c r="D125" s="233"/>
      <c r="E125" s="3"/>
      <c r="F125" s="3"/>
      <c r="H125" s="229" t="str">
        <f t="shared" si="9"/>
        <v>"22436" : "",</v>
      </c>
      <c r="I125" s="229"/>
    </row>
    <row r="126" spans="1:9" ht="14.25" customHeight="1">
      <c r="A126" s="73">
        <v>22476</v>
      </c>
      <c r="B126" s="73" t="s">
        <v>6613</v>
      </c>
      <c r="C126" s="73" t="s">
        <v>6616</v>
      </c>
      <c r="D126" s="11" t="str">
        <f t="shared" ref="D126:D146" si="18">CONCATENATE("0,","24242,22436,",A126)</f>
        <v>0,24242,22436,22476</v>
      </c>
      <c r="E126" s="3" t="str">
        <f ca="1">IFERROR(__xludf.DUMMYFUNCTION("GOOGLETRANSLATE(B135,""ja"",""vi"")"),"Guitar")</f>
        <v>Guitar</v>
      </c>
      <c r="F126" s="3" t="str">
        <f ca="1">IFERROR(__xludf.DUMMYFUNCTION("GOOGLETRANSLATE(C135,""ja"",""vi"")"),"Đấu giá&gt; Sở thích, văn hóa&gt; nhạc cụ, thiết bị&gt; guitar")</f>
        <v>Đấu giá&gt; Sở thích, văn hóa&gt; nhạc cụ, thiết bị&gt; guitar</v>
      </c>
      <c r="H126" s="229" t="str">
        <f t="shared" ca="1" si="9"/>
        <v>"22476" : "Guitar",</v>
      </c>
      <c r="I126" s="229" t="str">
        <f t="shared" ref="I126:I146" si="19">CONCATENATE("&lt;li class=",CHAR(34)&amp;"","col-md-3",""&amp;CHAR(34),"&gt;","&lt;a class=",CHAR(34)&amp;"","text-cut",""&amp;CHAR(34)," href=",CHAR(34)&amp;"","javascript:;",""&amp;CHAR(34), "(click)=",CHAR(34)&amp;"","categoryEvent(",A126,")",""&amp;CHAR(34),"&gt;{{",CHAR(34)&amp;"",A126,""&amp;CHAR(34)," | translate}}&lt;/a&gt;&lt;/li&gt;")</f>
        <v>&lt;li class="col-md-3"&gt;&lt;a class="text-cut" href="javascript:;"(click)="categoryEvent(22476)"&gt;{{"22476" | translate}}&lt;/a&gt;&lt;/li&gt;</v>
      </c>
    </row>
    <row r="127" spans="1:9" ht="14.25" customHeight="1">
      <c r="A127" s="73">
        <v>22480</v>
      </c>
      <c r="B127" s="73" t="s">
        <v>6622</v>
      </c>
      <c r="C127" s="73" t="s">
        <v>6624</v>
      </c>
      <c r="D127" s="11" t="str">
        <f t="shared" si="18"/>
        <v>0,24242,22436,22480</v>
      </c>
      <c r="E127" s="3" t="str">
        <f ca="1">IFERROR(__xludf.DUMMYFUNCTION("GOOGLETRANSLATE(B136,""ja"",""vi"")"),"căn cứ")</f>
        <v>căn cứ</v>
      </c>
      <c r="F127" s="3" t="str">
        <f ca="1">IFERROR(__xludf.DUMMYFUNCTION("GOOGLETRANSLATE(C136,""ja"",""vi"")"),"Đấu giá&gt; Sở thích, văn hóa&gt; nhạc cụ, thiết bị&gt; cơ sở")</f>
        <v>Đấu giá&gt; Sở thích, văn hóa&gt; nhạc cụ, thiết bị&gt; cơ sở</v>
      </c>
      <c r="H127" s="229" t="str">
        <f t="shared" ca="1" si="9"/>
        <v>"22480" : "căn cứ",</v>
      </c>
      <c r="I127" s="229" t="str">
        <f t="shared" si="19"/>
        <v>&lt;li class="col-md-3"&gt;&lt;a class="text-cut" href="javascript:;"(click)="categoryEvent(22480)"&gt;{{"22480" | translate}}&lt;/a&gt;&lt;/li&gt;</v>
      </c>
    </row>
    <row r="128" spans="1:9" ht="14.25" customHeight="1">
      <c r="A128" s="73">
        <v>22572</v>
      </c>
      <c r="B128" s="73" t="s">
        <v>6629</v>
      </c>
      <c r="C128" s="73" t="s">
        <v>6630</v>
      </c>
      <c r="D128" s="11" t="str">
        <f t="shared" si="18"/>
        <v>0,24242,22436,22572</v>
      </c>
      <c r="E128" s="3" t="str">
        <f ca="1">IFERROR(__xludf.DUMMYFUNCTION("GOOGLETRANSLATE(B137,""ja"",""vi"")"),"nhạc cụ dây")</f>
        <v>nhạc cụ dây</v>
      </c>
      <c r="F128" s="3" t="str">
        <f ca="1">IFERROR(__xludf.DUMMYFUNCTION("GOOGLETRANSLATE(C137,""ja"",""vi"")"),"Đấu giá&gt; Sở thích, văn hóa&gt; nhạc cụ, thiết bị&gt; nhạc cụ dây")</f>
        <v>Đấu giá&gt; Sở thích, văn hóa&gt; nhạc cụ, thiết bị&gt; nhạc cụ dây</v>
      </c>
      <c r="H128" s="229" t="str">
        <f t="shared" ca="1" si="9"/>
        <v>"22572" : "nhạc cụ dây",</v>
      </c>
      <c r="I128" s="229" t="str">
        <f t="shared" si="19"/>
        <v>&lt;li class="col-md-3"&gt;&lt;a class="text-cut" href="javascript:;"(click)="categoryEvent(22572)"&gt;{{"22572" | translate}}&lt;/a&gt;&lt;/li&gt;</v>
      </c>
    </row>
    <row r="129" spans="1:9" ht="14.25" customHeight="1">
      <c r="A129" s="73">
        <v>22440</v>
      </c>
      <c r="B129" s="73" t="s">
        <v>6636</v>
      </c>
      <c r="C129" s="73" t="s">
        <v>6638</v>
      </c>
      <c r="D129" s="11" t="str">
        <f t="shared" si="18"/>
        <v>0,24242,22436,22440</v>
      </c>
      <c r="E129" s="3" t="str">
        <f ca="1">IFERROR(__xludf.DUMMYFUNCTION("GOOGLETRANSLATE(B138,""ja"",""vi"")"),"gió cụ")</f>
        <v>gió cụ</v>
      </c>
      <c r="F129" s="3" t="str">
        <f ca="1">IFERROR(__xludf.DUMMYFUNCTION("GOOGLETRANSLATE(C138,""ja"",""vi"")"),"Đấu giá&gt; Sở thích, văn hóa&gt; nhạc cụ, thiết bị&gt; kèn")</f>
        <v>Đấu giá&gt; Sở thích, văn hóa&gt; nhạc cụ, thiết bị&gt; kèn</v>
      </c>
      <c r="H129" s="229" t="str">
        <f t="shared" ca="1" si="9"/>
        <v>"22440" : "gió cụ",</v>
      </c>
      <c r="I129" s="229" t="str">
        <f t="shared" si="19"/>
        <v>&lt;li class="col-md-3"&gt;&lt;a class="text-cut" href="javascript:;"(click)="categoryEvent(22440)"&gt;{{"22440" | translate}}&lt;/a&gt;&lt;/li&gt;</v>
      </c>
    </row>
    <row r="130" spans="1:9" ht="14.25" customHeight="1">
      <c r="A130" s="73">
        <v>22532</v>
      </c>
      <c r="B130" s="73" t="s">
        <v>6642</v>
      </c>
      <c r="C130" s="73" t="s">
        <v>6645</v>
      </c>
      <c r="D130" s="11" t="str">
        <f t="shared" si="18"/>
        <v>0,24242,22436,22532</v>
      </c>
      <c r="E130" s="3" t="str">
        <f ca="1">IFERROR(__xludf.DUMMYFUNCTION("GOOGLETRANSLATE(B139,""ja"",""vi"")"),"công cụ bàn phím")</f>
        <v>công cụ bàn phím</v>
      </c>
      <c r="F130" s="3" t="str">
        <f ca="1">IFERROR(__xludf.DUMMYFUNCTION("GOOGLETRANSLATE(C139,""ja"",""vi"")"),"Đấu giá&gt; Sở thích, văn hóa&gt; công cụ và thiết bị âm nhạc&gt; công cụ bàn phím")</f>
        <v>Đấu giá&gt; Sở thích, văn hóa&gt; công cụ và thiết bị âm nhạc&gt; công cụ bàn phím</v>
      </c>
      <c r="H130" s="229" t="str">
        <f t="shared" ca="1" si="9"/>
        <v>"22532" : "công cụ bàn phím",</v>
      </c>
      <c r="I130" s="229" t="str">
        <f t="shared" si="19"/>
        <v>&lt;li class="col-md-3"&gt;&lt;a class="text-cut" href="javascript:;"(click)="categoryEvent(22532)"&gt;{{"22532" | translate}}&lt;/a&gt;&lt;/li&gt;</v>
      </c>
    </row>
    <row r="131" spans="1:9" ht="14.25" customHeight="1">
      <c r="A131" s="73">
        <v>22500</v>
      </c>
      <c r="B131" s="74" t="s">
        <v>8564</v>
      </c>
      <c r="C131" s="73" t="s">
        <v>6649</v>
      </c>
      <c r="D131" s="11" t="str">
        <f t="shared" si="18"/>
        <v>0,24242,22436,22500</v>
      </c>
      <c r="E131" s="3" t="str">
        <f ca="1">IFERROR(__xludf.DUMMYFUNCTION("GOOGLETRANSLATE(B140,""ja"",""vi"")"),"&gt; Cụ Percussion")</f>
        <v>&gt; Cụ Percussion</v>
      </c>
      <c r="F131" s="3" t="str">
        <f ca="1">IFERROR(__xludf.DUMMYFUNCTION("GOOGLETRANSLATE(C140,""ja"",""vi"")"),"Đấu giá&gt; Sở thích, văn hóa&gt; nhạc cụ, thiết bị&gt; nhạc cụ gõ")</f>
        <v>Đấu giá&gt; Sở thích, văn hóa&gt; nhạc cụ, thiết bị&gt; nhạc cụ gõ</v>
      </c>
      <c r="H131" s="229" t="str">
        <f t="shared" ref="H131:H187" ca="1" si="20">CONCATENATE(CHAR(34)&amp;"",A131,""&amp;CHAR(34)," : ", CHAR(34)&amp;"",E131,""&amp;CHAR(34),",")</f>
        <v>"22500" : "&gt; Cụ Percussion",</v>
      </c>
      <c r="I131" s="229" t="str">
        <f t="shared" si="19"/>
        <v>&lt;li class="col-md-3"&gt;&lt;a class="text-cut" href="javascript:;"(click)="categoryEvent(22500)"&gt;{{"22500" | translate}}&lt;/a&gt;&lt;/li&gt;</v>
      </c>
    </row>
    <row r="132" spans="1:9" ht="14.25" customHeight="1">
      <c r="A132" s="73">
        <v>2084305860</v>
      </c>
      <c r="B132" s="73" t="s">
        <v>6653</v>
      </c>
      <c r="C132" s="73" t="s">
        <v>6655</v>
      </c>
      <c r="D132" s="11" t="str">
        <f t="shared" si="18"/>
        <v>0,24242,22436,2084305860</v>
      </c>
      <c r="E132" s="3" t="str">
        <f ca="1">IFERROR(__xludf.DUMMYFUNCTION("GOOGLETRANSLATE(B141,""ja"",""vi"")"),"nhạc cụ Nhật Bản")</f>
        <v>nhạc cụ Nhật Bản</v>
      </c>
      <c r="F132" s="3" t="str">
        <f ca="1">IFERROR(__xludf.DUMMYFUNCTION("GOOGLETRANSLATE(C141,""ja"",""vi"")"),"Đấu giá&gt; Sở thích, văn hóa&gt; công cụ và thiết bị âm nhạc&gt; nhạc cụ Nhật Bản")</f>
        <v>Đấu giá&gt; Sở thích, văn hóa&gt; công cụ và thiết bị âm nhạc&gt; nhạc cụ Nhật Bản</v>
      </c>
      <c r="H132" s="229" t="str">
        <f t="shared" ca="1" si="20"/>
        <v>"2084305860" : "nhạc cụ Nhật Bản",</v>
      </c>
      <c r="I132" s="229" t="str">
        <f t="shared" si="19"/>
        <v>&lt;li class="col-md-3"&gt;&lt;a class="text-cut" href="javascript:;"(click)="categoryEvent(2084305860)"&gt;{{"2084305860" | translate}}&lt;/a&gt;&lt;/li&gt;</v>
      </c>
    </row>
    <row r="133" spans="1:9" ht="14.25" customHeight="1">
      <c r="A133" s="73">
        <v>2084019010</v>
      </c>
      <c r="B133" s="73" t="s">
        <v>8565</v>
      </c>
      <c r="C133" s="73" t="s">
        <v>6662</v>
      </c>
      <c r="D133" s="11" t="str">
        <f t="shared" si="18"/>
        <v>0,24242,22436,2084019010</v>
      </c>
      <c r="E133" s="3" t="str">
        <f ca="1">IFERROR(__xludf.DUMMYFUNCTION("GOOGLETRANSLATE(B142,""ja"",""vi"")"),"Ghi âm, thiết bị PA &lt;")</f>
        <v>Ghi âm, thiết bị PA &lt;</v>
      </c>
      <c r="F133" s="3" t="str">
        <f ca="1">IFERROR(__xludf.DUMMYFUNCTION("GOOGLETRANSLATE(C142,""ja"",""vi"")"),"Đấu giá&gt; Sở thích, văn hóa&gt; nhạc cụ, thiết bị&gt; ghi âm, thiết bị PA")</f>
        <v>Đấu giá&gt; Sở thích, văn hóa&gt; nhạc cụ, thiết bị&gt; ghi âm, thiết bị PA</v>
      </c>
      <c r="H133" s="229" t="str">
        <f t="shared" ca="1" si="20"/>
        <v>"2084019010" : "Ghi âm, thiết bị PA &lt;",</v>
      </c>
      <c r="I133" s="229" t="str">
        <f t="shared" si="19"/>
        <v>&lt;li class="col-md-3"&gt;&lt;a class="text-cut" href="javascript:;"(click)="categoryEvent(2084019010)"&gt;{{"2084019010" | translate}}&lt;/a&gt;&lt;/li&gt;</v>
      </c>
    </row>
    <row r="134" spans="1:9" ht="14.25" customHeight="1">
      <c r="A134" s="73">
        <v>2084261081</v>
      </c>
      <c r="B134" s="73" t="s">
        <v>6669</v>
      </c>
      <c r="C134" s="73" t="s">
        <v>6670</v>
      </c>
      <c r="D134" s="11" t="str">
        <f t="shared" si="18"/>
        <v>0,24242,22436,2084261081</v>
      </c>
      <c r="E134" s="3" t="str">
        <f ca="1">IFERROR(__xludf.DUMMYFUNCTION("GOOGLETRANSLATE(B143,""ja"",""vi"")"),"thiết bị DJ")</f>
        <v>thiết bị DJ</v>
      </c>
      <c r="F134" s="3" t="str">
        <f ca="1">IFERROR(__xludf.DUMMYFUNCTION("GOOGLETRANSLATE(C143,""ja"",""vi"")"),"Đấu giá&gt; Sở thích, văn hóa&gt; nhạc cụ, thiết bị&gt; Thiết bị DJ")</f>
        <v>Đấu giá&gt; Sở thích, văn hóa&gt; nhạc cụ, thiết bị&gt; Thiết bị DJ</v>
      </c>
      <c r="H134" s="229" t="str">
        <f t="shared" ca="1" si="20"/>
        <v>"2084261081" : "thiết bị DJ",</v>
      </c>
      <c r="I134" s="229" t="str">
        <f t="shared" si="19"/>
        <v>&lt;li class="col-md-3"&gt;&lt;a class="text-cut" href="javascript:;"(click)="categoryEvent(2084261081)"&gt;{{"2084261081" | translate}}&lt;/a&gt;&lt;/li&gt;</v>
      </c>
    </row>
    <row r="135" spans="1:9" ht="14.25" customHeight="1">
      <c r="A135" s="73">
        <v>22544</v>
      </c>
      <c r="B135" s="73" t="s">
        <v>6680</v>
      </c>
      <c r="C135" s="73" t="s">
        <v>8566</v>
      </c>
      <c r="D135" s="11" t="str">
        <f t="shared" si="18"/>
        <v>0,24242,22436,22544</v>
      </c>
      <c r="E135" s="3" t="str">
        <f ca="1">IFERROR(__xludf.DUMMYFUNCTION("GOOGLETRANSLATE(B144,""ja"",""vi"")"),"DTM, DAW")</f>
        <v>DTM, DAW</v>
      </c>
      <c r="F135" s="3" t="str">
        <f ca="1">IFERROR(__xludf.DUMMYFUNCTION("GOOGLETRANSLATE(C144,""ja"",""vi"")"),"Đấu giá&gt; Sở thích, văn hóa&gt; nhạc cụ, thiết bị&gt; DTM, DA")</f>
        <v>Đấu giá&gt; Sở thích, văn hóa&gt; nhạc cụ, thiết bị&gt; DTM, DA</v>
      </c>
      <c r="H135" s="229" t="str">
        <f t="shared" ca="1" si="20"/>
        <v>"22544" : "DTM, DAW",</v>
      </c>
      <c r="I135" s="229" t="str">
        <f t="shared" si="19"/>
        <v>&lt;li class="col-md-3"&gt;&lt;a class="text-cut" href="javascript:;"(click)="categoryEvent(22544)"&gt;{{"22544" | translate}}&lt;/a&gt;&lt;/li&gt;</v>
      </c>
    </row>
    <row r="136" spans="1:9" ht="14.25" customHeight="1">
      <c r="A136" s="73">
        <v>2084005286</v>
      </c>
      <c r="B136" s="73" t="s">
        <v>5143</v>
      </c>
      <c r="C136" s="73" t="s">
        <v>6687</v>
      </c>
      <c r="D136" s="11" t="str">
        <f t="shared" si="18"/>
        <v>0,24242,22436,2084005286</v>
      </c>
      <c r="E136" s="3" t="str">
        <f ca="1">IFERROR(__xludf.DUMMYFUNCTION("GOOGLETRANSLATE(B145,""ja"",""vi"")"),"amp")</f>
        <v>amp</v>
      </c>
      <c r="F136" s="3" t="str">
        <f ca="1">IFERROR(__xludf.DUMMYFUNCTION("GOOGLETRANSLATE(C145,""ja"",""vi"")"),"Đấu giá&gt; Sở thích, văn hóa&gt; nhạc cụ, thiết bị&gt; Bộ khuếch đại")</f>
        <v>Đấu giá&gt; Sở thích, văn hóa&gt; nhạc cụ, thiết bị&gt; Bộ khuếch đại</v>
      </c>
      <c r="H136" s="229" t="str">
        <f t="shared" ca="1" si="20"/>
        <v>"2084005286" : "amp",</v>
      </c>
      <c r="I136" s="229" t="str">
        <f t="shared" si="19"/>
        <v>&lt;li class="col-md-3"&gt;&lt;a class="text-cut" href="javascript:;"(click)="categoryEvent(2084005286)"&gt;{{"2084005286" | translate}}&lt;/a&gt;&lt;/li&gt;</v>
      </c>
    </row>
    <row r="137" spans="1:9" ht="14.25" customHeight="1">
      <c r="A137" s="73">
        <v>2084210466</v>
      </c>
      <c r="B137" s="73" t="s">
        <v>6695</v>
      </c>
      <c r="C137" s="73" t="s">
        <v>6697</v>
      </c>
      <c r="D137" s="11" t="str">
        <f t="shared" si="18"/>
        <v>0,24242,22436,2084210466</v>
      </c>
      <c r="E137" s="3" t="str">
        <f ca="1">IFERROR(__xludf.DUMMYFUNCTION("GOOGLETRANSLATE(B146,""ja"",""vi"")"),"máy nhịp")</f>
        <v>máy nhịp</v>
      </c>
      <c r="F137" s="3" t="str">
        <f ca="1">IFERROR(__xludf.DUMMYFUNCTION("GOOGLETRANSLATE(C146,""ja"",""vi"")"),"Đấu giá&gt; Sở thích, văn hóa&gt; nhạc cụ, thiết bị&gt; nhịp")</f>
        <v>Đấu giá&gt; Sở thích, văn hóa&gt; nhạc cụ, thiết bị&gt; nhịp</v>
      </c>
      <c r="H137" s="229" t="str">
        <f t="shared" ca="1" si="20"/>
        <v>"2084210466" : "máy nhịp",</v>
      </c>
      <c r="I137" s="229" t="str">
        <f t="shared" si="19"/>
        <v>&lt;li class="col-md-3"&gt;&lt;a class="text-cut" href="javascript:;"(click)="categoryEvent(2084210466)"&gt;{{"2084210466" | translate}}&lt;/a&gt;&lt;/li&gt;</v>
      </c>
    </row>
    <row r="138" spans="1:9" ht="14.25" customHeight="1">
      <c r="A138" s="73">
        <v>2084210467</v>
      </c>
      <c r="B138" s="73" t="s">
        <v>6703</v>
      </c>
      <c r="C138" s="73" t="s">
        <v>6704</v>
      </c>
      <c r="D138" s="11" t="str">
        <f t="shared" si="18"/>
        <v>0,24242,22436,2084210467</v>
      </c>
      <c r="E138" s="3" t="str">
        <f ca="1">IFERROR(__xludf.DUMMYFUNCTION("GOOGLETRANSLATE(B147,""ja"",""vi"")"),"âm nhạc đứng")</f>
        <v>âm nhạc đứng</v>
      </c>
      <c r="F138" s="3" t="str">
        <f ca="1">IFERROR(__xludf.DUMMYFUNCTION("GOOGLETRANSLATE(C147,""ja"",""vi"")"),"Đấu giá&gt; Sở thích, văn hóa&gt; công cụ và thiết bị âm nhạc&gt; đứng âm nhạc")</f>
        <v>Đấu giá&gt; Sở thích, văn hóa&gt; công cụ và thiết bị âm nhạc&gt; đứng âm nhạc</v>
      </c>
      <c r="H138" s="229" t="str">
        <f t="shared" ca="1" si="20"/>
        <v>"2084210467" : "âm nhạc đứng",</v>
      </c>
      <c r="I138" s="229" t="str">
        <f t="shared" si="19"/>
        <v>&lt;li class="col-md-3"&gt;&lt;a class="text-cut" href="javascript:;"(click)="categoryEvent(2084210467)"&gt;{{"2084210467" | translate}}&lt;/a&gt;&lt;/li&gt;</v>
      </c>
    </row>
    <row r="139" spans="1:9" ht="14.25" customHeight="1">
      <c r="A139" s="73">
        <v>2084285349</v>
      </c>
      <c r="B139" s="73" t="s">
        <v>6708</v>
      </c>
      <c r="C139" s="73" t="s">
        <v>6710</v>
      </c>
      <c r="D139" s="11" t="str">
        <f t="shared" si="18"/>
        <v>0,24242,22436,2084285349</v>
      </c>
      <c r="E139" s="3" t="str">
        <f ca="1">IFERROR(__xludf.DUMMYFUNCTION("GOOGLETRANSLATE(B148,""ja"",""vi"")"),"nguồn cung cấp cách âm")</f>
        <v>nguồn cung cấp cách âm</v>
      </c>
      <c r="F139" s="3" t="str">
        <f ca="1">IFERROR(__xludf.DUMMYFUNCTION("GOOGLETRANSLATE(C148,""ja"",""vi"")"),"Đấu giá&gt; Sở thích, văn hóa&gt; Nhạc cụ và thiết bị&gt; cách âm nguồn cung cấp")</f>
        <v>Đấu giá&gt; Sở thích, văn hóa&gt; Nhạc cụ và thiết bị&gt; cách âm nguồn cung cấp</v>
      </c>
      <c r="H139" s="229" t="str">
        <f t="shared" ca="1" si="20"/>
        <v>"2084285349" : "nguồn cung cấp cách âm",</v>
      </c>
      <c r="I139" s="229" t="str">
        <f t="shared" si="19"/>
        <v>&lt;li class="col-md-3"&gt;&lt;a class="text-cut" href="javascript:;"(click)="categoryEvent(2084285349)"&gt;{{"2084285349" | translate}}&lt;/a&gt;&lt;/li&gt;</v>
      </c>
    </row>
    <row r="140" spans="1:9" ht="14.25" customHeight="1">
      <c r="A140" s="73">
        <v>2084024191</v>
      </c>
      <c r="B140" s="73" t="s">
        <v>6716</v>
      </c>
      <c r="C140" s="73" t="s">
        <v>6718</v>
      </c>
      <c r="D140" s="11" t="str">
        <f t="shared" si="18"/>
        <v>0,24242,22436,2084024191</v>
      </c>
      <c r="E140" s="3" t="str">
        <f ca="1">IFERROR(__xludf.DUMMYFUNCTION("GOOGLETRANSLATE(B149,""ja"",""vi"")"),"đồ chơi âm nhạc")</f>
        <v>đồ chơi âm nhạc</v>
      </c>
      <c r="F140" s="3" t="str">
        <f ca="1">IFERROR(__xludf.DUMMYFUNCTION("GOOGLETRANSLATE(C149,""ja"",""vi"")"),"Đấu giá&gt; Sở thích, văn hóa&gt; Nhạc cụ và thiết bị&gt; đồ chơi âm nhạc")</f>
        <v>Đấu giá&gt; Sở thích, văn hóa&gt; Nhạc cụ và thiết bị&gt; đồ chơi âm nhạc</v>
      </c>
      <c r="H140" s="229" t="str">
        <f t="shared" ca="1" si="20"/>
        <v>"2084024191" : "đồ chơi âm nhạc",</v>
      </c>
      <c r="I140" s="229" t="str">
        <f t="shared" si="19"/>
        <v>&lt;li class="col-md-3"&gt;&lt;a class="text-cut" href="javascript:;"(click)="categoryEvent(2084024191)"&gt;{{"2084024191" | translate}}&lt;/a&gt;&lt;/li&gt;</v>
      </c>
    </row>
    <row r="141" spans="1:9" ht="14.25" customHeight="1">
      <c r="A141" s="73">
        <v>2084009086</v>
      </c>
      <c r="B141" s="73" t="s">
        <v>6725</v>
      </c>
      <c r="C141" s="73" t="s">
        <v>6728</v>
      </c>
      <c r="D141" s="11" t="str">
        <f t="shared" si="18"/>
        <v>0,24242,22436,2084009086</v>
      </c>
      <c r="E141" s="3" t="str">
        <f ca="1">IFERROR(__xludf.DUMMYFUNCTION("GOOGLETRANSLATE(B150,""ja"",""vi"")"),"số điểm")</f>
        <v>số điểm</v>
      </c>
      <c r="F141" s="3" t="str">
        <f ca="1">IFERROR(__xludf.DUMMYFUNCTION("GOOGLETRANSLATE(C150,""ja"",""vi"")"),"Đấu giá&gt; Sở thích, văn hóa&gt; nhạc cụ, thiết bị&gt; điểm")</f>
        <v>Đấu giá&gt; Sở thích, văn hóa&gt; nhạc cụ, thiết bị&gt; điểm</v>
      </c>
      <c r="H141" s="229" t="str">
        <f t="shared" ca="1" si="20"/>
        <v>"2084009086" : "số điểm",</v>
      </c>
      <c r="I141" s="229" t="str">
        <f t="shared" si="19"/>
        <v>&lt;li class="col-md-3"&gt;&lt;a class="text-cut" href="javascript:;"(click)="categoryEvent(2084009086)"&gt;{{"2084009086" | translate}}&lt;/a&gt;&lt;/li&gt;</v>
      </c>
    </row>
    <row r="142" spans="1:9" ht="14.25" customHeight="1">
      <c r="A142" s="73">
        <v>2084307734</v>
      </c>
      <c r="B142" s="73" t="s">
        <v>6733</v>
      </c>
      <c r="C142" s="73" t="s">
        <v>6737</v>
      </c>
      <c r="D142" s="11" t="str">
        <f t="shared" si="18"/>
        <v>0,24242,22436,2084307734</v>
      </c>
      <c r="E142" s="3" t="str">
        <f ca="1">IFERROR(__xludf.DUMMYFUNCTION("GOOGLETRANSLATE(B151,""ja"",""vi"")"),"Ghi âm, sản xuất âm nhạc")</f>
        <v>Ghi âm, sản xuất âm nhạc</v>
      </c>
      <c r="F142" s="3" t="str">
        <f ca="1">IFERROR(__xludf.DUMMYFUNCTION("GOOGLETRANSLATE(C151,""ja"",""vi"")"),"Đấu giá&gt; Sở thích, văn hóa&gt; nhạc cụ, thiết bị&gt; ghi âm, sản xuất âm nhạc")</f>
        <v>Đấu giá&gt; Sở thích, văn hóa&gt; nhạc cụ, thiết bị&gt; ghi âm, sản xuất âm nhạc</v>
      </c>
      <c r="H142" s="229" t="str">
        <f t="shared" ca="1" si="20"/>
        <v>"2084307734" : "Ghi âm, sản xuất âm nhạc",</v>
      </c>
      <c r="I142" s="229" t="str">
        <f t="shared" si="19"/>
        <v>&lt;li class="col-md-3"&gt;&lt;a class="text-cut" href="javascript:;"(click)="categoryEvent(2084307734)"&gt;{{"2084307734" | translate}}&lt;/a&gt;&lt;/li&gt;</v>
      </c>
    </row>
    <row r="143" spans="1:9" ht="14.25" customHeight="1">
      <c r="A143" s="73">
        <v>2084307822</v>
      </c>
      <c r="B143" s="73" t="s">
        <v>267</v>
      </c>
      <c r="C143" s="73" t="s">
        <v>6743</v>
      </c>
      <c r="D143" s="11" t="str">
        <f t="shared" si="18"/>
        <v>0,24242,22436,2084307822</v>
      </c>
      <c r="E143" s="3" t="str">
        <f ca="1">IFERROR(__xludf.DUMMYFUNCTION("GOOGLETRANSLATE(B152,""ja"",""vi"")"),"sửa chữa nhạc cụ, tu sửa")</f>
        <v>sửa chữa nhạc cụ, tu sửa</v>
      </c>
      <c r="F143" s="3" t="str">
        <f ca="1">IFERROR(__xludf.DUMMYFUNCTION("GOOGLETRANSLATE(C152,""ja"",""vi"")"),"Đấu giá&gt; Sở thích, văn hóa&gt; Nhạc cụ và thiết bị&gt; âm nhạc sửa chữa thiết bị, tu sửa")</f>
        <v>Đấu giá&gt; Sở thích, văn hóa&gt; Nhạc cụ và thiết bị&gt; âm nhạc sửa chữa thiết bị, tu sửa</v>
      </c>
      <c r="H143" s="229" t="str">
        <f t="shared" ca="1" si="20"/>
        <v>"2084307822" : "sửa chữa nhạc cụ, tu sửa",</v>
      </c>
      <c r="I143" s="229" t="str">
        <f t="shared" si="19"/>
        <v>&lt;li class="col-md-3"&gt;&lt;a class="text-cut" href="javascript:;"(click)="categoryEvent(2084307822)"&gt;{{"2084307822" | translate}}&lt;/a&gt;&lt;/li&gt;</v>
      </c>
    </row>
    <row r="144" spans="1:9" ht="14.25" customHeight="1">
      <c r="A144" s="73">
        <v>2084307743</v>
      </c>
      <c r="B144" s="73" t="s">
        <v>6751</v>
      </c>
      <c r="C144" s="73" t="s">
        <v>6754</v>
      </c>
      <c r="D144" s="11" t="str">
        <f t="shared" si="18"/>
        <v>0,24242,22436,2084307743</v>
      </c>
      <c r="E144" s="3" t="str">
        <f ca="1">IFERROR(__xludf.DUMMYFUNCTION("GOOGLETRANSLATE(B153,""ja"",""vi"")"),"bài học nhạc cụ")</f>
        <v>bài học nhạc cụ</v>
      </c>
      <c r="F144" s="3" t="str">
        <f ca="1">IFERROR(__xludf.DUMMYFUNCTION("GOOGLETRANSLATE(C153,""ja"",""vi"")"),"Đấu giá&gt; Sở thích, văn hóa&gt; Nhạc cụ và thiết bị&gt; bài học nhạc cụ")</f>
        <v>Đấu giá&gt; Sở thích, văn hóa&gt; Nhạc cụ và thiết bị&gt; bài học nhạc cụ</v>
      </c>
      <c r="H144" s="229" t="str">
        <f t="shared" ca="1" si="20"/>
        <v>"2084307743" : "bài học nhạc cụ",</v>
      </c>
      <c r="I144" s="229" t="str">
        <f t="shared" si="19"/>
        <v>&lt;li class="col-md-3"&gt;&lt;a class="text-cut" href="javascript:;"(click)="categoryEvent(2084307743)"&gt;{{"2084307743" | translate}}&lt;/a&gt;&lt;/li&gt;</v>
      </c>
    </row>
    <row r="145" spans="1:9" ht="14.25" customHeight="1">
      <c r="A145" s="73">
        <v>2084307790</v>
      </c>
      <c r="B145" s="73" t="s">
        <v>6586</v>
      </c>
      <c r="C145" s="73" t="s">
        <v>6759</v>
      </c>
      <c r="D145" s="11" t="str">
        <f t="shared" si="18"/>
        <v>0,24242,22436,2084307790</v>
      </c>
      <c r="E145" s="3" t="str">
        <f ca="1">IFERROR(__xludf.DUMMYFUNCTION("GOOGLETRANSLATE(B154,""ja"",""vi"")"),"cho thuê nhạc cụ")</f>
        <v>cho thuê nhạc cụ</v>
      </c>
      <c r="F145" s="3" t="str">
        <f ca="1">IFERROR(__xludf.DUMMYFUNCTION("GOOGLETRANSLATE(C154,""ja"",""vi"")"),"Đấu giá&gt; Sở thích, văn hóa&gt; công cụ và thiết bị âm nhạc&gt; nhạc cho thuê nhạc cụ")</f>
        <v>Đấu giá&gt; Sở thích, văn hóa&gt; công cụ và thiết bị âm nhạc&gt; nhạc cho thuê nhạc cụ</v>
      </c>
      <c r="H145" s="229" t="str">
        <f t="shared" ca="1" si="20"/>
        <v>"2084307790" : "cho thuê nhạc cụ",</v>
      </c>
      <c r="I145" s="229" t="str">
        <f t="shared" si="19"/>
        <v>&lt;li class="col-md-3"&gt;&lt;a class="text-cut" href="javascript:;"(click)="categoryEvent(2084307790)"&gt;{{"2084307790" | translate}}&lt;/a&gt;&lt;/li&gt;</v>
      </c>
    </row>
    <row r="146" spans="1:9" ht="14.25" customHeight="1">
      <c r="A146" s="73">
        <v>22656</v>
      </c>
      <c r="B146" s="73" t="s">
        <v>16</v>
      </c>
      <c r="C146" s="74" t="s">
        <v>8582</v>
      </c>
      <c r="D146" s="11" t="str">
        <f t="shared" si="18"/>
        <v>0,24242,22436,22656</v>
      </c>
      <c r="E146" s="3" t="str">
        <f ca="1">IFERROR(__xludf.DUMMYFUNCTION("GOOGLETRANSLATE(B155,""ja"",""vi"")"),"nếu không thì")</f>
        <v>nếu không thì</v>
      </c>
      <c r="F146" s="3" t="str">
        <f ca="1">IFERROR(__xludf.DUMMYFUNCTION("GOOGLETRANSLATE(C155,""ja"",""vi"")"),"&gt; Đấu giá&gt; Sở thích, văn hóa&gt; công cụ và thiết bị âm nhạc&gt; Khác")</f>
        <v>&gt; Đấu giá&gt; Sở thích, văn hóa&gt; công cụ và thiết bị âm nhạc&gt; Khác</v>
      </c>
      <c r="H146" s="229" t="str">
        <f t="shared" ca="1" si="20"/>
        <v>"22656" : "nếu không thì",</v>
      </c>
      <c r="I146" s="229" t="str">
        <f t="shared" si="19"/>
        <v>&lt;li class="col-md-3"&gt;&lt;a class="text-cut" href="javascript:;"(click)="categoryEvent(22656)"&gt;{{"22656" | translate}}&lt;/a&gt;&lt;/li&gt;</v>
      </c>
    </row>
    <row r="147" spans="1:9" ht="14.25" customHeight="1">
      <c r="E147" s="3"/>
      <c r="F147" s="3"/>
      <c r="H147" s="229" t="str">
        <f t="shared" si="20"/>
        <v>"" : "",</v>
      </c>
      <c r="I147" s="229"/>
    </row>
    <row r="148" spans="1:9" ht="14.25" customHeight="1">
      <c r="E148" s="3"/>
      <c r="F148" s="3"/>
      <c r="H148" s="229" t="str">
        <f t="shared" si="20"/>
        <v>"" : "",</v>
      </c>
      <c r="I148" s="229"/>
    </row>
    <row r="149" spans="1:9" ht="25.8" customHeight="1">
      <c r="A149" s="300">
        <v>2084044331</v>
      </c>
      <c r="B149" s="232"/>
      <c r="C149" s="232"/>
      <c r="D149" s="233"/>
      <c r="E149" s="3"/>
      <c r="F149" s="3"/>
      <c r="H149" s="229" t="str">
        <f t="shared" si="20"/>
        <v>"2084044331" : "",</v>
      </c>
      <c r="I149" s="229"/>
    </row>
    <row r="150" spans="1:9" ht="14.25" customHeight="1">
      <c r="A150" s="73">
        <v>22820</v>
      </c>
      <c r="B150" s="73" t="s">
        <v>8588</v>
      </c>
      <c r="C150" s="73" t="s">
        <v>8589</v>
      </c>
      <c r="D150" s="11" t="str">
        <f t="shared" ref="D150:D158" si="21">CONCATENATE("0,","2084043920,2084044330,2084044331,",A150)</f>
        <v>0,2084043920,2084044330,2084044331,22820</v>
      </c>
      <c r="E150" s="3" t="str">
        <f ca="1">IFERROR(__xludf.DUMMYFUNCTION("GOOGLETRANSLATE(B159,""ja"",""vi"")"),"nhạc kịch")</f>
        <v>nhạc kịch</v>
      </c>
      <c r="F150" s="3" t="str">
        <f ca="1">IFERROR(__xludf.DUMMYFUNCTION("GOOGLETRANSLATE(C159,""ja"",""vi"")"),"Đấu giá vé, chứng từ, đặt&gt; Khách sạn&gt; theo thể loại&gt; Âm nhạc&gt; Opera")</f>
        <v>Đấu giá vé, chứng từ, đặt&gt; Khách sạn&gt; theo thể loại&gt; Âm nhạc&gt; Opera</v>
      </c>
      <c r="H150" s="229" t="str">
        <f t="shared" ca="1" si="20"/>
        <v>"22820" : "nhạc kịch",</v>
      </c>
      <c r="I150" s="229" t="str">
        <f t="shared" ref="I150:I158" si="22">CONCATENATE("&lt;li class=",CHAR(34)&amp;"","col-md-3",""&amp;CHAR(34),"&gt;","&lt;a class=",CHAR(34)&amp;"","text-cut",""&amp;CHAR(34)," href=",CHAR(34)&amp;"","javascript:;",""&amp;CHAR(34), "(click)=",CHAR(34)&amp;"","categoryEvent(",A150,")",""&amp;CHAR(34),"&gt;{{",CHAR(34)&amp;"",A150,""&amp;CHAR(34)," | translate}}&lt;/a&gt;&lt;/li&gt;")</f>
        <v>&lt;li class="col-md-3"&gt;&lt;a class="text-cut" href="javascript:;"(click)="categoryEvent(22820)"&gt;{{"22820" | translate}}&lt;/a&gt;&lt;/li&gt;</v>
      </c>
    </row>
    <row r="151" spans="1:9" ht="14.25" customHeight="1">
      <c r="A151" s="73">
        <v>2084039806</v>
      </c>
      <c r="B151" s="73" t="s">
        <v>8300</v>
      </c>
      <c r="C151" s="74" t="s">
        <v>8594</v>
      </c>
      <c r="D151" s="11" t="str">
        <f t="shared" si="21"/>
        <v>0,2084043920,2084044330,2084044331,2084039806</v>
      </c>
      <c r="E151" s="3" t="str">
        <f ca="1">IFERROR(__xludf.DUMMYFUNCTION("GOOGLETRANSLATE(B160,""ja"",""vi"")"),"cổ điển")</f>
        <v>cổ điển</v>
      </c>
      <c r="F151" s="3" t="str">
        <f ca="1">IFERROR(__xludf.DUMMYFUNCTION("GOOGLETRANSLATE(C160,""ja"",""vi"")"),"&gt; Đấu giá vé, chứng từ, đặt&gt; Khách sạn&gt; theo thể loại&gt; Âm nhạc&gt; Cổ điển")</f>
        <v>&gt; Đấu giá vé, chứng từ, đặt&gt; Khách sạn&gt; theo thể loại&gt; Âm nhạc&gt; Cổ điển</v>
      </c>
      <c r="H151" s="229" t="str">
        <f t="shared" ca="1" si="20"/>
        <v>"2084039806" : "cổ điển",</v>
      </c>
      <c r="I151" s="229" t="str">
        <f t="shared" si="22"/>
        <v>&lt;li class="col-md-3"&gt;&lt;a class="text-cut" href="javascript:;"(click)="categoryEvent(2084039806)"&gt;{{"2084039806" | translate}}&lt;/a&gt;&lt;/li&gt;</v>
      </c>
    </row>
    <row r="152" spans="1:9" ht="14.25" customHeight="1">
      <c r="A152" s="73">
        <v>2084039805</v>
      </c>
      <c r="B152" s="73" t="s">
        <v>8291</v>
      </c>
      <c r="C152" s="73" t="s">
        <v>8596</v>
      </c>
      <c r="D152" s="11" t="str">
        <f t="shared" si="21"/>
        <v>0,2084043920,2084044330,2084044331,2084039805</v>
      </c>
      <c r="E152" s="3" t="str">
        <f ca="1">IFERROR(__xludf.DUMMYFUNCTION("GOOGLETRANSLATE(B161,""ja"",""vi"")"),"nhạc jazz")</f>
        <v>nhạc jazz</v>
      </c>
      <c r="F152" s="3" t="str">
        <f ca="1">IFERROR(__xludf.DUMMYFUNCTION("GOOGLETRANSLATE(C161,""ja"",""vi"")"),"Đấu giá vé, chứng từ, đặt&gt; Khách sạn&gt; theo thể loại&gt; Âm nhạc&gt; Nhạc Jazz")</f>
        <v>Đấu giá vé, chứng từ, đặt&gt; Khách sạn&gt; theo thể loại&gt; Âm nhạc&gt; Nhạc Jazz</v>
      </c>
      <c r="H152" s="229" t="str">
        <f t="shared" ca="1" si="20"/>
        <v>"2084039805" : "nhạc jazz",</v>
      </c>
      <c r="I152" s="229" t="str">
        <f t="shared" si="22"/>
        <v>&lt;li class="col-md-3"&gt;&lt;a class="text-cut" href="javascript:;"(click)="categoryEvent(2084039805)"&gt;{{"2084039805" | translate}}&lt;/a&gt;&lt;/li&gt;</v>
      </c>
    </row>
    <row r="153" spans="1:9" ht="14.25" customHeight="1">
      <c r="A153" s="73">
        <v>2084005269</v>
      </c>
      <c r="B153" s="73" t="s">
        <v>8271</v>
      </c>
      <c r="C153" s="73" t="s">
        <v>8598</v>
      </c>
      <c r="D153" s="11" t="str">
        <f t="shared" si="21"/>
        <v>0,2084043920,2084044330,2084044331,2084005269</v>
      </c>
      <c r="E153" s="3" t="str">
        <f ca="1">IFERROR(__xludf.DUMMYFUNCTION("GOOGLETRANSLATE(B162,""ja"",""vi"")"),"Pop Nhật Bản")</f>
        <v>Pop Nhật Bản</v>
      </c>
      <c r="F153" s="3" t="str">
        <f ca="1">IFERROR(__xludf.DUMMYFUNCTION("GOOGLETRANSLATE(C162,""ja"",""vi"")"),"Đấu giá vé, chứng từ, đặt&gt; Khách sạn&gt; theo thể loại&gt; Âm nhạc&gt; Pop Nhật Bản")</f>
        <v>Đấu giá vé, chứng từ, đặt&gt; Khách sạn&gt; theo thể loại&gt; Âm nhạc&gt; Pop Nhật Bản</v>
      </c>
      <c r="H153" s="229" t="str">
        <f t="shared" ca="1" si="20"/>
        <v>"2084005269" : "Pop Nhật Bản",</v>
      </c>
      <c r="I153" s="229" t="str">
        <f t="shared" si="22"/>
        <v>&lt;li class="col-md-3"&gt;&lt;a class="text-cut" href="javascript:;"(click)="categoryEvent(2084005269)"&gt;{{"2084005269" | translate}}&lt;/a&gt;&lt;/li&gt;</v>
      </c>
    </row>
    <row r="154" spans="1:9" ht="14.25" customHeight="1">
      <c r="A154" s="73">
        <v>22776</v>
      </c>
      <c r="B154" s="73" t="s">
        <v>8601</v>
      </c>
      <c r="C154" s="73" t="s">
        <v>8602</v>
      </c>
      <c r="D154" s="11" t="str">
        <f t="shared" si="21"/>
        <v>0,2084043920,2084044330,2084044331,22776</v>
      </c>
      <c r="E154" s="3" t="str">
        <f ca="1">IFERROR(__xludf.DUMMYFUNCTION("GOOGLETRANSLATE(B163,""ja"",""vi"")"),"lễ hội âm nhạc")</f>
        <v>lễ hội âm nhạc</v>
      </c>
      <c r="F154" s="3" t="str">
        <f ca="1">IFERROR(__xludf.DUMMYFUNCTION("GOOGLETRANSLATE(C163,""ja"",""vi"")"),"Đấu giá vé, chứng từ, đặt&gt; Khách sạn&gt; theo thể loại&gt; Nhạc&gt; Music Festival")</f>
        <v>Đấu giá vé, chứng từ, đặt&gt; Khách sạn&gt; theo thể loại&gt; Nhạc&gt; Music Festival</v>
      </c>
      <c r="H154" s="229" t="str">
        <f t="shared" ca="1" si="20"/>
        <v>"22776" : "lễ hội âm nhạc",</v>
      </c>
      <c r="I154" s="229" t="str">
        <f t="shared" si="22"/>
        <v>&lt;li class="col-md-3"&gt;&lt;a class="text-cut" href="javascript:;"(click)="categoryEvent(22776)"&gt;{{"22776" | translate}}&lt;/a&gt;&lt;/li&gt;</v>
      </c>
    </row>
    <row r="155" spans="1:9" ht="14.25" customHeight="1">
      <c r="A155" s="73">
        <v>2084059686</v>
      </c>
      <c r="B155" s="73" t="s">
        <v>8338</v>
      </c>
      <c r="C155" s="74" t="s">
        <v>8603</v>
      </c>
      <c r="D155" s="11" t="str">
        <f t="shared" si="21"/>
        <v>0,2084043920,2084044330,2084044331,2084059686</v>
      </c>
      <c r="E155" s="3" t="str">
        <f ca="1">IFERROR(__xludf.DUMMYFUNCTION("GOOGLETRANSLATE(B164,""ja"",""vi"")"),"ballad")</f>
        <v>ballad</v>
      </c>
      <c r="F155" s="3" t="str">
        <f ca="1">IFERROR(__xludf.DUMMYFUNCTION("GOOGLETRANSLATE(C164,""ja"",""vi"")"),"&gt; Đấu giá vé, chứng từ, đặt&gt; Khách sạn&gt; theo thể loại&gt; Âm nhạc&gt; Enka")</f>
        <v>&gt; Đấu giá vé, chứng từ, đặt&gt; Khách sạn&gt; theo thể loại&gt; Âm nhạc&gt; Enka</v>
      </c>
      <c r="H155" s="229" t="str">
        <f t="shared" ca="1" si="20"/>
        <v>"2084059686" : "ballad",</v>
      </c>
      <c r="I155" s="229" t="str">
        <f t="shared" si="22"/>
        <v>&lt;li class="col-md-3"&gt;&lt;a class="text-cut" href="javascript:;"(click)="categoryEvent(2084059686)"&gt;{{"2084059686" | translate}}&lt;/a&gt;&lt;/li&gt;</v>
      </c>
    </row>
    <row r="156" spans="1:9" ht="14.25" customHeight="1">
      <c r="A156" s="73">
        <v>2084044325</v>
      </c>
      <c r="B156" s="73" t="s">
        <v>1506</v>
      </c>
      <c r="C156" s="73" t="s">
        <v>8606</v>
      </c>
      <c r="D156" s="11" t="str">
        <f t="shared" si="21"/>
        <v>0,2084043920,2084044330,2084044331,2084044325</v>
      </c>
      <c r="E156" s="3" t="str">
        <f ca="1">IFERROR(__xludf.DUMMYFUNCTION("GOOGLETRANSLATE(B165,""ja"",""vi"")"),"Phiếu Quà tặng âm nhạc")</f>
        <v>Phiếu Quà tặng âm nhạc</v>
      </c>
      <c r="F156" s="3" t="str">
        <f ca="1">IFERROR(__xludf.DUMMYFUNCTION("GOOGLETRANSLATE(C165,""ja"",""vi"")"),"Đấu giá vé, chứng từ, đặt&gt; Khách sạn&gt; theo thể loại&gt; Âm nhạc&gt; Chứng chỉ Âm nhạc quà tặng")</f>
        <v>Đấu giá vé, chứng từ, đặt&gt; Khách sạn&gt; theo thể loại&gt; Âm nhạc&gt; Chứng chỉ Âm nhạc quà tặng</v>
      </c>
      <c r="H156" s="229" t="str">
        <f t="shared" ca="1" si="20"/>
        <v>"2084044325" : "Phiếu Quà tặng âm nhạc",</v>
      </c>
      <c r="I156" s="229" t="str">
        <f t="shared" si="22"/>
        <v>&lt;li class="col-md-3"&gt;&lt;a class="text-cut" href="javascript:;"(click)="categoryEvent(2084044325)"&gt;{{"2084044325" | translate}}&lt;/a&gt;&lt;/li&gt;</v>
      </c>
    </row>
    <row r="157" spans="1:9" ht="14.25" customHeight="1">
      <c r="A157" s="73">
        <v>22788</v>
      </c>
      <c r="B157" s="73" t="s">
        <v>8607</v>
      </c>
      <c r="C157" s="73" t="s">
        <v>8608</v>
      </c>
      <c r="D157" s="11" t="str">
        <f t="shared" si="21"/>
        <v>0,2084043920,2084044330,2084044331,22788</v>
      </c>
      <c r="E157" s="3" t="str">
        <f ca="1">IFERROR(__xludf.DUMMYFUNCTION("GOOGLETRANSLATE(B166,""ja"",""vi"")"),"thế giới")</f>
        <v>thế giới</v>
      </c>
      <c r="F157" s="3" t="str">
        <f ca="1">IFERROR(__xludf.DUMMYFUNCTION("GOOGLETRANSLATE(C166,""ja"",""vi"")"),"Đấu giá vé, chứng từ đặt phòng&gt;, Khách sạn&gt; theo thể loại&gt; Âm nhạc&gt; Tây")</f>
        <v>Đấu giá vé, chứng từ đặt phòng&gt;, Khách sạn&gt; theo thể loại&gt; Âm nhạc&gt; Tây</v>
      </c>
      <c r="H157" s="229" t="str">
        <f t="shared" ca="1" si="20"/>
        <v>"22788" : "thế giới",</v>
      </c>
      <c r="I157" s="229" t="str">
        <f t="shared" si="22"/>
        <v>&lt;li class="col-md-3"&gt;&lt;a class="text-cut" href="javascript:;"(click)="categoryEvent(22788)"&gt;{{"22788" | translate}}&lt;/a&gt;&lt;/li&gt;</v>
      </c>
    </row>
    <row r="158" spans="1:9" ht="14.25" customHeight="1">
      <c r="A158" s="73">
        <v>22796</v>
      </c>
      <c r="B158" s="73" t="s">
        <v>16</v>
      </c>
      <c r="C158" s="73" t="s">
        <v>8612</v>
      </c>
      <c r="D158" s="11" t="str">
        <f t="shared" si="21"/>
        <v>0,2084043920,2084044330,2084044331,22796</v>
      </c>
      <c r="E158" s="3" t="str">
        <f ca="1">IFERROR(__xludf.DUMMYFUNCTION("GOOGLETRANSLATE(B167,""ja"",""vi"")"),"nếu không thì")</f>
        <v>nếu không thì</v>
      </c>
      <c r="F158" s="3" t="str">
        <f ca="1">IFERROR(__xludf.DUMMYFUNCTION("GOOGLETRANSLATE(C167,""ja"",""vi"")"),"Đấu giá vé, chứng từ đặt phòng&gt;, Khách sạn&gt; theo thể loại&gt; Âm nhạc&gt; Khác")</f>
        <v>Đấu giá vé, chứng từ đặt phòng&gt;, Khách sạn&gt; theo thể loại&gt; Âm nhạc&gt; Khác</v>
      </c>
      <c r="H158" s="229" t="str">
        <f t="shared" ca="1" si="20"/>
        <v>"22796" : "nếu không thì",</v>
      </c>
      <c r="I158" s="229" t="str">
        <f t="shared" si="22"/>
        <v>&lt;li class="col-md-3"&gt;&lt;a class="text-cut" href="javascript:;"(click)="categoryEvent(22796)"&gt;{{"22796" | translate}}&lt;/a&gt;&lt;/li&gt;</v>
      </c>
    </row>
    <row r="159" spans="1:9" ht="14.25" customHeight="1">
      <c r="E159" s="3"/>
      <c r="F159" s="3"/>
      <c r="H159" s="229" t="str">
        <f t="shared" si="20"/>
        <v>"" : "",</v>
      </c>
      <c r="I159" s="229"/>
    </row>
    <row r="160" spans="1:9" ht="14.25" customHeight="1">
      <c r="E160" s="3"/>
      <c r="F160" s="3"/>
      <c r="H160" s="229" t="str">
        <f t="shared" si="20"/>
        <v>"" : "",</v>
      </c>
      <c r="I160" s="229"/>
    </row>
    <row r="161" spans="1:9" ht="22.8" customHeight="1">
      <c r="A161" s="301">
        <v>21788</v>
      </c>
      <c r="B161" s="232"/>
      <c r="C161" s="232"/>
      <c r="D161" s="233"/>
      <c r="E161" s="3"/>
      <c r="F161" s="3"/>
      <c r="H161" s="229" t="str">
        <f t="shared" si="20"/>
        <v>"21788" : "",</v>
      </c>
      <c r="I161" s="229"/>
    </row>
    <row r="162" spans="1:9" ht="14.25" customHeight="1">
      <c r="A162" s="73">
        <v>2084009079</v>
      </c>
      <c r="B162" s="73" t="s">
        <v>8624</v>
      </c>
      <c r="C162" s="73" t="s">
        <v>8626</v>
      </c>
      <c r="D162" s="11" t="str">
        <f t="shared" ref="D162:D167" si="23">CONCATENATE("0,","21600,2084009036,21788,",A162)</f>
        <v>0,21600,2084009036,21788,2084009079</v>
      </c>
      <c r="E162" s="3" t="str">
        <f ca="1">IFERROR(__xludf.DUMMYFUNCTION("GOOGLETRANSLATE(B171,""ja"",""vi"")"),"Nhà phê bình âm nhạc")</f>
        <v>Nhà phê bình âm nhạc</v>
      </c>
      <c r="F162" s="3" t="str">
        <f ca="1">IFERROR(__xludf.DUMMYFUNCTION("GOOGLETRANSLATE(C171,""ja"",""vi"")"),"Đấu giá&gt; cuốn sách, tạp chí&gt; nghệ thuật, vui chơi giải trí&gt; âm nhạc, điểm số âm nhạc&gt; phê bình âm nhạc")</f>
        <v>Đấu giá&gt; cuốn sách, tạp chí&gt; nghệ thuật, vui chơi giải trí&gt; âm nhạc, điểm số âm nhạc&gt; phê bình âm nhạc</v>
      </c>
      <c r="H162" s="229" t="str">
        <f t="shared" ca="1" si="20"/>
        <v>"2084009079" : "Nhà phê bình âm nhạc",</v>
      </c>
      <c r="I162" s="229" t="str">
        <f t="shared" ref="I162:I167" si="24">CONCATENATE("&lt;li class=",CHAR(34)&amp;"","col-md-3",""&amp;CHAR(34),"&gt;","&lt;a class=",CHAR(34)&amp;"","text-cut",""&amp;CHAR(34)," href=",CHAR(34)&amp;"","javascript:;",""&amp;CHAR(34), "(click)=",CHAR(34)&amp;"","categoryEvent(",A162,")",""&amp;CHAR(34),"&gt;{{",CHAR(34)&amp;"",A162,""&amp;CHAR(34)," | translate}}&lt;/a&gt;&lt;/li&gt;")</f>
        <v>&lt;li class="col-md-3"&gt;&lt;a class="text-cut" href="javascript:;"(click)="categoryEvent(2084009079)"&gt;{{"2084009079" | translate}}&lt;/a&gt;&lt;/li&gt;</v>
      </c>
    </row>
    <row r="163" spans="1:9" ht="14.25" customHeight="1">
      <c r="A163" s="73">
        <v>2084009086</v>
      </c>
      <c r="B163" s="73" t="s">
        <v>6725</v>
      </c>
      <c r="C163" s="73" t="s">
        <v>8630</v>
      </c>
      <c r="D163" s="11" t="str">
        <f t="shared" si="23"/>
        <v>0,21600,2084009036,21788,2084009086</v>
      </c>
      <c r="E163" s="3" t="str">
        <f ca="1">IFERROR(__xludf.DUMMYFUNCTION("GOOGLETRANSLATE(B172,""ja"",""vi"")"),"số điểm")</f>
        <v>số điểm</v>
      </c>
      <c r="F163" s="3" t="str">
        <f ca="1">IFERROR(__xludf.DUMMYFUNCTION("GOOGLETRANSLATE(C172,""ja"",""vi"")"),"Đấu giá&gt; cuốn sách, tạp chí&gt; Nghệ thuật &amp; giải trí&gt; Âm nhạc, điểm số âm nhạc&gt; điểm âm nhạc")</f>
        <v>Đấu giá&gt; cuốn sách, tạp chí&gt; Nghệ thuật &amp; giải trí&gt; Âm nhạc, điểm số âm nhạc&gt; điểm âm nhạc</v>
      </c>
      <c r="H163" s="229" t="str">
        <f t="shared" ca="1" si="20"/>
        <v>"2084009086" : "số điểm",</v>
      </c>
      <c r="I163" s="229" t="str">
        <f t="shared" si="24"/>
        <v>&lt;li class="col-md-3"&gt;&lt;a class="text-cut" href="javascript:;"(click)="categoryEvent(2084009086)"&gt;{{"2084009086" | translate}}&lt;/a&gt;&lt;/li&gt;</v>
      </c>
    </row>
    <row r="164" spans="1:9" ht="14.25" customHeight="1">
      <c r="A164" s="73">
        <v>2084009077</v>
      </c>
      <c r="B164" s="73" t="s">
        <v>8632</v>
      </c>
      <c r="C164" s="73" t="s">
        <v>8635</v>
      </c>
      <c r="D164" s="11" t="str">
        <f t="shared" si="23"/>
        <v>0,21600,2084009036,21788,2084009077</v>
      </c>
      <c r="E164" s="3" t="str">
        <f ca="1">IFERROR(__xludf.DUMMYFUNCTION("GOOGLETRANSLATE(B173,""ja"",""vi"")"),"Giáo dục âm nhạc, hướng dẫn")</f>
        <v>Giáo dục âm nhạc, hướng dẫn</v>
      </c>
      <c r="F164" s="3" t="str">
        <f ca="1">IFERROR(__xludf.DUMMYFUNCTION("GOOGLETRANSLATE(C173,""ja"",""vi"")"),"Đấu giá&gt; cuốn sách, tạp chí&gt; nghệ thuật, vui chơi giải trí&gt; âm nhạc, điểm số âm nhạc&gt; giáo dục âm nhạc, hướng dẫn")</f>
        <v>Đấu giá&gt; cuốn sách, tạp chí&gt; nghệ thuật, vui chơi giải trí&gt; âm nhạc, điểm số âm nhạc&gt; giáo dục âm nhạc, hướng dẫn</v>
      </c>
      <c r="H164" s="229" t="str">
        <f t="shared" ca="1" si="20"/>
        <v>"2084009077" : "Giáo dục âm nhạc, hướng dẫn",</v>
      </c>
      <c r="I164" s="229" t="str">
        <f t="shared" si="24"/>
        <v>&lt;li class="col-md-3"&gt;&lt;a class="text-cut" href="javascript:;"(click)="categoryEvent(2084009077)"&gt;{{"2084009077" | translate}}&lt;/a&gt;&lt;/li&gt;</v>
      </c>
    </row>
    <row r="165" spans="1:9" ht="14.25" customHeight="1">
      <c r="A165" s="73">
        <v>2084009078</v>
      </c>
      <c r="B165" s="73" t="s">
        <v>8636</v>
      </c>
      <c r="C165" s="73" t="s">
        <v>8639</v>
      </c>
      <c r="D165" s="11" t="str">
        <f t="shared" si="23"/>
        <v>0,21600,2084009036,21788,2084009078</v>
      </c>
      <c r="E165" s="3" t="str">
        <f ca="1">IFERROR(__xludf.DUMMYFUNCTION("GOOGLETRANSLATE(B174,""ja"",""vi"")"),"Karaoke, cuốn sách bài hát")</f>
        <v>Karaoke, cuốn sách bài hát</v>
      </c>
      <c r="F165" s="3" t="str">
        <f ca="1">IFERROR(__xludf.DUMMYFUNCTION("GOOGLETRANSLATE(C174,""ja"",""vi"")"),"Đấu giá&gt; cuốn sách, tạp chí&gt; nghệ thuật, vui chơi giải trí&gt; âm nhạc, điểm số âm nhạc&gt; karaoke, bài hát cuốn sách")</f>
        <v>Đấu giá&gt; cuốn sách, tạp chí&gt; nghệ thuật, vui chơi giải trí&gt; âm nhạc, điểm số âm nhạc&gt; karaoke, bài hát cuốn sách</v>
      </c>
      <c r="H165" s="229" t="str">
        <f t="shared" ca="1" si="20"/>
        <v>"2084009078" : "Karaoke, cuốn sách bài hát",</v>
      </c>
      <c r="I165" s="229" t="str">
        <f t="shared" si="24"/>
        <v>&lt;li class="col-md-3"&gt;&lt;a class="text-cut" href="javascript:;"(click)="categoryEvent(2084009078)"&gt;{{"2084009078" | translate}}&lt;/a&gt;&lt;/li&gt;</v>
      </c>
    </row>
    <row r="166" spans="1:9" ht="14.25" customHeight="1">
      <c r="A166" s="73">
        <v>2084009110</v>
      </c>
      <c r="B166" s="73" t="s">
        <v>765</v>
      </c>
      <c r="C166" s="73" t="s">
        <v>8643</v>
      </c>
      <c r="D166" s="11" t="str">
        <f t="shared" si="23"/>
        <v>0,21600,2084009036,21788,2084009110</v>
      </c>
      <c r="E166" s="3" t="str">
        <f ca="1">IFERROR(__xludf.DUMMYFUNCTION("GOOGLETRANSLATE(B175,""ja"",""vi"")"),"nhạc sĩ này")</f>
        <v>nhạc sĩ này</v>
      </c>
      <c r="F166" s="3" t="str">
        <f ca="1">IFERROR(__xludf.DUMMYFUNCTION("GOOGLETRANSLATE(C175,""ja"",""vi"")"),"Đấu giá&gt; cuốn sách, tạp chí&gt; nghệ thuật, vui chơi giải trí&gt; âm nhạc, điểm số âm nhạc&gt; nhạc sĩ cuốn sách")</f>
        <v>Đấu giá&gt; cuốn sách, tạp chí&gt; nghệ thuật, vui chơi giải trí&gt; âm nhạc, điểm số âm nhạc&gt; nhạc sĩ cuốn sách</v>
      </c>
      <c r="H166" s="229" t="str">
        <f t="shared" ca="1" si="20"/>
        <v>"2084009110" : "nhạc sĩ này",</v>
      </c>
      <c r="I166" s="229" t="str">
        <f t="shared" si="24"/>
        <v>&lt;li class="col-md-3"&gt;&lt;a class="text-cut" href="javascript:;"(click)="categoryEvent(2084009110)"&gt;{{"2084009110" | translate}}&lt;/a&gt;&lt;/li&gt;</v>
      </c>
    </row>
    <row r="167" spans="1:9" ht="14.25" customHeight="1">
      <c r="A167" s="73">
        <v>21936</v>
      </c>
      <c r="B167" s="73" t="s">
        <v>351</v>
      </c>
      <c r="C167" s="73" t="s">
        <v>8645</v>
      </c>
      <c r="D167" s="11" t="str">
        <f t="shared" si="23"/>
        <v>0,21600,2084009036,21788,21936</v>
      </c>
      <c r="E167" s="3" t="str">
        <f ca="1">IFERROR(__xludf.DUMMYFUNCTION("GOOGLETRANSLATE(B176,""ja"",""vi"")"),"tạp chí")</f>
        <v>tạp chí</v>
      </c>
      <c r="F167" s="3" t="str">
        <f ca="1">IFERROR(__xludf.DUMMYFUNCTION("GOOGLETRANSLATE(C176,""ja"",""vi"")"),"Đấu giá&gt; cuốn sách, tạp chí&gt; nghệ thuật, vui chơi giải trí&gt; âm nhạc, điểm số âm nhạc&gt; Tạp chí")</f>
        <v>Đấu giá&gt; cuốn sách, tạp chí&gt; nghệ thuật, vui chơi giải trí&gt; âm nhạc, điểm số âm nhạc&gt; Tạp chí</v>
      </c>
      <c r="H167" s="229" t="str">
        <f t="shared" ca="1" si="20"/>
        <v>"21936" : "tạp chí",</v>
      </c>
      <c r="I167" s="229" t="str">
        <f t="shared" si="24"/>
        <v>&lt;li class="col-md-3"&gt;&lt;a class="text-cut" href="javascript:;"(click)="categoryEvent(21936)"&gt;{{"21936" | translate}}&lt;/a&gt;&lt;/li&gt;</v>
      </c>
    </row>
    <row r="168" spans="1:9" ht="14.25" customHeight="1">
      <c r="E168" s="3"/>
      <c r="F168" s="3"/>
      <c r="H168" s="229" t="str">
        <f t="shared" si="20"/>
        <v>"" : "",</v>
      </c>
      <c r="I168" s="229"/>
    </row>
    <row r="169" spans="1:9" ht="1.8" customHeight="1">
      <c r="E169" s="3"/>
      <c r="F169" s="3"/>
      <c r="H169" s="229" t="str">
        <f t="shared" si="20"/>
        <v>"" : "",</v>
      </c>
      <c r="I169" s="229" t="str">
        <f>CONCATENATE("&lt;li class=",CHAR(34)&amp;"","col-md-3",""&amp;CHAR(34),"&gt;","&lt;a class=",CHAR(34)&amp;"","text-cut",""&amp;CHAR(34)," href=",CHAR(34)&amp;"","javascript:;",""&amp;CHAR(34), "(click)=",CHAR(34)&amp;"","categoryEvent(",A169,")",""&amp;CHAR(34),"&gt;{{",CHAR(34)&amp;"",A169,""&amp;CHAR(34)," | translate}}&lt;/a&gt;&lt;/li&gt;")</f>
        <v>&lt;li class="col-md-3"&gt;&lt;a class="text-cut" href="javascript:;"(click)="categoryEvent()"&gt;{{"" | translate}}&lt;/a&gt;&lt;/li&gt;</v>
      </c>
    </row>
    <row r="170" spans="1:9" ht="21.6" customHeight="1">
      <c r="A170" s="325">
        <v>22396</v>
      </c>
      <c r="B170" s="232"/>
      <c r="C170" s="232"/>
      <c r="D170" s="233"/>
      <c r="E170" s="3"/>
      <c r="F170" s="3"/>
      <c r="H170" s="229" t="str">
        <f t="shared" si="20"/>
        <v>"22396" : "",</v>
      </c>
      <c r="I170" s="229"/>
    </row>
    <row r="171" spans="1:9" ht="14.25" customHeight="1">
      <c r="A171" s="73">
        <v>2084049663</v>
      </c>
      <c r="B171" s="73" t="s">
        <v>969</v>
      </c>
      <c r="C171" s="73" t="s">
        <v>972</v>
      </c>
      <c r="D171" s="11" t="str">
        <f t="shared" ref="D171:D187" si="25">CONCATENATE("0,","22152,22396,",A171)</f>
        <v>0,22152,22396,2084049663</v>
      </c>
      <c r="E171" s="3" t="str">
        <f ca="1">IFERROR(__xludf.DUMMYFUNCTION("GOOGLETRANSLATE(B180,""ja"",""vi"")"),"Một T-shirt")</f>
        <v>Một T-shirt</v>
      </c>
      <c r="F171" s="3" t="str">
        <f ca="1">IFERROR(__xludf.DUMMYFUNCTION("GOOGLETRANSLATE(C180,""ja"",""vi"")"),"Đấu giá&gt; Âm nhạc&gt; kỷ vật, vật lưu niệm&gt; T-Shirts")</f>
        <v>Đấu giá&gt; Âm nhạc&gt; kỷ vật, vật lưu niệm&gt; T-Shirts</v>
      </c>
      <c r="H171" s="229" t="str">
        <f t="shared" ca="1" si="20"/>
        <v>"2084049663" : "Một T-shirt",</v>
      </c>
      <c r="I171" s="229" t="str">
        <f t="shared" ref="I171:I187" si="26">CONCATENATE("&lt;li class=",CHAR(34)&amp;"","col-md-3",""&amp;CHAR(34),"&gt;","&lt;a class=",CHAR(34)&amp;"","text-cut",""&amp;CHAR(34)," href=",CHAR(34)&amp;"","javascript:;",""&amp;CHAR(34), "(click)=",CHAR(34)&amp;"","categoryEvent(",A171,")",""&amp;CHAR(34),"&gt;{{",CHAR(34)&amp;"",A171,""&amp;CHAR(34)," | translate}}&lt;/a&gt;&lt;/li&gt;")</f>
        <v>&lt;li class="col-md-3"&gt;&lt;a class="text-cut" href="javascript:;"(click)="categoryEvent(2084049663)"&gt;{{"2084049663" | translate}}&lt;/a&gt;&lt;/li&gt;</v>
      </c>
    </row>
    <row r="172" spans="1:9" ht="14.25" customHeight="1">
      <c r="A172" s="73">
        <v>2084047084</v>
      </c>
      <c r="B172" s="73" t="s">
        <v>283</v>
      </c>
      <c r="C172" s="73" t="s">
        <v>978</v>
      </c>
      <c r="D172" s="11" t="str">
        <f t="shared" si="25"/>
        <v>0,22152,22396,2084047084</v>
      </c>
      <c r="E172" s="3" t="str">
        <f ca="1">IFERROR(__xludf.DUMMYFUNCTION("GOOGLETRANSLATE(B181,""ja"",""vi"")"),"uchiwa")</f>
        <v>uchiwa</v>
      </c>
      <c r="F172" s="3" t="str">
        <f ca="1">IFERROR(__xludf.DUMMYFUNCTION("GOOGLETRANSLATE(C181,""ja"",""vi"")"),"Đấu giá&gt; Âm nhạc&gt; kỷ vật, vật lưu niệm&gt; quạt")</f>
        <v>Đấu giá&gt; Âm nhạc&gt; kỷ vật, vật lưu niệm&gt; quạt</v>
      </c>
      <c r="H172" s="229" t="str">
        <f t="shared" ca="1" si="20"/>
        <v>"2084047084" : "uchiwa",</v>
      </c>
      <c r="I172" s="229" t="str">
        <f t="shared" si="26"/>
        <v>&lt;li class="col-md-3"&gt;&lt;a class="text-cut" href="javascript:;"(click)="categoryEvent(2084047084)"&gt;{{"2084047084" | translate}}&lt;/a&gt;&lt;/li&gt;</v>
      </c>
    </row>
    <row r="173" spans="1:9" ht="14.25" customHeight="1">
      <c r="A173" s="73">
        <v>2084006163</v>
      </c>
      <c r="B173" s="73" t="s">
        <v>303</v>
      </c>
      <c r="C173" s="73" t="s">
        <v>985</v>
      </c>
      <c r="D173" s="11" t="str">
        <f t="shared" si="25"/>
        <v>0,22152,22396,2084006163</v>
      </c>
      <c r="E173" s="3" t="str">
        <f ca="1">IFERROR(__xludf.DUMMYFUNCTION("GOOGLETRANSLATE(B182,""ja"",""vi"")"),"lịch")</f>
        <v>lịch</v>
      </c>
      <c r="F173" s="3" t="str">
        <f ca="1">IFERROR(__xludf.DUMMYFUNCTION("GOOGLETRANSLATE(C182,""ja"",""vi"")"),"Đấu giá&gt; Âm nhạc&gt; kỷ vật, vật lưu niệm&gt; Lịch")</f>
        <v>Đấu giá&gt; Âm nhạc&gt; kỷ vật, vật lưu niệm&gt; Lịch</v>
      </c>
      <c r="H173" s="229" t="str">
        <f t="shared" ca="1" si="20"/>
        <v>"2084006163" : "lịch",</v>
      </c>
      <c r="I173" s="229" t="str">
        <f t="shared" si="26"/>
        <v>&lt;li class="col-md-3"&gt;&lt;a class="text-cut" href="javascript:;"(click)="categoryEvent(2084006163)"&gt;{{"2084006163" | translate}}&lt;/a&gt;&lt;/li&gt;</v>
      </c>
    </row>
    <row r="174" spans="1:9" ht="14.25" customHeight="1">
      <c r="A174" s="73">
        <v>2084005082</v>
      </c>
      <c r="B174" s="73" t="s">
        <v>8666</v>
      </c>
      <c r="C174" s="73" t="s">
        <v>993</v>
      </c>
      <c r="D174" s="11" t="str">
        <f t="shared" si="25"/>
        <v>0,22152,22396,2084005082</v>
      </c>
      <c r="E174" s="3" t="str">
        <f ca="1">IFERROR(__xludf.DUMMYFUNCTION("GOOGLETRANSLATE(B183,""ja"",""vi"")"),"Đăng &lt;")</f>
        <v>Đăng &lt;</v>
      </c>
      <c r="F174" s="3" t="str">
        <f ca="1">IFERROR(__xludf.DUMMYFUNCTION("GOOGLETRANSLATE(C183,""ja"",""vi"")"),"Đấu giá&gt; Âm nhạc&gt; kỷ vật, vật lưu niệm&gt; dấu")</f>
        <v>Đấu giá&gt; Âm nhạc&gt; kỷ vật, vật lưu niệm&gt; dấu</v>
      </c>
      <c r="H174" s="229" t="str">
        <f t="shared" ca="1" si="20"/>
        <v>"2084005082" : "Đăng &lt;",</v>
      </c>
      <c r="I174" s="229" t="str">
        <f t="shared" si="26"/>
        <v>&lt;li class="col-md-3"&gt;&lt;a class="text-cut" href="javascript:;"(click)="categoryEvent(2084005082)"&gt;{{"2084005082" | translate}}&lt;/a&gt;&lt;/li&gt;</v>
      </c>
    </row>
    <row r="175" spans="1:9" ht="14.25" customHeight="1">
      <c r="A175" s="73">
        <v>42206</v>
      </c>
      <c r="B175" s="73" t="s">
        <v>329</v>
      </c>
      <c r="C175" s="73" t="s">
        <v>997</v>
      </c>
      <c r="D175" s="11" t="str">
        <f t="shared" si="25"/>
        <v>0,22152,22396,42206</v>
      </c>
      <c r="E175" s="3" t="str">
        <f ca="1">IFERROR(__xludf.DUMMYFUNCTION("GOOGLETRANSLATE(B184,""ja"",""vi"")"),"keo")</f>
        <v>keo</v>
      </c>
      <c r="F175" s="3" t="str">
        <f ca="1">IFERROR(__xludf.DUMMYFUNCTION("GOOGLETRANSLATE(C184,""ja"",""vi"")"),"Đấu giá&gt; Âm nhạc&gt; kỷ vật, vật lưu niệm&gt; sticker")</f>
        <v>Đấu giá&gt; Âm nhạc&gt; kỷ vật, vật lưu niệm&gt; sticker</v>
      </c>
      <c r="H175" s="229" t="str">
        <f t="shared" ca="1" si="20"/>
        <v>"42206" : "keo",</v>
      </c>
      <c r="I175" s="229" t="str">
        <f t="shared" si="26"/>
        <v>&lt;li class="col-md-3"&gt;&lt;a class="text-cut" href="javascript:;"(click)="categoryEvent(42206)"&gt;{{"42206" | translate}}&lt;/a&gt;&lt;/li&gt;</v>
      </c>
    </row>
    <row r="176" spans="1:9" ht="14.25" customHeight="1">
      <c r="A176" s="73">
        <v>2084006177</v>
      </c>
      <c r="B176" s="73" t="s">
        <v>1005</v>
      </c>
      <c r="C176" s="73" t="s">
        <v>1006</v>
      </c>
      <c r="D176" s="11" t="str">
        <f t="shared" si="25"/>
        <v>0,22152,22396,2084006177</v>
      </c>
      <c r="E176" s="3" t="str">
        <f ca="1">IFERROR(__xludf.DUMMYFUNCTION("GOOGLETRANSLATE(B185,""ja"",""vi"")"),"tờ rơi")</f>
        <v>tờ rơi</v>
      </c>
      <c r="F176" s="3" t="str">
        <f ca="1">IFERROR(__xludf.DUMMYFUNCTION("GOOGLETRANSLATE(C185,""ja"",""vi"")"),"Đấu giá&gt; Âm nhạc&gt; kỷ vật, vật lưu niệm&gt; tờ rơi quảng cáo")</f>
        <v>Đấu giá&gt; Âm nhạc&gt; kỷ vật, vật lưu niệm&gt; tờ rơi quảng cáo</v>
      </c>
      <c r="H176" s="229" t="str">
        <f t="shared" ca="1" si="20"/>
        <v>"2084006177" : "tờ rơi",</v>
      </c>
      <c r="I176" s="229" t="str">
        <f t="shared" si="26"/>
        <v>&lt;li class="col-md-3"&gt;&lt;a class="text-cut" href="javascript:;"(click)="categoryEvent(2084006177)"&gt;{{"2084006177" | translate}}&lt;/a&gt;&lt;/li&gt;</v>
      </c>
    </row>
    <row r="177" spans="1:9" ht="14.25" customHeight="1">
      <c r="A177" s="73">
        <v>2084005105</v>
      </c>
      <c r="B177" s="73" t="s">
        <v>389</v>
      </c>
      <c r="C177" s="73" t="s">
        <v>1011</v>
      </c>
      <c r="D177" s="11" t="str">
        <f t="shared" si="25"/>
        <v>0,22152,22396,2084005105</v>
      </c>
      <c r="E177" s="3" t="str">
        <f ca="1">IFERROR(__xludf.DUMMYFUNCTION("GOOGLETRANSLATE(B186,""ja"",""vi"")"),"thẻ điện thoại")</f>
        <v>thẻ điện thoại</v>
      </c>
      <c r="F177" s="3" t="str">
        <f ca="1">IFERROR(__xludf.DUMMYFUNCTION("GOOGLETRANSLATE(C186,""ja"",""vi"")"),"Đấu giá&gt; Âm nhạc&gt; kỷ vật, vật lưu niệm&gt; Thẻ điện thoại")</f>
        <v>Đấu giá&gt; Âm nhạc&gt; kỷ vật, vật lưu niệm&gt; Thẻ điện thoại</v>
      </c>
      <c r="H177" s="229" t="str">
        <f t="shared" ca="1" si="20"/>
        <v>"2084005105" : "thẻ điện thoại",</v>
      </c>
      <c r="I177" s="229" t="str">
        <f t="shared" si="26"/>
        <v>&lt;li class="col-md-3"&gt;&lt;a class="text-cut" href="javascript:;"(click)="categoryEvent(2084005105)"&gt;{{"2084005105" | translate}}&lt;/a&gt;&lt;/li&gt;</v>
      </c>
    </row>
    <row r="178" spans="1:9" ht="14.25" customHeight="1">
      <c r="A178" s="73">
        <v>2084047078</v>
      </c>
      <c r="B178" s="73" t="s">
        <v>1016</v>
      </c>
      <c r="C178" s="73" t="s">
        <v>1017</v>
      </c>
      <c r="D178" s="11" t="str">
        <f t="shared" si="25"/>
        <v>0,22152,22396,2084047078</v>
      </c>
      <c r="E178" s="3" t="str">
        <f ca="1">IFERROR(__xludf.DUMMYFUNCTION("GOOGLETRANSLATE(B187,""ja"",""vi"")"),"Brochure")</f>
        <v>Brochure</v>
      </c>
      <c r="F178" s="3" t="str">
        <f ca="1">IFERROR(__xludf.DUMMYFUNCTION("GOOGLETRANSLATE(C187,""ja"",""vi"")"),"Đấu giá&gt; Âm nhạc&gt; kỷ vật, kỷ vật&gt; Tài liệu")</f>
        <v>Đấu giá&gt; Âm nhạc&gt; kỷ vật, kỷ vật&gt; Tài liệu</v>
      </c>
      <c r="H178" s="229" t="str">
        <f t="shared" ca="1" si="20"/>
        <v>"2084047078" : "Brochure",</v>
      </c>
      <c r="I178" s="229" t="str">
        <f t="shared" si="26"/>
        <v>&lt;li class="col-md-3"&gt;&lt;a class="text-cut" href="javascript:;"(click)="categoryEvent(2084047078)"&gt;{{"2084047078" | translate}}&lt;/a&gt;&lt;/li&gt;</v>
      </c>
    </row>
    <row r="179" spans="1:9" ht="14.25" customHeight="1">
      <c r="A179" s="73">
        <v>2084047090</v>
      </c>
      <c r="B179" s="73" t="s">
        <v>408</v>
      </c>
      <c r="C179" s="73" t="s">
        <v>1025</v>
      </c>
      <c r="D179" s="11" t="str">
        <f t="shared" si="25"/>
        <v>0,22152,22396,2084047090</v>
      </c>
      <c r="E179" s="3" t="str">
        <f ca="1">IFERROR(__xludf.DUMMYFUNCTION("GOOGLETRANSLATE(B188,""ja"",""vi"")"),"Fan club bản tin")</f>
        <v>Fan club bản tin</v>
      </c>
      <c r="F179" s="3" t="str">
        <f ca="1">IFERROR(__xludf.DUMMYFUNCTION("GOOGLETRANSLATE(C188,""ja"",""vi"")"),"Đấu giá&gt; Âm nhạc&gt; kỷ vật, vật lưu niệm&gt; fan club bản tin")</f>
        <v>Đấu giá&gt; Âm nhạc&gt; kỷ vật, vật lưu niệm&gt; fan club bản tin</v>
      </c>
      <c r="H179" s="229" t="str">
        <f t="shared" ca="1" si="20"/>
        <v>"2084047090" : "Fan club bản tin",</v>
      </c>
      <c r="I179" s="229" t="str">
        <f t="shared" si="26"/>
        <v>&lt;li class="col-md-3"&gt;&lt;a class="text-cut" href="javascript:;"(click)="categoryEvent(2084047090)"&gt;{{"2084047090" | translate}}&lt;/a&gt;&lt;/li&gt;</v>
      </c>
    </row>
    <row r="180" spans="1:9" ht="14.25" customHeight="1">
      <c r="A180" s="73">
        <v>2084005085</v>
      </c>
      <c r="B180" s="73" t="s">
        <v>427</v>
      </c>
      <c r="C180" s="73" t="s">
        <v>1033</v>
      </c>
      <c r="D180" s="11" t="str">
        <f t="shared" si="25"/>
        <v>0,22152,22396,2084005085</v>
      </c>
      <c r="E180" s="3" t="str">
        <f ca="1">IFERROR(__xludf.DUMMYFUNCTION("GOOGLETRANSLATE(B189,""ja"",""vi"")"),"poster")</f>
        <v>poster</v>
      </c>
      <c r="F180" s="3" t="str">
        <f ca="1">IFERROR(__xludf.DUMMYFUNCTION("GOOGLETRANSLATE(C189,""ja"",""vi"")"),"Đấu giá&gt; Âm nhạc&gt; kỷ vật, vật lưu niệm&gt; áp phích")</f>
        <v>Đấu giá&gt; Âm nhạc&gt; kỷ vật, vật lưu niệm&gt; áp phích</v>
      </c>
      <c r="H180" s="229" t="str">
        <f t="shared" ca="1" si="20"/>
        <v>"2084005085" : "poster",</v>
      </c>
      <c r="I180" s="229" t="str">
        <f t="shared" si="26"/>
        <v>&lt;li class="col-md-3"&gt;&lt;a class="text-cut" href="javascript:;"(click)="categoryEvent(2084005085)"&gt;{{"2084005085" | translate}}&lt;/a&gt;&lt;/li&gt;</v>
      </c>
    </row>
    <row r="181" spans="1:9" ht="14.25" customHeight="1">
      <c r="A181" s="73">
        <v>2084047087</v>
      </c>
      <c r="B181" s="73" t="s">
        <v>432</v>
      </c>
      <c r="C181" s="73" t="s">
        <v>1039</v>
      </c>
      <c r="D181" s="11" t="str">
        <f t="shared" si="25"/>
        <v>0,22152,22396,2084047087</v>
      </c>
      <c r="E181" s="3" t="str">
        <f ca="1">IFERROR(__xludf.DUMMYFUNCTION("GOOGLETRANSLATE(B190,""ja"",""vi"")"),"pop")</f>
        <v>pop</v>
      </c>
      <c r="F181" s="3" t="str">
        <f ca="1">IFERROR(__xludf.DUMMYFUNCTION("GOOGLETRANSLATE(C190,""ja"",""vi"")"),"Đấu giá&gt; Âm nhạc&gt; kỷ vật, vật lưu niệm&gt; Pop")</f>
        <v>Đấu giá&gt; Âm nhạc&gt; kỷ vật, vật lưu niệm&gt; Pop</v>
      </c>
      <c r="H181" s="229" t="str">
        <f t="shared" ca="1" si="20"/>
        <v>"2084047087" : "pop",</v>
      </c>
      <c r="I181" s="229" t="str">
        <f t="shared" si="26"/>
        <v>&lt;li class="col-md-3"&gt;&lt;a class="text-cut" href="javascript:;"(click)="categoryEvent(2084047087)"&gt;{{"2084047087" | translate}}&lt;/a&gt;&lt;/li&gt;</v>
      </c>
    </row>
    <row r="182" spans="1:9" ht="14.25" customHeight="1">
      <c r="A182" s="73">
        <v>2084024931</v>
      </c>
      <c r="B182" s="73" t="s">
        <v>1043</v>
      </c>
      <c r="C182" s="73" t="s">
        <v>1045</v>
      </c>
      <c r="D182" s="11" t="str">
        <f t="shared" si="25"/>
        <v>0,22152,22396,2084024931</v>
      </c>
      <c r="E182" s="3" t="str">
        <f ca="1">IFERROR(__xludf.DUMMYFUNCTION("GOOGLETRANSLATE(B191,""ja"",""vi"")"),"bởi nhạc sĩ")</f>
        <v>bởi nhạc sĩ</v>
      </c>
      <c r="F182" s="3" t="str">
        <f ca="1">IFERROR(__xludf.DUMMYFUNCTION("GOOGLETRANSLATE(C191,""ja"",""vi"")"),"Đấu giá&gt; Âm nhạc&gt; kỷ vật, vật lưu niệm&gt; nhạc sĩ bởi")</f>
        <v>Đấu giá&gt; Âm nhạc&gt; kỷ vật, vật lưu niệm&gt; nhạc sĩ bởi</v>
      </c>
      <c r="H182" s="229" t="str">
        <f t="shared" ca="1" si="20"/>
        <v>"2084024931" : "bởi nhạc sĩ",</v>
      </c>
      <c r="I182" s="229" t="str">
        <f t="shared" si="26"/>
        <v>&lt;li class="col-md-3"&gt;&lt;a class="text-cut" href="javascript:;"(click)="categoryEvent(2084024931)"&gt;{{"2084024931" | translate}}&lt;/a&gt;&lt;/li&gt;</v>
      </c>
    </row>
    <row r="183" spans="1:9" ht="14.25" customHeight="1">
      <c r="A183" s="73">
        <v>2084040530</v>
      </c>
      <c r="B183" s="73" t="s">
        <v>324</v>
      </c>
      <c r="C183" s="73" t="s">
        <v>1053</v>
      </c>
      <c r="D183" s="11" t="str">
        <f t="shared" si="25"/>
        <v>0,22152,22396,2084040530</v>
      </c>
      <c r="E183" s="3" t="str">
        <f ca="1">IFERROR(__xludf.DUMMYFUNCTION("GOOGLETRANSLATE(B192,""ja"",""vi"")"),"Điện thoại di Strap")</f>
        <v>Điện thoại di Strap</v>
      </c>
      <c r="F183" s="3" t="str">
        <f ca="1">IFERROR(__xludf.DUMMYFUNCTION("GOOGLETRANSLATE(C192,""ja"",""vi"")"),"Đấu giá&gt; Âm nhạc&gt; kỷ vật, vật lưu niệm&gt; Dây đeo điện thoại di động")</f>
        <v>Đấu giá&gt; Âm nhạc&gt; kỷ vật, vật lưu niệm&gt; Dây đeo điện thoại di động</v>
      </c>
      <c r="H183" s="229" t="str">
        <f t="shared" ca="1" si="20"/>
        <v>"2084040530" : "Điện thoại di Strap",</v>
      </c>
      <c r="I183" s="229" t="str">
        <f t="shared" si="26"/>
        <v>&lt;li class="col-md-3"&gt;&lt;a class="text-cut" href="javascript:;"(click)="categoryEvent(2084040530)"&gt;{{"2084040530" | translate}}&lt;/a&gt;&lt;/li&gt;</v>
      </c>
    </row>
    <row r="184" spans="1:9" ht="14.25" customHeight="1">
      <c r="A184" s="73">
        <v>2084047080</v>
      </c>
      <c r="B184" s="73" t="s">
        <v>355</v>
      </c>
      <c r="C184" s="73" t="s">
        <v>1063</v>
      </c>
      <c r="D184" s="11" t="str">
        <f t="shared" si="25"/>
        <v>0,22152,22396,2084047080</v>
      </c>
      <c r="E184" s="3" t="str">
        <f ca="1">IFERROR(__xludf.DUMMYFUNCTION("GOOGLETRANSLATE(B193,""ja"",""vi"")"),"ảnh")</f>
        <v>ảnh</v>
      </c>
      <c r="F184" s="3" t="str">
        <f ca="1">IFERROR(__xludf.DUMMYFUNCTION("GOOGLETRANSLATE(C193,""ja"",""vi"")"),"Đấu giá&gt; Âm nhạc&gt; kỷ vật, kỷ vật&gt; Ảnh")</f>
        <v>Đấu giá&gt; Âm nhạc&gt; kỷ vật, kỷ vật&gt; Ảnh</v>
      </c>
      <c r="H184" s="229" t="str">
        <f t="shared" ca="1" si="20"/>
        <v>"2084047080" : "ảnh",</v>
      </c>
      <c r="I184" s="229" t="str">
        <f t="shared" si="26"/>
        <v>&lt;li class="col-md-3"&gt;&lt;a class="text-cut" href="javascript:;"(click)="categoryEvent(2084047080)"&gt;{{"2084047080" | translate}}&lt;/a&gt;&lt;/li&gt;</v>
      </c>
    </row>
    <row r="185" spans="1:9" ht="14.25" customHeight="1">
      <c r="A185" s="73">
        <v>2084006192</v>
      </c>
      <c r="B185" s="73" t="s">
        <v>1069</v>
      </c>
      <c r="C185" s="73" t="s">
        <v>1071</v>
      </c>
      <c r="D185" s="11" t="str">
        <f t="shared" si="25"/>
        <v>0,22152,22396,2084006192</v>
      </c>
      <c r="E185" s="3" t="str">
        <f ca="1">IFERROR(__xludf.DUMMYFUNCTION("GOOGLETRANSLATE(B194,""ja"",""vi"")"),"PHOTO ALBUM")</f>
        <v>PHOTO ALBUM</v>
      </c>
      <c r="F185" s="3" t="str">
        <f ca="1">IFERROR(__xludf.DUMMYFUNCTION("GOOGLETRANSLATE(C194,""ja"",""vi"")"),"Đấu giá&gt; Âm nhạc&gt; kỷ vật, vật lưu niệm&gt; Hình ảnh")</f>
        <v>Đấu giá&gt; Âm nhạc&gt; kỷ vật, vật lưu niệm&gt; Hình ảnh</v>
      </c>
      <c r="H185" s="229" t="str">
        <f t="shared" ca="1" si="20"/>
        <v>"2084006192" : "PHOTO ALBUM",</v>
      </c>
      <c r="I185" s="229" t="str">
        <f t="shared" si="26"/>
        <v>&lt;li class="col-md-3"&gt;&lt;a class="text-cut" href="javascript:;"(click)="categoryEvent(2084006192)"&gt;{{"2084006192" | translate}}&lt;/a&gt;&lt;/li&gt;</v>
      </c>
    </row>
    <row r="186" spans="1:9" ht="14.25" customHeight="1">
      <c r="A186" s="73">
        <v>2084006164</v>
      </c>
      <c r="B186" s="73" t="s">
        <v>331</v>
      </c>
      <c r="C186" s="73" t="s">
        <v>1075</v>
      </c>
      <c r="D186" s="11" t="str">
        <f t="shared" si="25"/>
        <v>0,22152,22396,2084006164</v>
      </c>
      <c r="E186" s="3" t="str">
        <f ca="1">IFERROR(__xludf.DUMMYFUNCTION("GOOGLETRANSLATE(B195,""ja"",""vi"")"),"cắt giảm")</f>
        <v>cắt giảm</v>
      </c>
      <c r="F186" s="3" t="str">
        <f ca="1">IFERROR(__xludf.DUMMYFUNCTION("GOOGLETRANSLATE(C195,""ja"",""vi"")"),"Đấu giá&gt; Âm nhạc&gt; kỷ vật, vật lưu niệm&gt; cut-out")</f>
        <v>Đấu giá&gt; Âm nhạc&gt; kỷ vật, vật lưu niệm&gt; cut-out</v>
      </c>
      <c r="H186" s="229" t="str">
        <f t="shared" ca="1" si="20"/>
        <v>"2084006164" : "cắt giảm",</v>
      </c>
      <c r="I186" s="229" t="str">
        <f t="shared" si="26"/>
        <v>&lt;li class="col-md-3"&gt;&lt;a class="text-cut" href="javascript:;"(click)="categoryEvent(2084006164)"&gt;{{"2084006164" | translate}}&lt;/a&gt;&lt;/li&gt;</v>
      </c>
    </row>
    <row r="187" spans="1:9" ht="14.25" customHeight="1">
      <c r="A187" s="73">
        <v>2084005353</v>
      </c>
      <c r="B187" s="73" t="s">
        <v>16</v>
      </c>
      <c r="C187" s="73" t="s">
        <v>1079</v>
      </c>
      <c r="D187" s="11" t="str">
        <f t="shared" si="25"/>
        <v>0,22152,22396,2084005353</v>
      </c>
      <c r="E187" s="3" t="str">
        <f ca="1">IFERROR(__xludf.DUMMYFUNCTION("GOOGLETRANSLATE(B196,""ja"",""vi"")"),"nếu không thì")</f>
        <v>nếu không thì</v>
      </c>
      <c r="F187" s="3" t="str">
        <f ca="1">IFERROR(__xludf.DUMMYFUNCTION("GOOGLETRANSLATE(C196,""ja"",""vi"")"),"Đấu giá&gt; Âm nhạc&gt; kỷ vật, vật lưu niệm&gt; Khác")</f>
        <v>Đấu giá&gt; Âm nhạc&gt; kỷ vật, vật lưu niệm&gt; Khác</v>
      </c>
      <c r="H187" s="229" t="str">
        <f t="shared" ca="1" si="20"/>
        <v>"2084005353" : "nếu không thì",</v>
      </c>
      <c r="I187" s="229" t="str">
        <f t="shared" si="26"/>
        <v>&lt;li class="col-md-3"&gt;&lt;a class="text-cut" href="javascript:;"(click)="categoryEvent(2084005353)"&gt;{{"2084005353" | translate}}&lt;/a&gt;&lt;/li&gt;</v>
      </c>
    </row>
    <row r="188" spans="1:9" ht="14.25" customHeight="1"/>
    <row r="189" spans="1:9" ht="14.25" customHeight="1"/>
    <row r="190" spans="1:9" ht="14.25" customHeight="1"/>
    <row r="191" spans="1:9" ht="14.25" customHeight="1"/>
    <row r="192" spans="1:9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12">
    <mergeCell ref="A119:D119"/>
    <mergeCell ref="A170:D170"/>
    <mergeCell ref="A149:D149"/>
    <mergeCell ref="A161:D161"/>
    <mergeCell ref="A16:D16"/>
    <mergeCell ref="A39:D39"/>
    <mergeCell ref="A125:D125"/>
    <mergeCell ref="A58:D58"/>
    <mergeCell ref="A74:D74"/>
    <mergeCell ref="A81:D81"/>
    <mergeCell ref="A87:D87"/>
    <mergeCell ref="A103:D103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10.5" customWidth="1"/>
    <col min="2" max="2" width="12.19921875" customWidth="1"/>
    <col min="3" max="3" width="20.796875" customWidth="1"/>
    <col min="4" max="4" width="17.09765625" customWidth="1"/>
    <col min="5" max="5" width="18.19921875" customWidth="1"/>
    <col min="6" max="6" width="26.09765625" customWidth="1"/>
    <col min="7" max="7" width="34.5976562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2084292253</v>
      </c>
      <c r="B2" s="2" t="s">
        <v>4</v>
      </c>
      <c r="C2" s="2" t="s">
        <v>5</v>
      </c>
      <c r="D2" s="2" t="s">
        <v>6</v>
      </c>
      <c r="E2" s="3" t="str">
        <f ca="1">IFERROR(__xludf.DUMMYFUNCTION("GOOGLETRANSLATE(B2,""ja"",""vi"")"),"tổ chức từ thiện cứu trợ thiên tai")</f>
        <v>tổ chức từ thiện cứu trợ thiên tai</v>
      </c>
      <c r="F2" s="3" t="str">
        <f ca="1">IFERROR(__xludf.DUMMYFUNCTION("GOOGLETRANSLATE(C2,""ja"",""vi"")"),"Đấu giá&gt; Charity&gt; từ thiện cứu trợ thiên tai")</f>
        <v>Đấu giá&gt; Charity&gt; từ thiện cứu trợ thiên tai</v>
      </c>
      <c r="G2" s="229" t="str">
        <f t="shared" ref="G2:G6" ca="1" si="0">CONCATENATE(CHAR(34)&amp;"",A2,""&amp;CHAR(34)," : ", CHAR(34)&amp;"",E2,""&amp;CHAR(34),",")</f>
        <v>"2084292253" : "tổ chức từ thiện cứu trợ thiên tai",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href="javascript:;"(click)="categoryEvent(2084292253)"&gt;{{"2084292253" | translate}}&lt;/a&gt;&lt;/li&gt;</v>
      </c>
    </row>
    <row r="3" spans="1:8" ht="14.25" customHeight="1">
      <c r="A3" s="4">
        <v>2084217894</v>
      </c>
      <c r="B3" s="4" t="s">
        <v>7</v>
      </c>
      <c r="C3" s="4" t="s">
        <v>8</v>
      </c>
      <c r="D3" s="4" t="s">
        <v>9</v>
      </c>
      <c r="E3" s="3" t="str">
        <f ca="1">IFERROR(__xludf.DUMMYFUNCTION("GOOGLETRANSLATE(B3,""ja"",""vi"")"),"vận động viên")</f>
        <v>vận động viên</v>
      </c>
      <c r="F3" s="3" t="str">
        <f ca="1">IFERROR(__xludf.DUMMYFUNCTION("GOOGLETRANSLATE(C3,""ja"",""vi"")"),"Đấu giá&gt; Charity&gt; vận động viên")</f>
        <v>Đấu giá&gt; Charity&gt; vận động viên</v>
      </c>
      <c r="G3" s="229" t="str">
        <f t="shared" ca="1" si="0"/>
        <v>"2084217894" : "vận động viên",</v>
      </c>
      <c r="H3" s="229" t="str">
        <f t="shared" ref="H3:H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href="javascript:;"(click)="categoryEvent(2084217894)"&gt;{{"2084217894" | translate}}&lt;/a&gt;&lt;/li&gt;</v>
      </c>
    </row>
    <row r="4" spans="1:8" ht="14.25" customHeight="1">
      <c r="A4" s="5">
        <v>2084217895</v>
      </c>
      <c r="B4" s="5" t="s">
        <v>10</v>
      </c>
      <c r="C4" s="5" t="s">
        <v>11</v>
      </c>
      <c r="D4" s="5" t="s">
        <v>12</v>
      </c>
      <c r="E4" s="3" t="str">
        <f ca="1">IFERROR(__xludf.DUMMYFUNCTION("GOOGLETRANSLATE(B4,""ja"",""vi"")"),"năng lực")</f>
        <v>năng lực</v>
      </c>
      <c r="F4" s="3" t="str">
        <f ca="1">IFERROR(__xludf.DUMMYFUNCTION("GOOGLETRANSLATE(C4,""ja"",""vi"")"),"Đấu giá&gt; Charity&gt; Talent")</f>
        <v>Đấu giá&gt; Charity&gt; Talent</v>
      </c>
      <c r="G4" s="229" t="str">
        <f t="shared" ca="1" si="0"/>
        <v>"2084217895" : "năng lực",</v>
      </c>
      <c r="H4" s="229" t="str">
        <f t="shared" si="1"/>
        <v>&lt;li class="col-md-3"&gt;&lt;a class="text-cut" href="javascript:;"(click)="categoryEvent(2084217895)"&gt;{{"2084217895" | translate}}&lt;/a&gt;&lt;/li&gt;</v>
      </c>
    </row>
    <row r="5" spans="1:8" ht="14.25" customHeight="1">
      <c r="A5" s="6">
        <v>2084217896</v>
      </c>
      <c r="B5" s="6" t="s">
        <v>13</v>
      </c>
      <c r="C5" s="6" t="s">
        <v>14</v>
      </c>
      <c r="D5" s="6" t="s">
        <v>15</v>
      </c>
      <c r="E5" s="3" t="str">
        <f ca="1">IFERROR(__xludf.DUMMYFUNCTION("GOOGLETRANSLATE(B5,""ja"",""vi"")"),"nhạc sĩ")</f>
        <v>nhạc sĩ</v>
      </c>
      <c r="F5" s="3" t="str">
        <f ca="1">IFERROR(__xludf.DUMMYFUNCTION("GOOGLETRANSLATE(C5,""ja"",""vi"")"),"Đấu giá&gt; Charity&gt; nhạc sĩ")</f>
        <v>Đấu giá&gt; Charity&gt; nhạc sĩ</v>
      </c>
      <c r="G5" s="229" t="str">
        <f t="shared" ca="1" si="0"/>
        <v>"2084217896" : "nhạc sĩ",</v>
      </c>
      <c r="H5" s="229" t="str">
        <f t="shared" si="1"/>
        <v>&lt;li class="col-md-3"&gt;&lt;a class="text-cut" href="javascript:;"(click)="categoryEvent(2084217896)"&gt;{{"2084217896" | translate}}&lt;/a&gt;&lt;/li&gt;</v>
      </c>
    </row>
    <row r="6" spans="1:8" ht="14.25" customHeight="1">
      <c r="A6" s="7">
        <v>2084217897</v>
      </c>
      <c r="B6" s="7" t="s">
        <v>16</v>
      </c>
      <c r="C6" s="7" t="s">
        <v>17</v>
      </c>
      <c r="D6" s="7" t="s">
        <v>18</v>
      </c>
      <c r="E6" s="3" t="str">
        <f ca="1">IFERROR(__xludf.DUMMYFUNCTION("GOOGLETRANSLATE(B6,""ja"",""vi"")"),"nếu không thì")</f>
        <v>nếu không thì</v>
      </c>
      <c r="F6" s="3" t="str">
        <f ca="1">IFERROR(__xludf.DUMMYFUNCTION("GOOGLETRANSLATE(C6,""ja"",""vi"")"),"Đấu giá&gt; Charity&gt; Khác")</f>
        <v>Đấu giá&gt; Charity&gt; Khác</v>
      </c>
      <c r="G6" s="229" t="str">
        <f t="shared" ca="1" si="0"/>
        <v>"2084217897" : "nếu không thì",</v>
      </c>
      <c r="H6" s="229" t="str">
        <f t="shared" si="1"/>
        <v>&lt;li class="col-md-3"&gt;&lt;a class="text-cut" href="javascript:;"(click)="categoryEvent(2084217897)"&gt;{{"2084217897" | translate}}&lt;/a&gt;&lt;/li&gt;</v>
      </c>
    </row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B1" workbookViewId="0">
      <selection activeCell="H2" sqref="H2"/>
    </sheetView>
  </sheetViews>
  <sheetFormatPr defaultColWidth="12.59765625" defaultRowHeight="15" customHeight="1"/>
  <cols>
    <col min="1" max="1" width="15.69921875" customWidth="1"/>
    <col min="2" max="2" width="7.69921875" customWidth="1"/>
    <col min="3" max="3" width="19.59765625" customWidth="1"/>
    <col min="4" max="4" width="22.296875" customWidth="1"/>
    <col min="5" max="5" width="9.69921875" customWidth="1"/>
    <col min="6" max="6" width="39" customWidth="1"/>
    <col min="7" max="7" width="22.69921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2084060732</v>
      </c>
      <c r="B2" s="2" t="s">
        <v>19</v>
      </c>
      <c r="C2" s="2" t="s">
        <v>20</v>
      </c>
      <c r="D2" s="2" t="s">
        <v>21</v>
      </c>
      <c r="E2" s="3" t="str">
        <f ca="1">IFERROR(__xludf.DUMMYFUNCTION("GOOGLETRANSLATE(B2,""ja"",""vi"")"),"căn hộ")</f>
        <v>căn hộ</v>
      </c>
      <c r="F2" s="3" t="str">
        <f ca="1">IFERROR(__xludf.DUMMYFUNCTION("GOOGLETRANSLATE(C2,""ja"",""vi"")"),"Đấu giá&gt; Bất động sản&gt; Mansion")</f>
        <v>Đấu giá&gt; Bất động sản&gt; Mansion</v>
      </c>
      <c r="G2" s="229" t="str">
        <f t="shared" ref="G2:G65" ca="1" si="0">CONCATENATE(CHAR(34)&amp;"",A2,""&amp;CHAR(34)," : ", CHAR(34)&amp;"",E2,""&amp;CHAR(34),",")</f>
        <v>"2084060732" : "căn hộ",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href="javascript:;"(click)="categoryEvent(2084060732)"&gt;{{"2084060732" | translate}}&lt;/a&gt;&lt;/li&gt;</v>
      </c>
    </row>
    <row r="3" spans="1:8" ht="14.25" customHeight="1">
      <c r="A3" s="4">
        <v>2084060733</v>
      </c>
      <c r="B3" s="4" t="s">
        <v>22</v>
      </c>
      <c r="C3" s="4" t="s">
        <v>23</v>
      </c>
      <c r="D3" s="4" t="s">
        <v>24</v>
      </c>
      <c r="E3" s="3" t="str">
        <f ca="1">IFERROR(__xludf.DUMMYFUNCTION("GOOGLETRANSLATE(B3,""ja"",""vi"")"),"nhà dân cư")</f>
        <v>nhà dân cư</v>
      </c>
      <c r="F3" s="3" t="str">
        <f ca="1">IFERROR(__xludf.DUMMYFUNCTION("GOOGLETRANSLATE(C3,""ja"",""vi"")"),"Đấu giá&gt; Bất động sản&gt; Nhà cửa")</f>
        <v>Đấu giá&gt; Bất động sản&gt; Nhà cửa</v>
      </c>
      <c r="G3" s="229" t="str">
        <f t="shared" ca="1" si="0"/>
        <v>"2084060733" : "nhà dân cư",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href="javascript:;"(click)="categoryEvent(2084060733)"&gt;{{"2084060733" | translate}}&lt;/a&gt;&lt;/li&gt;</v>
      </c>
    </row>
    <row r="4" spans="1:8" ht="14.25" customHeight="1">
      <c r="A4" s="5">
        <v>2084060734</v>
      </c>
      <c r="B4" s="5" t="s">
        <v>25</v>
      </c>
      <c r="C4" s="5" t="s">
        <v>26</v>
      </c>
      <c r="D4" s="5" t="s">
        <v>27</v>
      </c>
      <c r="E4" s="3" t="str">
        <f ca="1">IFERROR(__xludf.DUMMYFUNCTION("GOOGLETRANSLATE(B4,""ja"",""vi"")"),"đất")</f>
        <v>đất</v>
      </c>
      <c r="F4" s="3" t="str">
        <f ca="1">IFERROR(__xludf.DUMMYFUNCTION("GOOGLETRANSLATE(C4,""ja"",""vi"")"),"Đấu giá&gt; Bất động sản&gt; Đất đai")</f>
        <v>Đấu giá&gt; Bất động sản&gt; Đất đai</v>
      </c>
      <c r="G4" s="229" t="str">
        <f t="shared" ca="1" si="0"/>
        <v>"2084060734" : "đất",</v>
      </c>
      <c r="H4" s="229" t="str">
        <f t="shared" si="1"/>
        <v>&lt;li class="col-md-3"&gt;&lt;a class="text-cut" href="javascript:;"(click)="categoryEvent(2084060734)"&gt;{{"2084060734" | translate}}&lt;/a&gt;&lt;/li&gt;</v>
      </c>
    </row>
    <row r="5" spans="1:8" ht="14.25" customHeight="1">
      <c r="A5" s="8">
        <v>2084063926</v>
      </c>
      <c r="B5" s="8" t="s">
        <v>28</v>
      </c>
      <c r="C5" s="8" t="s">
        <v>29</v>
      </c>
      <c r="D5" s="8" t="s">
        <v>30</v>
      </c>
      <c r="E5" s="3" t="str">
        <f ca="1">IFERROR(__xludf.DUMMYFUNCTION("GOOGLETRANSLATE(B5,""ja"",""vi"")"),"Đầu tư cho bất động sản")</f>
        <v>Đầu tư cho bất động sản</v>
      </c>
      <c r="F5" s="3" t="str">
        <f ca="1">IFERROR(__xludf.DUMMYFUNCTION("GOOGLETRANSLATE(C5,""ja"",""vi"")"),"Đấu giá&gt; Bất động sản&gt; đầu tư cho bất động sản")</f>
        <v>Đấu giá&gt; Bất động sản&gt; đầu tư cho bất động sản</v>
      </c>
      <c r="G5" s="229" t="str">
        <f t="shared" ca="1" si="0"/>
        <v>"2084063926" : "Đầu tư cho bất động sản",</v>
      </c>
      <c r="H5" s="229" t="str">
        <f t="shared" si="1"/>
        <v>&lt;li class="col-md-3"&gt;&lt;a class="text-cut" href="javascript:;"(click)="categoryEvent(2084063926)"&gt;{{"2084063926" | translate}}&lt;/a&gt;&lt;/li&gt;</v>
      </c>
    </row>
    <row r="6" spans="1:8" ht="14.25" customHeight="1">
      <c r="A6" s="6">
        <v>2084307775</v>
      </c>
      <c r="B6" s="6" t="s">
        <v>31</v>
      </c>
      <c r="C6" s="6" t="s">
        <v>32</v>
      </c>
      <c r="D6" s="6" t="s">
        <v>33</v>
      </c>
      <c r="E6" s="3" t="str">
        <f ca="1">IFERROR(__xludf.DUMMYFUNCTION("GOOGLETRANSLATE(B6,""ja"",""vi"")"),"cho thuê không gian")</f>
        <v>cho thuê không gian</v>
      </c>
      <c r="F6" s="3" t="str">
        <f ca="1">IFERROR(__xludf.DUMMYFUNCTION("GOOGLETRANSLATE(C6,""ja"",""vi"")"),"Đấu giá&gt; Bất động sản&gt; Cho thuê không gian")</f>
        <v>Đấu giá&gt; Bất động sản&gt; Cho thuê không gian</v>
      </c>
      <c r="G6" s="229" t="str">
        <f t="shared" ca="1" si="0"/>
        <v>"2084307775" : "cho thuê không gian",</v>
      </c>
      <c r="H6" s="229" t="str">
        <f t="shared" si="1"/>
        <v>&lt;li class="col-md-3"&gt;&lt;a class="text-cut" href="javascript:;"(click)="categoryEvent(2084307775)"&gt;{{"2084307775" | translate}}&lt;/a&gt;&lt;/li&gt;</v>
      </c>
    </row>
    <row r="7" spans="1:8" ht="14.25" customHeight="1">
      <c r="A7" s="9">
        <v>2084307780</v>
      </c>
      <c r="B7" s="9" t="s">
        <v>34</v>
      </c>
      <c r="C7" s="9" t="s">
        <v>35</v>
      </c>
      <c r="D7" s="9" t="s">
        <v>36</v>
      </c>
      <c r="E7" s="3" t="str">
        <f ca="1">IFERROR(__xludf.DUMMYFUNCTION("GOOGLETRANSLATE(B7,""ja"",""vi"")"),"tiền thuê")</f>
        <v>tiền thuê</v>
      </c>
      <c r="F7" s="3" t="str">
        <f ca="1">IFERROR(__xludf.DUMMYFUNCTION("GOOGLETRANSLATE(C7,""ja"",""vi"")"),"Đấu giá&gt; Bất động sản&gt; Cho thuê")</f>
        <v>Đấu giá&gt; Bất động sản&gt; Cho thuê</v>
      </c>
      <c r="G7" s="229" t="str">
        <f t="shared" ca="1" si="0"/>
        <v>"2084307780" : "tiền thuê",</v>
      </c>
      <c r="H7" s="229" t="str">
        <f t="shared" si="1"/>
        <v>&lt;li class="col-md-3"&gt;&lt;a class="text-cut" href="javascript:;"(click)="categoryEvent(2084307780)"&gt;{{"2084307780" | translate}}&lt;/a&gt;&lt;/li&gt;</v>
      </c>
    </row>
    <row r="8" spans="1:8" ht="14.25" customHeight="1">
      <c r="A8" s="7">
        <v>2084060735</v>
      </c>
      <c r="B8" s="7" t="s">
        <v>16</v>
      </c>
      <c r="C8" s="7" t="s">
        <v>37</v>
      </c>
      <c r="D8" s="7" t="s">
        <v>38</v>
      </c>
      <c r="E8" s="3" t="str">
        <f ca="1">IFERROR(__xludf.DUMMYFUNCTION("GOOGLETRANSLATE(B8,""ja"",""vi"")"),"nếu không thì")</f>
        <v>nếu không thì</v>
      </c>
      <c r="F8" s="3" t="str">
        <f ca="1">IFERROR(__xludf.DUMMYFUNCTION("GOOGLETRANSLATE(C8,""ja"",""vi"")"),"Đấu giá&gt; Bất động sản&gt; Khác")</f>
        <v>Đấu giá&gt; Bất động sản&gt; Khác</v>
      </c>
      <c r="G8" s="229" t="str">
        <f t="shared" ca="1" si="0"/>
        <v>"2084060735" : "nếu không thì",</v>
      </c>
      <c r="H8" s="229" t="str">
        <f t="shared" si="1"/>
        <v>&lt;li class="col-md-3"&gt;&lt;a class="text-cut" href="javascript:;"(click)="categoryEvent(2084060735)"&gt;{{"2084060735" | translate}}&lt;/a&gt;&lt;/li&gt;</v>
      </c>
    </row>
    <row r="9" spans="1:8" ht="14.25" customHeight="1">
      <c r="E9" s="3"/>
      <c r="F9" s="3"/>
      <c r="G9" s="229"/>
      <c r="H9" s="229"/>
    </row>
    <row r="10" spans="1:8" ht="22.8" customHeight="1">
      <c r="A10" s="231">
        <v>2084060732</v>
      </c>
      <c r="B10" s="232"/>
      <c r="C10" s="232"/>
      <c r="D10" s="233"/>
      <c r="E10" s="3"/>
      <c r="F10" s="3"/>
      <c r="G10" s="229"/>
      <c r="H10" s="229"/>
    </row>
    <row r="11" spans="1:8" ht="14.25" customHeight="1">
      <c r="A11" s="2">
        <v>2084060736</v>
      </c>
      <c r="B11" s="2" t="s">
        <v>39</v>
      </c>
      <c r="C11" s="2" t="s">
        <v>40</v>
      </c>
      <c r="D11" s="2" t="s">
        <v>41</v>
      </c>
      <c r="E11" s="3" t="str">
        <f ca="1">IFERROR(__xludf.DUMMYFUNCTION("GOOGLETRANSLATE(B11,""ja"",""vi"")"),"Hokkaido")</f>
        <v>Hokkaido</v>
      </c>
      <c r="F11" s="3" t="str">
        <f ca="1">IFERROR(__xludf.DUMMYFUNCTION("GOOGLETRANSLATE(C11,""ja"",""vi"")"),"Đấu giá&gt; bất động sản&gt; Căn hộ&gt; Hokkaido")</f>
        <v>Đấu giá&gt; bất động sản&gt; Căn hộ&gt; Hokkaido</v>
      </c>
      <c r="G11" s="229" t="str">
        <f t="shared" ca="1" si="0"/>
        <v>"2084060736" : "Hokkaido",</v>
      </c>
      <c r="H11" s="229" t="str">
        <f t="shared" si="1"/>
        <v>&lt;li class="col-md-3"&gt;&lt;a class="text-cut" href="javascript:;"(click)="categoryEvent(2084060736)"&gt;{{"2084060736" | translate}}&lt;/a&gt;&lt;/li&gt;</v>
      </c>
    </row>
    <row r="12" spans="1:8" ht="14.25" customHeight="1">
      <c r="A12" s="2">
        <v>2084060737</v>
      </c>
      <c r="B12" s="2" t="s">
        <v>42</v>
      </c>
      <c r="C12" s="2" t="s">
        <v>43</v>
      </c>
      <c r="D12" s="2" t="s">
        <v>44</v>
      </c>
      <c r="E12" s="3" t="str">
        <f ca="1">IFERROR(__xludf.DUMMYFUNCTION("GOOGLETRANSLATE(B12,""ja"",""vi"")"),"đông bắc")</f>
        <v>đông bắc</v>
      </c>
      <c r="F12" s="3" t="str">
        <f ca="1">IFERROR(__xludf.DUMMYFUNCTION("GOOGLETRANSLATE(C12,""ja"",""vi"")"),"Đấu giá&gt; bất động sản&gt; Căn hộ&gt; Đông Bắc")</f>
        <v>Đấu giá&gt; bất động sản&gt; Căn hộ&gt; Đông Bắc</v>
      </c>
      <c r="G12" s="229" t="str">
        <f t="shared" ca="1" si="0"/>
        <v>"2084060737" : "đông bắc",</v>
      </c>
      <c r="H12" s="229" t="str">
        <f t="shared" si="1"/>
        <v>&lt;li class="col-md-3"&gt;&lt;a class="text-cut" href="javascript:;"(click)="categoryEvent(2084060737)"&gt;{{"2084060737" | translate}}&lt;/a&gt;&lt;/li&gt;</v>
      </c>
    </row>
    <row r="13" spans="1:8" ht="14.25" customHeight="1">
      <c r="A13" s="2">
        <v>2084060738</v>
      </c>
      <c r="B13" s="2" t="s">
        <v>45</v>
      </c>
      <c r="C13" s="2" t="s">
        <v>46</v>
      </c>
      <c r="D13" s="2" t="s">
        <v>47</v>
      </c>
      <c r="E13" s="3" t="str">
        <f ca="1">IFERROR(__xludf.DUMMYFUNCTION("GOOGLETRANSLATE(B13,""ja"",""vi"")"),"Kanto")</f>
        <v>Kanto</v>
      </c>
      <c r="F13" s="3" t="str">
        <f ca="1">IFERROR(__xludf.DUMMYFUNCTION("GOOGLETRANSLATE(C13,""ja"",""vi"")"),"Đấu giá&gt; bất động sản&gt; Căn hộ&gt; Kanto")</f>
        <v>Đấu giá&gt; bất động sản&gt; Căn hộ&gt; Kanto</v>
      </c>
      <c r="G13" s="229" t="str">
        <f t="shared" ca="1" si="0"/>
        <v>"2084060738" : "Kanto",</v>
      </c>
      <c r="H13" s="229" t="str">
        <f t="shared" si="1"/>
        <v>&lt;li class="col-md-3"&gt;&lt;a class="text-cut" href="javascript:;"(click)="categoryEvent(2084060738)"&gt;{{"2084060738" | translate}}&lt;/a&gt;&lt;/li&gt;</v>
      </c>
    </row>
    <row r="14" spans="1:8" ht="14.25" customHeight="1">
      <c r="A14" s="2">
        <v>2084060739</v>
      </c>
      <c r="B14" s="2" t="s">
        <v>48</v>
      </c>
      <c r="C14" s="2" t="s">
        <v>49</v>
      </c>
      <c r="D14" s="2" t="s">
        <v>50</v>
      </c>
      <c r="E14" s="3" t="str">
        <f ca="1">IFERROR(__xludf.DUMMYFUNCTION("GOOGLETRANSLATE(B14,""ja"",""vi"")"),"Shin-Etsu")</f>
        <v>Shin-Etsu</v>
      </c>
      <c r="F14" s="3" t="str">
        <f ca="1">IFERROR(__xludf.DUMMYFUNCTION("GOOGLETRANSLATE(C14,""ja"",""vi"")"),"Đấu giá&gt; bất động sản&gt; Căn hộ&gt; Shin-Etsu")</f>
        <v>Đấu giá&gt; bất động sản&gt; Căn hộ&gt; Shin-Etsu</v>
      </c>
      <c r="G14" s="229" t="str">
        <f t="shared" ca="1" si="0"/>
        <v>"2084060739" : "Shin-Etsu",</v>
      </c>
      <c r="H14" s="229" t="str">
        <f t="shared" si="1"/>
        <v>&lt;li class="col-md-3"&gt;&lt;a class="text-cut" href="javascript:;"(click)="categoryEvent(2084060739)"&gt;{{"2084060739" | translate}}&lt;/a&gt;&lt;/li&gt;</v>
      </c>
    </row>
    <row r="15" spans="1:8" ht="14.25" customHeight="1">
      <c r="A15" s="2">
        <v>2084060740</v>
      </c>
      <c r="B15" s="2" t="s">
        <v>51</v>
      </c>
      <c r="C15" s="2" t="s">
        <v>52</v>
      </c>
      <c r="D15" s="2" t="s">
        <v>53</v>
      </c>
      <c r="E15" s="3" t="str">
        <f ca="1">IFERROR(__xludf.DUMMYFUNCTION("GOOGLETRANSLATE(B15,""ja"",""vi"")"),"Hokuriku")</f>
        <v>Hokuriku</v>
      </c>
      <c r="F15" s="3" t="str">
        <f ca="1">IFERROR(__xludf.DUMMYFUNCTION("GOOGLETRANSLATE(C15,""ja"",""vi"")"),"Đấu giá&gt; bất động sản&gt; Căn hộ&gt; Hokuriku")</f>
        <v>Đấu giá&gt; bất động sản&gt; Căn hộ&gt; Hokuriku</v>
      </c>
      <c r="G15" s="229" t="str">
        <f t="shared" ca="1" si="0"/>
        <v>"2084060740" : "Hokuriku",</v>
      </c>
      <c r="H15" s="229" t="str">
        <f t="shared" si="1"/>
        <v>&lt;li class="col-md-3"&gt;&lt;a class="text-cut" href="javascript:;"(click)="categoryEvent(2084060740)"&gt;{{"2084060740" | translate}}&lt;/a&gt;&lt;/li&gt;</v>
      </c>
    </row>
    <row r="16" spans="1:8" ht="14.25" customHeight="1">
      <c r="A16" s="2">
        <v>2084060741</v>
      </c>
      <c r="B16" s="2" t="s">
        <v>54</v>
      </c>
      <c r="C16" s="2" t="s">
        <v>55</v>
      </c>
      <c r="D16" s="2" t="s">
        <v>56</v>
      </c>
      <c r="E16" s="3" t="str">
        <f ca="1">IFERROR(__xludf.DUMMYFUNCTION("GOOGLETRANSLATE(B16,""ja"",""vi"")"),"Tokai")</f>
        <v>Tokai</v>
      </c>
      <c r="F16" s="3" t="str">
        <f ca="1">IFERROR(__xludf.DUMMYFUNCTION("GOOGLETRANSLATE(C16,""ja"",""vi"")"),"Đấu giá&gt; bất động sản&gt; Căn hộ&gt; Tokai")</f>
        <v>Đấu giá&gt; bất động sản&gt; Căn hộ&gt; Tokai</v>
      </c>
      <c r="G16" s="229" t="str">
        <f t="shared" ca="1" si="0"/>
        <v>"2084060741" : "Tokai",</v>
      </c>
      <c r="H16" s="229" t="str">
        <f t="shared" si="1"/>
        <v>&lt;li class="col-md-3"&gt;&lt;a class="text-cut" href="javascript:;"(click)="categoryEvent(2084060741)"&gt;{{"2084060741" | translate}}&lt;/a&gt;&lt;/li&gt;</v>
      </c>
    </row>
    <row r="17" spans="1:8" ht="14.25" customHeight="1">
      <c r="A17" s="2">
        <v>2084060742</v>
      </c>
      <c r="B17" s="2" t="s">
        <v>57</v>
      </c>
      <c r="C17" s="2" t="s">
        <v>58</v>
      </c>
      <c r="D17" s="2" t="s">
        <v>59</v>
      </c>
      <c r="E17" s="3" t="str">
        <f ca="1">IFERROR(__xludf.DUMMYFUNCTION("GOOGLETRANSLATE(B17,""ja"",""vi"")"),"Kinki")</f>
        <v>Kinki</v>
      </c>
      <c r="F17" s="3" t="str">
        <f ca="1">IFERROR(__xludf.DUMMYFUNCTION("GOOGLETRANSLATE(C17,""ja"",""vi"")"),"Đấu giá&gt; bất động sản&gt; Căn hộ&gt; Kinki")</f>
        <v>Đấu giá&gt; bất động sản&gt; Căn hộ&gt; Kinki</v>
      </c>
      <c r="G17" s="229" t="str">
        <f t="shared" ca="1" si="0"/>
        <v>"2084060742" : "Kinki",</v>
      </c>
      <c r="H17" s="229" t="str">
        <f t="shared" si="1"/>
        <v>&lt;li class="col-md-3"&gt;&lt;a class="text-cut" href="javascript:;"(click)="categoryEvent(2084060742)"&gt;{{"2084060742" | translate}}&lt;/a&gt;&lt;/li&gt;</v>
      </c>
    </row>
    <row r="18" spans="1:8" ht="14.25" customHeight="1">
      <c r="A18" s="2">
        <v>2084060743</v>
      </c>
      <c r="B18" s="2" t="s">
        <v>60</v>
      </c>
      <c r="C18" s="2" t="s">
        <v>61</v>
      </c>
      <c r="D18" s="2" t="s">
        <v>62</v>
      </c>
      <c r="E18" s="3" t="str">
        <f ca="1">IFERROR(__xludf.DUMMYFUNCTION("GOOGLETRANSLATE(B18,""ja"",""vi"")"),"đồ sứ")</f>
        <v>đồ sứ</v>
      </c>
      <c r="F18" s="3" t="str">
        <f ca="1">IFERROR(__xludf.DUMMYFUNCTION("GOOGLETRANSLATE(C18,""ja"",""vi"")"),"Đấu giá&gt; bất động sản&gt; Căn hộ&gt; Trung Quốc")</f>
        <v>Đấu giá&gt; bất động sản&gt; Căn hộ&gt; Trung Quốc</v>
      </c>
      <c r="G18" s="229" t="str">
        <f t="shared" ca="1" si="0"/>
        <v>"2084060743" : "đồ sứ",</v>
      </c>
      <c r="H18" s="229" t="str">
        <f t="shared" si="1"/>
        <v>&lt;li class="col-md-3"&gt;&lt;a class="text-cut" href="javascript:;"(click)="categoryEvent(2084060743)"&gt;{{"2084060743" | translate}}&lt;/a&gt;&lt;/li&gt;</v>
      </c>
    </row>
    <row r="19" spans="1:8" ht="14.25" customHeight="1">
      <c r="A19" s="2">
        <v>2084060744</v>
      </c>
      <c r="B19" s="2" t="s">
        <v>63</v>
      </c>
      <c r="C19" s="2" t="s">
        <v>64</v>
      </c>
      <c r="D19" s="2" t="s">
        <v>65</v>
      </c>
      <c r="E19" s="3" t="str">
        <f ca="1">IFERROR(__xludf.DUMMYFUNCTION("GOOGLETRANSLATE(B19,""ja"",""vi"")"),"Shikoku")</f>
        <v>Shikoku</v>
      </c>
      <c r="F19" s="3" t="str">
        <f ca="1">IFERROR(__xludf.DUMMYFUNCTION("GOOGLETRANSLATE(C19,""ja"",""vi"")"),"Đấu giá&gt; bất động sản&gt; Căn hộ&gt; Shikoku")</f>
        <v>Đấu giá&gt; bất động sản&gt; Căn hộ&gt; Shikoku</v>
      </c>
      <c r="G19" s="229" t="str">
        <f t="shared" ca="1" si="0"/>
        <v>"2084060744" : "Shikoku",</v>
      </c>
      <c r="H19" s="229" t="str">
        <f t="shared" si="1"/>
        <v>&lt;li class="col-md-3"&gt;&lt;a class="text-cut" href="javascript:;"(click)="categoryEvent(2084060744)"&gt;{{"2084060744" | translate}}&lt;/a&gt;&lt;/li&gt;</v>
      </c>
    </row>
    <row r="20" spans="1:8" ht="14.25" customHeight="1">
      <c r="A20" s="2">
        <v>2084060745</v>
      </c>
      <c r="B20" s="2" t="s">
        <v>66</v>
      </c>
      <c r="C20" s="2" t="s">
        <v>67</v>
      </c>
      <c r="D20" s="2" t="s">
        <v>68</v>
      </c>
      <c r="E20" s="3" t="str">
        <f ca="1">IFERROR(__xludf.DUMMYFUNCTION("GOOGLETRANSLATE(B20,""ja"",""vi"")"),"Kyushu")</f>
        <v>Kyushu</v>
      </c>
      <c r="F20" s="3" t="str">
        <f ca="1">IFERROR(__xludf.DUMMYFUNCTION("GOOGLETRANSLATE(C20,""ja"",""vi"")"),"Đấu giá&gt; bất động sản&gt; Căn hộ&gt; Kyushu")</f>
        <v>Đấu giá&gt; bất động sản&gt; Căn hộ&gt; Kyushu</v>
      </c>
      <c r="G20" s="229" t="str">
        <f t="shared" ca="1" si="0"/>
        <v>"2084060745" : "Kyushu",</v>
      </c>
      <c r="H20" s="229" t="str">
        <f t="shared" si="1"/>
        <v>&lt;li class="col-md-3"&gt;&lt;a class="text-cut" href="javascript:;"(click)="categoryEvent(2084060745)"&gt;{{"2084060745" | translate}}&lt;/a&gt;&lt;/li&gt;</v>
      </c>
    </row>
    <row r="21" spans="1:8" ht="14.25" customHeight="1">
      <c r="A21" s="2">
        <v>2084060746</v>
      </c>
      <c r="B21" s="2" t="s">
        <v>69</v>
      </c>
      <c r="C21" s="2" t="s">
        <v>70</v>
      </c>
      <c r="D21" s="2" t="s">
        <v>71</v>
      </c>
      <c r="E21" s="3" t="str">
        <f ca="1">IFERROR(__xludf.DUMMYFUNCTION("GOOGLETRANSLATE(B21,""ja"",""vi"")"),"Okinawa Prefecture")</f>
        <v>Okinawa Prefecture</v>
      </c>
      <c r="F21" s="3" t="str">
        <f ca="1">IFERROR(__xludf.DUMMYFUNCTION("GOOGLETRANSLATE(C21,""ja"",""vi"")"),"Đấu giá&gt; bất động sản&gt; Căn hộ&gt; Okinawa Prefecture")</f>
        <v>Đấu giá&gt; bất động sản&gt; Căn hộ&gt; Okinawa Prefecture</v>
      </c>
      <c r="G21" s="229" t="str">
        <f t="shared" ca="1" si="0"/>
        <v>"2084060746" : "Okinawa Prefecture",</v>
      </c>
      <c r="H21" s="229" t="str">
        <f t="shared" si="1"/>
        <v>&lt;li class="col-md-3"&gt;&lt;a class="text-cut" href="javascript:;"(click)="categoryEvent(2084060746)"&gt;{{"2084060746" | translate}}&lt;/a&gt;&lt;/li&gt;</v>
      </c>
    </row>
    <row r="22" spans="1:8" ht="14.25" customHeight="1">
      <c r="A22" s="2">
        <v>2084060747</v>
      </c>
      <c r="B22" s="2" t="s">
        <v>72</v>
      </c>
      <c r="C22" s="2" t="s">
        <v>73</v>
      </c>
      <c r="D22" s="2" t="s">
        <v>74</v>
      </c>
      <c r="E22" s="3" t="str">
        <f ca="1">IFERROR(__xludf.DUMMYFUNCTION("GOOGLETRANSLATE(B22,""ja"",""vi"")"),"nước ngoài")</f>
        <v>nước ngoài</v>
      </c>
      <c r="F22" s="3" t="str">
        <f ca="1">IFERROR(__xludf.DUMMYFUNCTION("GOOGLETRANSLATE(C22,""ja"",""vi"")"),"Đấu giá&gt; bất động sản&gt; Căn hộ&gt; Overseas")</f>
        <v>Đấu giá&gt; bất động sản&gt; Căn hộ&gt; Overseas</v>
      </c>
      <c r="G22" s="229" t="str">
        <f t="shared" ca="1" si="0"/>
        <v>"2084060747" : "nước ngoài",</v>
      </c>
      <c r="H22" s="229" t="str">
        <f t="shared" si="1"/>
        <v>&lt;li class="col-md-3"&gt;&lt;a class="text-cut" href="javascript:;"(click)="categoryEvent(2084060747)"&gt;{{"2084060747" | translate}}&lt;/a&gt;&lt;/li&gt;</v>
      </c>
    </row>
    <row r="23" spans="1:8" ht="14.25" customHeight="1">
      <c r="E23" s="3"/>
      <c r="F23" s="3"/>
      <c r="G23" s="229"/>
      <c r="H23" s="229"/>
    </row>
    <row r="24" spans="1:8" ht="31.2" customHeight="1">
      <c r="A24" s="239">
        <v>2084060733</v>
      </c>
      <c r="B24" s="232"/>
      <c r="C24" s="232"/>
      <c r="D24" s="233"/>
      <c r="E24" s="3"/>
      <c r="F24" s="3"/>
      <c r="G24" s="229"/>
      <c r="H24" s="229"/>
    </row>
    <row r="25" spans="1:8" ht="14.25" customHeight="1">
      <c r="A25" s="2">
        <v>2084060748</v>
      </c>
      <c r="B25" s="2" t="s">
        <v>39</v>
      </c>
      <c r="C25" s="2" t="s">
        <v>75</v>
      </c>
      <c r="D25" s="2" t="s">
        <v>76</v>
      </c>
      <c r="E25" s="3" t="str">
        <f ca="1">IFERROR(__xludf.DUMMYFUNCTION("GOOGLETRANSLATE(B25,""ja"",""vi"")"),"Hokkaido")</f>
        <v>Hokkaido</v>
      </c>
      <c r="F25" s="3" t="str">
        <f ca="1">IFERROR(__xludf.DUMMYFUNCTION("GOOGLETRANSLATE(C25,""ja"",""vi"")"),"Đấu giá&gt; Bất động sản&gt; Trang chủ&gt; Hokkaido")</f>
        <v>Đấu giá&gt; Bất động sản&gt; Trang chủ&gt; Hokkaido</v>
      </c>
      <c r="G25" s="229" t="str">
        <f t="shared" ca="1" si="0"/>
        <v>"2084060748" : "Hokkaido",</v>
      </c>
      <c r="H25" s="229" t="str">
        <f t="shared" si="1"/>
        <v>&lt;li class="col-md-3"&gt;&lt;a class="text-cut" href="javascript:;"(click)="categoryEvent(2084060748)"&gt;{{"2084060748" | translate}}&lt;/a&gt;&lt;/li&gt;</v>
      </c>
    </row>
    <row r="26" spans="1:8" ht="14.25" customHeight="1">
      <c r="A26" s="2">
        <v>2084060749</v>
      </c>
      <c r="B26" s="2" t="s">
        <v>42</v>
      </c>
      <c r="C26" s="2" t="s">
        <v>77</v>
      </c>
      <c r="D26" s="2" t="s">
        <v>78</v>
      </c>
      <c r="E26" s="3" t="str">
        <f ca="1">IFERROR(__xludf.DUMMYFUNCTION("GOOGLETRANSLATE(B26,""ja"",""vi"")"),"đông bắc")</f>
        <v>đông bắc</v>
      </c>
      <c r="F26" s="3" t="str">
        <f ca="1">IFERROR(__xludf.DUMMYFUNCTION("GOOGLETRANSLATE(C26,""ja"",""vi"")"),"Đấu giá&gt; Bất động sản&gt; Trang chủ&gt; Đông Bắc")</f>
        <v>Đấu giá&gt; Bất động sản&gt; Trang chủ&gt; Đông Bắc</v>
      </c>
      <c r="G26" s="229" t="str">
        <f t="shared" ca="1" si="0"/>
        <v>"2084060749" : "đông bắc",</v>
      </c>
      <c r="H26" s="229" t="str">
        <f t="shared" si="1"/>
        <v>&lt;li class="col-md-3"&gt;&lt;a class="text-cut" href="javascript:;"(click)="categoryEvent(2084060749)"&gt;{{"2084060749" | translate}}&lt;/a&gt;&lt;/li&gt;</v>
      </c>
    </row>
    <row r="27" spans="1:8" ht="14.25" customHeight="1">
      <c r="A27" s="2">
        <v>2084060750</v>
      </c>
      <c r="B27" s="2" t="s">
        <v>45</v>
      </c>
      <c r="C27" s="2" t="s">
        <v>79</v>
      </c>
      <c r="D27" s="2" t="s">
        <v>80</v>
      </c>
      <c r="E27" s="3" t="str">
        <f ca="1">IFERROR(__xludf.DUMMYFUNCTION("GOOGLETRANSLATE(B27,""ja"",""vi"")"),"Kanto")</f>
        <v>Kanto</v>
      </c>
      <c r="F27" s="3" t="str">
        <f ca="1">IFERROR(__xludf.DUMMYFUNCTION("GOOGLETRANSLATE(C27,""ja"",""vi"")"),"Đấu giá&gt; Bất động sản&gt; Trang chủ&gt; Kanto")</f>
        <v>Đấu giá&gt; Bất động sản&gt; Trang chủ&gt; Kanto</v>
      </c>
      <c r="G27" s="229" t="str">
        <f t="shared" ca="1" si="0"/>
        <v>"2084060750" : "Kanto",</v>
      </c>
      <c r="H27" s="229" t="str">
        <f t="shared" si="1"/>
        <v>&lt;li class="col-md-3"&gt;&lt;a class="text-cut" href="javascript:;"(click)="categoryEvent(2084060750)"&gt;{{"2084060750" | translate}}&lt;/a&gt;&lt;/li&gt;</v>
      </c>
    </row>
    <row r="28" spans="1:8" ht="14.25" customHeight="1">
      <c r="A28" s="2">
        <v>2084060751</v>
      </c>
      <c r="B28" s="2" t="s">
        <v>48</v>
      </c>
      <c r="C28" s="2" t="s">
        <v>81</v>
      </c>
      <c r="D28" s="2" t="s">
        <v>82</v>
      </c>
      <c r="E28" s="3" t="str">
        <f ca="1">IFERROR(__xludf.DUMMYFUNCTION("GOOGLETRANSLATE(B28,""ja"",""vi"")"),"Shin-Etsu")</f>
        <v>Shin-Etsu</v>
      </c>
      <c r="F28" s="3" t="str">
        <f ca="1">IFERROR(__xludf.DUMMYFUNCTION("GOOGLETRANSLATE(C28,""ja"",""vi"")"),"Đấu giá&gt; Bất động sản&gt; Trang chủ&gt; Shin-Etsu")</f>
        <v>Đấu giá&gt; Bất động sản&gt; Trang chủ&gt; Shin-Etsu</v>
      </c>
      <c r="G28" s="229" t="str">
        <f t="shared" ca="1" si="0"/>
        <v>"2084060751" : "Shin-Etsu",</v>
      </c>
      <c r="H28" s="229" t="str">
        <f t="shared" si="1"/>
        <v>&lt;li class="col-md-3"&gt;&lt;a class="text-cut" href="javascript:;"(click)="categoryEvent(2084060751)"&gt;{{"2084060751" | translate}}&lt;/a&gt;&lt;/li&gt;</v>
      </c>
    </row>
    <row r="29" spans="1:8" ht="14.25" customHeight="1">
      <c r="A29" s="2">
        <v>2084060752</v>
      </c>
      <c r="B29" s="2" t="s">
        <v>51</v>
      </c>
      <c r="C29" s="2" t="s">
        <v>83</v>
      </c>
      <c r="D29" s="2" t="s">
        <v>84</v>
      </c>
      <c r="E29" s="3" t="str">
        <f ca="1">IFERROR(__xludf.DUMMYFUNCTION("GOOGLETRANSLATE(B29,""ja"",""vi"")"),"Hokuriku")</f>
        <v>Hokuriku</v>
      </c>
      <c r="F29" s="3" t="str">
        <f ca="1">IFERROR(__xludf.DUMMYFUNCTION("GOOGLETRANSLATE(C29,""ja"",""vi"")"),"Đấu giá&gt; Bất động sản&gt; Trang chủ&gt; Hokuriku")</f>
        <v>Đấu giá&gt; Bất động sản&gt; Trang chủ&gt; Hokuriku</v>
      </c>
      <c r="G29" s="229" t="str">
        <f t="shared" ca="1" si="0"/>
        <v>"2084060752" : "Hokuriku",</v>
      </c>
      <c r="H29" s="229" t="str">
        <f t="shared" si="1"/>
        <v>&lt;li class="col-md-3"&gt;&lt;a class="text-cut" href="javascript:;"(click)="categoryEvent(2084060752)"&gt;{{"2084060752" | translate}}&lt;/a&gt;&lt;/li&gt;</v>
      </c>
    </row>
    <row r="30" spans="1:8" ht="14.25" customHeight="1">
      <c r="A30" s="2">
        <v>2084060753</v>
      </c>
      <c r="B30" s="2" t="s">
        <v>54</v>
      </c>
      <c r="C30" s="2" t="s">
        <v>85</v>
      </c>
      <c r="D30" s="2" t="s">
        <v>86</v>
      </c>
      <c r="E30" s="3" t="str">
        <f ca="1">IFERROR(__xludf.DUMMYFUNCTION("GOOGLETRANSLATE(B30,""ja"",""vi"")"),"Tokai")</f>
        <v>Tokai</v>
      </c>
      <c r="F30" s="3" t="str">
        <f ca="1">IFERROR(__xludf.DUMMYFUNCTION("GOOGLETRANSLATE(C30,""ja"",""vi"")"),"Đấu giá&gt; Bất động sản&gt; Trang chủ&gt; Tokai")</f>
        <v>Đấu giá&gt; Bất động sản&gt; Trang chủ&gt; Tokai</v>
      </c>
      <c r="G30" s="229" t="str">
        <f t="shared" ca="1" si="0"/>
        <v>"2084060753" : "Tokai",</v>
      </c>
      <c r="H30" s="229" t="str">
        <f t="shared" si="1"/>
        <v>&lt;li class="col-md-3"&gt;&lt;a class="text-cut" href="javascript:;"(click)="categoryEvent(2084060753)"&gt;{{"2084060753" | translate}}&lt;/a&gt;&lt;/li&gt;</v>
      </c>
    </row>
    <row r="31" spans="1:8" ht="14.25" customHeight="1">
      <c r="A31" s="2">
        <v>2084060754</v>
      </c>
      <c r="B31" s="2" t="s">
        <v>57</v>
      </c>
      <c r="C31" s="2" t="s">
        <v>87</v>
      </c>
      <c r="D31" s="2" t="s">
        <v>88</v>
      </c>
      <c r="E31" s="3" t="str">
        <f ca="1">IFERROR(__xludf.DUMMYFUNCTION("GOOGLETRANSLATE(B31,""ja"",""vi"")"),"Kinki")</f>
        <v>Kinki</v>
      </c>
      <c r="F31" s="3" t="str">
        <f ca="1">IFERROR(__xludf.DUMMYFUNCTION("GOOGLETRANSLATE(C31,""ja"",""vi"")"),"Đấu giá&gt; Bất động sản&gt; Trang chủ&gt; Kinki")</f>
        <v>Đấu giá&gt; Bất động sản&gt; Trang chủ&gt; Kinki</v>
      </c>
      <c r="G31" s="229" t="str">
        <f t="shared" ca="1" si="0"/>
        <v>"2084060754" : "Kinki",</v>
      </c>
      <c r="H31" s="229" t="str">
        <f t="shared" si="1"/>
        <v>&lt;li class="col-md-3"&gt;&lt;a class="text-cut" href="javascript:;"(click)="categoryEvent(2084060754)"&gt;{{"2084060754" | translate}}&lt;/a&gt;&lt;/li&gt;</v>
      </c>
    </row>
    <row r="32" spans="1:8" ht="14.25" customHeight="1">
      <c r="A32" s="2">
        <v>2084060755</v>
      </c>
      <c r="B32" s="2" t="s">
        <v>60</v>
      </c>
      <c r="C32" s="2" t="s">
        <v>89</v>
      </c>
      <c r="D32" s="2" t="s">
        <v>90</v>
      </c>
      <c r="E32" s="3" t="str">
        <f ca="1">IFERROR(__xludf.DUMMYFUNCTION("GOOGLETRANSLATE(B32,""ja"",""vi"")"),"đồ sứ")</f>
        <v>đồ sứ</v>
      </c>
      <c r="F32" s="3" t="str">
        <f ca="1">IFERROR(__xludf.DUMMYFUNCTION("GOOGLETRANSLATE(C32,""ja"",""vi"")"),"Đấu giá&gt; Bất động sản&gt; Trang chủ&gt; Trung Quốc")</f>
        <v>Đấu giá&gt; Bất động sản&gt; Trang chủ&gt; Trung Quốc</v>
      </c>
      <c r="G32" s="229" t="str">
        <f t="shared" ca="1" si="0"/>
        <v>"2084060755" : "đồ sứ",</v>
      </c>
      <c r="H32" s="229" t="str">
        <f t="shared" si="1"/>
        <v>&lt;li class="col-md-3"&gt;&lt;a class="text-cut" href="javascript:;"(click)="categoryEvent(2084060755)"&gt;{{"2084060755" | translate}}&lt;/a&gt;&lt;/li&gt;</v>
      </c>
    </row>
    <row r="33" spans="1:8" ht="14.25" customHeight="1">
      <c r="A33" s="2">
        <v>2084060756</v>
      </c>
      <c r="B33" s="2" t="s">
        <v>63</v>
      </c>
      <c r="C33" s="2" t="s">
        <v>91</v>
      </c>
      <c r="D33" s="2" t="s">
        <v>92</v>
      </c>
      <c r="E33" s="3" t="str">
        <f ca="1">IFERROR(__xludf.DUMMYFUNCTION("GOOGLETRANSLATE(B33,""ja"",""vi"")"),"Shikoku")</f>
        <v>Shikoku</v>
      </c>
      <c r="F33" s="3" t="str">
        <f ca="1">IFERROR(__xludf.DUMMYFUNCTION("GOOGLETRANSLATE(C33,""ja"",""vi"")"),"Đấu giá&gt; Bất động sản&gt; Trang chủ&gt; Shikoku")</f>
        <v>Đấu giá&gt; Bất động sản&gt; Trang chủ&gt; Shikoku</v>
      </c>
      <c r="G33" s="229" t="str">
        <f t="shared" ca="1" si="0"/>
        <v>"2084060756" : "Shikoku",</v>
      </c>
      <c r="H33" s="229" t="str">
        <f t="shared" si="1"/>
        <v>&lt;li class="col-md-3"&gt;&lt;a class="text-cut" href="javascript:;"(click)="categoryEvent(2084060756)"&gt;{{"2084060756" | translate}}&lt;/a&gt;&lt;/li&gt;</v>
      </c>
    </row>
    <row r="34" spans="1:8" ht="14.25" customHeight="1">
      <c r="A34" s="2">
        <v>2084060757</v>
      </c>
      <c r="B34" s="2" t="s">
        <v>66</v>
      </c>
      <c r="C34" s="2" t="s">
        <v>93</v>
      </c>
      <c r="D34" s="2" t="s">
        <v>94</v>
      </c>
      <c r="E34" s="3" t="str">
        <f ca="1">IFERROR(__xludf.DUMMYFUNCTION("GOOGLETRANSLATE(B34,""ja"",""vi"")"),"Kyushu")</f>
        <v>Kyushu</v>
      </c>
      <c r="F34" s="3" t="str">
        <f ca="1">IFERROR(__xludf.DUMMYFUNCTION("GOOGLETRANSLATE(C34,""ja"",""vi"")"),"Đấu giá&gt; Bất động sản&gt; Trang chủ&gt; Kyushu")</f>
        <v>Đấu giá&gt; Bất động sản&gt; Trang chủ&gt; Kyushu</v>
      </c>
      <c r="G34" s="229" t="str">
        <f t="shared" ca="1" si="0"/>
        <v>"2084060757" : "Kyushu",</v>
      </c>
      <c r="H34" s="229" t="str">
        <f t="shared" si="1"/>
        <v>&lt;li class="col-md-3"&gt;&lt;a class="text-cut" href="javascript:;"(click)="categoryEvent(2084060757)"&gt;{{"2084060757" | translate}}&lt;/a&gt;&lt;/li&gt;</v>
      </c>
    </row>
    <row r="35" spans="1:8" ht="14.25" customHeight="1">
      <c r="A35" s="2">
        <v>2084060758</v>
      </c>
      <c r="B35" s="2" t="s">
        <v>69</v>
      </c>
      <c r="C35" s="2" t="s">
        <v>95</v>
      </c>
      <c r="D35" s="2" t="s">
        <v>96</v>
      </c>
      <c r="E35" s="3" t="str">
        <f ca="1">IFERROR(__xludf.DUMMYFUNCTION("GOOGLETRANSLATE(B35,""ja"",""vi"")"),"Okinawa Prefecture")</f>
        <v>Okinawa Prefecture</v>
      </c>
      <c r="F35" s="3" t="str">
        <f ca="1">IFERROR(__xludf.DUMMYFUNCTION("GOOGLETRANSLATE(C35,""ja"",""vi"")"),"Đấu giá&gt; Bất động sản&gt; Trang chủ&gt; Okinawa Prefecture")</f>
        <v>Đấu giá&gt; Bất động sản&gt; Trang chủ&gt; Okinawa Prefecture</v>
      </c>
      <c r="G35" s="229" t="str">
        <f t="shared" ca="1" si="0"/>
        <v>"2084060758" : "Okinawa Prefecture",</v>
      </c>
      <c r="H35" s="229" t="str">
        <f t="shared" si="1"/>
        <v>&lt;li class="col-md-3"&gt;&lt;a class="text-cut" href="javascript:;"(click)="categoryEvent(2084060758)"&gt;{{"2084060758" | translate}}&lt;/a&gt;&lt;/li&gt;</v>
      </c>
    </row>
    <row r="36" spans="1:8" ht="14.25" customHeight="1">
      <c r="A36" s="2">
        <v>2084060759</v>
      </c>
      <c r="B36" s="2" t="s">
        <v>72</v>
      </c>
      <c r="C36" s="2" t="s">
        <v>97</v>
      </c>
      <c r="D36" s="2" t="s">
        <v>98</v>
      </c>
      <c r="E36" s="3" t="str">
        <f ca="1">IFERROR(__xludf.DUMMYFUNCTION("GOOGLETRANSLATE(B36,""ja"",""vi"")"),"nước ngoài")</f>
        <v>nước ngoài</v>
      </c>
      <c r="F36" s="3" t="str">
        <f ca="1">IFERROR(__xludf.DUMMYFUNCTION("GOOGLETRANSLATE(C36,""ja"",""vi"")"),"Đấu giá&gt; Bất động sản&gt; Trang chủ&gt; Overseas")</f>
        <v>Đấu giá&gt; Bất động sản&gt; Trang chủ&gt; Overseas</v>
      </c>
      <c r="G36" s="229" t="str">
        <f t="shared" ca="1" si="0"/>
        <v>"2084060759" : "nước ngoài",</v>
      </c>
      <c r="H36" s="229" t="str">
        <f t="shared" si="1"/>
        <v>&lt;li class="col-md-3"&gt;&lt;a class="text-cut" href="javascript:;"(click)="categoryEvent(2084060759)"&gt;{{"2084060759" | translate}}&lt;/a&gt;&lt;/li&gt;</v>
      </c>
    </row>
    <row r="37" spans="1:8" ht="14.25" customHeight="1">
      <c r="E37" s="3"/>
      <c r="F37" s="3"/>
      <c r="G37" s="229"/>
      <c r="H37" s="229"/>
    </row>
    <row r="38" spans="1:8" ht="31.2" customHeight="1">
      <c r="A38" s="240">
        <v>2084060734</v>
      </c>
      <c r="B38" s="232"/>
      <c r="C38" s="232"/>
      <c r="D38" s="233"/>
      <c r="E38" s="3"/>
      <c r="F38" s="3"/>
      <c r="G38" s="229"/>
      <c r="H38" s="229"/>
    </row>
    <row r="39" spans="1:8" ht="14.25" customHeight="1">
      <c r="A39" s="2">
        <v>2084060760</v>
      </c>
      <c r="B39" s="2" t="s">
        <v>39</v>
      </c>
      <c r="C39" s="2" t="s">
        <v>99</v>
      </c>
      <c r="D39" s="2" t="s">
        <v>100</v>
      </c>
      <c r="E39" s="3" t="str">
        <f ca="1">IFERROR(__xludf.DUMMYFUNCTION("GOOGLETRANSLATE(B39,""ja"",""vi"")"),"Hokkaido")</f>
        <v>Hokkaido</v>
      </c>
      <c r="F39" s="3" t="str">
        <f ca="1">IFERROR(__xludf.DUMMYFUNCTION("GOOGLETRANSLATE(C39,""ja"",""vi"")"),"Đấu giá&gt; Bất động sản&gt; Đất đai&gt; Hokkaido")</f>
        <v>Đấu giá&gt; Bất động sản&gt; Đất đai&gt; Hokkaido</v>
      </c>
      <c r="G39" s="229" t="str">
        <f t="shared" ca="1" si="0"/>
        <v>"2084060760" : "Hokkaido",</v>
      </c>
      <c r="H39" s="229" t="str">
        <f t="shared" si="1"/>
        <v>&lt;li class="col-md-3"&gt;&lt;a class="text-cut" href="javascript:;"(click)="categoryEvent(2084060760)"&gt;{{"2084060760" | translate}}&lt;/a&gt;&lt;/li&gt;</v>
      </c>
    </row>
    <row r="40" spans="1:8" ht="14.25" customHeight="1">
      <c r="A40" s="2">
        <v>2084060761</v>
      </c>
      <c r="B40" s="2" t="s">
        <v>42</v>
      </c>
      <c r="C40" s="2" t="s">
        <v>101</v>
      </c>
      <c r="D40" s="2" t="s">
        <v>102</v>
      </c>
      <c r="E40" s="3" t="str">
        <f ca="1">IFERROR(__xludf.DUMMYFUNCTION("GOOGLETRANSLATE(B40,""ja"",""vi"")"),"đông bắc")</f>
        <v>đông bắc</v>
      </c>
      <c r="F40" s="3" t="str">
        <f ca="1">IFERROR(__xludf.DUMMYFUNCTION("GOOGLETRANSLATE(C40,""ja"",""vi"")"),"Đấu giá&gt; Bất động sản&gt; Đất đai&gt; Đông Bắc")</f>
        <v>Đấu giá&gt; Bất động sản&gt; Đất đai&gt; Đông Bắc</v>
      </c>
      <c r="G40" s="229" t="str">
        <f t="shared" ca="1" si="0"/>
        <v>"2084060761" : "đông bắc",</v>
      </c>
      <c r="H40" s="229" t="str">
        <f t="shared" si="1"/>
        <v>&lt;li class="col-md-3"&gt;&lt;a class="text-cut" href="javascript:;"(click)="categoryEvent(2084060761)"&gt;{{"2084060761" | translate}}&lt;/a&gt;&lt;/li&gt;</v>
      </c>
    </row>
    <row r="41" spans="1:8" ht="14.25" customHeight="1">
      <c r="A41" s="2">
        <v>2084060762</v>
      </c>
      <c r="B41" s="2" t="s">
        <v>45</v>
      </c>
      <c r="C41" s="2" t="s">
        <v>103</v>
      </c>
      <c r="D41" s="2" t="s">
        <v>104</v>
      </c>
      <c r="E41" s="3" t="str">
        <f ca="1">IFERROR(__xludf.DUMMYFUNCTION("GOOGLETRANSLATE(B41,""ja"",""vi"")"),"Kanto")</f>
        <v>Kanto</v>
      </c>
      <c r="F41" s="3" t="str">
        <f ca="1">IFERROR(__xludf.DUMMYFUNCTION("GOOGLETRANSLATE(C41,""ja"",""vi"")"),"Đấu giá&gt; Bất động sản&gt; Đất&gt; Kanto")</f>
        <v>Đấu giá&gt; Bất động sản&gt; Đất&gt; Kanto</v>
      </c>
      <c r="G41" s="229" t="str">
        <f t="shared" ca="1" si="0"/>
        <v>"2084060762" : "Kanto",</v>
      </c>
      <c r="H41" s="229" t="str">
        <f t="shared" si="1"/>
        <v>&lt;li class="col-md-3"&gt;&lt;a class="text-cut" href="javascript:;"(click)="categoryEvent(2084060762)"&gt;{{"2084060762" | translate}}&lt;/a&gt;&lt;/li&gt;</v>
      </c>
    </row>
    <row r="42" spans="1:8" ht="14.25" customHeight="1">
      <c r="A42" s="2">
        <v>2084060763</v>
      </c>
      <c r="B42" s="2" t="s">
        <v>48</v>
      </c>
      <c r="C42" s="2" t="s">
        <v>105</v>
      </c>
      <c r="D42" s="2" t="s">
        <v>106</v>
      </c>
      <c r="E42" s="3" t="str">
        <f ca="1">IFERROR(__xludf.DUMMYFUNCTION("GOOGLETRANSLATE(B42,""ja"",""vi"")"),"Shin-Etsu")</f>
        <v>Shin-Etsu</v>
      </c>
      <c r="F42" s="3" t="str">
        <f ca="1">IFERROR(__xludf.DUMMYFUNCTION("GOOGLETRANSLATE(C42,""ja"",""vi"")"),"Đấu giá&gt; Bất động sản&gt; Đất đai&gt; Shin-Etsu")</f>
        <v>Đấu giá&gt; Bất động sản&gt; Đất đai&gt; Shin-Etsu</v>
      </c>
      <c r="G42" s="229" t="str">
        <f t="shared" ca="1" si="0"/>
        <v>"2084060763" : "Shin-Etsu",</v>
      </c>
      <c r="H42" s="229" t="str">
        <f t="shared" si="1"/>
        <v>&lt;li class="col-md-3"&gt;&lt;a class="text-cut" href="javascript:;"(click)="categoryEvent(2084060763)"&gt;{{"2084060763" | translate}}&lt;/a&gt;&lt;/li&gt;</v>
      </c>
    </row>
    <row r="43" spans="1:8" ht="14.25" customHeight="1">
      <c r="A43" s="2">
        <v>2084060764</v>
      </c>
      <c r="B43" s="2" t="s">
        <v>51</v>
      </c>
      <c r="C43" s="2" t="s">
        <v>107</v>
      </c>
      <c r="D43" s="2" t="s">
        <v>108</v>
      </c>
      <c r="E43" s="3" t="str">
        <f ca="1">IFERROR(__xludf.DUMMYFUNCTION("GOOGLETRANSLATE(B43,""ja"",""vi"")"),"Hokuriku")</f>
        <v>Hokuriku</v>
      </c>
      <c r="F43" s="3" t="str">
        <f ca="1">IFERROR(__xludf.DUMMYFUNCTION("GOOGLETRANSLATE(C43,""ja"",""vi"")"),"Đấu giá&gt; Bất động sản&gt; Đất đai&gt; Hokuriku")</f>
        <v>Đấu giá&gt; Bất động sản&gt; Đất đai&gt; Hokuriku</v>
      </c>
      <c r="G43" s="229" t="str">
        <f t="shared" ca="1" si="0"/>
        <v>"2084060764" : "Hokuriku",</v>
      </c>
      <c r="H43" s="229" t="str">
        <f t="shared" si="1"/>
        <v>&lt;li class="col-md-3"&gt;&lt;a class="text-cut" href="javascript:;"(click)="categoryEvent(2084060764)"&gt;{{"2084060764" | translate}}&lt;/a&gt;&lt;/li&gt;</v>
      </c>
    </row>
    <row r="44" spans="1:8" ht="14.25" customHeight="1">
      <c r="A44" s="2">
        <v>2084060765</v>
      </c>
      <c r="B44" s="2" t="s">
        <v>54</v>
      </c>
      <c r="C44" s="2" t="s">
        <v>109</v>
      </c>
      <c r="D44" s="2" t="s">
        <v>110</v>
      </c>
      <c r="E44" s="3" t="str">
        <f ca="1">IFERROR(__xludf.DUMMYFUNCTION("GOOGLETRANSLATE(B44,""ja"",""vi"")"),"Tokai")</f>
        <v>Tokai</v>
      </c>
      <c r="F44" s="3" t="str">
        <f ca="1">IFERROR(__xludf.DUMMYFUNCTION("GOOGLETRANSLATE(C44,""ja"",""vi"")"),"Đấu giá&gt; Bất động sản&gt; Đất đai&gt; Tokai")</f>
        <v>Đấu giá&gt; Bất động sản&gt; Đất đai&gt; Tokai</v>
      </c>
      <c r="G44" s="229" t="str">
        <f t="shared" ca="1" si="0"/>
        <v>"2084060765" : "Tokai",</v>
      </c>
      <c r="H44" s="229" t="str">
        <f t="shared" si="1"/>
        <v>&lt;li class="col-md-3"&gt;&lt;a class="text-cut" href="javascript:;"(click)="categoryEvent(2084060765)"&gt;{{"2084060765" | translate}}&lt;/a&gt;&lt;/li&gt;</v>
      </c>
    </row>
    <row r="45" spans="1:8" ht="14.25" customHeight="1">
      <c r="A45" s="2">
        <v>2084060766</v>
      </c>
      <c r="B45" s="2" t="s">
        <v>57</v>
      </c>
      <c r="C45" s="2" t="s">
        <v>111</v>
      </c>
      <c r="D45" s="2" t="s">
        <v>112</v>
      </c>
      <c r="E45" s="3" t="str">
        <f ca="1">IFERROR(__xludf.DUMMYFUNCTION("GOOGLETRANSLATE(B45,""ja"",""vi"")"),"Kinki")</f>
        <v>Kinki</v>
      </c>
      <c r="F45" s="3" t="str">
        <f ca="1">IFERROR(__xludf.DUMMYFUNCTION("GOOGLETRANSLATE(C45,""ja"",""vi"")"),"Đấu giá&gt; Bất động sản&gt; Đất&gt; Kinki")</f>
        <v>Đấu giá&gt; Bất động sản&gt; Đất&gt; Kinki</v>
      </c>
      <c r="G45" s="229" t="str">
        <f t="shared" ca="1" si="0"/>
        <v>"2084060766" : "Kinki",</v>
      </c>
      <c r="H45" s="229" t="str">
        <f t="shared" si="1"/>
        <v>&lt;li class="col-md-3"&gt;&lt;a class="text-cut" href="javascript:;"(click)="categoryEvent(2084060766)"&gt;{{"2084060766" | translate}}&lt;/a&gt;&lt;/li&gt;</v>
      </c>
    </row>
    <row r="46" spans="1:8" ht="14.25" customHeight="1">
      <c r="A46" s="2">
        <v>2084060767</v>
      </c>
      <c r="B46" s="2" t="s">
        <v>60</v>
      </c>
      <c r="C46" s="2" t="s">
        <v>113</v>
      </c>
      <c r="D46" s="2" t="s">
        <v>114</v>
      </c>
      <c r="E46" s="3" t="str">
        <f ca="1">IFERROR(__xludf.DUMMYFUNCTION("GOOGLETRANSLATE(B46,""ja"",""vi"")"),"đồ sứ")</f>
        <v>đồ sứ</v>
      </c>
      <c r="F46" s="3" t="str">
        <f ca="1">IFERROR(__xludf.DUMMYFUNCTION("GOOGLETRANSLATE(C46,""ja"",""vi"")"),"Đấu giá&gt; Bất động sản&gt; Đất đai&gt; Trung Quốc")</f>
        <v>Đấu giá&gt; Bất động sản&gt; Đất đai&gt; Trung Quốc</v>
      </c>
      <c r="G46" s="229" t="str">
        <f t="shared" ca="1" si="0"/>
        <v>"2084060767" : "đồ sứ",</v>
      </c>
      <c r="H46" s="229" t="str">
        <f t="shared" si="1"/>
        <v>&lt;li class="col-md-3"&gt;&lt;a class="text-cut" href="javascript:;"(click)="categoryEvent(2084060767)"&gt;{{"2084060767" | translate}}&lt;/a&gt;&lt;/li&gt;</v>
      </c>
    </row>
    <row r="47" spans="1:8" ht="14.25" customHeight="1">
      <c r="A47" s="2">
        <v>2084060768</v>
      </c>
      <c r="B47" s="2" t="s">
        <v>63</v>
      </c>
      <c r="C47" s="2" t="s">
        <v>115</v>
      </c>
      <c r="D47" s="2" t="s">
        <v>116</v>
      </c>
      <c r="E47" s="3" t="str">
        <f ca="1">IFERROR(__xludf.DUMMYFUNCTION("GOOGLETRANSLATE(B47,""ja"",""vi"")"),"Shikoku")</f>
        <v>Shikoku</v>
      </c>
      <c r="F47" s="3" t="str">
        <f ca="1">IFERROR(__xludf.DUMMYFUNCTION("GOOGLETRANSLATE(C47,""ja"",""vi"")"),"Đấu giá&gt; Bất động sản&gt; Đất đai&gt; Shikoku")</f>
        <v>Đấu giá&gt; Bất động sản&gt; Đất đai&gt; Shikoku</v>
      </c>
      <c r="G47" s="229" t="str">
        <f t="shared" ca="1" si="0"/>
        <v>"2084060768" : "Shikoku",</v>
      </c>
      <c r="H47" s="229" t="str">
        <f t="shared" si="1"/>
        <v>&lt;li class="col-md-3"&gt;&lt;a class="text-cut" href="javascript:;"(click)="categoryEvent(2084060768)"&gt;{{"2084060768" | translate}}&lt;/a&gt;&lt;/li&gt;</v>
      </c>
    </row>
    <row r="48" spans="1:8" ht="14.25" customHeight="1">
      <c r="A48" s="2">
        <v>2084060769</v>
      </c>
      <c r="B48" s="2" t="s">
        <v>66</v>
      </c>
      <c r="C48" s="2" t="s">
        <v>120</v>
      </c>
      <c r="D48" s="2" t="s">
        <v>121</v>
      </c>
      <c r="E48" s="3" t="str">
        <f ca="1">IFERROR(__xludf.DUMMYFUNCTION("GOOGLETRANSLATE(B48,""ja"",""vi"")"),"Kyushu")</f>
        <v>Kyushu</v>
      </c>
      <c r="F48" s="3" t="str">
        <f ca="1">IFERROR(__xludf.DUMMYFUNCTION("GOOGLETRANSLATE(C48,""ja"",""vi"")"),"Đấu giá&gt; Bất động sản&gt; Đất đai&gt; Kyushu")</f>
        <v>Đấu giá&gt; Bất động sản&gt; Đất đai&gt; Kyushu</v>
      </c>
      <c r="G48" s="229" t="str">
        <f t="shared" ca="1" si="0"/>
        <v>"2084060769" : "Kyushu",</v>
      </c>
      <c r="H48" s="229" t="str">
        <f t="shared" si="1"/>
        <v>&lt;li class="col-md-3"&gt;&lt;a class="text-cut" href="javascript:;"(click)="categoryEvent(2084060769)"&gt;{{"2084060769" | translate}}&lt;/a&gt;&lt;/li&gt;</v>
      </c>
    </row>
    <row r="49" spans="1:8" ht="14.25" customHeight="1">
      <c r="A49" s="2">
        <v>2084060770</v>
      </c>
      <c r="B49" s="2" t="s">
        <v>69</v>
      </c>
      <c r="C49" s="2" t="s">
        <v>123</v>
      </c>
      <c r="D49" s="2" t="s">
        <v>124</v>
      </c>
      <c r="E49" s="3" t="str">
        <f ca="1">IFERROR(__xludf.DUMMYFUNCTION("GOOGLETRANSLATE(B49,""ja"",""vi"")"),"Okinawa Prefecture")</f>
        <v>Okinawa Prefecture</v>
      </c>
      <c r="F49" s="3" t="str">
        <f ca="1">IFERROR(__xludf.DUMMYFUNCTION("GOOGLETRANSLATE(C49,""ja"",""vi"")"),"Đấu giá&gt; Bất động sản&gt; Đất đai&gt; Okinawa Prefecture")</f>
        <v>Đấu giá&gt; Bất động sản&gt; Đất đai&gt; Okinawa Prefecture</v>
      </c>
      <c r="G49" s="229" t="str">
        <f t="shared" ca="1" si="0"/>
        <v>"2084060770" : "Okinawa Prefecture",</v>
      </c>
      <c r="H49" s="229" t="str">
        <f t="shared" si="1"/>
        <v>&lt;li class="col-md-3"&gt;&lt;a class="text-cut" href="javascript:;"(click)="categoryEvent(2084060770)"&gt;{{"2084060770" | translate}}&lt;/a&gt;&lt;/li&gt;</v>
      </c>
    </row>
    <row r="50" spans="1:8" ht="14.25" customHeight="1">
      <c r="A50" s="2">
        <v>2084060771</v>
      </c>
      <c r="B50" s="2" t="s">
        <v>72</v>
      </c>
      <c r="C50" s="2" t="s">
        <v>125</v>
      </c>
      <c r="D50" s="2" t="s">
        <v>126</v>
      </c>
      <c r="E50" s="3" t="str">
        <f ca="1">IFERROR(__xludf.DUMMYFUNCTION("GOOGLETRANSLATE(B50,""ja"",""vi"")"),"nước ngoài")</f>
        <v>nước ngoài</v>
      </c>
      <c r="F50" s="3" t="str">
        <f ca="1">IFERROR(__xludf.DUMMYFUNCTION("GOOGLETRANSLATE(C50,""ja"",""vi"")"),"Đấu giá&gt; Bất động sản&gt; Đất đai&gt; Overseas")</f>
        <v>Đấu giá&gt; Bất động sản&gt; Đất đai&gt; Overseas</v>
      </c>
      <c r="G50" s="229" t="str">
        <f t="shared" ca="1" si="0"/>
        <v>"2084060771" : "nước ngoài",</v>
      </c>
      <c r="H50" s="229" t="str">
        <f t="shared" si="1"/>
        <v>&lt;li class="col-md-3"&gt;&lt;a class="text-cut" href="javascript:;"(click)="categoryEvent(2084060771)"&gt;{{"2084060771" | translate}}&lt;/a&gt;&lt;/li&gt;</v>
      </c>
    </row>
    <row r="51" spans="1:8" ht="14.25" customHeight="1">
      <c r="E51" s="3"/>
      <c r="F51" s="3"/>
      <c r="G51" s="229"/>
      <c r="H51" s="229"/>
    </row>
    <row r="52" spans="1:8" ht="27" customHeight="1">
      <c r="A52" s="241">
        <v>2084307775</v>
      </c>
      <c r="B52" s="232"/>
      <c r="C52" s="232"/>
      <c r="D52" s="233"/>
      <c r="E52" s="3"/>
      <c r="F52" s="3"/>
      <c r="G52" s="229"/>
      <c r="H52" s="229"/>
    </row>
    <row r="53" spans="1:8" ht="14.25" customHeight="1">
      <c r="A53" s="2">
        <v>2084307776</v>
      </c>
      <c r="B53" s="2" t="s">
        <v>136</v>
      </c>
      <c r="C53" s="2" t="s">
        <v>137</v>
      </c>
      <c r="D53" s="2" t="s">
        <v>140</v>
      </c>
      <c r="E53" s="3" t="str">
        <f ca="1">IFERROR(__xludf.DUMMYFUNCTION("GOOGLETRANSLATE(B53,""ja"",""vi"")"),"Văn phòng, cửa hàng")</f>
        <v>Văn phòng, cửa hàng</v>
      </c>
      <c r="F53" s="3" t="str">
        <f ca="1">IFERROR(__xludf.DUMMYFUNCTION("GOOGLETRANSLATE(C53,""ja"",""vi"")"),"Đấu giá&gt; Khác&gt; Cho thuê&gt; dấu cách&gt; văn phòng, cửa hàng")</f>
        <v>Đấu giá&gt; Khác&gt; Cho thuê&gt; dấu cách&gt; văn phòng, cửa hàng</v>
      </c>
      <c r="G53" s="229" t="str">
        <f t="shared" ca="1" si="0"/>
        <v>"2084307776" : "Văn phòng, cửa hàng",</v>
      </c>
      <c r="H53" s="229" t="str">
        <f t="shared" si="1"/>
        <v>&lt;li class="col-md-3"&gt;&lt;a class="text-cut" href="javascript:;"(click)="categoryEvent(2084307776)"&gt;{{"2084307776" | translate}}&lt;/a&gt;&lt;/li&gt;</v>
      </c>
    </row>
    <row r="54" spans="1:8" ht="14.25" customHeight="1">
      <c r="A54" s="2">
        <v>2084307777</v>
      </c>
      <c r="B54" s="2" t="s">
        <v>145</v>
      </c>
      <c r="C54" s="2" t="s">
        <v>146</v>
      </c>
      <c r="D54" s="2" t="s">
        <v>148</v>
      </c>
      <c r="E54" s="3" t="str">
        <f ca="1">IFERROR(__xludf.DUMMYFUNCTION("GOOGLETRANSLATE(B54,""ja"",""vi"")"),"phòng họp")</f>
        <v>phòng họp</v>
      </c>
      <c r="F54" s="3" t="str">
        <f ca="1">IFERROR(__xludf.DUMMYFUNCTION("GOOGLETRANSLATE(C54,""ja"",""vi"")"),"Đấu giá&gt; Khác&gt; Cho thuê&gt; dấu cách&gt; Phòng Hội thảo")</f>
        <v>Đấu giá&gt; Khác&gt; Cho thuê&gt; dấu cách&gt; Phòng Hội thảo</v>
      </c>
      <c r="G54" s="229" t="str">
        <f t="shared" ca="1" si="0"/>
        <v>"2084307777" : "phòng họp",</v>
      </c>
      <c r="H54" s="229" t="str">
        <f t="shared" si="1"/>
        <v>&lt;li class="col-md-3"&gt;&lt;a class="text-cut" href="javascript:;"(click)="categoryEvent(2084307777)"&gt;{{"2084307777" | translate}}&lt;/a&gt;&lt;/li&gt;</v>
      </c>
    </row>
    <row r="55" spans="1:8" ht="14.25" customHeight="1">
      <c r="A55" s="2">
        <v>2084307778</v>
      </c>
      <c r="B55" s="2" t="s">
        <v>154</v>
      </c>
      <c r="C55" s="2" t="s">
        <v>155</v>
      </c>
      <c r="D55" s="2" t="s">
        <v>156</v>
      </c>
      <c r="E55" s="3" t="str">
        <f ca="1">IFERROR(__xludf.DUMMYFUNCTION("GOOGLETRANSLATE(B55,""ja"",""vi"")"),"đậu xe")</f>
        <v>đậu xe</v>
      </c>
      <c r="F55" s="3" t="str">
        <f ca="1">IFERROR(__xludf.DUMMYFUNCTION("GOOGLETRANSLATE(C55,""ja"",""vi"")"),"Đấu giá&gt; Khác&gt; Cho thuê&gt; dấu cách&gt; Bãi đỗ xe")</f>
        <v>Đấu giá&gt; Khác&gt; Cho thuê&gt; dấu cách&gt; Bãi đỗ xe</v>
      </c>
      <c r="G55" s="229" t="str">
        <f t="shared" ca="1" si="0"/>
        <v>"2084307778" : "đậu xe",</v>
      </c>
      <c r="H55" s="229" t="str">
        <f t="shared" si="1"/>
        <v>&lt;li class="col-md-3"&gt;&lt;a class="text-cut" href="javascript:;"(click)="categoryEvent(2084307778)"&gt;{{"2084307778" | translate}}&lt;/a&gt;&lt;/li&gt;</v>
      </c>
    </row>
    <row r="56" spans="1:8" ht="14.25" customHeight="1">
      <c r="A56" s="2">
        <v>2084307779</v>
      </c>
      <c r="B56" s="2" t="s">
        <v>157</v>
      </c>
      <c r="C56" s="2" t="s">
        <v>158</v>
      </c>
      <c r="D56" s="2" t="s">
        <v>159</v>
      </c>
      <c r="E56" s="3" t="str">
        <f ca="1">IFERROR(__xludf.DUMMYFUNCTION("GOOGLETRANSLATE(B56,""ja"",""vi"")"),"kho")</f>
        <v>kho</v>
      </c>
      <c r="F56" s="3" t="str">
        <f ca="1">IFERROR(__xludf.DUMMYFUNCTION("GOOGLETRANSLATE(C56,""ja"",""vi"")"),"Đấu giá&gt; Khác&gt; Cho thuê&gt; dấu cách&gt; kho")</f>
        <v>Đấu giá&gt; Khác&gt; Cho thuê&gt; dấu cách&gt; kho</v>
      </c>
      <c r="G56" s="229" t="str">
        <f t="shared" ca="1" si="0"/>
        <v>"2084307779" : "kho",</v>
      </c>
      <c r="H56" s="229" t="str">
        <f t="shared" si="1"/>
        <v>&lt;li class="col-md-3"&gt;&lt;a class="text-cut" href="javascript:;"(click)="categoryEvent(2084307779)"&gt;{{"2084307779" | translate}}&lt;/a&gt;&lt;/li&gt;</v>
      </c>
    </row>
    <row r="57" spans="1:8" ht="14.25" customHeight="1">
      <c r="E57" s="3"/>
      <c r="F57" s="3"/>
      <c r="G57" s="229"/>
      <c r="H57" s="229"/>
    </row>
    <row r="58" spans="1:8" ht="23.4" customHeight="1">
      <c r="A58" s="242">
        <v>2084307780</v>
      </c>
      <c r="B58" s="232"/>
      <c r="C58" s="232"/>
      <c r="D58" s="233"/>
      <c r="E58" s="3"/>
      <c r="F58" s="3"/>
      <c r="G58" s="229"/>
      <c r="H58" s="229"/>
    </row>
    <row r="59" spans="1:8" ht="14.25" customHeight="1">
      <c r="A59" s="2">
        <v>2084307781</v>
      </c>
      <c r="B59" s="2" t="s">
        <v>167</v>
      </c>
      <c r="C59" s="2" t="s">
        <v>170</v>
      </c>
      <c r="D59" s="2" t="s">
        <v>171</v>
      </c>
      <c r="E59" s="3" t="str">
        <f ca="1">IFERROR(__xludf.DUMMYFUNCTION("GOOGLETRANSLATE(B59,""ja"",""vi"")"),"Villa")</f>
        <v>Villa</v>
      </c>
      <c r="F59" s="3" t="str">
        <f ca="1">IFERROR(__xludf.DUMMYFUNCTION("GOOGLETRANSLATE(C59,""ja"",""vi"")"),"Đấu giá&gt; Khác&gt; Cho thuê&gt; Bất động sản&gt; Biệt thự")</f>
        <v>Đấu giá&gt; Khác&gt; Cho thuê&gt; Bất động sản&gt; Biệt thự</v>
      </c>
      <c r="G59" s="229" t="str">
        <f t="shared" ca="1" si="0"/>
        <v>"2084307781" : "Villa",</v>
      </c>
      <c r="H59" s="229" t="str">
        <f t="shared" si="1"/>
        <v>&lt;li class="col-md-3"&gt;&lt;a class="text-cut" href="javascript:;"(click)="categoryEvent(2084307781)"&gt;{{"2084307781" | translate}}&lt;/a&gt;&lt;/li&gt;</v>
      </c>
    </row>
    <row r="60" spans="1:8" ht="14.25" customHeight="1">
      <c r="A60" s="2">
        <v>2084307782</v>
      </c>
      <c r="B60" s="2" t="s">
        <v>177</v>
      </c>
      <c r="C60" s="2" t="s">
        <v>178</v>
      </c>
      <c r="D60" s="2" t="s">
        <v>180</v>
      </c>
      <c r="E60" s="3" t="str">
        <f ca="1">IFERROR(__xludf.DUMMYFUNCTION("GOOGLETRANSLATE(B60,""ja"",""vi"")"),"quyền sở hữu nhà")</f>
        <v>quyền sở hữu nhà</v>
      </c>
      <c r="F60" s="3" t="str">
        <f ca="1">IFERROR(__xludf.DUMMYFUNCTION("GOOGLETRANSLATE(C60,""ja"",""vi"")"),"Đấu giá&gt; Khác&gt; Cho thuê&gt; Bất động sản&gt; quyền sở hữu nhà")</f>
        <v>Đấu giá&gt; Khác&gt; Cho thuê&gt; Bất động sản&gt; quyền sở hữu nhà</v>
      </c>
      <c r="G60" s="229" t="str">
        <f t="shared" ca="1" si="0"/>
        <v>"2084307782" : "quyền sở hữu nhà",</v>
      </c>
      <c r="H60" s="229" t="str">
        <f t="shared" si="1"/>
        <v>&lt;li class="col-md-3"&gt;&lt;a class="text-cut" href="javascript:;"(click)="categoryEvent(2084307782)"&gt;{{"2084307782" | translate}}&lt;/a&gt;&lt;/li&gt;</v>
      </c>
    </row>
    <row r="61" spans="1:8" ht="14.25" customHeight="1">
      <c r="E61" s="3"/>
      <c r="F61" s="3"/>
      <c r="G61" s="229"/>
      <c r="H61" s="229"/>
    </row>
    <row r="62" spans="1:8" ht="22.8" customHeight="1">
      <c r="A62" s="238">
        <v>2084060735</v>
      </c>
      <c r="B62" s="232"/>
      <c r="C62" s="232"/>
      <c r="D62" s="233"/>
      <c r="E62" s="3"/>
      <c r="F62" s="3"/>
      <c r="G62" s="229"/>
      <c r="H62" s="229"/>
    </row>
    <row r="63" spans="1:8" ht="14.25" customHeight="1">
      <c r="A63" s="2">
        <v>2084060772</v>
      </c>
      <c r="B63" s="2" t="s">
        <v>39</v>
      </c>
      <c r="C63" s="2" t="s">
        <v>197</v>
      </c>
      <c r="D63" s="2" t="s">
        <v>200</v>
      </c>
      <c r="E63" s="3" t="str">
        <f ca="1">IFERROR(__xludf.DUMMYFUNCTION("GOOGLETRANSLATE(B63,""ja"",""vi"")"),"Hokkaido")</f>
        <v>Hokkaido</v>
      </c>
      <c r="F63" s="3" t="str">
        <f ca="1">IFERROR(__xludf.DUMMYFUNCTION("GOOGLETRANSLATE(C63,""ja"",""vi"")"),"Đấu giá&gt; Bất động sản&gt; Khác&gt; Hokkaido")</f>
        <v>Đấu giá&gt; Bất động sản&gt; Khác&gt; Hokkaido</v>
      </c>
      <c r="G63" s="229" t="str">
        <f t="shared" ca="1" si="0"/>
        <v>"2084060772" : "Hokkaido",</v>
      </c>
      <c r="H63" s="229" t="str">
        <f t="shared" si="1"/>
        <v>&lt;li class="col-md-3"&gt;&lt;a class="text-cut" href="javascript:;"(click)="categoryEvent(2084060772)"&gt;{{"2084060772" | translate}}&lt;/a&gt;&lt;/li&gt;</v>
      </c>
    </row>
    <row r="64" spans="1:8" ht="14.25" customHeight="1">
      <c r="A64" s="2">
        <v>2084060773</v>
      </c>
      <c r="B64" s="2" t="s">
        <v>42</v>
      </c>
      <c r="C64" s="2" t="s">
        <v>203</v>
      </c>
      <c r="D64" s="2" t="s">
        <v>204</v>
      </c>
      <c r="E64" s="3" t="str">
        <f ca="1">IFERROR(__xludf.DUMMYFUNCTION("GOOGLETRANSLATE(B64,""ja"",""vi"")"),"đông bắc")</f>
        <v>đông bắc</v>
      </c>
      <c r="F64" s="3" t="str">
        <f ca="1">IFERROR(__xludf.DUMMYFUNCTION("GOOGLETRANSLATE(C64,""ja"",""vi"")"),"Đấu giá&gt; Bất động sản&gt; Khác&gt; Đông Bắc")</f>
        <v>Đấu giá&gt; Bất động sản&gt; Khác&gt; Đông Bắc</v>
      </c>
      <c r="G64" s="229" t="str">
        <f t="shared" ca="1" si="0"/>
        <v>"2084060773" : "đông bắc",</v>
      </c>
      <c r="H64" s="229" t="str">
        <f t="shared" si="1"/>
        <v>&lt;li class="col-md-3"&gt;&lt;a class="text-cut" href="javascript:;"(click)="categoryEvent(2084060773)"&gt;{{"2084060773" | translate}}&lt;/a&gt;&lt;/li&gt;</v>
      </c>
    </row>
    <row r="65" spans="1:8" ht="14.25" customHeight="1">
      <c r="A65" s="2">
        <v>2084060774</v>
      </c>
      <c r="B65" s="2" t="s">
        <v>45</v>
      </c>
      <c r="C65" s="2" t="s">
        <v>208</v>
      </c>
      <c r="D65" s="2" t="s">
        <v>210</v>
      </c>
      <c r="E65" s="3" t="str">
        <f ca="1">IFERROR(__xludf.DUMMYFUNCTION("GOOGLETRANSLATE(B65,""ja"",""vi"")"),"Kanto")</f>
        <v>Kanto</v>
      </c>
      <c r="F65" s="3" t="str">
        <f ca="1">IFERROR(__xludf.DUMMYFUNCTION("GOOGLETRANSLATE(C65,""ja"",""vi"")"),"Đấu giá&gt; Bất động sản&gt; Khác&gt; Kanto")</f>
        <v>Đấu giá&gt; Bất động sản&gt; Khác&gt; Kanto</v>
      </c>
      <c r="G65" s="229" t="str">
        <f t="shared" ca="1" si="0"/>
        <v>"2084060774" : "Kanto",</v>
      </c>
      <c r="H65" s="229" t="str">
        <f t="shared" si="1"/>
        <v>&lt;li class="col-md-3"&gt;&lt;a class="text-cut" href="javascript:;"(click)="categoryEvent(2084060774)"&gt;{{"2084060774" | translate}}&lt;/a&gt;&lt;/li&gt;</v>
      </c>
    </row>
    <row r="66" spans="1:8" ht="14.25" customHeight="1">
      <c r="A66" s="2">
        <v>2084060775</v>
      </c>
      <c r="B66" s="2" t="s">
        <v>48</v>
      </c>
      <c r="C66" s="2" t="s">
        <v>215</v>
      </c>
      <c r="D66" s="2" t="s">
        <v>217</v>
      </c>
      <c r="E66" s="3" t="str">
        <f ca="1">IFERROR(__xludf.DUMMYFUNCTION("GOOGLETRANSLATE(B66,""ja"",""vi"")"),"Shin-Etsu")</f>
        <v>Shin-Etsu</v>
      </c>
      <c r="F66" s="3" t="str">
        <f ca="1">IFERROR(__xludf.DUMMYFUNCTION("GOOGLETRANSLATE(C66,""ja"",""vi"")"),"Đấu giá&gt; Bất động sản&gt; Khác&gt; Shin-Etsu")</f>
        <v>Đấu giá&gt; Bất động sản&gt; Khác&gt; Shin-Etsu</v>
      </c>
      <c r="G66" s="229" t="str">
        <f t="shared" ref="G66:G74" ca="1" si="2">CONCATENATE(CHAR(34)&amp;"",A66,""&amp;CHAR(34)," : ", CHAR(34)&amp;"",E66,""&amp;CHAR(34),",")</f>
        <v>"2084060775" : "Shin-Etsu",</v>
      </c>
      <c r="H66" s="229" t="str">
        <f t="shared" si="1"/>
        <v>&lt;li class="col-md-3"&gt;&lt;a class="text-cut" href="javascript:;"(click)="categoryEvent(2084060775)"&gt;{{"2084060775" | translate}}&lt;/a&gt;&lt;/li&gt;</v>
      </c>
    </row>
    <row r="67" spans="1:8" ht="14.25" customHeight="1">
      <c r="A67" s="2">
        <v>2084060776</v>
      </c>
      <c r="B67" s="2" t="s">
        <v>51</v>
      </c>
      <c r="C67" s="2" t="s">
        <v>221</v>
      </c>
      <c r="D67" s="2" t="s">
        <v>222</v>
      </c>
      <c r="E67" s="3" t="str">
        <f ca="1">IFERROR(__xludf.DUMMYFUNCTION("GOOGLETRANSLATE(B67,""ja"",""vi"")"),"Hokuriku")</f>
        <v>Hokuriku</v>
      </c>
      <c r="F67" s="3" t="str">
        <f ca="1">IFERROR(__xludf.DUMMYFUNCTION("GOOGLETRANSLATE(C67,""ja"",""vi"")"),"Đấu giá&gt; Bất động sản&gt; Khác&gt; Hokuriku")</f>
        <v>Đấu giá&gt; Bất động sản&gt; Khác&gt; Hokuriku</v>
      </c>
      <c r="G67" s="229" t="str">
        <f t="shared" ca="1" si="2"/>
        <v>"2084060776" : "Hokuriku",</v>
      </c>
      <c r="H67" s="229" t="str">
        <f t="shared" ref="H67:H74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href="javascript:;"(click)="categoryEvent(2084060776)"&gt;{{"2084060776" | translate}}&lt;/a&gt;&lt;/li&gt;</v>
      </c>
    </row>
    <row r="68" spans="1:8" ht="14.25" customHeight="1">
      <c r="A68" s="2">
        <v>2084060777</v>
      </c>
      <c r="B68" s="2" t="s">
        <v>54</v>
      </c>
      <c r="C68" s="2" t="s">
        <v>226</v>
      </c>
      <c r="D68" s="2" t="s">
        <v>227</v>
      </c>
      <c r="E68" s="3" t="str">
        <f ca="1">IFERROR(__xludf.DUMMYFUNCTION("GOOGLETRANSLATE(B68,""ja"",""vi"")"),"Tokai")</f>
        <v>Tokai</v>
      </c>
      <c r="F68" s="3" t="str">
        <f ca="1">IFERROR(__xludf.DUMMYFUNCTION("GOOGLETRANSLATE(C68,""ja"",""vi"")"),"Đấu giá&gt; Bất động sản&gt; Khác&gt; Tokai")</f>
        <v>Đấu giá&gt; Bất động sản&gt; Khác&gt; Tokai</v>
      </c>
      <c r="G68" s="229" t="str">
        <f t="shared" ca="1" si="2"/>
        <v>"2084060777" : "Tokai",</v>
      </c>
      <c r="H68" s="229" t="str">
        <f t="shared" si="3"/>
        <v>&lt;li class="col-md-3"&gt;&lt;a class="text-cut" href="javascript:;"(click)="categoryEvent(2084060777)"&gt;{{"2084060777" | translate}}&lt;/a&gt;&lt;/li&gt;</v>
      </c>
    </row>
    <row r="69" spans="1:8" ht="14.25" customHeight="1">
      <c r="A69" s="2">
        <v>2084060778</v>
      </c>
      <c r="B69" s="2" t="s">
        <v>57</v>
      </c>
      <c r="C69" s="2" t="s">
        <v>232</v>
      </c>
      <c r="D69" s="2" t="s">
        <v>233</v>
      </c>
      <c r="E69" s="3" t="str">
        <f ca="1">IFERROR(__xludf.DUMMYFUNCTION("GOOGLETRANSLATE(B69,""ja"",""vi"")"),"Kinki")</f>
        <v>Kinki</v>
      </c>
      <c r="F69" s="3" t="str">
        <f ca="1">IFERROR(__xludf.DUMMYFUNCTION("GOOGLETRANSLATE(C69,""ja"",""vi"")"),"Đấu giá&gt; Bất động sản&gt; Khác&gt; Kinki")</f>
        <v>Đấu giá&gt; Bất động sản&gt; Khác&gt; Kinki</v>
      </c>
      <c r="G69" s="229" t="str">
        <f t="shared" ca="1" si="2"/>
        <v>"2084060778" : "Kinki",</v>
      </c>
      <c r="H69" s="229" t="str">
        <f t="shared" si="3"/>
        <v>&lt;li class="col-md-3"&gt;&lt;a class="text-cut" href="javascript:;"(click)="categoryEvent(2084060778)"&gt;{{"2084060778" | translate}}&lt;/a&gt;&lt;/li&gt;</v>
      </c>
    </row>
    <row r="70" spans="1:8" ht="14.25" customHeight="1">
      <c r="A70" s="2">
        <v>2084060779</v>
      </c>
      <c r="B70" s="2" t="s">
        <v>60</v>
      </c>
      <c r="C70" s="2" t="s">
        <v>237</v>
      </c>
      <c r="D70" s="2" t="s">
        <v>238</v>
      </c>
      <c r="E70" s="3" t="str">
        <f ca="1">IFERROR(__xludf.DUMMYFUNCTION("GOOGLETRANSLATE(B70,""ja"",""vi"")"),"đồ sứ")</f>
        <v>đồ sứ</v>
      </c>
      <c r="F70" s="3" t="str">
        <f ca="1">IFERROR(__xludf.DUMMYFUNCTION("GOOGLETRANSLATE(C70,""ja"",""vi"")"),"Đấu giá&gt; Bất động sản&gt; Khác&gt; Trung Quốc")</f>
        <v>Đấu giá&gt; Bất động sản&gt; Khác&gt; Trung Quốc</v>
      </c>
      <c r="G70" s="229" t="str">
        <f t="shared" ca="1" si="2"/>
        <v>"2084060779" : "đồ sứ",</v>
      </c>
      <c r="H70" s="229" t="str">
        <f t="shared" si="3"/>
        <v>&lt;li class="col-md-3"&gt;&lt;a class="text-cut" href="javascript:;"(click)="categoryEvent(2084060779)"&gt;{{"2084060779" | translate}}&lt;/a&gt;&lt;/li&gt;</v>
      </c>
    </row>
    <row r="71" spans="1:8" ht="14.25" customHeight="1">
      <c r="A71" s="2">
        <v>2084060780</v>
      </c>
      <c r="B71" s="2" t="s">
        <v>63</v>
      </c>
      <c r="C71" s="2" t="s">
        <v>242</v>
      </c>
      <c r="D71" s="2" t="s">
        <v>244</v>
      </c>
      <c r="E71" s="3" t="str">
        <f ca="1">IFERROR(__xludf.DUMMYFUNCTION("GOOGLETRANSLATE(B71,""ja"",""vi"")"),"Shikoku")</f>
        <v>Shikoku</v>
      </c>
      <c r="F71" s="3" t="str">
        <f ca="1">IFERROR(__xludf.DUMMYFUNCTION("GOOGLETRANSLATE(C71,""ja"",""vi"")"),"Đấu giá&gt; Bất động sản&gt; Khác&gt; Shikoku")</f>
        <v>Đấu giá&gt; Bất động sản&gt; Khác&gt; Shikoku</v>
      </c>
      <c r="G71" s="229" t="str">
        <f t="shared" ca="1" si="2"/>
        <v>"2084060780" : "Shikoku",</v>
      </c>
      <c r="H71" s="229" t="str">
        <f t="shared" si="3"/>
        <v>&lt;li class="col-md-3"&gt;&lt;a class="text-cut" href="javascript:;"(click)="categoryEvent(2084060780)"&gt;{{"2084060780" | translate}}&lt;/a&gt;&lt;/li&gt;</v>
      </c>
    </row>
    <row r="72" spans="1:8" ht="14.25" customHeight="1">
      <c r="A72" s="2">
        <v>2084060781</v>
      </c>
      <c r="B72" s="2" t="s">
        <v>66</v>
      </c>
      <c r="C72" s="2" t="s">
        <v>250</v>
      </c>
      <c r="D72" s="2" t="s">
        <v>251</v>
      </c>
      <c r="E72" s="3" t="str">
        <f ca="1">IFERROR(__xludf.DUMMYFUNCTION("GOOGLETRANSLATE(B72,""ja"",""vi"")"),"Kyushu")</f>
        <v>Kyushu</v>
      </c>
      <c r="F72" s="3" t="str">
        <f ca="1">IFERROR(__xludf.DUMMYFUNCTION("GOOGLETRANSLATE(C72,""ja"",""vi"")"),"Đấu giá&gt; Bất động sản&gt; Khác&gt; Kyushu")</f>
        <v>Đấu giá&gt; Bất động sản&gt; Khác&gt; Kyushu</v>
      </c>
      <c r="G72" s="229" t="str">
        <f t="shared" ca="1" si="2"/>
        <v>"2084060781" : "Kyushu",</v>
      </c>
      <c r="H72" s="229" t="str">
        <f t="shared" si="3"/>
        <v>&lt;li class="col-md-3"&gt;&lt;a class="text-cut" href="javascript:;"(click)="categoryEvent(2084060781)"&gt;{{"2084060781" | translate}}&lt;/a&gt;&lt;/li&gt;</v>
      </c>
    </row>
    <row r="73" spans="1:8" ht="14.25" customHeight="1">
      <c r="A73" s="2">
        <v>2084060783</v>
      </c>
      <c r="B73" s="2" t="s">
        <v>69</v>
      </c>
      <c r="C73" s="2" t="s">
        <v>253</v>
      </c>
      <c r="D73" s="2" t="s">
        <v>254</v>
      </c>
      <c r="E73" s="3" t="str">
        <f ca="1">IFERROR(__xludf.DUMMYFUNCTION("GOOGLETRANSLATE(B73,""ja"",""vi"")"),"Okinawa Prefecture")</f>
        <v>Okinawa Prefecture</v>
      </c>
      <c r="F73" s="3" t="str">
        <f ca="1">IFERROR(__xludf.DUMMYFUNCTION("GOOGLETRANSLATE(C73,""ja"",""vi"")"),"Đấu giá&gt; Bất động sản&gt; Khác&gt; Okinawa Prefecture")</f>
        <v>Đấu giá&gt; Bất động sản&gt; Khác&gt; Okinawa Prefecture</v>
      </c>
      <c r="G73" s="229" t="str">
        <f t="shared" ca="1" si="2"/>
        <v>"2084060783" : "Okinawa Prefecture",</v>
      </c>
      <c r="H73" s="229" t="str">
        <f t="shared" si="3"/>
        <v>&lt;li class="col-md-3"&gt;&lt;a class="text-cut" href="javascript:;"(click)="categoryEvent(2084060783)"&gt;{{"2084060783" | translate}}&lt;/a&gt;&lt;/li&gt;</v>
      </c>
    </row>
    <row r="74" spans="1:8" ht="14.25" customHeight="1">
      <c r="A74" s="2">
        <v>2084060784</v>
      </c>
      <c r="B74" s="2" t="s">
        <v>72</v>
      </c>
      <c r="C74" s="2" t="s">
        <v>255</v>
      </c>
      <c r="D74" s="2" t="s">
        <v>256</v>
      </c>
      <c r="E74" s="3" t="str">
        <f ca="1">IFERROR(__xludf.DUMMYFUNCTION("GOOGLETRANSLATE(B74,""ja"",""vi"")"),"nước ngoài")</f>
        <v>nước ngoài</v>
      </c>
      <c r="F74" s="3" t="str">
        <f ca="1">IFERROR(__xludf.DUMMYFUNCTION("GOOGLETRANSLATE(C74,""ja"",""vi"")"),"Đấu giá&gt; Bất động sản&gt; Khác&gt; Overseas")</f>
        <v>Đấu giá&gt; Bất động sản&gt; Khác&gt; Overseas</v>
      </c>
      <c r="G74" s="229" t="str">
        <f t="shared" ca="1" si="2"/>
        <v>"2084060784" : "nước ngoài",</v>
      </c>
      <c r="H74" s="229" t="str">
        <f t="shared" si="3"/>
        <v>&lt;li class="col-md-3"&gt;&lt;a class="text-cut" href="javascript:;"(click)="categoryEvent(2084060784)"&gt;{{"2084060784" | translate}}&lt;/a&gt;&lt;/li&gt;</v>
      </c>
    </row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62:D62"/>
    <mergeCell ref="A10:D10"/>
    <mergeCell ref="A24:D24"/>
    <mergeCell ref="A38:D38"/>
    <mergeCell ref="A52:D52"/>
    <mergeCell ref="A58:D58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9.5" customWidth="1"/>
    <col min="2" max="2" width="14.69921875" customWidth="1"/>
    <col min="3" max="3" width="20.19921875" customWidth="1"/>
    <col min="4" max="4" width="17.3984375" customWidth="1"/>
    <col min="5" max="5" width="11.296875" customWidth="1"/>
    <col min="6" max="6" width="47.59765625" customWidth="1"/>
    <col min="7" max="7" width="29.89843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2084062134</v>
      </c>
      <c r="B2" s="2" t="s">
        <v>277</v>
      </c>
      <c r="C2" s="2" t="s">
        <v>278</v>
      </c>
      <c r="D2" s="2" t="s">
        <v>280</v>
      </c>
      <c r="E2" s="3" t="str">
        <f ca="1">IFERROR(__xludf.DUMMYFUNCTION("GOOGLETRANSLATE(B2,""ja"",""vi"")"),"cosplay trang phục")</f>
        <v>cosplay trang phục</v>
      </c>
      <c r="F2" s="3" t="str">
        <f ca="1">IFERROR(__xludf.DUMMYFUNCTION("GOOGLETRANSLATE(C2,""ja"",""vi"")"),"Đấu giá&gt; truyện tranh, phim hoạt hình hàng hóa&gt; Trang phục Cosplay")</f>
        <v>Đấu giá&gt; truyện tranh, phim hoạt hình hàng hóa&gt; Trang phục Cosplay</v>
      </c>
      <c r="G2" s="229" t="str">
        <f t="shared" ref="G2:G65" ca="1" si="0">CONCATENATE(CHAR(34)&amp;"",A2,""&amp;CHAR(34)," : ", CHAR(34)&amp;"",E2,""&amp;CHAR(34),",")</f>
        <v>"2084062134" : "cosplay trang phục",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href="javascript:;"(click)="categoryEvent(2084062134)"&gt;{{"2084062134" | translate}}&lt;/a&gt;&lt;/li&gt;</v>
      </c>
    </row>
    <row r="3" spans="1:8" ht="14.25" customHeight="1">
      <c r="A3" s="4">
        <v>2084000109</v>
      </c>
      <c r="B3" s="4" t="s">
        <v>286</v>
      </c>
      <c r="C3" s="4" t="s">
        <v>289</v>
      </c>
      <c r="D3" s="4" t="s">
        <v>290</v>
      </c>
      <c r="E3" s="3" t="str">
        <f ca="1">IFERROR(__xludf.DUMMYFUNCTION("GOOGLETRANSLATE(B3,""ja"",""vi"")"),"bằng cách làm việc")</f>
        <v>bằng cách làm việc</v>
      </c>
      <c r="F3" s="3" t="str">
        <f ca="1">IFERROR(__xludf.DUMMYFUNCTION("GOOGLETRANSLATE(C3,""ja"",""vi"")"),"Đấu giá&gt; truyện tranh, phim hoạt hình hàng hóa&gt; bởi công việc")</f>
        <v>Đấu giá&gt; truyện tranh, phim hoạt hình hàng hóa&gt; bởi công việc</v>
      </c>
      <c r="G3" s="229" t="str">
        <f t="shared" ca="1" si="0"/>
        <v>"2084000109" : "bằng cách làm việc",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href="javascript:;"(click)="categoryEvent(2084000109)"&gt;{{"2084000109" | translate}}&lt;/a&gt;&lt;/li&gt;</v>
      </c>
    </row>
    <row r="4" spans="1:8" ht="14.25" customHeight="1">
      <c r="A4" s="5">
        <v>2084050909</v>
      </c>
      <c r="B4" s="5" t="s">
        <v>294</v>
      </c>
      <c r="C4" s="5" t="s">
        <v>295</v>
      </c>
      <c r="D4" s="5" t="s">
        <v>296</v>
      </c>
      <c r="E4" s="3" t="str">
        <f ca="1">IFERROR(__xludf.DUMMYFUNCTION("GOOGLETRANSLATE(B4,""ja"",""vi"")"),"Đăng nhập, hình ảnh chữ ký")</f>
        <v>Đăng nhập, hình ảnh chữ ký</v>
      </c>
      <c r="F4" s="3" t="str">
        <f ca="1">IFERROR(__xludf.DUMMYFUNCTION("GOOGLETRANSLATE(C4,""ja"",""vi"")"),"Đấu giá&gt; truyện tranh, phim hoạt hình hàng hóa&gt; dấu hiệu, hình ảnh chữ ký")</f>
        <v>Đấu giá&gt; truyện tranh, phim hoạt hình hàng hóa&gt; dấu hiệu, hình ảnh chữ ký</v>
      </c>
      <c r="G4" s="229" t="str">
        <f t="shared" ca="1" si="0"/>
        <v>"2084050909" : "Đăng nhập, hình ảnh chữ ký",</v>
      </c>
      <c r="H4" s="229" t="str">
        <f t="shared" si="1"/>
        <v>&lt;li class="col-md-3"&gt;&lt;a class="text-cut" href="javascript:;"(click)="categoryEvent(2084050909)"&gt;{{"2084050909" | translate}}&lt;/a&gt;&lt;/li&gt;</v>
      </c>
    </row>
    <row r="5" spans="1:8" ht="14.25" customHeight="1">
      <c r="A5" s="8">
        <v>2084313425</v>
      </c>
      <c r="B5" s="8" t="s">
        <v>300</v>
      </c>
      <c r="C5" s="8" t="s">
        <v>301</v>
      </c>
      <c r="D5" s="8" t="s">
        <v>302</v>
      </c>
      <c r="E5" s="3" t="str">
        <f ca="1">IFERROR(__xludf.DUMMYFUNCTION("GOOGLETRANSLATE(B5,""ja"",""vi"")"),"minh họa vẽ tay")</f>
        <v>minh họa vẽ tay</v>
      </c>
      <c r="F5" s="3" t="str">
        <f ca="1">IFERROR(__xludf.DUMMYFUNCTION("GOOGLETRANSLATE(C5,""ja"",""vi"")"),"Đấu giá&gt; truyện tranh, phim hoạt hình hàng hóa&gt; minh họa vẽ tay")</f>
        <v>Đấu giá&gt; truyện tranh, phim hoạt hình hàng hóa&gt; minh họa vẽ tay</v>
      </c>
      <c r="G5" s="229" t="str">
        <f t="shared" ca="1" si="0"/>
        <v>"2084313425" : "minh họa vẽ tay",</v>
      </c>
      <c r="H5" s="229" t="str">
        <f t="shared" si="1"/>
        <v>&lt;li class="col-md-3"&gt;&lt;a class="text-cut" href="javascript:;"(click)="categoryEvent(2084313425)"&gt;{{"2084313425" | translate}}&lt;/a&gt;&lt;/li&gt;</v>
      </c>
    </row>
    <row r="6" spans="1:8" ht="14.25" customHeight="1">
      <c r="A6" s="6">
        <v>2084313426</v>
      </c>
      <c r="B6" s="6" t="s">
        <v>310</v>
      </c>
      <c r="C6" s="6" t="s">
        <v>312</v>
      </c>
      <c r="D6" s="6" t="s">
        <v>313</v>
      </c>
      <c r="E6" s="3" t="str">
        <f ca="1">IFERROR(__xludf.DUMMYFUNCTION("GOOGLETRANSLATE(B6,""ja"",""vi"")"),"rõ ràng file")</f>
        <v>rõ ràng file</v>
      </c>
      <c r="F6" s="3" t="str">
        <f ca="1">IFERROR(__xludf.DUMMYFUNCTION("GOOGLETRANSLATE(C6,""ja"",""vi"")"),"Đấu giá&gt; truyện tranh, phim hoạt hình hàng hóa&gt; Xóa file")</f>
        <v>Đấu giá&gt; truyện tranh, phim hoạt hình hàng hóa&gt; Xóa file</v>
      </c>
      <c r="G6" s="229" t="str">
        <f t="shared" ca="1" si="0"/>
        <v>"2084313426" : "rõ ràng file",</v>
      </c>
      <c r="H6" s="229" t="str">
        <f t="shared" si="1"/>
        <v>&lt;li class="col-md-3"&gt;&lt;a class="text-cut" href="javascript:;"(click)="categoryEvent(2084313426)"&gt;{{"2084313426" | translate}}&lt;/a&gt;&lt;/li&gt;</v>
      </c>
    </row>
    <row r="7" spans="1:8" ht="14.25" customHeight="1">
      <c r="A7" s="9">
        <v>2084313427</v>
      </c>
      <c r="B7" s="9" t="s">
        <v>315</v>
      </c>
      <c r="C7" s="9" t="s">
        <v>316</v>
      </c>
      <c r="D7" s="9" t="s">
        <v>317</v>
      </c>
      <c r="E7" s="3" t="str">
        <f ca="1">IFERROR(__xludf.DUMMYFUNCTION("GOOGLETRANSLATE(B7,""ja"",""vi"")"),"huy hiệu")</f>
        <v>huy hiệu</v>
      </c>
      <c r="F7" s="3" t="str">
        <f ca="1">IFERROR(__xludf.DUMMYFUNCTION("GOOGLETRANSLATE(C7,""ja"",""vi"")"),"Đấu giá&gt; truyện tranh, phim hoạt hình hàng hóa&gt; huy hiệu")</f>
        <v>Đấu giá&gt; truyện tranh, phim hoạt hình hàng hóa&gt; huy hiệu</v>
      </c>
      <c r="G7" s="229" t="str">
        <f t="shared" ca="1" si="0"/>
        <v>"2084313427" : "huy hiệu",</v>
      </c>
      <c r="H7" s="229" t="str">
        <f t="shared" si="1"/>
        <v>&lt;li class="col-md-3"&gt;&lt;a class="text-cut" href="javascript:;"(click)="categoryEvent(2084313427)"&gt;{{"2084313427" | translate}}&lt;/a&gt;&lt;/li&gt;</v>
      </c>
    </row>
    <row r="8" spans="1:8" ht="14.25" customHeight="1">
      <c r="A8" s="7">
        <v>2084313428</v>
      </c>
      <c r="B8" s="7" t="s">
        <v>320</v>
      </c>
      <c r="C8" s="7" t="s">
        <v>321</v>
      </c>
      <c r="D8" s="7" t="s">
        <v>322</v>
      </c>
      <c r="E8" s="3" t="str">
        <f ca="1">IFERROR(__xludf.DUMMYFUNCTION("GOOGLETRANSLATE(B8,""ja"",""vi"")"),"thảm thêu")</f>
        <v>thảm thêu</v>
      </c>
      <c r="F8" s="3" t="str">
        <f ca="1">IFERROR(__xludf.DUMMYFUNCTION("GOOGLETRANSLATE(C8,""ja"",""vi"")"),"Đấu giá&gt; truyện tranh, phim hoạt hình hàng hóa&gt; Tapestry")</f>
        <v>Đấu giá&gt; truyện tranh, phim hoạt hình hàng hóa&gt; Tapestry</v>
      </c>
      <c r="G8" s="229" t="str">
        <f t="shared" ca="1" si="0"/>
        <v>"2084313428" : "thảm thêu",</v>
      </c>
      <c r="H8" s="229" t="str">
        <f t="shared" si="1"/>
        <v>&lt;li class="col-md-3"&gt;&lt;a class="text-cut" href="javascript:;"(click)="categoryEvent(2084313428)"&gt;{{"2084313428" | translate}}&lt;/a&gt;&lt;/li&gt;</v>
      </c>
    </row>
    <row r="9" spans="1:8" ht="14.25" customHeight="1">
      <c r="A9" s="41">
        <v>2084313429</v>
      </c>
      <c r="B9" s="41" t="s">
        <v>323</v>
      </c>
      <c r="C9" s="41" t="s">
        <v>325</v>
      </c>
      <c r="D9" s="41" t="s">
        <v>327</v>
      </c>
      <c r="E9" s="3" t="str">
        <f ca="1">IFERROR(__xludf.DUMMYFUNCTION("GOOGLETRANSLATE(B9,""ja"",""vi"")"),"khăn tắm")</f>
        <v>khăn tắm</v>
      </c>
      <c r="F9" s="3" t="str">
        <f ca="1">IFERROR(__xludf.DUMMYFUNCTION("GOOGLETRANSLATE(C9,""ja"",""vi"")"),"Đấu giá&gt; truyện tranh, phim hoạt hình hàng hóa&gt; khăn")</f>
        <v>Đấu giá&gt; truyện tranh, phim hoạt hình hàng hóa&gt; khăn</v>
      </c>
      <c r="G9" s="229" t="str">
        <f t="shared" ca="1" si="0"/>
        <v>"2084313429" : "khăn tắm",</v>
      </c>
      <c r="H9" s="229" t="str">
        <f t="shared" si="1"/>
        <v>&lt;li class="col-md-3"&gt;&lt;a class="text-cut" href="javascript:;"(click)="categoryEvent(2084313429)"&gt;{{"2084313429" | translate}}&lt;/a&gt;&lt;/li&gt;</v>
      </c>
    </row>
    <row r="10" spans="1:8" ht="14.25" customHeight="1">
      <c r="A10" s="16">
        <v>2084006021</v>
      </c>
      <c r="B10" s="16" t="s">
        <v>329</v>
      </c>
      <c r="C10" s="16" t="s">
        <v>330</v>
      </c>
      <c r="D10" s="16" t="s">
        <v>332</v>
      </c>
      <c r="E10" s="3" t="str">
        <f ca="1">IFERROR(__xludf.DUMMYFUNCTION("GOOGLETRANSLATE(B10,""ja"",""vi"")"),"keo")</f>
        <v>keo</v>
      </c>
      <c r="F10" s="3" t="str">
        <f ca="1">IFERROR(__xludf.DUMMYFUNCTION("GOOGLETRANSLATE(C10,""ja"",""vi"")"),"Đấu giá&gt; truyện tranh, phim hoạt hình hàng hóa&gt; sticker")</f>
        <v>Đấu giá&gt; truyện tranh, phim hoạt hình hàng hóa&gt; sticker</v>
      </c>
      <c r="G10" s="229" t="str">
        <f t="shared" ca="1" si="0"/>
        <v>"2084006021" : "keo",</v>
      </c>
      <c r="H10" s="229" t="str">
        <f t="shared" si="1"/>
        <v>&lt;li class="col-md-3"&gt;&lt;a class="text-cut" href="javascript:;"(click)="categoryEvent(2084006021)"&gt;{{"2084006021" | translate}}&lt;/a&gt;&lt;/li&gt;</v>
      </c>
    </row>
    <row r="11" spans="1:8" ht="14.25" customHeight="1">
      <c r="A11" s="43">
        <v>2084037544</v>
      </c>
      <c r="B11" s="43" t="s">
        <v>306</v>
      </c>
      <c r="C11" s="43" t="s">
        <v>335</v>
      </c>
      <c r="D11" s="43" t="s">
        <v>336</v>
      </c>
      <c r="E11" s="3" t="str">
        <f ca="1">IFERROR(__xludf.DUMMYFUNCTION("GOOGLETRANSLATE(B11,""ja"",""vi"")"),"key Chains")</f>
        <v>key Chains</v>
      </c>
      <c r="F11" s="3" t="str">
        <f ca="1">IFERROR(__xludf.DUMMYFUNCTION("GOOGLETRANSLATE(C11,""ja"",""vi"")"),"Đấu giá&gt; truyện tranh, phim hoạt hình hàng hóa&gt; Keychain")</f>
        <v>Đấu giá&gt; truyện tranh, phim hoạt hình hàng hóa&gt; Keychain</v>
      </c>
      <c r="G11" s="229" t="str">
        <f t="shared" ca="1" si="0"/>
        <v>"2084037544" : "key Chains",</v>
      </c>
      <c r="H11" s="229" t="str">
        <f t="shared" si="1"/>
        <v>&lt;li class="col-md-3"&gt;&lt;a class="text-cut" href="javascript:;"(click)="categoryEvent(2084037544)"&gt;{{"2084037544" | translate}}&lt;/a&gt;&lt;/li&gt;</v>
      </c>
    </row>
    <row r="12" spans="1:8" ht="14.25" customHeight="1">
      <c r="A12" s="45">
        <v>2084005356</v>
      </c>
      <c r="B12" s="45" t="s">
        <v>342</v>
      </c>
      <c r="C12" s="45" t="s">
        <v>343</v>
      </c>
      <c r="D12" s="45" t="s">
        <v>344</v>
      </c>
      <c r="E12" s="3" t="str">
        <f ca="1">IFERROR(__xludf.DUMMYFUNCTION("GOOGLETRANSLATE(B12,""ja"",""vi"")"),"Cel")</f>
        <v>Cel</v>
      </c>
      <c r="F12" s="3" t="str">
        <f ca="1">IFERROR(__xludf.DUMMYFUNCTION("GOOGLETRANSLATE(C12,""ja"",""vi"")"),"Đấu giá&gt; truyện tranh, phim hoạt hình hàng hóa&gt; bức tranh di động")</f>
        <v>Đấu giá&gt; truyện tranh, phim hoạt hình hàng hóa&gt; bức tranh di động</v>
      </c>
      <c r="G12" s="229" t="str">
        <f t="shared" ca="1" si="0"/>
        <v>"2084005356" : "Cel",</v>
      </c>
      <c r="H12" s="229" t="str">
        <f t="shared" si="1"/>
        <v>&lt;li class="col-md-3"&gt;&lt;a class="text-cut" href="javascript:;"(click)="categoryEvent(2084005356)"&gt;{{"2084005356" | translate}}&lt;/a&gt;&lt;/li&gt;</v>
      </c>
    </row>
    <row r="13" spans="1:8" ht="14.25" customHeight="1">
      <c r="A13" s="48">
        <v>2084297891</v>
      </c>
      <c r="B13" s="48" t="s">
        <v>349</v>
      </c>
      <c r="C13" s="48" t="s">
        <v>350</v>
      </c>
      <c r="D13" s="48" t="s">
        <v>353</v>
      </c>
      <c r="E13" s="3" t="str">
        <f ca="1">IFERROR(__xludf.DUMMYFUNCTION("GOOGLETRANSLATE(B13,""ja"",""vi"")"),"cái gối")</f>
        <v>cái gối</v>
      </c>
      <c r="F13" s="3" t="str">
        <f ca="1">IFERROR(__xludf.DUMMYFUNCTION("GOOGLETRANSLATE(C13,""ja"",""vi"")"),"Đấu giá&gt; truyện tranh, phim hoạt hình hàng hóa&gt; Body Gối")</f>
        <v>Đấu giá&gt; truyện tranh, phim hoạt hình hàng hóa&gt; Body Gối</v>
      </c>
      <c r="G13" s="229" t="str">
        <f t="shared" ca="1" si="0"/>
        <v>"2084297891" : "cái gối",</v>
      </c>
      <c r="H13" s="229" t="str">
        <f t="shared" si="1"/>
        <v>&lt;li class="col-md-3"&gt;&lt;a class="text-cut" href="javascript:;"(click)="categoryEvent(2084297891)"&gt;{{"2084297891" | translate}}&lt;/a&gt;&lt;/li&gt;</v>
      </c>
    </row>
    <row r="14" spans="1:8" ht="14.25" customHeight="1">
      <c r="A14" s="50">
        <v>25888</v>
      </c>
      <c r="B14" s="50" t="s">
        <v>357</v>
      </c>
      <c r="C14" s="50" t="s">
        <v>359</v>
      </c>
      <c r="D14" s="50" t="s">
        <v>360</v>
      </c>
      <c r="E14" s="3" t="str">
        <f ca="1">IFERROR(__xludf.DUMMYFUNCTION("GOOGLETRANSLATE(B14,""ja"",""vi"")"),"nhân vật")</f>
        <v>nhân vật</v>
      </c>
      <c r="F14" s="3" t="str">
        <f ca="1">IFERROR(__xludf.DUMMYFUNCTION("GOOGLETRANSLATE(C14,""ja"",""vi"")"),"Đấu giá&gt; truyện tranh, phim hoạt hình hàng&gt; Hình")</f>
        <v>Đấu giá&gt; truyện tranh, phim hoạt hình hàng&gt; Hình</v>
      </c>
      <c r="G14" s="229" t="str">
        <f t="shared" ca="1" si="0"/>
        <v>"25888" : "nhân vật",</v>
      </c>
      <c r="H14" s="229" t="str">
        <f t="shared" si="1"/>
        <v>&lt;li class="col-md-3"&gt;&lt;a class="text-cut" href="javascript:;"(click)="categoryEvent(25888)"&gt;{{"25888" | translate}}&lt;/a&gt;&lt;/li&gt;</v>
      </c>
    </row>
    <row r="15" spans="1:8" ht="14.25" customHeight="1">
      <c r="A15" s="53">
        <v>2084250334</v>
      </c>
      <c r="B15" s="53" t="s">
        <v>364</v>
      </c>
      <c r="C15" s="53" t="s">
        <v>366</v>
      </c>
      <c r="D15" s="53" t="s">
        <v>368</v>
      </c>
      <c r="E15" s="3" t="str">
        <f ca="1">IFERROR(__xludf.DUMMYFUNCTION("GOOGLETRANSLATE(B15,""ja"",""vi"")"),"nhựa")</f>
        <v>nhựa</v>
      </c>
      <c r="F15" s="3" t="str">
        <f ca="1">IFERROR(__xludf.DUMMYFUNCTION("GOOGLETRANSLATE(C15,""ja"",""vi"")"),"Đấu giá&gt; truyện tranh, phim hoạt hình hàng hóa&gt; nhựa")</f>
        <v>Đấu giá&gt; truyện tranh, phim hoạt hình hàng hóa&gt; nhựa</v>
      </c>
      <c r="G15" s="229" t="str">
        <f t="shared" ca="1" si="0"/>
        <v>"2084250334" : "nhựa",</v>
      </c>
      <c r="H15" s="229" t="str">
        <f t="shared" si="1"/>
        <v>&lt;li class="col-md-3"&gt;&lt;a class="text-cut" href="javascript:;"(click)="categoryEvent(2084250334)"&gt;{{"2084250334" | translate}}&lt;/a&gt;&lt;/li&gt;</v>
      </c>
    </row>
    <row r="16" spans="1:8" ht="14.25" customHeight="1">
      <c r="A16" s="56">
        <v>21636</v>
      </c>
      <c r="B16" s="56" t="s">
        <v>375</v>
      </c>
      <c r="C16" s="56" t="s">
        <v>376</v>
      </c>
      <c r="D16" s="56" t="s">
        <v>377</v>
      </c>
      <c r="E16" s="3" t="str">
        <f ca="1">IFERROR(__xludf.DUMMYFUNCTION("GOOGLETRANSLATE(B16,""ja"",""vi"")"),"truyện tranh")</f>
        <v>truyện tranh</v>
      </c>
      <c r="F16" s="3" t="str">
        <f ca="1">IFERROR(__xludf.DUMMYFUNCTION("GOOGLETRANSLATE(C16,""ja"",""vi"")"),"Đấu giá&gt; truyện tranh, phim hoạt hình hàng hóa&gt; truyện tranh")</f>
        <v>Đấu giá&gt; truyện tranh, phim hoạt hình hàng hóa&gt; truyện tranh</v>
      </c>
      <c r="G16" s="229" t="str">
        <f t="shared" ca="1" si="0"/>
        <v>"21636" : "truyện tranh",</v>
      </c>
      <c r="H16" s="229" t="str">
        <f t="shared" si="1"/>
        <v>&lt;li class="col-md-3"&gt;&lt;a class="text-cut" href="javascript:;"(click)="categoryEvent(21636)"&gt;{{"21636" | translate}}&lt;/a&gt;&lt;/li&gt;</v>
      </c>
    </row>
    <row r="17" spans="1:8" ht="14.25" customHeight="1">
      <c r="A17" s="59">
        <v>21976</v>
      </c>
      <c r="B17" s="59" t="s">
        <v>380</v>
      </c>
      <c r="C17" s="59" t="s">
        <v>381</v>
      </c>
      <c r="D17" s="59" t="s">
        <v>383</v>
      </c>
      <c r="E17" s="3" t="str">
        <f ca="1">IFERROR(__xludf.DUMMYFUNCTION("GOOGLETRANSLATE(B17,""ja"",""vi"")"),"DVD")</f>
        <v>DVD</v>
      </c>
      <c r="F17" s="3" t="str">
        <f ca="1">IFERROR(__xludf.DUMMYFUNCTION("GOOGLETRANSLATE(C17,""ja"",""vi"")"),"Đấu giá&gt; truyện tranh, phim hoạt hình hàng hóa&gt; DVD")</f>
        <v>Đấu giá&gt; truyện tranh, phim hoạt hình hàng hóa&gt; DVD</v>
      </c>
      <c r="G17" s="229" t="str">
        <f t="shared" ca="1" si="0"/>
        <v>"21976" : "DVD",</v>
      </c>
      <c r="H17" s="229" t="str">
        <f t="shared" si="1"/>
        <v>&lt;li class="col-md-3"&gt;&lt;a class="text-cut" href="javascript:;"(click)="categoryEvent(21976)"&gt;{{"21976" | translate}}&lt;/a&gt;&lt;/li&gt;</v>
      </c>
    </row>
    <row r="18" spans="1:8" ht="14.25" customHeight="1">
      <c r="A18" s="62">
        <v>22080</v>
      </c>
      <c r="B18" s="62" t="s">
        <v>386</v>
      </c>
      <c r="C18" s="62" t="s">
        <v>387</v>
      </c>
      <c r="D18" s="62" t="s">
        <v>388</v>
      </c>
      <c r="E18" s="3" t="str">
        <f ca="1">IFERROR(__xludf.DUMMYFUNCTION("GOOGLETRANSLATE(B18,""ja"",""vi"")"),"video")</f>
        <v>video</v>
      </c>
      <c r="F18" s="3" t="str">
        <f ca="1">IFERROR(__xludf.DUMMYFUNCTION("GOOGLETRANSLATE(C18,""ja"",""vi"")"),"Đấu giá&gt; truyện tranh, phim hoạt hình hàng hóa&gt; Video")</f>
        <v>Đấu giá&gt; truyện tranh, phim hoạt hình hàng hóa&gt; Video</v>
      </c>
      <c r="G18" s="229" t="str">
        <f t="shared" ca="1" si="0"/>
        <v>"22080" : "video",</v>
      </c>
      <c r="H18" s="229" t="str">
        <f t="shared" si="1"/>
        <v>&lt;li class="col-md-3"&gt;&lt;a class="text-cut" href="javascript:;"(click)="categoryEvent(22080)"&gt;{{"22080" | translate}}&lt;/a&gt;&lt;/li&gt;</v>
      </c>
    </row>
    <row r="19" spans="1:8" ht="14.25" customHeight="1">
      <c r="A19" s="65">
        <v>22028</v>
      </c>
      <c r="B19" s="65" t="s">
        <v>393</v>
      </c>
      <c r="C19" s="65" t="s">
        <v>394</v>
      </c>
      <c r="D19" s="65" t="s">
        <v>395</v>
      </c>
      <c r="E19" s="3" t="str">
        <f ca="1">IFERROR(__xludf.DUMMYFUNCTION("GOOGLETRANSLATE(B19,""ja"",""vi"")"),"đĩa Laser")</f>
        <v>đĩa Laser</v>
      </c>
      <c r="F19" s="3" t="str">
        <f ca="1">IFERROR(__xludf.DUMMYFUNCTION("GOOGLETRANSLATE(C19,""ja"",""vi"")"),"Đấu giá&gt; truyện tranh, phim hoạt hình hàng hóa&gt; đĩa laze")</f>
        <v>Đấu giá&gt; truyện tranh, phim hoạt hình hàng hóa&gt; đĩa laze</v>
      </c>
      <c r="G19" s="229" t="str">
        <f t="shared" ca="1" si="0"/>
        <v>"22028" : "đĩa Laser",</v>
      </c>
      <c r="H19" s="229" t="str">
        <f t="shared" si="1"/>
        <v>&lt;li class="col-md-3"&gt;&lt;a class="text-cut" href="javascript:;"(click)="categoryEvent(22028)"&gt;{{"22028" | translate}}&lt;/a&gt;&lt;/li&gt;</v>
      </c>
    </row>
    <row r="20" spans="1:8" ht="14.25" customHeight="1">
      <c r="A20" s="68">
        <v>2084041458</v>
      </c>
      <c r="B20" s="68" t="s">
        <v>399</v>
      </c>
      <c r="C20" s="68" t="s">
        <v>400</v>
      </c>
      <c r="D20" s="68" t="s">
        <v>401</v>
      </c>
      <c r="E20" s="3" t="str">
        <f ca="1">IFERROR(__xludf.DUMMYFUNCTION("GOOGLETRANSLATE(B20,""ja"",""vi"")"),"VCD")</f>
        <v>VCD</v>
      </c>
      <c r="F20" s="3" t="str">
        <f ca="1">IFERROR(__xludf.DUMMYFUNCTION("GOOGLETRANSLATE(C20,""ja"",""vi"")"),"Đấu giá&gt; truyện tranh, phim hoạt hình hàng hóa&gt; VCD")</f>
        <v>Đấu giá&gt; truyện tranh, phim hoạt hình hàng hóa&gt; VCD</v>
      </c>
      <c r="G20" s="229" t="str">
        <f t="shared" ca="1" si="0"/>
        <v>"2084041458" : "VCD",</v>
      </c>
      <c r="H20" s="229" t="str">
        <f t="shared" si="1"/>
        <v>&lt;li class="col-md-3"&gt;&lt;a class="text-cut" href="javascript:;"(click)="categoryEvent(2084041458)"&gt;{{"2084041458" | translate}}&lt;/a&gt;&lt;/li&gt;</v>
      </c>
    </row>
    <row r="21" spans="1:8" ht="14.25" customHeight="1">
      <c r="A21" s="71">
        <v>2084005149</v>
      </c>
      <c r="B21" s="71" t="s">
        <v>405</v>
      </c>
      <c r="C21" s="71" t="s">
        <v>406</v>
      </c>
      <c r="D21" s="71" t="s">
        <v>407</v>
      </c>
      <c r="E21" s="3" t="str">
        <f ca="1">IFERROR(__xludf.DUMMYFUNCTION("GOOGLETRANSLATE(B21,""ja"",""vi"")"),"audio CD")</f>
        <v>audio CD</v>
      </c>
      <c r="F21" s="3" t="str">
        <f ca="1">IFERROR(__xludf.DUMMYFUNCTION("GOOGLETRANSLATE(C21,""ja"",""vi"")"),"Đấu giá&gt; truyện tranh, phim hoạt hình hàng hóa&gt; Âm nhạc CD")</f>
        <v>Đấu giá&gt; truyện tranh, phim hoạt hình hàng hóa&gt; Âm nhạc CD</v>
      </c>
      <c r="G21" s="229" t="str">
        <f t="shared" ca="1" si="0"/>
        <v>"2084005149" : "audio CD",</v>
      </c>
      <c r="H21" s="229" t="str">
        <f t="shared" si="1"/>
        <v>&lt;li class="col-md-3"&gt;&lt;a class="text-cut" href="javascript:;"(click)="categoryEvent(2084005149)"&gt;{{"2084005149" | translate}}&lt;/a&gt;&lt;/li&gt;</v>
      </c>
    </row>
    <row r="22" spans="1:8" ht="14.25" customHeight="1">
      <c r="A22" s="59">
        <v>2084007037</v>
      </c>
      <c r="B22" s="59" t="s">
        <v>410</v>
      </c>
      <c r="C22" s="59" t="s">
        <v>412</v>
      </c>
      <c r="D22" s="59" t="s">
        <v>413</v>
      </c>
      <c r="E22" s="3" t="str">
        <f ca="1">IFERROR(__xludf.DUMMYFUNCTION("GOOGLETRANSLATE(B22,""ja"",""vi"")"),"kỷ lục")</f>
        <v>kỷ lục</v>
      </c>
      <c r="F22" s="3" t="str">
        <f ca="1">IFERROR(__xludf.DUMMYFUNCTION("GOOGLETRANSLATE(C22,""ja"",""vi"")"),"Đấu giá&gt; truyện tranh, phim hoạt hình hàng hóa&gt; kỷ lục")</f>
        <v>Đấu giá&gt; truyện tranh, phim hoạt hình hàng hóa&gt; kỷ lục</v>
      </c>
      <c r="G22" s="229" t="str">
        <f t="shared" ca="1" si="0"/>
        <v>"2084007037" : "kỷ lục",</v>
      </c>
      <c r="H22" s="229" t="str">
        <f t="shared" si="1"/>
        <v>&lt;li class="col-md-3"&gt;&lt;a class="text-cut" href="javascript:;"(click)="categoryEvent(2084007037)"&gt;{{"2084007037" | translate}}&lt;/a&gt;&lt;/li&gt;</v>
      </c>
    </row>
    <row r="23" spans="1:8" ht="14.25" customHeight="1">
      <c r="A23" s="66">
        <v>2084006987</v>
      </c>
      <c r="B23" s="66" t="s">
        <v>414</v>
      </c>
      <c r="C23" s="66" t="s">
        <v>415</v>
      </c>
      <c r="D23" s="66" t="s">
        <v>416</v>
      </c>
      <c r="E23" s="3" t="str">
        <f ca="1">IFERROR(__xludf.DUMMYFUNCTION("GOOGLETRANSLATE(B23,""ja"",""vi"")"),"băng cassette")</f>
        <v>băng cassette</v>
      </c>
      <c r="F23" s="3" t="str">
        <f ca="1">IFERROR(__xludf.DUMMYFUNCTION("GOOGLETRANSLATE(C23,""ja"",""vi"")"),"Đấu giá&gt; truyện tranh, phim hoạt hình hàng hóa&gt; băng cassette")</f>
        <v>Đấu giá&gt; truyện tranh, phim hoạt hình hàng hóa&gt; băng cassette</v>
      </c>
      <c r="G23" s="229" t="str">
        <f t="shared" ca="1" si="0"/>
        <v>"2084006987" : "băng cassette",</v>
      </c>
      <c r="H23" s="229" t="str">
        <f t="shared" si="1"/>
        <v>&lt;li class="col-md-3"&gt;&lt;a class="text-cut" href="javascript:;"(click)="categoryEvent(2084006987)"&gt;{{"2084006987" | translate}}&lt;/a&gt;&lt;/li&gt;</v>
      </c>
    </row>
    <row r="24" spans="1:8" ht="14.25" customHeight="1">
      <c r="A24" s="65">
        <v>2084006158</v>
      </c>
      <c r="B24" s="65" t="s">
        <v>303</v>
      </c>
      <c r="C24" s="65" t="s">
        <v>420</v>
      </c>
      <c r="D24" s="65" t="s">
        <v>421</v>
      </c>
      <c r="E24" s="3" t="str">
        <f ca="1">IFERROR(__xludf.DUMMYFUNCTION("GOOGLETRANSLATE(B24,""ja"",""vi"")"),"lịch")</f>
        <v>lịch</v>
      </c>
      <c r="F24" s="3" t="str">
        <f ca="1">IFERROR(__xludf.DUMMYFUNCTION("GOOGLETRANSLATE(C24,""ja"",""vi"")"),"Đấu giá&gt; truyện tranh, phim hoạt hình hàng hóa&gt; Lịch")</f>
        <v>Đấu giá&gt; truyện tranh, phim hoạt hình hàng hóa&gt; Lịch</v>
      </c>
      <c r="G24" s="229" t="str">
        <f t="shared" ca="1" si="0"/>
        <v>"2084006158" : "lịch",</v>
      </c>
      <c r="H24" s="229" t="str">
        <f t="shared" si="1"/>
        <v>&lt;li class="col-md-3"&gt;&lt;a class="text-cut" href="javascript:;"(click)="categoryEvent(2084006158)"&gt;{{"2084006158" | translate}}&lt;/a&gt;&lt;/li&gt;</v>
      </c>
    </row>
    <row r="25" spans="1:8" ht="14.25" customHeight="1">
      <c r="A25" s="77">
        <v>21020</v>
      </c>
      <c r="B25" s="77" t="s">
        <v>396</v>
      </c>
      <c r="C25" s="77" t="s">
        <v>425</v>
      </c>
      <c r="D25" s="77" t="s">
        <v>426</v>
      </c>
      <c r="E25" s="3" t="str">
        <f ca="1">IFERROR(__xludf.DUMMYFUNCTION("GOOGLETRANSLATE(B25,""ja"",""vi"")"),"thẻ giao dịch")</f>
        <v>thẻ giao dịch</v>
      </c>
      <c r="F25" s="3" t="str">
        <f ca="1">IFERROR(__xludf.DUMMYFUNCTION("GOOGLETRANSLATE(C25,""ja"",""vi"")"),"Đấu giá&gt; truyện tranh, phim hoạt hình hàng hóa&gt; Trading Cards")</f>
        <v>Đấu giá&gt; truyện tranh, phim hoạt hình hàng hóa&gt; Trading Cards</v>
      </c>
      <c r="G25" s="229" t="str">
        <f t="shared" ca="1" si="0"/>
        <v>"21020" : "thẻ giao dịch",</v>
      </c>
      <c r="H25" s="229" t="str">
        <f t="shared" si="1"/>
        <v>&lt;li class="col-md-3"&gt;&lt;a class="text-cut" href="javascript:;"(click)="categoryEvent(21020)"&gt;{{"21020" | translate}}&lt;/a&gt;&lt;/li&gt;</v>
      </c>
    </row>
    <row r="26" spans="1:8" ht="14.25" customHeight="1">
      <c r="A26" s="78">
        <v>2084046717</v>
      </c>
      <c r="B26" s="78" t="s">
        <v>402</v>
      </c>
      <c r="C26" s="78" t="s">
        <v>430</v>
      </c>
      <c r="D26" s="78" t="s">
        <v>431</v>
      </c>
      <c r="E26" s="3" t="str">
        <f ca="1">IFERROR(__xludf.DUMMYFUNCTION("GOOGLETRANSLATE(B26,""ja"",""vi"")"),"Kuokado")</f>
        <v>Kuokado</v>
      </c>
      <c r="F26" s="3" t="str">
        <f ca="1">IFERROR(__xludf.DUMMYFUNCTION("GOOGLETRANSLATE(C26,""ja"",""vi"")"),"Đấu giá&gt; truyện tranh, phim hoạt hình hàng hóa&gt; Kuokado")</f>
        <v>Đấu giá&gt; truyện tranh, phim hoạt hình hàng hóa&gt; Kuokado</v>
      </c>
      <c r="G26" s="229" t="str">
        <f t="shared" ca="1" si="0"/>
        <v>"2084046717" : "Kuokado",</v>
      </c>
      <c r="H26" s="229" t="str">
        <f t="shared" si="1"/>
        <v>&lt;li class="col-md-3"&gt;&lt;a class="text-cut" href="javascript:;"(click)="categoryEvent(2084046717)"&gt;{{"2084046717" | translate}}&lt;/a&gt;&lt;/li&gt;</v>
      </c>
    </row>
    <row r="27" spans="1:8" ht="14.25" customHeight="1">
      <c r="A27" s="79">
        <v>2084005120</v>
      </c>
      <c r="B27" s="79" t="s">
        <v>389</v>
      </c>
      <c r="C27" s="79" t="s">
        <v>435</v>
      </c>
      <c r="D27" s="79" t="s">
        <v>436</v>
      </c>
      <c r="E27" s="3" t="str">
        <f ca="1">IFERROR(__xludf.DUMMYFUNCTION("GOOGLETRANSLATE(B27,""ja"",""vi"")"),"thẻ điện thoại")</f>
        <v>thẻ điện thoại</v>
      </c>
      <c r="F27" s="3" t="str">
        <f ca="1">IFERROR(__xludf.DUMMYFUNCTION("GOOGLETRANSLATE(C27,""ja"",""vi"")"),"Đấu giá&gt; truyện tranh, phim hoạt hình hàng hóa&gt; Thẻ điện thoại")</f>
        <v>Đấu giá&gt; truyện tranh, phim hoạt hình hàng hóa&gt; Thẻ điện thoại</v>
      </c>
      <c r="G27" s="229" t="str">
        <f t="shared" ca="1" si="0"/>
        <v>"2084005120" : "thẻ điện thoại",</v>
      </c>
      <c r="H27" s="229" t="str">
        <f t="shared" si="1"/>
        <v>&lt;li class="col-md-3"&gt;&lt;a class="text-cut" href="javascript:;"(click)="categoryEvent(2084005120)"&gt;{{"2084005120" | translate}}&lt;/a&gt;&lt;/li&gt;</v>
      </c>
    </row>
    <row r="28" spans="1:8" ht="14.25" customHeight="1">
      <c r="A28" s="76">
        <v>2084006184</v>
      </c>
      <c r="B28" s="76" t="s">
        <v>427</v>
      </c>
      <c r="C28" s="76" t="s">
        <v>440</v>
      </c>
      <c r="D28" s="76" t="s">
        <v>441</v>
      </c>
      <c r="E28" s="3" t="str">
        <f ca="1">IFERROR(__xludf.DUMMYFUNCTION("GOOGLETRANSLATE(B28,""ja"",""vi"")"),"poster")</f>
        <v>poster</v>
      </c>
      <c r="F28" s="3" t="str">
        <f ca="1">IFERROR(__xludf.DUMMYFUNCTION("GOOGLETRANSLATE(C28,""ja"",""vi"")"),"Đấu giá&gt; truyện tranh, phim hoạt hình hàng hóa&gt; áp phích")</f>
        <v>Đấu giá&gt; truyện tranh, phim hoạt hình hàng hóa&gt; áp phích</v>
      </c>
      <c r="G28" s="229" t="str">
        <f t="shared" ca="1" si="0"/>
        <v>"2084006184" : "poster",</v>
      </c>
      <c r="H28" s="229" t="str">
        <f t="shared" si="1"/>
        <v>&lt;li class="col-md-3"&gt;&lt;a class="text-cut" href="javascript:;"(click)="categoryEvent(2084006184)"&gt;{{"2084006184" | translate}}&lt;/a&gt;&lt;/li&gt;</v>
      </c>
    </row>
    <row r="29" spans="1:8" ht="14.25" customHeight="1">
      <c r="A29" s="72">
        <v>2084006161</v>
      </c>
      <c r="B29" s="72" t="s">
        <v>331</v>
      </c>
      <c r="C29" s="72" t="s">
        <v>442</v>
      </c>
      <c r="D29" s="72" t="s">
        <v>444</v>
      </c>
      <c r="E29" s="3" t="str">
        <f ca="1">IFERROR(__xludf.DUMMYFUNCTION("GOOGLETRANSLATE(B29,""ja"",""vi"")"),"cắt giảm")</f>
        <v>cắt giảm</v>
      </c>
      <c r="F29" s="3" t="str">
        <f ca="1">IFERROR(__xludf.DUMMYFUNCTION("GOOGLETRANSLATE(C29,""ja"",""vi"")"),"Đấu giá&gt; truyện tranh, phim hoạt hình hàng hóa&gt; cut-out")</f>
        <v>Đấu giá&gt; truyện tranh, phim hoạt hình hàng hóa&gt; cut-out</v>
      </c>
      <c r="G29" s="229" t="str">
        <f t="shared" ca="1" si="0"/>
        <v>"2084006161" : "cắt giảm",</v>
      </c>
      <c r="H29" s="229" t="str">
        <f t="shared" si="1"/>
        <v>&lt;li class="col-md-3"&gt;&lt;a class="text-cut" href="javascript:;"(click)="categoryEvent(2084006161)"&gt;{{"2084006161" | translate}}&lt;/a&gt;&lt;/li&gt;</v>
      </c>
    </row>
    <row r="30" spans="1:8" ht="14.25" customHeight="1">
      <c r="A30" s="81">
        <v>2084307735</v>
      </c>
      <c r="B30" s="81" t="s">
        <v>446</v>
      </c>
      <c r="C30" s="81" t="s">
        <v>447</v>
      </c>
      <c r="D30" s="81" t="s">
        <v>448</v>
      </c>
      <c r="E30" s="3" t="str">
        <f ca="1">IFERROR(__xludf.DUMMYFUNCTION("GOOGLETRANSLATE(B30,""ja"",""vi"")"),"Minh họa, sản xuất nghệ thuật")</f>
        <v>Minh họa, sản xuất nghệ thuật</v>
      </c>
      <c r="F30" s="3" t="str">
        <f ca="1">IFERROR(__xludf.DUMMYFUNCTION("GOOGLETRANSLATE(C30,""ja"",""vi"")"),"Đấu giá&gt; truyện tranh, phim hoạt hình hàng hóa&gt; minh họa, sản xuất nghệ thuật")</f>
        <v>Đấu giá&gt; truyện tranh, phim hoạt hình hàng hóa&gt; minh họa, sản xuất nghệ thuật</v>
      </c>
      <c r="G30" s="229" t="str">
        <f t="shared" ca="1" si="0"/>
        <v>"2084307735" : "Minh họa, sản xuất nghệ thuật",</v>
      </c>
      <c r="H30" s="229" t="str">
        <f t="shared" si="1"/>
        <v>&lt;li class="col-md-3"&gt;&lt;a class="text-cut" href="javascript:;"(click)="categoryEvent(2084307735)"&gt;{{"2084307735" | translate}}&lt;/a&gt;&lt;/li&gt;</v>
      </c>
    </row>
    <row r="31" spans="1:8" ht="14.25" customHeight="1">
      <c r="A31" s="82">
        <v>2084307732</v>
      </c>
      <c r="B31" s="82" t="s">
        <v>452</v>
      </c>
      <c r="C31" s="82" t="s">
        <v>453</v>
      </c>
      <c r="D31" s="82" t="s">
        <v>455</v>
      </c>
      <c r="E31" s="3" t="str">
        <f ca="1">IFERROR(__xludf.DUMMYFUNCTION("GOOGLETRANSLATE(B31,""ja"",""vi"")"),"Sản xuất (tường thuật, diễn viên lồng tiếng)")</f>
        <v>Sản xuất (tường thuật, diễn viên lồng tiếng)</v>
      </c>
      <c r="F31" s="3" t="str">
        <f ca="1">IFERROR(__xludf.DUMMYFUNCTION("GOOGLETRANSLATE(C31,""ja"",""vi"")"),"Đấu giá&gt; truyện tranh, phim hoạt hình hàng hóa&gt; Sản xuất (tường thuật, diễn viên lồng tiếng)")</f>
        <v>Đấu giá&gt; truyện tranh, phim hoạt hình hàng hóa&gt; Sản xuất (tường thuật, diễn viên lồng tiếng)</v>
      </c>
      <c r="G31" s="229" t="str">
        <f t="shared" ca="1" si="0"/>
        <v>"2084307732" : "Sản xuất (tường thuật, diễn viên lồng tiếng)",</v>
      </c>
      <c r="H31" s="229" t="str">
        <f t="shared" si="1"/>
        <v>&lt;li class="col-md-3"&gt;&lt;a class="text-cut" href="javascript:;"(click)="categoryEvent(2084307732)"&gt;{{"2084307732" | translate}}&lt;/a&gt;&lt;/li&gt;</v>
      </c>
    </row>
    <row r="32" spans="1:8" ht="14.25" customHeight="1">
      <c r="A32" s="43">
        <v>20068</v>
      </c>
      <c r="B32" s="43" t="s">
        <v>16</v>
      </c>
      <c r="C32" s="43" t="s">
        <v>461</v>
      </c>
      <c r="D32" s="43" t="s">
        <v>462</v>
      </c>
      <c r="E32" s="3" t="str">
        <f ca="1">IFERROR(__xludf.DUMMYFUNCTION("GOOGLETRANSLATE(B32,""ja"",""vi"")"),"nếu không thì")</f>
        <v>nếu không thì</v>
      </c>
      <c r="F32" s="3" t="str">
        <f ca="1">IFERROR(__xludf.DUMMYFUNCTION("GOOGLETRANSLATE(C32,""ja"",""vi"")"),"Đấu giá&gt; Comic, Anime&gt; Khác")</f>
        <v>Đấu giá&gt; Comic, Anime&gt; Khác</v>
      </c>
      <c r="G32" s="229" t="str">
        <f t="shared" ca="1" si="0"/>
        <v>"20068" : "nếu không thì",</v>
      </c>
      <c r="H32" s="229" t="str">
        <f t="shared" si="1"/>
        <v>&lt;li class="col-md-3"&gt;&lt;a class="text-cut" href="javascript:;"(click)="categoryEvent(20068)"&gt;{{"20068" | translate}}&lt;/a&gt;&lt;/li&gt;</v>
      </c>
    </row>
    <row r="33" spans="1:8" ht="14.25" customHeight="1">
      <c r="E33" s="3"/>
      <c r="F33" s="3"/>
      <c r="G33" s="229"/>
      <c r="H33" s="229"/>
    </row>
    <row r="34" spans="1:8" ht="24" customHeight="1">
      <c r="A34" s="231">
        <v>2084062134</v>
      </c>
      <c r="B34" s="232"/>
      <c r="C34" s="232"/>
      <c r="D34" s="233"/>
      <c r="E34" s="3"/>
      <c r="F34" s="3"/>
      <c r="G34" s="229"/>
      <c r="H34" s="229"/>
    </row>
    <row r="35" spans="1:8" ht="14.25" customHeight="1">
      <c r="A35" s="2">
        <v>2084208670</v>
      </c>
      <c r="B35" s="2" t="s">
        <v>474</v>
      </c>
      <c r="C35" s="2" t="s">
        <v>476</v>
      </c>
      <c r="D35" s="2" t="s">
        <v>478</v>
      </c>
      <c r="E35" s="3" t="str">
        <f ca="1">IFERROR(__xludf.DUMMYFUNCTION("GOOGLETRANSLATE(B35,""ja"",""vi"")"),"Truyện tranh, hoạt hình, nhân vật trò chơi")</f>
        <v>Truyện tranh, hoạt hình, nhân vật trò chơi</v>
      </c>
      <c r="F35" s="3" t="str">
        <f ca="1">IFERROR(__xludf.DUMMYFUNCTION("GOOGLETRANSLATE(C35,""ja"",""vi"")"),"Đấu giá&gt; truyện tranh, phim hoạt hình hàng hóa&gt; Trang phục Cosplay&gt; truyện tranh, hoạt hình, nhân vật trò chơi")</f>
        <v>Đấu giá&gt; truyện tranh, phim hoạt hình hàng hóa&gt; Trang phục Cosplay&gt; truyện tranh, hoạt hình, nhân vật trò chơi</v>
      </c>
      <c r="G35" s="229" t="str">
        <f t="shared" ca="1" si="0"/>
        <v>"2084208670" : "Truyện tranh, hoạt hình, nhân vật trò chơi",</v>
      </c>
      <c r="H35" s="229" t="str">
        <f t="shared" si="1"/>
        <v>&lt;li class="col-md-3"&gt;&lt;a class="text-cut" href="javascript:;"(click)="categoryEvent(2084208670)"&gt;{{"2084208670" | translate}}&lt;/a&gt;&lt;/li&gt;</v>
      </c>
    </row>
    <row r="36" spans="1:8" ht="14.25" customHeight="1">
      <c r="A36" s="2">
        <v>2084208672</v>
      </c>
      <c r="B36" s="2" t="s">
        <v>483</v>
      </c>
      <c r="C36" s="2" t="s">
        <v>485</v>
      </c>
      <c r="D36" s="2" t="s">
        <v>487</v>
      </c>
      <c r="E36" s="3" t="str">
        <f ca="1">IFERROR(__xludf.DUMMYFUNCTION("GOOGLETRANSLATE(B36,""ja"",""vi"")"),"thiếu nữ")</f>
        <v>thiếu nữ</v>
      </c>
      <c r="F36" s="3" t="str">
        <f ca="1">IFERROR(__xludf.DUMMYFUNCTION("GOOGLETRANSLATE(C36,""ja"",""vi"")"),"Đấu giá&gt; truyện tranh, phim hoạt hình hàng hóa&gt; Trang phục Cosplay&gt; Maid")</f>
        <v>Đấu giá&gt; truyện tranh, phim hoạt hình hàng hóa&gt; Trang phục Cosplay&gt; Maid</v>
      </c>
      <c r="G36" s="229" t="str">
        <f t="shared" ca="1" si="0"/>
        <v>"2084208672" : "thiếu nữ",</v>
      </c>
      <c r="H36" s="229" t="str">
        <f t="shared" si="1"/>
        <v>&lt;li class="col-md-3"&gt;&lt;a class="text-cut" href="javascript:;"(click)="categoryEvent(2084208672)"&gt;{{"2084208672" | translate}}&lt;/a&gt;&lt;/li&gt;</v>
      </c>
    </row>
    <row r="37" spans="1:8" ht="14.25" customHeight="1">
      <c r="A37" s="2">
        <v>2084241336</v>
      </c>
      <c r="B37" s="2" t="s">
        <v>491</v>
      </c>
      <c r="C37" s="2" t="s">
        <v>493</v>
      </c>
      <c r="D37" s="2" t="s">
        <v>496</v>
      </c>
      <c r="E37" s="3" t="str">
        <f ca="1">IFERROR(__xludf.DUMMYFUNCTION("GOOGLETRANSLATE(B37,""ja"",""vi"")"),"Alt")</f>
        <v>Alt</v>
      </c>
      <c r="F37" s="3" t="str">
        <f ca="1">IFERROR(__xludf.DUMMYFUNCTION("GOOGLETRANSLATE(C37,""ja"",""vi"")"),"Đấu giá&gt; truyện tranh, phim hoạt hình hàng hóa&gt; Trang phục Cosplay&gt; Lolita")</f>
        <v>Đấu giá&gt; truyện tranh, phim hoạt hình hàng hóa&gt; Trang phục Cosplay&gt; Lolita</v>
      </c>
      <c r="G37" s="229" t="str">
        <f t="shared" ca="1" si="0"/>
        <v>"2084241336" : "Alt",</v>
      </c>
      <c r="H37" s="229" t="str">
        <f t="shared" si="1"/>
        <v>&lt;li class="col-md-3"&gt;&lt;a class="text-cut" href="javascript:;"(click)="categoryEvent(2084241336)"&gt;{{"2084241336" | translate}}&lt;/a&gt;&lt;/li&gt;</v>
      </c>
    </row>
    <row r="38" spans="1:8" ht="14.25" customHeight="1">
      <c r="A38" s="2">
        <v>2084311910</v>
      </c>
      <c r="B38" s="2" t="s">
        <v>500</v>
      </c>
      <c r="C38" s="2" t="s">
        <v>502</v>
      </c>
      <c r="D38" s="2" t="s">
        <v>503</v>
      </c>
      <c r="E38" s="3" t="str">
        <f ca="1">IFERROR(__xludf.DUMMYFUNCTION("GOOGLETRANSLATE(B38,""ja"",""vi"")"),"cabin viên")</f>
        <v>cabin viên</v>
      </c>
      <c r="F38" s="3" t="str">
        <f ca="1">IFERROR(__xludf.DUMMYFUNCTION("GOOGLETRANSLATE(C38,""ja"",""vi"")"),"Đấu giá&gt; truyện tranh, phim hoạt hình hàng hóa&gt; Cosplay Trang phục&gt; cabin viên")</f>
        <v>Đấu giá&gt; truyện tranh, phim hoạt hình hàng hóa&gt; Cosplay Trang phục&gt; cabin viên</v>
      </c>
      <c r="G38" s="229" t="str">
        <f t="shared" ca="1" si="0"/>
        <v>"2084311910" : "cabin viên",</v>
      </c>
      <c r="H38" s="229" t="str">
        <f t="shared" si="1"/>
        <v>&lt;li class="col-md-3"&gt;&lt;a class="text-cut" href="javascript:;"(click)="categoryEvent(2084311910)"&gt;{{"2084311910" | translate}}&lt;/a&gt;&lt;/li&gt;</v>
      </c>
    </row>
    <row r="39" spans="1:8" ht="14.25" customHeight="1">
      <c r="A39" s="2">
        <v>2084241337</v>
      </c>
      <c r="B39" s="2" t="s">
        <v>506</v>
      </c>
      <c r="C39" s="2" t="s">
        <v>508</v>
      </c>
      <c r="D39" s="2" t="s">
        <v>509</v>
      </c>
      <c r="E39" s="3" t="str">
        <f ca="1">IFERROR(__xludf.DUMMYFUNCTION("GOOGLETRANSLATE(B39,""ja"",""vi"")"),"sườn xám")</f>
        <v>sườn xám</v>
      </c>
      <c r="F39" s="3" t="str">
        <f ca="1">IFERROR(__xludf.DUMMYFUNCTION("GOOGLETRANSLATE(C39,""ja"",""vi"")"),"Đấu giá&gt; truyện tranh, phim hoạt hình hàng hóa&gt; Trang phục Cosplay&gt; Cheongsam")</f>
        <v>Đấu giá&gt; truyện tranh, phim hoạt hình hàng hóa&gt; Trang phục Cosplay&gt; Cheongsam</v>
      </c>
      <c r="G39" s="229" t="str">
        <f t="shared" ca="1" si="0"/>
        <v>"2084241337" : "sườn xám",</v>
      </c>
      <c r="H39" s="229" t="str">
        <f t="shared" si="1"/>
        <v>&lt;li class="col-md-3"&gt;&lt;a class="text-cut" href="javascript:;"(click)="categoryEvent(2084241337)"&gt;{{"2084241337" | translate}}&lt;/a&gt;&lt;/li&gt;</v>
      </c>
    </row>
    <row r="40" spans="1:8" ht="14.25" customHeight="1">
      <c r="A40" s="2">
        <v>2084241335</v>
      </c>
      <c r="B40" s="2" t="s">
        <v>512</v>
      </c>
      <c r="C40" s="2" t="s">
        <v>513</v>
      </c>
      <c r="D40" s="2" t="s">
        <v>514</v>
      </c>
      <c r="E40" s="3" t="str">
        <f ca="1">IFERROR(__xludf.DUMMYFUNCTION("GOOGLETRANSLATE(B40,""ja"",""vi"")"),"quần áo y tá")</f>
        <v>quần áo y tá</v>
      </c>
      <c r="F40" s="3" t="str">
        <f ca="1">IFERROR(__xludf.DUMMYFUNCTION("GOOGLETRANSLATE(C40,""ja"",""vi"")"),"Đấu giá&gt; truyện tranh, phim hoạt hình hàng hóa&gt; Cosplay Trang phục&gt; quần áo y tá")</f>
        <v>Đấu giá&gt; truyện tranh, phim hoạt hình hàng hóa&gt; Cosplay Trang phục&gt; quần áo y tá</v>
      </c>
      <c r="G40" s="229" t="str">
        <f t="shared" ca="1" si="0"/>
        <v>"2084241335" : "quần áo y tá",</v>
      </c>
      <c r="H40" s="229" t="str">
        <f t="shared" si="1"/>
        <v>&lt;li class="col-md-3"&gt;&lt;a class="text-cut" href="javascript:;"(click)="categoryEvent(2084241335)"&gt;{{"2084241335" | translate}}&lt;/a&gt;&lt;/li&gt;</v>
      </c>
    </row>
    <row r="41" spans="1:8" ht="14.25" customHeight="1">
      <c r="A41" s="2">
        <v>2084241339</v>
      </c>
      <c r="B41" s="2" t="s">
        <v>516</v>
      </c>
      <c r="C41" s="2" t="s">
        <v>517</v>
      </c>
      <c r="D41" s="2" t="s">
        <v>518</v>
      </c>
      <c r="E41" s="3" t="str">
        <f ca="1">IFERROR(__xludf.DUMMYFUNCTION("GOOGLETRANSLATE(B41,""ja"",""vi"")"),"Bunny cô gái")</f>
        <v>Bunny cô gái</v>
      </c>
      <c r="F41" s="3" t="str">
        <f ca="1">IFERROR(__xludf.DUMMYFUNCTION("GOOGLETRANSLATE(C41,""ja"",""vi"")"),"Đấu giá&gt; truyện tranh, phim hoạt hình hàng hóa&gt; Trang phục&gt; Bunny girl")</f>
        <v>Đấu giá&gt; truyện tranh, phim hoạt hình hàng hóa&gt; Trang phục&gt; Bunny girl</v>
      </c>
      <c r="G41" s="229" t="str">
        <f t="shared" ca="1" si="0"/>
        <v>"2084241339" : "Bunny cô gái",</v>
      </c>
      <c r="H41" s="229" t="str">
        <f t="shared" si="1"/>
        <v>&lt;li class="col-md-3"&gt;&lt;a class="text-cut" href="javascript:;"(click)="categoryEvent(2084241339)"&gt;{{"2084241339" | translate}}&lt;/a&gt;&lt;/li&gt;</v>
      </c>
    </row>
    <row r="42" spans="1:8" ht="14.25" customHeight="1">
      <c r="A42" s="2">
        <v>2084311903</v>
      </c>
      <c r="B42" s="2" t="s">
        <v>522</v>
      </c>
      <c r="C42" s="2" t="s">
        <v>524</v>
      </c>
      <c r="D42" s="2" t="s">
        <v>525</v>
      </c>
      <c r="E42" s="3" t="str">
        <f ca="1">IFERROR(__xludf.DUMMYFUNCTION("GOOGLETRANSLATE(B42,""ja"",""vi"")"),"baby Doll")</f>
        <v>baby Doll</v>
      </c>
      <c r="F42" s="3" t="str">
        <f ca="1">IFERROR(__xludf.DUMMYFUNCTION("GOOGLETRANSLATE(C42,""ja"",""vi"")"),"Đấu giá&gt; truyện tranh, phim hoạt hình hàng hóa&gt; Trang phục Cosplay&gt; Baby Doll")</f>
        <v>Đấu giá&gt; truyện tranh, phim hoạt hình hàng hóa&gt; Trang phục Cosplay&gt; Baby Doll</v>
      </c>
      <c r="G42" s="229" t="str">
        <f t="shared" ca="1" si="0"/>
        <v>"2084311903" : "baby Doll",</v>
      </c>
      <c r="H42" s="229" t="str">
        <f t="shared" si="1"/>
        <v>&lt;li class="col-md-3"&gt;&lt;a class="text-cut" href="javascript:;"(click)="categoryEvent(2084311903)"&gt;{{"2084311903" | translate}}&lt;/a&gt;&lt;/li&gt;</v>
      </c>
    </row>
    <row r="43" spans="1:8" ht="14.25" customHeight="1">
      <c r="A43" s="2">
        <v>2084241338</v>
      </c>
      <c r="B43" s="2" t="s">
        <v>528</v>
      </c>
      <c r="C43" s="2" t="s">
        <v>529</v>
      </c>
      <c r="D43" s="2" t="s">
        <v>531</v>
      </c>
      <c r="E43" s="3" t="str">
        <f ca="1">IFERROR(__xludf.DUMMYFUNCTION("GOOGLETRANSLATE(B43,""ja"",""vi"")"),"Race queen")</f>
        <v>Race queen</v>
      </c>
      <c r="F43" s="3" t="str">
        <f ca="1">IFERROR(__xludf.DUMMYFUNCTION("GOOGLETRANSLATE(C43,""ja"",""vi"")"),"Đấu giá&gt; truyện tranh, phim hoạt hình hàng hóa&gt; Cosplay Trang phục&gt; cuộc đua nữ hoàng")</f>
        <v>Đấu giá&gt; truyện tranh, phim hoạt hình hàng hóa&gt; Cosplay Trang phục&gt; cuộc đua nữ hoàng</v>
      </c>
      <c r="G43" s="229" t="str">
        <f t="shared" ca="1" si="0"/>
        <v>"2084241338" : "Race queen",</v>
      </c>
      <c r="H43" s="229" t="str">
        <f t="shared" si="1"/>
        <v>&lt;li class="col-md-3"&gt;&lt;a class="text-cut" href="javascript:;"(click)="categoryEvent(2084241338)"&gt;{{"2084241338" | translate}}&lt;/a&gt;&lt;/li&gt;</v>
      </c>
    </row>
    <row r="44" spans="1:8" ht="14.25" customHeight="1">
      <c r="A44" s="2">
        <v>2084311904</v>
      </c>
      <c r="B44" s="2" t="s">
        <v>534</v>
      </c>
      <c r="C44" s="2" t="s">
        <v>536</v>
      </c>
      <c r="D44" s="2" t="s">
        <v>540</v>
      </c>
      <c r="E44" s="3" t="str">
        <f ca="1">IFERROR(__xludf.DUMMYFUNCTION("GOOGLETRANSLATE(B44,""ja"",""vi"")"),"Uniform trường")</f>
        <v>Uniform trường</v>
      </c>
      <c r="F44" s="3" t="str">
        <f ca="1">IFERROR(__xludf.DUMMYFUNCTION("GOOGLETRANSLATE(C44,""ja"",""vi"")"),"Đấu giá&gt; truyện tranh, phim hoạt hình hàng hóa&gt; Cosplay Trang phục&gt; Trường Uniform")</f>
        <v>Đấu giá&gt; truyện tranh, phim hoạt hình hàng hóa&gt; Cosplay Trang phục&gt; Trường Uniform</v>
      </c>
      <c r="G44" s="229" t="str">
        <f t="shared" ca="1" si="0"/>
        <v>"2084311904" : "Uniform trường",</v>
      </c>
      <c r="H44" s="229" t="str">
        <f t="shared" si="1"/>
        <v>&lt;li class="col-md-3"&gt;&lt;a class="text-cut" href="javascript:;"(click)="categoryEvent(2084311904)"&gt;{{"2084311904" | translate}}&lt;/a&gt;&lt;/li&gt;</v>
      </c>
    </row>
    <row r="45" spans="1:8" ht="14.25" customHeight="1">
      <c r="A45" s="2">
        <v>2084311905</v>
      </c>
      <c r="B45" s="2" t="s">
        <v>541</v>
      </c>
      <c r="C45" s="2" t="s">
        <v>542</v>
      </c>
      <c r="D45" s="2" t="s">
        <v>544</v>
      </c>
      <c r="E45" s="3" t="str">
        <f ca="1">IFERROR(__xludf.DUMMYFUNCTION("GOOGLETRANSLATE(B45,""ja"",""vi"")"),"giáo viên")</f>
        <v>giáo viên</v>
      </c>
      <c r="F45" s="3" t="str">
        <f ca="1">IFERROR(__xludf.DUMMYFUNCTION("GOOGLETRANSLATE(C45,""ja"",""vi"")"),"Đấu giá&gt; truyện tranh, phim hoạt hình hàng hóa&gt; Cosplay Trang phục&gt; giáo viên")</f>
        <v>Đấu giá&gt; truyện tranh, phim hoạt hình hàng hóa&gt; Cosplay Trang phục&gt; giáo viên</v>
      </c>
      <c r="G45" s="229" t="str">
        <f t="shared" ca="1" si="0"/>
        <v>"2084311905" : "giáo viên",</v>
      </c>
      <c r="H45" s="229" t="str">
        <f t="shared" si="1"/>
        <v>&lt;li class="col-md-3"&gt;&lt;a class="text-cut" href="javascript:;"(click)="categoryEvent(2084311905)"&gt;{{"2084311905" | translate}}&lt;/a&gt;&lt;/li&gt;</v>
      </c>
    </row>
    <row r="46" spans="1:8" ht="14.25" customHeight="1">
      <c r="A46" s="2">
        <v>2084311906</v>
      </c>
      <c r="B46" s="2" t="s">
        <v>548</v>
      </c>
      <c r="C46" s="2" t="s">
        <v>551</v>
      </c>
      <c r="D46" s="2" t="s">
        <v>553</v>
      </c>
      <c r="E46" s="3" t="str">
        <f ca="1">IFERROR(__xludf.DUMMYFUNCTION("GOOGLETRANSLATE(B46,""ja"",""vi"")"),"áo bơi liền mảnh")</f>
        <v>áo bơi liền mảnh</v>
      </c>
      <c r="F46" s="3" t="str">
        <f ca="1">IFERROR(__xludf.DUMMYFUNCTION("GOOGLETRANSLATE(C46,""ja"",""vi"")"),"Đấu giá&gt; truyện tranh, phim hoạt hình hàng hóa&gt; Cosplay Trang phục&gt; áo tắm")</f>
        <v>Đấu giá&gt; truyện tranh, phim hoạt hình hàng hóa&gt; Cosplay Trang phục&gt; áo tắm</v>
      </c>
      <c r="G46" s="229" t="str">
        <f t="shared" ca="1" si="0"/>
        <v>"2084311906" : "áo bơi liền mảnh",</v>
      </c>
      <c r="H46" s="229" t="str">
        <f t="shared" si="1"/>
        <v>&lt;li class="col-md-3"&gt;&lt;a class="text-cut" href="javascript:;"(click)="categoryEvent(2084311906)"&gt;{{"2084311906" | translate}}&lt;/a&gt;&lt;/li&gt;</v>
      </c>
    </row>
    <row r="47" spans="1:8" ht="14.25" customHeight="1">
      <c r="A47" s="2">
        <v>2084311907</v>
      </c>
      <c r="B47" s="2" t="s">
        <v>555</v>
      </c>
      <c r="C47" s="2" t="s">
        <v>556</v>
      </c>
      <c r="D47" s="2" t="s">
        <v>557</v>
      </c>
      <c r="E47" s="3" t="str">
        <f ca="1">IFERROR(__xludf.DUMMYFUNCTION("GOOGLETRANSLATE(B47,""ja"",""vi"")"),"quần áo phòng tập thể dục")</f>
        <v>quần áo phòng tập thể dục</v>
      </c>
      <c r="F47" s="3" t="str">
        <f ca="1">IFERROR(__xludf.DUMMYFUNCTION("GOOGLETRANSLATE(C47,""ja"",""vi"")"),"Đấu giá&gt; truyện tranh, phim hoạt hình hàng hóa&gt; Trang phục Cosplay&gt; quần áo tập thể dục")</f>
        <v>Đấu giá&gt; truyện tranh, phim hoạt hình hàng hóa&gt; Trang phục Cosplay&gt; quần áo tập thể dục</v>
      </c>
      <c r="G47" s="229" t="str">
        <f t="shared" ca="1" si="0"/>
        <v>"2084311907" : "quần áo phòng tập thể dục",</v>
      </c>
      <c r="H47" s="229" t="str">
        <f t="shared" si="1"/>
        <v>&lt;li class="col-md-3"&gt;&lt;a class="text-cut" href="javascript:;"(click)="categoryEvent(2084311907)"&gt;{{"2084311907" | translate}}&lt;/a&gt;&lt;/li&gt;</v>
      </c>
    </row>
    <row r="48" spans="1:8" ht="14.25" customHeight="1">
      <c r="A48" s="2">
        <v>2084311908</v>
      </c>
      <c r="B48" s="2" t="s">
        <v>561</v>
      </c>
      <c r="C48" s="2" t="s">
        <v>562</v>
      </c>
      <c r="D48" s="2" t="s">
        <v>563</v>
      </c>
      <c r="E48" s="3" t="str">
        <f ca="1">IFERROR(__xludf.DUMMYFUNCTION("GOOGLETRANSLATE(B48,""ja"",""vi"")"),"Kimono, kimono")</f>
        <v>Kimono, kimono</v>
      </c>
      <c r="F48" s="3" t="str">
        <f ca="1">IFERROR(__xludf.DUMMYFUNCTION("GOOGLETRANSLATE(C48,""ja"",""vi"")"),"Đấu giá&gt; truyện tranh, phim hoạt hình hàng hóa&gt; Trang phục Cosplay&gt; kimono, kimono")</f>
        <v>Đấu giá&gt; truyện tranh, phim hoạt hình hàng hóa&gt; Trang phục Cosplay&gt; kimono, kimono</v>
      </c>
      <c r="G48" s="229" t="str">
        <f t="shared" ca="1" si="0"/>
        <v>"2084311908" : "Kimono, kimono",</v>
      </c>
      <c r="H48" s="229" t="str">
        <f t="shared" si="1"/>
        <v>&lt;li class="col-md-3"&gt;&lt;a class="text-cut" href="javascript:;"(click)="categoryEvent(2084311908)"&gt;{{"2084311908" | translate}}&lt;/a&gt;&lt;/li&gt;</v>
      </c>
    </row>
    <row r="49" spans="1:8" ht="14.25" customHeight="1">
      <c r="A49" s="2">
        <v>2084311909</v>
      </c>
      <c r="B49" s="2" t="s">
        <v>564</v>
      </c>
      <c r="C49" s="2" t="s">
        <v>566</v>
      </c>
      <c r="D49" s="2" t="s">
        <v>567</v>
      </c>
      <c r="E49" s="3" t="str">
        <f ca="1">IFERROR(__xludf.DUMMYFUNCTION("GOOGLETRANSLATE(B49,""ja"",""vi"")"),"nữ cảnh sát")</f>
        <v>nữ cảnh sát</v>
      </c>
      <c r="F49" s="3" t="str">
        <f ca="1">IFERROR(__xludf.DUMMYFUNCTION("GOOGLETRANSLATE(C49,""ja"",""vi"")"),"Đấu giá&gt; truyện tranh, phim hoạt hình hàng hóa&gt; Cosplay Trang phục&gt; nữ cảnh sát")</f>
        <v>Đấu giá&gt; truyện tranh, phim hoạt hình hàng hóa&gt; Cosplay Trang phục&gt; nữ cảnh sát</v>
      </c>
      <c r="G49" s="229" t="str">
        <f t="shared" ca="1" si="0"/>
        <v>"2084311909" : "nữ cảnh sát",</v>
      </c>
      <c r="H49" s="229" t="str">
        <f t="shared" si="1"/>
        <v>&lt;li class="col-md-3"&gt;&lt;a class="text-cut" href="javascript:;"(click)="categoryEvent(2084311909)"&gt;{{"2084311909" | translate}}&lt;/a&gt;&lt;/li&gt;</v>
      </c>
    </row>
    <row r="50" spans="1:8" ht="14.25" customHeight="1">
      <c r="A50" s="2">
        <v>2084241340</v>
      </c>
      <c r="B50" s="2" t="s">
        <v>570</v>
      </c>
      <c r="C50" s="2" t="s">
        <v>571</v>
      </c>
      <c r="D50" s="2" t="s">
        <v>572</v>
      </c>
      <c r="E50" s="3" t="str">
        <f ca="1">IFERROR(__xludf.DUMMYFUNCTION("GOOGLETRANSLATE(B50,""ja"",""vi"")"),"Đối với nam giới")</f>
        <v>Đối với nam giới</v>
      </c>
      <c r="F50" s="3" t="str">
        <f ca="1">IFERROR(__xludf.DUMMYFUNCTION("GOOGLETRANSLATE(C50,""ja"",""vi"")"),"Đấu giá&gt; truyện tranh, phim hoạt hình hàng hóa&gt; Cosplay Trang phục&gt; Đàn ông")</f>
        <v>Đấu giá&gt; truyện tranh, phim hoạt hình hàng hóa&gt; Cosplay Trang phục&gt; Đàn ông</v>
      </c>
      <c r="G50" s="229" t="str">
        <f t="shared" ca="1" si="0"/>
        <v>"2084241340" : "Đối với nam giới",</v>
      </c>
      <c r="H50" s="229" t="str">
        <f t="shared" si="1"/>
        <v>&lt;li class="col-md-3"&gt;&lt;a class="text-cut" href="javascript:;"(click)="categoryEvent(2084241340)"&gt;{{"2084241340" | translate}}&lt;/a&gt;&lt;/li&gt;</v>
      </c>
    </row>
    <row r="51" spans="1:8" ht="14.25" customHeight="1">
      <c r="A51" s="2">
        <v>2084208673</v>
      </c>
      <c r="B51" s="2" t="s">
        <v>16</v>
      </c>
      <c r="C51" s="2" t="s">
        <v>579</v>
      </c>
      <c r="D51" s="2" t="s">
        <v>580</v>
      </c>
      <c r="E51" s="3" t="str">
        <f ca="1">IFERROR(__xludf.DUMMYFUNCTION("GOOGLETRANSLATE(B51,""ja"",""vi"")"),"nếu không thì")</f>
        <v>nếu không thì</v>
      </c>
      <c r="F51" s="3" t="str">
        <f ca="1">IFERROR(__xludf.DUMMYFUNCTION("GOOGLETRANSLATE(C51,""ja"",""vi"")"),"Đấu giá&gt; truyện tranh, phim hoạt hình hàng hóa&gt; Trang phục Cosplay&gt; Khác")</f>
        <v>Đấu giá&gt; truyện tranh, phim hoạt hình hàng hóa&gt; Trang phục Cosplay&gt; Khác</v>
      </c>
      <c r="G51" s="229" t="str">
        <f t="shared" ca="1" si="0"/>
        <v>"2084208673" : "nếu không thì",</v>
      </c>
      <c r="H51" s="229" t="str">
        <f t="shared" si="1"/>
        <v>&lt;li class="col-md-3"&gt;&lt;a class="text-cut" href="javascript:;"(click)="categoryEvent(2084208673)"&gt;{{"2084208673" | translate}}&lt;/a&gt;&lt;/li&gt;</v>
      </c>
    </row>
    <row r="52" spans="1:8" ht="14.25" customHeight="1">
      <c r="E52" s="3"/>
      <c r="F52" s="3"/>
      <c r="G52" s="229"/>
      <c r="H52" s="229"/>
    </row>
    <row r="53" spans="1:8" ht="28.2" customHeight="1">
      <c r="A53" s="239">
        <v>2084000109</v>
      </c>
      <c r="B53" s="232"/>
      <c r="C53" s="232"/>
      <c r="D53" s="233"/>
      <c r="E53" s="3"/>
      <c r="F53" s="3"/>
      <c r="G53" s="229"/>
      <c r="H53" s="229"/>
    </row>
    <row r="54" spans="1:8" ht="14.25" customHeight="1">
      <c r="A54" s="2">
        <v>2084034199</v>
      </c>
      <c r="B54" s="2" t="s">
        <v>590</v>
      </c>
      <c r="C54" s="2" t="s">
        <v>593</v>
      </c>
      <c r="D54" s="2" t="s">
        <v>594</v>
      </c>
      <c r="E54" s="3" t="str">
        <f ca="1">IFERROR(__xludf.DUMMYFUNCTION("GOOGLETRANSLATE(B54,""ja"",""vi"")"),"hàng nitơ")</f>
        <v>hàng nitơ</v>
      </c>
      <c r="F54" s="3" t="str">
        <f ca="1">IFERROR(__xludf.DUMMYFUNCTION("GOOGLETRANSLATE(C54,""ja"",""vi"")"),"Đấu giá&gt; truyện tranh, phim hoạt hình hàng hóa&gt; bởi công việc&gt; hàng nitơ")</f>
        <v>Đấu giá&gt; truyện tranh, phim hoạt hình hàng hóa&gt; bởi công việc&gt; hàng nitơ</v>
      </c>
      <c r="G54" s="229" t="str">
        <f t="shared" ca="1" si="0"/>
        <v>"2084034199" : "hàng nitơ",</v>
      </c>
      <c r="H54" s="229" t="str">
        <f t="shared" si="1"/>
        <v>&lt;li class="col-md-3"&gt;&lt;a class="text-cut" href="javascript:;"(click)="categoryEvent(2084034199)"&gt;{{"2084034199" | translate}}&lt;/a&gt;&lt;/li&gt;</v>
      </c>
    </row>
    <row r="55" spans="1:8" ht="14.25" customHeight="1">
      <c r="A55" s="2">
        <v>2084037042</v>
      </c>
      <c r="B55" s="2" t="s">
        <v>599</v>
      </c>
      <c r="C55" s="2" t="s">
        <v>600</v>
      </c>
      <c r="D55" s="2" t="s">
        <v>602</v>
      </c>
      <c r="E55" s="3" t="str">
        <f ca="1">IFERROR(__xludf.DUMMYFUNCTION("GOOGLETRANSLATE(B55,""ja"",""vi"")"),"hoặc hàng")</f>
        <v>hoặc hàng</v>
      </c>
      <c r="F55" s="3" t="str">
        <f ca="1">IFERROR(__xludf.DUMMYFUNCTION("GOOGLETRANSLATE(C55,""ja"",""vi"")"),"Đấu giá&gt; truyện tranh, phim hoạt hình hàng hóa&gt; bởi công việc&gt; hoặc hàng")</f>
        <v>Đấu giá&gt; truyện tranh, phim hoạt hình hàng hóa&gt; bởi công việc&gt; hoặc hàng</v>
      </c>
      <c r="G55" s="229" t="str">
        <f t="shared" ca="1" si="0"/>
        <v>"2084037042" : "hoặc hàng",</v>
      </c>
      <c r="H55" s="229" t="str">
        <f t="shared" si="1"/>
        <v>&lt;li class="col-md-3"&gt;&lt;a class="text-cut" href="javascript:;"(click)="categoryEvent(2084037042)"&gt;{{"2084037042" | translate}}&lt;/a&gt;&lt;/li&gt;</v>
      </c>
    </row>
    <row r="56" spans="1:8" ht="14.25" customHeight="1">
      <c r="A56" s="2">
        <v>2084034217</v>
      </c>
      <c r="B56" s="2" t="s">
        <v>610</v>
      </c>
      <c r="C56" s="2" t="s">
        <v>611</v>
      </c>
      <c r="D56" s="2" t="s">
        <v>612</v>
      </c>
      <c r="E56" s="3" t="str">
        <f ca="1">IFERROR(__xludf.DUMMYFUNCTION("GOOGLETRANSLATE(B56,""ja"",""vi"")"),"Các chữ s")</f>
        <v>Các chữ s</v>
      </c>
      <c r="F56" s="3" t="str">
        <f ca="1">IFERROR(__xludf.DUMMYFUNCTION("GOOGLETRANSLATE(C56,""ja"",""vi"")"),"Đấu giá&gt; truyện tranh, phim hoạt hình hàng hóa&gt; bởi công việc&gt; chữ s")</f>
        <v>Đấu giá&gt; truyện tranh, phim hoạt hình hàng hóa&gt; bởi công việc&gt; chữ s</v>
      </c>
      <c r="G56" s="229" t="str">
        <f t="shared" ca="1" si="0"/>
        <v>"2084034217" : "Các chữ s",</v>
      </c>
      <c r="H56" s="229" t="str">
        <f t="shared" si="1"/>
        <v>&lt;li class="col-md-3"&gt;&lt;a class="text-cut" href="javascript:;"(click)="categoryEvent(2084034217)"&gt;{{"2084034217" | translate}}&lt;/a&gt;&lt;/li&gt;</v>
      </c>
    </row>
    <row r="57" spans="1:8" ht="14.25" customHeight="1">
      <c r="A57" s="2">
        <v>2084034226</v>
      </c>
      <c r="B57" s="2" t="s">
        <v>619</v>
      </c>
      <c r="C57" s="2" t="s">
        <v>620</v>
      </c>
      <c r="D57" s="2" t="s">
        <v>621</v>
      </c>
      <c r="E57" s="3" t="str">
        <f ca="1">IFERROR(__xludf.DUMMYFUNCTION("GOOGLETRANSLATE(B57,""ja"",""vi"")"),"Tagyo")</f>
        <v>Tagyo</v>
      </c>
      <c r="F57" s="3" t="str">
        <f ca="1">IFERROR(__xludf.DUMMYFUNCTION("GOOGLETRANSLATE(C57,""ja"",""vi"")"),"Đấu giá&gt; truyện tranh, phim hoạt hình hàng hóa&gt; bởi công việc&gt; Tagyo")</f>
        <v>Đấu giá&gt; truyện tranh, phim hoạt hình hàng hóa&gt; bởi công việc&gt; Tagyo</v>
      </c>
      <c r="G57" s="229" t="str">
        <f t="shared" ca="1" si="0"/>
        <v>"2084034226" : "Tagyo",</v>
      </c>
      <c r="H57" s="229" t="str">
        <f t="shared" si="1"/>
        <v>&lt;li class="col-md-3"&gt;&lt;a class="text-cut" href="javascript:;"(click)="categoryEvent(2084034226)"&gt;{{"2084034226" | translate}}&lt;/a&gt;&lt;/li&gt;</v>
      </c>
    </row>
    <row r="58" spans="1:8" ht="14.25" customHeight="1">
      <c r="A58" s="2">
        <v>2084034235</v>
      </c>
      <c r="B58" s="2" t="s">
        <v>625</v>
      </c>
      <c r="C58" s="2" t="s">
        <v>627</v>
      </c>
      <c r="D58" s="2" t="s">
        <v>629</v>
      </c>
      <c r="E58" s="3" t="str">
        <f ca="1">IFERROR(__xludf.DUMMYFUNCTION("GOOGLETRANSLATE(B58,""ja"",""vi"")"),"Một dòng")</f>
        <v>Một dòng</v>
      </c>
      <c r="F58" s="3" t="str">
        <f ca="1">IFERROR(__xludf.DUMMYFUNCTION("GOOGLETRANSLATE(C58,""ja"",""vi"")"),"Đấu giá&gt; truyện tranh, phim hoạt hình hàng hóa&gt; bởi công việc&gt; hàng")</f>
        <v>Đấu giá&gt; truyện tranh, phim hoạt hình hàng hóa&gt; bởi công việc&gt; hàng</v>
      </c>
      <c r="G58" s="229" t="str">
        <f t="shared" ca="1" si="0"/>
        <v>"2084034235" : "Một dòng",</v>
      </c>
      <c r="H58" s="229" t="str">
        <f t="shared" si="1"/>
        <v>&lt;li class="col-md-3"&gt;&lt;a class="text-cut" href="javascript:;"(click)="categoryEvent(2084034235)"&gt;{{"2084034235" | translate}}&lt;/a&gt;&lt;/li&gt;</v>
      </c>
    </row>
    <row r="59" spans="1:8" ht="14.25" customHeight="1">
      <c r="A59" s="2">
        <v>2084037024</v>
      </c>
      <c r="B59" s="2" t="s">
        <v>631</v>
      </c>
      <c r="C59" s="2" t="s">
        <v>633</v>
      </c>
      <c r="D59" s="2" t="s">
        <v>635</v>
      </c>
      <c r="E59" s="3" t="str">
        <f ca="1">IFERROR(__xludf.DUMMYFUNCTION("GOOGLETRANSLATE(B59,""ja"",""vi"")"),"hàng")</f>
        <v>hàng</v>
      </c>
      <c r="F59" s="3" t="str">
        <f ca="1">IFERROR(__xludf.DUMMYFUNCTION("GOOGLETRANSLATE(C59,""ja"",""vi"")"),"Đấu giá&gt; truyện tranh, phim hoạt hình hàng hóa&gt; bởi công việc&gt; hàng")</f>
        <v>Đấu giá&gt; truyện tranh, phim hoạt hình hàng hóa&gt; bởi công việc&gt; hàng</v>
      </c>
      <c r="G59" s="229" t="str">
        <f t="shared" ca="1" si="0"/>
        <v>"2084037024" : "hàng",</v>
      </c>
      <c r="H59" s="229" t="str">
        <f t="shared" si="1"/>
        <v>&lt;li class="col-md-3"&gt;&lt;a class="text-cut" href="javascript:;"(click)="categoryEvent(2084037024)"&gt;{{"2084037024" | translate}}&lt;/a&gt;&lt;/li&gt;</v>
      </c>
    </row>
    <row r="60" spans="1:8" ht="14.25" customHeight="1">
      <c r="A60" s="2">
        <v>2084034253</v>
      </c>
      <c r="B60" s="2" t="s">
        <v>638</v>
      </c>
      <c r="C60" s="2" t="s">
        <v>640</v>
      </c>
      <c r="D60" s="2" t="s">
        <v>642</v>
      </c>
      <c r="E60" s="3" t="str">
        <f ca="1">IFERROR(__xludf.DUMMYFUNCTION("GOOGLETRANSLATE(B60,""ja"",""vi"")"),"hoặc dòng")</f>
        <v>hoặc dòng</v>
      </c>
      <c r="F60" s="3" t="str">
        <f ca="1">IFERROR(__xludf.DUMMYFUNCTION("GOOGLETRANSLATE(C60,""ja"",""vi"")"),"Đấu giá&gt; truyện tranh, phim hoạt hình hàng hóa&gt; bởi công việc&gt; hoặc hàng")</f>
        <v>Đấu giá&gt; truyện tranh, phim hoạt hình hàng hóa&gt; bởi công việc&gt; hoặc hàng</v>
      </c>
      <c r="G60" s="229" t="str">
        <f t="shared" ca="1" si="0"/>
        <v>"2084034253" : "hoặc dòng",</v>
      </c>
      <c r="H60" s="229" t="str">
        <f t="shared" si="1"/>
        <v>&lt;li class="col-md-3"&gt;&lt;a class="text-cut" href="javascript:;"(click)="categoryEvent(2084034253)"&gt;{{"2084034253" | translate}}&lt;/a&gt;&lt;/li&gt;</v>
      </c>
    </row>
    <row r="61" spans="1:8" ht="14.25" customHeight="1">
      <c r="A61" s="2">
        <v>2084034262</v>
      </c>
      <c r="B61" s="2" t="s">
        <v>646</v>
      </c>
      <c r="C61" s="2" t="s">
        <v>648</v>
      </c>
      <c r="D61" s="2" t="s">
        <v>650</v>
      </c>
      <c r="E61" s="3" t="str">
        <f ca="1">IFERROR(__xludf.DUMMYFUNCTION("GOOGLETRANSLATE(B61,""ja"",""vi"")"),"hoặc hàng")</f>
        <v>hoặc hàng</v>
      </c>
      <c r="F61" s="3" t="str">
        <f ca="1">IFERROR(__xludf.DUMMYFUNCTION("GOOGLETRANSLATE(C61,""ja"",""vi"")"),"Đấu giá&gt; truyện tranh, phim hoạt hình hàng hóa&gt; bởi công việc&gt; hoặc hàng")</f>
        <v>Đấu giá&gt; truyện tranh, phim hoạt hình hàng hóa&gt; bởi công việc&gt; hoặc hàng</v>
      </c>
      <c r="G61" s="229" t="str">
        <f t="shared" ca="1" si="0"/>
        <v>"2084034262" : "hoặc hàng",</v>
      </c>
      <c r="H61" s="229" t="str">
        <f t="shared" si="1"/>
        <v>&lt;li class="col-md-3"&gt;&lt;a class="text-cut" href="javascript:;"(click)="categoryEvent(2084034262)"&gt;{{"2084034262" | translate}}&lt;/a&gt;&lt;/li&gt;</v>
      </c>
    </row>
    <row r="62" spans="1:8" ht="14.25" customHeight="1">
      <c r="A62" s="2">
        <v>2084034270</v>
      </c>
      <c r="B62" s="2" t="s">
        <v>651</v>
      </c>
      <c r="C62" s="2" t="s">
        <v>652</v>
      </c>
      <c r="D62" s="2" t="s">
        <v>653</v>
      </c>
      <c r="E62" s="3" t="str">
        <f ca="1">IFERROR(__xludf.DUMMYFUNCTION("GOOGLETRANSLATE(B62,""ja"",""vi"")"),"Et / I đường")</f>
        <v>Et / I đường</v>
      </c>
      <c r="F62" s="3" t="str">
        <f ca="1">IFERROR(__xludf.DUMMYFUNCTION("GOOGLETRANSLATE(C62,""ja"",""vi"")"),"Đấu giá&gt; truyện tranh, phim hoạt hình hàng hóa&gt; bởi công việc&gt; et al. / I đường")</f>
        <v>Đấu giá&gt; truyện tranh, phim hoạt hình hàng hóa&gt; bởi công việc&gt; et al. / I đường</v>
      </c>
      <c r="G62" s="229" t="str">
        <f t="shared" ca="1" si="0"/>
        <v>"2084034270" : "Et / I đường",</v>
      </c>
      <c r="H62" s="229" t="str">
        <f t="shared" si="1"/>
        <v>&lt;li class="col-md-3"&gt;&lt;a class="text-cut" href="javascript:;"(click)="categoryEvent(2084034270)"&gt;{{"2084034270" | translate}}&lt;/a&gt;&lt;/li&gt;</v>
      </c>
    </row>
    <row r="63" spans="1:8" ht="14.25" customHeight="1">
      <c r="E63" s="3"/>
      <c r="F63" s="3"/>
      <c r="G63" s="229"/>
      <c r="H63" s="229"/>
    </row>
    <row r="64" spans="1:8" ht="22.2" customHeight="1">
      <c r="A64" s="252">
        <v>2084006021</v>
      </c>
      <c r="B64" s="232"/>
      <c r="C64" s="232"/>
      <c r="D64" s="233"/>
      <c r="E64" s="3"/>
      <c r="F64" s="3"/>
      <c r="G64" s="229"/>
      <c r="H64" s="229"/>
    </row>
    <row r="65" spans="1:8" ht="14.25" customHeight="1">
      <c r="A65" s="2">
        <v>2084006022</v>
      </c>
      <c r="B65" s="2" t="s">
        <v>669</v>
      </c>
      <c r="C65" s="2" t="s">
        <v>670</v>
      </c>
      <c r="D65" s="2" t="s">
        <v>671</v>
      </c>
      <c r="E65" s="3" t="str">
        <f ca="1">IFERROR(__xludf.DUMMYFUNCTION("GOOGLETRANSLATE(B65,""ja"",""vi"")"),"Ảo Madden Saiyuki")</f>
        <v>Ảo Madden Saiyuki</v>
      </c>
      <c r="F65" s="3" t="str">
        <f ca="1">IFERROR(__xludf.DUMMYFUNCTION("GOOGLETRANSLATE(C65,""ja"",""vi"")"),"Đấu giá&gt; cổ, bộ sưu tập&gt; hàng linh tinh&gt; dán&gt; truyện tranh, hoạt hình&gt; ảo tưởng Madden Saiyuki")</f>
        <v>Đấu giá&gt; cổ, bộ sưu tập&gt; hàng linh tinh&gt; dán&gt; truyện tranh, hoạt hình&gt; ảo tưởng Madden Saiyuki</v>
      </c>
      <c r="G65" s="229" t="str">
        <f t="shared" ca="1" si="0"/>
        <v>"2084006022" : "Ảo Madden Saiyuki",</v>
      </c>
      <c r="H65" s="229" t="str">
        <f t="shared" si="1"/>
        <v>&lt;li class="col-md-3"&gt;&lt;a class="text-cut" href="javascript:;"(click)="categoryEvent(2084006022)"&gt;{{"2084006022" | translate}}&lt;/a&gt;&lt;/li&gt;</v>
      </c>
    </row>
    <row r="66" spans="1:8" ht="14.25" customHeight="1">
      <c r="A66" s="2">
        <v>2084006023</v>
      </c>
      <c r="B66" s="2" t="s">
        <v>16</v>
      </c>
      <c r="C66" s="2" t="s">
        <v>678</v>
      </c>
      <c r="D66" s="2" t="s">
        <v>679</v>
      </c>
      <c r="E66" s="3" t="str">
        <f ca="1">IFERROR(__xludf.DUMMYFUNCTION("GOOGLETRANSLATE(B66,""ja"",""vi"")"),"nếu không thì")</f>
        <v>nếu không thì</v>
      </c>
      <c r="F66" s="3" t="str">
        <f ca="1">IFERROR(__xludf.DUMMYFUNCTION("GOOGLETRANSLATE(C66,""ja"",""vi"")"),"Đấu giá&gt; cổ, bộ sưu tập&gt; hàng linh tinh&gt; dán&gt; truyện tranh, hoạt hình&gt; Khác")</f>
        <v>Đấu giá&gt; cổ, bộ sưu tập&gt; hàng linh tinh&gt; dán&gt; truyện tranh, hoạt hình&gt; Khác</v>
      </c>
      <c r="G66" s="229" t="str">
        <f t="shared" ref="G66:G129" ca="1" si="2">CONCATENATE(CHAR(34)&amp;"",A66,""&amp;CHAR(34)," : ", CHAR(34)&amp;"",E66,""&amp;CHAR(34),",")</f>
        <v>"2084006023" : "nếu không thì",</v>
      </c>
      <c r="H66" s="229" t="str">
        <f t="shared" si="1"/>
        <v>&lt;li class="col-md-3"&gt;&lt;a class="text-cut" href="javascript:;"(click)="categoryEvent(2084006023)"&gt;{{"2084006023" | translate}}&lt;/a&gt;&lt;/li&gt;</v>
      </c>
    </row>
    <row r="67" spans="1:8" ht="14.25" customHeight="1">
      <c r="E67" s="3"/>
      <c r="F67" s="3"/>
      <c r="G67" s="229"/>
      <c r="H67" s="229"/>
    </row>
    <row r="68" spans="1:8" ht="22.2" customHeight="1">
      <c r="A68" s="253">
        <v>2084005356</v>
      </c>
      <c r="B68" s="232"/>
      <c r="C68" s="232"/>
      <c r="D68" s="233"/>
      <c r="E68" s="3"/>
      <c r="F68" s="3"/>
      <c r="G68" s="229"/>
      <c r="H68" s="229"/>
    </row>
    <row r="69" spans="1:8" ht="14.25" customHeight="1">
      <c r="A69" s="2">
        <v>2084034192</v>
      </c>
      <c r="B69" s="2" t="s">
        <v>590</v>
      </c>
      <c r="C69" s="2" t="s">
        <v>697</v>
      </c>
      <c r="D69" s="2" t="s">
        <v>699</v>
      </c>
      <c r="E69" s="3" t="str">
        <f ca="1">IFERROR(__xludf.DUMMYFUNCTION("GOOGLETRANSLATE(B69,""ja"",""vi"")"),"hàng nitơ")</f>
        <v>hàng nitơ</v>
      </c>
      <c r="F69" s="3" t="str">
        <f ca="1">IFERROR(__xludf.DUMMYFUNCTION("GOOGLETRANSLATE(C69,""ja"",""vi"")"),"Đấu giá&gt; truyện tranh, phim hoạt hình hàng hóa&gt; bức tranh di động&gt; hàng nitơ")</f>
        <v>Đấu giá&gt; truyện tranh, phim hoạt hình hàng hóa&gt; bức tranh di động&gt; hàng nitơ</v>
      </c>
      <c r="G69" s="229" t="str">
        <f t="shared" ca="1" si="2"/>
        <v>"2084034192" : "hàng nitơ",</v>
      </c>
      <c r="H69" s="229" t="str">
        <f t="shared" ref="H69:H130" si="3">CONCATENATE("&lt;li class=",CHAR(34)&amp;"","col-md-3",""&amp;CHAR(34),"&gt;","&lt;a class=",CHAR(34)&amp;"","text-cut",""&amp;CHAR(34)," href=",CHAR(34)&amp;"","javascript:;",""&amp;CHAR(34), "(click)=",CHAR(34)&amp;"","categoryEvent(",A69,")",""&amp;CHAR(34),"&gt;{{",CHAR(34)&amp;"",A69,""&amp;CHAR(34)," | translate}}&lt;/a&gt;&lt;/li&gt;")</f>
        <v>&lt;li class="col-md-3"&gt;&lt;a class="text-cut" href="javascript:;"(click)="categoryEvent(2084034192)"&gt;{{"2084034192" | translate}}&lt;/a&gt;&lt;/li&gt;</v>
      </c>
    </row>
    <row r="70" spans="1:8" ht="14.25" customHeight="1">
      <c r="A70" s="2">
        <v>2084038485</v>
      </c>
      <c r="B70" s="2" t="s">
        <v>599</v>
      </c>
      <c r="C70" s="2" t="s">
        <v>705</v>
      </c>
      <c r="D70" s="2" t="s">
        <v>707</v>
      </c>
      <c r="E70" s="3" t="str">
        <f ca="1">IFERROR(__xludf.DUMMYFUNCTION("GOOGLETRANSLATE(B70,""ja"",""vi"")"),"hoặc hàng")</f>
        <v>hoặc hàng</v>
      </c>
      <c r="F70" s="3" t="str">
        <f ca="1">IFERROR(__xludf.DUMMYFUNCTION("GOOGLETRANSLATE(C70,""ja"",""vi"")"),"Đấu giá&gt; truyện tranh, phim hoạt hình hàng hóa&gt; bức tranh di động&gt; hoặc hàng")</f>
        <v>Đấu giá&gt; truyện tranh, phim hoạt hình hàng hóa&gt; bức tranh di động&gt; hoặc hàng</v>
      </c>
      <c r="G70" s="229" t="str">
        <f t="shared" ca="1" si="2"/>
        <v>"2084038485" : "hoặc hàng",</v>
      </c>
      <c r="H70" s="229" t="str">
        <f t="shared" si="3"/>
        <v>&lt;li class="col-md-3"&gt;&lt;a class="text-cut" href="javascript:;"(click)="categoryEvent(2084038485)"&gt;{{"2084038485" | translate}}&lt;/a&gt;&lt;/li&gt;</v>
      </c>
    </row>
    <row r="71" spans="1:8" ht="14.25" customHeight="1">
      <c r="A71" s="2">
        <v>2084034211</v>
      </c>
      <c r="B71" s="2" t="s">
        <v>610</v>
      </c>
      <c r="C71" s="2" t="s">
        <v>711</v>
      </c>
      <c r="D71" s="2" t="s">
        <v>713</v>
      </c>
      <c r="E71" s="3" t="str">
        <f ca="1">IFERROR(__xludf.DUMMYFUNCTION("GOOGLETRANSLATE(B71,""ja"",""vi"")"),"Các chữ s")</f>
        <v>Các chữ s</v>
      </c>
      <c r="F71" s="3" t="str">
        <f ca="1">IFERROR(__xludf.DUMMYFUNCTION("GOOGLETRANSLATE(C71,""ja"",""vi"")"),"Đấu giá&gt; truyện tranh, phim hoạt hình hàng hóa&gt; bức tranh di động&gt; chữ s")</f>
        <v>Đấu giá&gt; truyện tranh, phim hoạt hình hàng hóa&gt; bức tranh di động&gt; chữ s</v>
      </c>
      <c r="G71" s="229" t="str">
        <f t="shared" ca="1" si="2"/>
        <v>"2084034211" : "Các chữ s",</v>
      </c>
      <c r="H71" s="229" t="str">
        <f t="shared" si="3"/>
        <v>&lt;li class="col-md-3"&gt;&lt;a class="text-cut" href="javascript:;"(click)="categoryEvent(2084034211)"&gt;{{"2084034211" | translate}}&lt;/a&gt;&lt;/li&gt;</v>
      </c>
    </row>
    <row r="72" spans="1:8" ht="14.25" customHeight="1">
      <c r="A72" s="2">
        <v>2084034220</v>
      </c>
      <c r="B72" s="2" t="s">
        <v>619</v>
      </c>
      <c r="C72" s="2" t="s">
        <v>721</v>
      </c>
      <c r="D72" s="2" t="s">
        <v>723</v>
      </c>
      <c r="E72" s="3" t="str">
        <f ca="1">IFERROR(__xludf.DUMMYFUNCTION("GOOGLETRANSLATE(B72,""ja"",""vi"")"),"Tagyo")</f>
        <v>Tagyo</v>
      </c>
      <c r="F72" s="3" t="str">
        <f ca="1">IFERROR(__xludf.DUMMYFUNCTION("GOOGLETRANSLATE(C72,""ja"",""vi"")"),"Đấu giá&gt; truyện tranh, phim hoạt hình hàng hóa&gt; bức tranh di động&gt; Tagyo")</f>
        <v>Đấu giá&gt; truyện tranh, phim hoạt hình hàng hóa&gt; bức tranh di động&gt; Tagyo</v>
      </c>
      <c r="G72" s="229" t="str">
        <f t="shared" ca="1" si="2"/>
        <v>"2084034220" : "Tagyo",</v>
      </c>
      <c r="H72" s="229" t="str">
        <f t="shared" si="3"/>
        <v>&lt;li class="col-md-3"&gt;&lt;a class="text-cut" href="javascript:;"(click)="categoryEvent(2084034220)"&gt;{{"2084034220" | translate}}&lt;/a&gt;&lt;/li&gt;</v>
      </c>
    </row>
    <row r="73" spans="1:8" ht="14.25" customHeight="1">
      <c r="A73" s="2">
        <v>2084034229</v>
      </c>
      <c r="B73" s="2" t="s">
        <v>625</v>
      </c>
      <c r="C73" s="2" t="s">
        <v>731</v>
      </c>
      <c r="D73" s="2" t="s">
        <v>733</v>
      </c>
      <c r="E73" s="3" t="str">
        <f ca="1">IFERROR(__xludf.DUMMYFUNCTION("GOOGLETRANSLATE(B73,""ja"",""vi"")"),"Một dòng")</f>
        <v>Một dòng</v>
      </c>
      <c r="F73" s="3" t="str">
        <f ca="1">IFERROR(__xludf.DUMMYFUNCTION("GOOGLETRANSLATE(C73,""ja"",""vi"")"),"Đấu giá&gt; truyện tranh, phim hoạt hình hàng hóa&gt; bức tranh di động&gt; hàng")</f>
        <v>Đấu giá&gt; truyện tranh, phim hoạt hình hàng hóa&gt; bức tranh di động&gt; hàng</v>
      </c>
      <c r="G73" s="229" t="str">
        <f t="shared" ca="1" si="2"/>
        <v>"2084034229" : "Một dòng",</v>
      </c>
      <c r="H73" s="229" t="str">
        <f t="shared" si="3"/>
        <v>&lt;li class="col-md-3"&gt;&lt;a class="text-cut" href="javascript:;"(click)="categoryEvent(2084034229)"&gt;{{"2084034229" | translate}}&lt;/a&gt;&lt;/li&gt;</v>
      </c>
    </row>
    <row r="74" spans="1:8" ht="14.25" customHeight="1">
      <c r="A74" s="2">
        <v>2084034238</v>
      </c>
      <c r="B74" s="2" t="s">
        <v>631</v>
      </c>
      <c r="C74" s="2" t="s">
        <v>737</v>
      </c>
      <c r="D74" s="2" t="s">
        <v>738</v>
      </c>
      <c r="E74" s="3" t="str">
        <f ca="1">IFERROR(__xludf.DUMMYFUNCTION("GOOGLETRANSLATE(B74,""ja"",""vi"")"),"hàng")</f>
        <v>hàng</v>
      </c>
      <c r="F74" s="3" t="str">
        <f ca="1">IFERROR(__xludf.DUMMYFUNCTION("GOOGLETRANSLATE(C74,""ja"",""vi"")"),"Đấu giá&gt; truyện tranh, phim hoạt hình hàng hóa&gt; bức tranh di động&gt; hàng")</f>
        <v>Đấu giá&gt; truyện tranh, phim hoạt hình hàng hóa&gt; bức tranh di động&gt; hàng</v>
      </c>
      <c r="G74" s="229" t="str">
        <f t="shared" ca="1" si="2"/>
        <v>"2084034238" : "hàng",</v>
      </c>
      <c r="H74" s="229" t="str">
        <f t="shared" si="3"/>
        <v>&lt;li class="col-md-3"&gt;&lt;a class="text-cut" href="javascript:;"(click)="categoryEvent(2084034238)"&gt;{{"2084034238" | translate}}&lt;/a&gt;&lt;/li&gt;</v>
      </c>
    </row>
    <row r="75" spans="1:8" ht="14.25" customHeight="1">
      <c r="A75" s="2">
        <v>2084034247</v>
      </c>
      <c r="B75" s="2" t="s">
        <v>638</v>
      </c>
      <c r="C75" s="2" t="s">
        <v>742</v>
      </c>
      <c r="D75" s="2" t="s">
        <v>743</v>
      </c>
      <c r="E75" s="3" t="str">
        <f ca="1">IFERROR(__xludf.DUMMYFUNCTION("GOOGLETRANSLATE(B75,""ja"",""vi"")"),"hoặc dòng")</f>
        <v>hoặc dòng</v>
      </c>
      <c r="F75" s="3" t="str">
        <f ca="1">IFERROR(__xludf.DUMMYFUNCTION("GOOGLETRANSLATE(C75,""ja"",""vi"")"),"Đấu giá&gt; truyện tranh, phim hoạt hình hàng hóa&gt; bức tranh di động&gt; hoặc hàng")</f>
        <v>Đấu giá&gt; truyện tranh, phim hoạt hình hàng hóa&gt; bức tranh di động&gt; hoặc hàng</v>
      </c>
      <c r="G75" s="229" t="str">
        <f t="shared" ca="1" si="2"/>
        <v>"2084034247" : "hoặc dòng",</v>
      </c>
      <c r="H75" s="229" t="str">
        <f t="shared" si="3"/>
        <v>&lt;li class="col-md-3"&gt;&lt;a class="text-cut" href="javascript:;"(click)="categoryEvent(2084034247)"&gt;{{"2084034247" | translate}}&lt;/a&gt;&lt;/li&gt;</v>
      </c>
    </row>
    <row r="76" spans="1:8" ht="14.25" customHeight="1">
      <c r="A76" s="2">
        <v>2084034256</v>
      </c>
      <c r="B76" s="2" t="s">
        <v>646</v>
      </c>
      <c r="C76" s="2" t="s">
        <v>748</v>
      </c>
      <c r="D76" s="2" t="s">
        <v>749</v>
      </c>
      <c r="E76" s="3" t="str">
        <f ca="1">IFERROR(__xludf.DUMMYFUNCTION("GOOGLETRANSLATE(B76,""ja"",""vi"")"),"hoặc hàng")</f>
        <v>hoặc hàng</v>
      </c>
      <c r="F76" s="3" t="str">
        <f ca="1">IFERROR(__xludf.DUMMYFUNCTION("GOOGLETRANSLATE(C76,""ja"",""vi"")"),"Đấu giá&gt; truyện tranh, phim hoạt hình hàng hóa&gt; bức tranh di động&gt; hoặc hàng")</f>
        <v>Đấu giá&gt; truyện tranh, phim hoạt hình hàng hóa&gt; bức tranh di động&gt; hoặc hàng</v>
      </c>
      <c r="G76" s="229" t="str">
        <f t="shared" ca="1" si="2"/>
        <v>"2084034256" : "hoặc hàng",</v>
      </c>
      <c r="H76" s="229" t="str">
        <f t="shared" si="3"/>
        <v>&lt;li class="col-md-3"&gt;&lt;a class="text-cut" href="javascript:;"(click)="categoryEvent(2084034256)"&gt;{{"2084034256" | translate}}&lt;/a&gt;&lt;/li&gt;</v>
      </c>
    </row>
    <row r="77" spans="1:8" ht="14.25" customHeight="1">
      <c r="A77" s="2">
        <v>2084034265</v>
      </c>
      <c r="B77" s="2" t="s">
        <v>751</v>
      </c>
      <c r="C77" s="2" t="s">
        <v>752</v>
      </c>
      <c r="D77" s="2" t="s">
        <v>754</v>
      </c>
      <c r="E77" s="3" t="str">
        <f ca="1">IFERROR(__xludf.DUMMYFUNCTION("GOOGLETRANSLATE(B77,""ja"",""vi"")"),"Racovian")</f>
        <v>Racovian</v>
      </c>
      <c r="F77" s="3" t="str">
        <f ca="1">IFERROR(__xludf.DUMMYFUNCTION("GOOGLETRANSLATE(C77,""ja"",""vi"")"),"Đấu giá&gt; truyện tranh, phim hoạt hình hàng hóa&gt; bức tranh di động&gt; Racovian")</f>
        <v>Đấu giá&gt; truyện tranh, phim hoạt hình hàng hóa&gt; bức tranh di động&gt; Racovian</v>
      </c>
      <c r="G77" s="229" t="str">
        <f t="shared" ca="1" si="2"/>
        <v>"2084034265" : "Racovian",</v>
      </c>
      <c r="H77" s="229" t="str">
        <f t="shared" si="3"/>
        <v>&lt;li class="col-md-3"&gt;&lt;a class="text-cut" href="javascript:;"(click)="categoryEvent(2084034265)"&gt;{{"2084034265" | translate}}&lt;/a&gt;&lt;/li&gt;</v>
      </c>
    </row>
    <row r="78" spans="1:8" ht="14.25" customHeight="1">
      <c r="A78" s="2">
        <v>2084034273</v>
      </c>
      <c r="B78" s="2" t="s">
        <v>756</v>
      </c>
      <c r="C78" s="2" t="s">
        <v>757</v>
      </c>
      <c r="D78" s="2" t="s">
        <v>758</v>
      </c>
      <c r="E78" s="3" t="str">
        <f ca="1">IFERROR(__xludf.DUMMYFUNCTION("GOOGLETRANSLATE(B78,""ja"",""vi"")"),"tôi hàng")</f>
        <v>tôi hàng</v>
      </c>
      <c r="F78" s="3" t="str">
        <f ca="1">IFERROR(__xludf.DUMMYFUNCTION("GOOGLETRANSLATE(C78,""ja"",""vi"")"),"Đấu giá&gt; truyện tranh, phim hoạt hình hàng hóa&gt; bức tranh di động&gt; Tôi dòng")</f>
        <v>Đấu giá&gt; truyện tranh, phim hoạt hình hàng hóa&gt; bức tranh di động&gt; Tôi dòng</v>
      </c>
      <c r="G78" s="229" t="str">
        <f t="shared" ca="1" si="2"/>
        <v>"2084034273" : "tôi hàng",</v>
      </c>
      <c r="H78" s="229" t="str">
        <f t="shared" si="3"/>
        <v>&lt;li class="col-md-3"&gt;&lt;a class="text-cut" href="javascript:;"(click)="categoryEvent(2084034273)"&gt;{{"2084034273" | translate}}&lt;/a&gt;&lt;/li&gt;</v>
      </c>
    </row>
    <row r="79" spans="1:8" ht="14.25" customHeight="1">
      <c r="E79" s="3"/>
      <c r="F79" s="3"/>
      <c r="G79" s="229"/>
      <c r="H79" s="229"/>
    </row>
    <row r="80" spans="1:8" ht="22.8" customHeight="1">
      <c r="A80" s="254">
        <v>25888</v>
      </c>
      <c r="B80" s="232"/>
      <c r="C80" s="232"/>
      <c r="D80" s="233"/>
      <c r="E80" s="3"/>
      <c r="F80" s="3"/>
      <c r="G80" s="229"/>
      <c r="H80" s="229"/>
    </row>
    <row r="81" spans="1:8" ht="14.25" customHeight="1">
      <c r="A81" s="2">
        <v>2084023782</v>
      </c>
      <c r="B81" s="2" t="s">
        <v>770</v>
      </c>
      <c r="C81" s="2" t="s">
        <v>772</v>
      </c>
      <c r="D81" s="2" t="s">
        <v>773</v>
      </c>
      <c r="E81" s="3" t="str">
        <f ca="1">IFERROR(__xludf.DUMMYFUNCTION("GOOGLETRANSLATE(B81,""ja"",""vi"")"),"Truyện tranh, hoạt hình")</f>
        <v>Truyện tranh, hoạt hình</v>
      </c>
      <c r="F81" s="3" t="str">
        <f ca="1">IFERROR(__xludf.DUMMYFUNCTION("GOOGLETRANSLATE(C81,""ja"",""vi"")"),"Đấu giá&gt; đồ chơi, trò chơi&gt; hình&gt; truyện tranh, phim hoạt hình")</f>
        <v>Đấu giá&gt; đồ chơi, trò chơi&gt; hình&gt; truyện tranh, phim hoạt hình</v>
      </c>
      <c r="G81" s="229" t="str">
        <f t="shared" ca="1" si="2"/>
        <v>"2084023782" : "Truyện tranh, hoạt hình",</v>
      </c>
      <c r="H81" s="229" t="str">
        <f t="shared" si="3"/>
        <v>&lt;li class="col-md-3"&gt;&lt;a class="text-cut" href="javascript:;"(click)="categoryEvent(2084023782)"&gt;{{"2084023782" | translate}}&lt;/a&gt;&lt;/li&gt;</v>
      </c>
    </row>
    <row r="82" spans="1:8" ht="14.25" customHeight="1">
      <c r="A82" s="2">
        <v>2084023622</v>
      </c>
      <c r="B82" s="2" t="s">
        <v>776</v>
      </c>
      <c r="C82" s="2" t="s">
        <v>778</v>
      </c>
      <c r="D82" s="2" t="s">
        <v>779</v>
      </c>
      <c r="E82" s="3" t="str">
        <f ca="1">IFERROR(__xludf.DUMMYFUNCTION("GOOGLETRANSLATE(B82,""ja"",""vi"")"),"hiệu ứng đặc biệt")</f>
        <v>hiệu ứng đặc biệt</v>
      </c>
      <c r="F82" s="3" t="str">
        <f ca="1">IFERROR(__xludf.DUMMYFUNCTION("GOOGLETRANSLATE(C82,""ja"",""vi"")"),"Đấu giá&gt; đồ chơi, trò chơi&gt; hình&gt; hiệu ứng đặc biệt")</f>
        <v>Đấu giá&gt; đồ chơi, trò chơi&gt; hình&gt; hiệu ứng đặc biệt</v>
      </c>
      <c r="G82" s="229" t="str">
        <f t="shared" ca="1" si="2"/>
        <v>"2084023622" : "hiệu ứng đặc biệt",</v>
      </c>
      <c r="H82" s="229" t="str">
        <f t="shared" si="3"/>
        <v>&lt;li class="col-md-3"&gt;&lt;a class="text-cut" href="javascript:;"(click)="categoryEvent(2084023622)"&gt;{{"2084023622" | translate}}&lt;/a&gt;&lt;/li&gt;</v>
      </c>
    </row>
    <row r="83" spans="1:8" ht="14.25" customHeight="1">
      <c r="A83" s="2">
        <v>2084040564</v>
      </c>
      <c r="B83" s="2" t="s">
        <v>783</v>
      </c>
      <c r="C83" s="2" t="s">
        <v>784</v>
      </c>
      <c r="D83" s="2" t="s">
        <v>785</v>
      </c>
      <c r="E83" s="3" t="str">
        <f ca="1">IFERROR(__xludf.DUMMYFUNCTION("GOOGLETRANSLATE(B83,""ja"",""vi"")"),"nhân vật game")</f>
        <v>nhân vật game</v>
      </c>
      <c r="F83" s="3" t="str">
        <f ca="1">IFERROR(__xludf.DUMMYFUNCTION("GOOGLETRANSLATE(C83,""ja"",""vi"")"),"Đấu giá&gt; đồ chơi, trò chơi&gt; hình&gt; nhân vật game")</f>
        <v>Đấu giá&gt; đồ chơi, trò chơi&gt; hình&gt; nhân vật game</v>
      </c>
      <c r="G83" s="229" t="str">
        <f t="shared" ca="1" si="2"/>
        <v>"2084040564" : "nhân vật game",</v>
      </c>
      <c r="H83" s="229" t="str">
        <f t="shared" si="3"/>
        <v>&lt;li class="col-md-3"&gt;&lt;a class="text-cut" href="javascript:;"(click)="categoryEvent(2084040564)"&gt;{{"2084040564" | translate}}&lt;/a&gt;&lt;/li&gt;</v>
      </c>
    </row>
    <row r="84" spans="1:8" ht="14.25" customHeight="1">
      <c r="A84" s="2">
        <v>2084023799</v>
      </c>
      <c r="B84" s="2" t="s">
        <v>788</v>
      </c>
      <c r="C84" s="2" t="s">
        <v>790</v>
      </c>
      <c r="D84" s="2" t="s">
        <v>792</v>
      </c>
      <c r="E84" s="3" t="str">
        <f ca="1">IFERROR(__xludf.DUMMYFUNCTION("GOOGLETRANSLATE(B84,""ja"",""vi"")"),"SF, Fantasy, Horror")</f>
        <v>SF, Fantasy, Horror</v>
      </c>
      <c r="F84" s="3" t="str">
        <f ca="1">IFERROR(__xludf.DUMMYFUNCTION("GOOGLETRANSLATE(C84,""ja"",""vi"")"),"Đấu giá&gt; đồ chơi, trò chơi&gt; hình&gt; SF, Fantasy, Horror")</f>
        <v>Đấu giá&gt; đồ chơi, trò chơi&gt; hình&gt; SF, Fantasy, Horror</v>
      </c>
      <c r="G84" s="229" t="str">
        <f t="shared" ca="1" si="2"/>
        <v>"2084023799" : "SF, Fantasy, Horror",</v>
      </c>
      <c r="H84" s="229" t="str">
        <f t="shared" si="3"/>
        <v>&lt;li class="col-md-3"&gt;&lt;a class="text-cut" href="javascript:;"(click)="categoryEvent(2084023799)"&gt;{{"2084023799" | translate}}&lt;/a&gt;&lt;/li&gt;</v>
      </c>
    </row>
    <row r="85" spans="1:8" ht="14.25" customHeight="1">
      <c r="A85" s="2">
        <v>21688</v>
      </c>
      <c r="B85" s="2" t="s">
        <v>796</v>
      </c>
      <c r="C85" s="2" t="s">
        <v>797</v>
      </c>
      <c r="D85" s="2" t="s">
        <v>798</v>
      </c>
      <c r="E85" s="3" t="str">
        <f ca="1">IFERROR(__xludf.DUMMYFUNCTION("GOOGLETRANSLATE(B85,""ja"",""vi"")"),"truyện tranh Mỹ")</f>
        <v>truyện tranh Mỹ</v>
      </c>
      <c r="F85" s="3" t="str">
        <f ca="1">IFERROR(__xludf.DUMMYFUNCTION("GOOGLETRANSLATE(C85,""ja"",""vi"")"),"Đấu giá&gt; Đồ chơi, trò chơi&gt; Hình&gt; truyện tranh Mỹ")</f>
        <v>Đấu giá&gt; Đồ chơi, trò chơi&gt; Hình&gt; truyện tranh Mỹ</v>
      </c>
      <c r="G85" s="229" t="str">
        <f t="shared" ca="1" si="2"/>
        <v>"21688" : "truyện tranh Mỹ",</v>
      </c>
      <c r="H85" s="229" t="str">
        <f t="shared" si="3"/>
        <v>&lt;li class="col-md-3"&gt;&lt;a class="text-cut" href="javascript:;"(click)="categoryEvent(21688)"&gt;{{"21688" | translate}}&lt;/a&gt;&lt;/li&gt;</v>
      </c>
    </row>
    <row r="86" spans="1:8" ht="14.25" customHeight="1">
      <c r="A86" s="2">
        <v>25892</v>
      </c>
      <c r="B86" s="2" t="s">
        <v>262</v>
      </c>
      <c r="C86" s="2" t="s">
        <v>801</v>
      </c>
      <c r="D86" s="2" t="s">
        <v>802</v>
      </c>
      <c r="E86" s="3" t="str">
        <f ca="1">IFERROR(__xludf.DUMMYFUNCTION("GOOGLETRANSLATE(B86,""ja"",""vi"")"),"thể thao")</f>
        <v>thể thao</v>
      </c>
      <c r="F86" s="3" t="str">
        <f ca="1">IFERROR(__xludf.DUMMYFUNCTION("GOOGLETRANSLATE(C86,""ja"",""vi"")"),"Đấu giá&gt; Đồ chơi, trò chơi&gt; Hình&gt; Thể Thao")</f>
        <v>Đấu giá&gt; Đồ chơi, trò chơi&gt; Hình&gt; Thể Thao</v>
      </c>
      <c r="G86" s="229" t="str">
        <f t="shared" ca="1" si="2"/>
        <v>"25892" : "thể thao",</v>
      </c>
      <c r="H86" s="229" t="str">
        <f t="shared" si="3"/>
        <v>&lt;li class="col-md-3"&gt;&lt;a class="text-cut" href="javascript:;"(click)="categoryEvent(25892)"&gt;{{"25892" | translate}}&lt;/a&gt;&lt;/li&gt;</v>
      </c>
    </row>
    <row r="87" spans="1:8" ht="14.25" customHeight="1">
      <c r="A87" s="2">
        <v>25890</v>
      </c>
      <c r="B87" s="2" t="s">
        <v>805</v>
      </c>
      <c r="C87" s="2" t="s">
        <v>806</v>
      </c>
      <c r="D87" s="2" t="s">
        <v>807</v>
      </c>
      <c r="E87" s="3" t="str">
        <f ca="1">IFERROR(__xludf.DUMMYFUNCTION("GOOGLETRANSLATE(B87,""ja"",""vi"")"),"quân đội")</f>
        <v>quân đội</v>
      </c>
      <c r="F87" s="3" t="str">
        <f ca="1">IFERROR(__xludf.DUMMYFUNCTION("GOOGLETRANSLATE(C87,""ja"",""vi"")"),"Đấu giá&gt; Đồ chơi, trò chơi&gt; Hình&gt; Quân sự")</f>
        <v>Đấu giá&gt; Đồ chơi, trò chơi&gt; Hình&gt; Quân sự</v>
      </c>
      <c r="G87" s="229" t="str">
        <f t="shared" ca="1" si="2"/>
        <v>"25890" : "quân đội",</v>
      </c>
      <c r="H87" s="229" t="str">
        <f t="shared" si="3"/>
        <v>&lt;li class="col-md-3"&gt;&lt;a class="text-cut" href="javascript:;"(click)="categoryEvent(25890)"&gt;{{"25890" | translate}}&lt;/a&gt;&lt;/li&gt;</v>
      </c>
    </row>
    <row r="88" spans="1:8" ht="14.25" customHeight="1">
      <c r="A88" s="2">
        <v>2084063729</v>
      </c>
      <c r="B88" s="2" t="s">
        <v>812</v>
      </c>
      <c r="C88" s="2" t="s">
        <v>814</v>
      </c>
      <c r="D88" s="2" t="s">
        <v>816</v>
      </c>
      <c r="E88" s="3" t="str">
        <f ca="1">IFERROR(__xludf.DUMMYFUNCTION("GOOGLETRANSLATE(B88,""ja"",""vi"")"),"vật sống")</f>
        <v>vật sống</v>
      </c>
      <c r="F88" s="3" t="str">
        <f ca="1">IFERROR(__xludf.DUMMYFUNCTION("GOOGLETRANSLATE(C88,""ja"",""vi"")"),"Đấu giá&gt; Đồ chơi, trò chơi&gt; Hình&gt; sinh vật")</f>
        <v>Đấu giá&gt; Đồ chơi, trò chơi&gt; Hình&gt; sinh vật</v>
      </c>
      <c r="G88" s="229" t="str">
        <f t="shared" ca="1" si="2"/>
        <v>"2084063729" : "vật sống",</v>
      </c>
      <c r="H88" s="229" t="str">
        <f t="shared" si="3"/>
        <v>&lt;li class="col-md-3"&gt;&lt;a class="text-cut" href="javascript:;"(click)="categoryEvent(2084063729)"&gt;{{"2084063729" | translate}}&lt;/a&gt;&lt;/li&gt;</v>
      </c>
    </row>
    <row r="89" spans="1:8" ht="14.25" customHeight="1">
      <c r="A89" s="2">
        <v>2084023795</v>
      </c>
      <c r="B89" s="2" t="s">
        <v>819</v>
      </c>
      <c r="C89" s="2" t="s">
        <v>820</v>
      </c>
      <c r="D89" s="2" t="s">
        <v>822</v>
      </c>
      <c r="E89" s="3" t="str">
        <f ca="1">IFERROR(__xludf.DUMMYFUNCTION("GOOGLETRANSLATE(B89,""ja"",""vi"")"),"Giải trí, tài năng")</f>
        <v>Giải trí, tài năng</v>
      </c>
      <c r="F89" s="3" t="str">
        <f ca="1">IFERROR(__xludf.DUMMYFUNCTION("GOOGLETRANSLATE(C89,""ja"",""vi"")"),"Đấu giá&gt; Đồ chơi, trò chơi&gt; Hình&gt; giải trí, tài năng")</f>
        <v>Đấu giá&gt; Đồ chơi, trò chơi&gt; Hình&gt; giải trí, tài năng</v>
      </c>
      <c r="G89" s="229" t="str">
        <f t="shared" ca="1" si="2"/>
        <v>"2084023795" : "Giải trí, tài năng",</v>
      </c>
      <c r="H89" s="229" t="str">
        <f t="shared" si="3"/>
        <v>&lt;li class="col-md-3"&gt;&lt;a class="text-cut" href="javascript:;"(click)="categoryEvent(2084023795)"&gt;{{"2084023795" | translate}}&lt;/a&gt;&lt;/li&gt;</v>
      </c>
    </row>
    <row r="90" spans="1:8" ht="14.25" customHeight="1">
      <c r="A90" s="2">
        <v>2084042426</v>
      </c>
      <c r="B90" s="2" t="s">
        <v>827</v>
      </c>
      <c r="C90" s="2" t="s">
        <v>828</v>
      </c>
      <c r="D90" s="2" t="s">
        <v>830</v>
      </c>
      <c r="E90" s="3" t="str">
        <f ca="1">IFERROR(__xludf.DUMMYFUNCTION("GOOGLETRANSLATE(B90,""ja"",""vi"")"),"chơi lịch sử")</f>
        <v>chơi lịch sử</v>
      </c>
      <c r="F90" s="3" t="str">
        <f ca="1">IFERROR(__xludf.DUMMYFUNCTION("GOOGLETRANSLATE(C90,""ja"",""vi"")"),"Đấu giá&gt; Đồ chơi, trò chơi&gt; Hình&gt; phim kỷ nguyên")</f>
        <v>Đấu giá&gt; Đồ chơi, trò chơi&gt; Hình&gt; phim kỷ nguyên</v>
      </c>
      <c r="G90" s="229" t="str">
        <f t="shared" ca="1" si="2"/>
        <v>"2084042426" : "chơi lịch sử",</v>
      </c>
      <c r="H90" s="229" t="str">
        <f t="shared" si="3"/>
        <v>&lt;li class="col-md-3"&gt;&lt;a class="text-cut" href="javascript:;"(click)="categoryEvent(2084042426)"&gt;{{"2084042426" | translate}}&lt;/a&gt;&lt;/li&gt;</v>
      </c>
    </row>
    <row r="91" spans="1:8" ht="14.25" customHeight="1">
      <c r="A91" s="2">
        <v>2084023831</v>
      </c>
      <c r="B91" s="2" t="s">
        <v>836</v>
      </c>
      <c r="C91" s="2" t="s">
        <v>838</v>
      </c>
      <c r="D91" s="2" t="s">
        <v>841</v>
      </c>
      <c r="E91" s="3" t="str">
        <f ca="1">IFERROR(__xludf.DUMMYFUNCTION("GOOGLETRANSLATE(B91,""ja"",""vi"")"),"Sáng tạo, gốc")</f>
        <v>Sáng tạo, gốc</v>
      </c>
      <c r="F91" s="3" t="str">
        <f ca="1">IFERROR(__xludf.DUMMYFUNCTION("GOOGLETRANSLATE(C91,""ja"",""vi"")"),"Đấu giá&gt; Đồ chơi, trò chơi&gt; Hình&gt; sáng tạo, ban đầu")</f>
        <v>Đấu giá&gt; Đồ chơi, trò chơi&gt; Hình&gt; sáng tạo, ban đầu</v>
      </c>
      <c r="G91" s="229" t="str">
        <f t="shared" ca="1" si="2"/>
        <v>"2084023831" : "Sáng tạo, gốc",</v>
      </c>
      <c r="H91" s="229" t="str">
        <f t="shared" si="3"/>
        <v>&lt;li class="col-md-3"&gt;&lt;a class="text-cut" href="javascript:;"(click)="categoryEvent(2084023831)"&gt;{{"2084023831" | translate}}&lt;/a&gt;&lt;/li&gt;</v>
      </c>
    </row>
    <row r="92" spans="1:8" ht="14.25" customHeight="1">
      <c r="A92" s="2">
        <v>25870</v>
      </c>
      <c r="B92" s="2" t="s">
        <v>847</v>
      </c>
      <c r="C92" s="2" t="s">
        <v>850</v>
      </c>
      <c r="D92" s="2" t="s">
        <v>851</v>
      </c>
      <c r="E92" s="3" t="str">
        <f ca="1">IFERROR(__xludf.DUMMYFUNCTION("GOOGLETRANSLATE(B92,""ja"",""vi"")"),"nhân vật búp bê")</f>
        <v>nhân vật búp bê</v>
      </c>
      <c r="F92" s="3" t="str">
        <f ca="1">IFERROR(__xludf.DUMMYFUNCTION("GOOGLETRANSLATE(C92,""ja"",""vi"")"),"Đấu giá&gt; Đồ chơi, trò chơi&gt; Hình&gt; Character Doll")</f>
        <v>Đấu giá&gt; Đồ chơi, trò chơi&gt; Hình&gt; Character Doll</v>
      </c>
      <c r="G92" s="229" t="str">
        <f t="shared" ca="1" si="2"/>
        <v>"25870" : "nhân vật búp bê",</v>
      </c>
      <c r="H92" s="229" t="str">
        <f t="shared" si="3"/>
        <v>&lt;li class="col-md-3"&gt;&lt;a class="text-cut" href="javascript:;"(click)="categoryEvent(25870)"&gt;{{"25870" | translate}}&lt;/a&gt;&lt;/li&gt;</v>
      </c>
    </row>
    <row r="93" spans="1:8" ht="14.25" customHeight="1">
      <c r="A93" s="2">
        <v>2084309436</v>
      </c>
      <c r="B93" s="2" t="s">
        <v>16</v>
      </c>
      <c r="C93" s="2" t="s">
        <v>856</v>
      </c>
      <c r="D93" s="2" t="s">
        <v>857</v>
      </c>
      <c r="E93" s="3" t="str">
        <f ca="1">IFERROR(__xludf.DUMMYFUNCTION("GOOGLETRANSLATE(B93,""ja"",""vi"")"),"nếu không thì")</f>
        <v>nếu không thì</v>
      </c>
      <c r="F93" s="3" t="str">
        <f ca="1">IFERROR(__xludf.DUMMYFUNCTION("GOOGLETRANSLATE(C93,""ja"",""vi"")"),"Đấu giá&gt; đồ chơi, trò chơi&gt; con số&gt; Khác")</f>
        <v>Đấu giá&gt; đồ chơi, trò chơi&gt; con số&gt; Khác</v>
      </c>
      <c r="G93" s="229" t="str">
        <f t="shared" ca="1" si="2"/>
        <v>"2084309436" : "nếu không thì",</v>
      </c>
      <c r="H93" s="229" t="str">
        <f t="shared" si="3"/>
        <v>&lt;li class="col-md-3"&gt;&lt;a class="text-cut" href="javascript:;"(click)="categoryEvent(2084309436)"&gt;{{"2084309436" | translate}}&lt;/a&gt;&lt;/li&gt;</v>
      </c>
    </row>
    <row r="94" spans="1:8" ht="14.25" customHeight="1">
      <c r="E94" s="3"/>
      <c r="F94" s="3"/>
      <c r="G94" s="229"/>
      <c r="H94" s="229"/>
    </row>
    <row r="95" spans="1:8" ht="24" customHeight="1">
      <c r="A95" s="249">
        <v>2084250334</v>
      </c>
      <c r="B95" s="232"/>
      <c r="C95" s="232"/>
      <c r="D95" s="233"/>
      <c r="E95" s="3"/>
      <c r="F95" s="3"/>
      <c r="G95" s="229"/>
      <c r="H95" s="229"/>
    </row>
    <row r="96" spans="1:8" ht="14.25" customHeight="1">
      <c r="A96" s="2">
        <v>2084250345</v>
      </c>
      <c r="B96" s="2" t="s">
        <v>870</v>
      </c>
      <c r="C96" s="2" t="s">
        <v>871</v>
      </c>
      <c r="D96" s="2" t="s">
        <v>872</v>
      </c>
      <c r="E96" s="3" t="str">
        <f ca="1">IFERROR(__xludf.DUMMYFUNCTION("GOOGLETRANSLATE(B96,""ja"",""vi"")"),"Armored Core")</f>
        <v>Armored Core</v>
      </c>
      <c r="F96" s="3" t="str">
        <f ca="1">IFERROR(__xludf.DUMMYFUNCTION("GOOGLETRANSLATE(C96,""ja"",""vi"")"),"Đấu giá&gt; đồ chơi, trò chơi&gt; mô hình nhựa&gt; Nhân vật&gt; Armored Core")</f>
        <v>Đấu giá&gt; đồ chơi, trò chơi&gt; mô hình nhựa&gt; Nhân vật&gt; Armored Core</v>
      </c>
      <c r="G96" s="229" t="str">
        <f t="shared" ca="1" si="2"/>
        <v>"2084250345" : "Armored Core",</v>
      </c>
      <c r="H96" s="229" t="str">
        <f t="shared" si="3"/>
        <v>&lt;li class="col-md-3"&gt;&lt;a class="text-cut" href="javascript:;"(click)="categoryEvent(2084250345)"&gt;{{"2084250345" | translate}}&lt;/a&gt;&lt;/li&gt;</v>
      </c>
    </row>
    <row r="97" spans="1:8" ht="14.25" customHeight="1">
      <c r="A97" s="2">
        <v>2084250346</v>
      </c>
      <c r="B97" s="2" t="s">
        <v>878</v>
      </c>
      <c r="C97" s="2" t="s">
        <v>879</v>
      </c>
      <c r="D97" s="2" t="s">
        <v>880</v>
      </c>
      <c r="E97" s="3" t="str">
        <f ca="1">IFERROR(__xludf.DUMMYFUNCTION("GOOGLETRANSLATE(B97,""ja"",""vi"")"),"Ultraman")</f>
        <v>Ultraman</v>
      </c>
      <c r="F97" s="3" t="str">
        <f ca="1">IFERROR(__xludf.DUMMYFUNCTION("GOOGLETRANSLATE(C97,""ja"",""vi"")"),"Đấu giá&gt; đồ chơi, trò chơi&gt; mô hình nhựa&gt; Nhân vật&gt; Ultraman")</f>
        <v>Đấu giá&gt; đồ chơi, trò chơi&gt; mô hình nhựa&gt; Nhân vật&gt; Ultraman</v>
      </c>
      <c r="G97" s="229" t="str">
        <f t="shared" ca="1" si="2"/>
        <v>"2084250346" : "Ultraman",</v>
      </c>
      <c r="H97" s="229" t="str">
        <f t="shared" si="3"/>
        <v>&lt;li class="col-md-3"&gt;&lt;a class="text-cut" href="javascript:;"(click)="categoryEvent(2084250346)"&gt;{{"2084250346" | translate}}&lt;/a&gt;&lt;/li&gt;</v>
      </c>
    </row>
    <row r="98" spans="1:8" ht="14.25" customHeight="1">
      <c r="A98" s="2">
        <v>2084250360</v>
      </c>
      <c r="B98" s="2" t="s">
        <v>888</v>
      </c>
      <c r="C98" s="2" t="s">
        <v>890</v>
      </c>
      <c r="D98" s="2" t="s">
        <v>891</v>
      </c>
      <c r="E98" s="3" t="str">
        <f ca="1">IFERROR(__xludf.DUMMYFUNCTION("GOOGLETRANSLATE(B98,""ja"",""vi"")"),"Space Battleship Yamato")</f>
        <v>Space Battleship Yamato</v>
      </c>
      <c r="F98" s="3" t="str">
        <f ca="1">IFERROR(__xludf.DUMMYFUNCTION("GOOGLETRANSLATE(C98,""ja"",""vi"")"),"Đấu giá&gt; đồ chơi, trò chơi&gt; mô hình nhựa&gt; Nhân vật&gt; Space Battleship Yamato")</f>
        <v>Đấu giá&gt; đồ chơi, trò chơi&gt; mô hình nhựa&gt; Nhân vật&gt; Space Battleship Yamato</v>
      </c>
      <c r="G98" s="229" t="str">
        <f t="shared" ca="1" si="2"/>
        <v>"2084250360" : "Space Battleship Yamato",</v>
      </c>
      <c r="H98" s="229" t="str">
        <f t="shared" si="3"/>
        <v>&lt;li class="col-md-3"&gt;&lt;a class="text-cut" href="javascript:;"(click)="categoryEvent(2084250360)"&gt;{{"2084250360" | translate}}&lt;/a&gt;&lt;/li&gt;</v>
      </c>
    </row>
    <row r="99" spans="1:8" ht="14.25" customHeight="1">
      <c r="A99" s="2">
        <v>2084250335</v>
      </c>
      <c r="B99" s="2" t="s">
        <v>895</v>
      </c>
      <c r="C99" s="2" t="s">
        <v>896</v>
      </c>
      <c r="D99" s="2" t="s">
        <v>897</v>
      </c>
      <c r="E99" s="3" t="str">
        <f ca="1">IFERROR(__xludf.DUMMYFUNCTION("GOOGLETRANSLATE(B99,""ja"",""vi"")"),"Gundam")</f>
        <v>Gundam</v>
      </c>
      <c r="F99" s="3" t="str">
        <f ca="1">IFERROR(__xludf.DUMMYFUNCTION("GOOGLETRANSLATE(C99,""ja"",""vi"")"),"Đấu giá&gt; đồ chơi, trò chơi&gt; mô hình nhựa&gt; Nhân vật&gt; Gundam")</f>
        <v>Đấu giá&gt; đồ chơi, trò chơi&gt; mô hình nhựa&gt; Nhân vật&gt; Gundam</v>
      </c>
      <c r="G99" s="229" t="str">
        <f t="shared" ca="1" si="2"/>
        <v>"2084250335" : "Gundam",</v>
      </c>
      <c r="H99" s="229" t="str">
        <f t="shared" si="3"/>
        <v>&lt;li class="col-md-3"&gt;&lt;a class="text-cut" href="javascript:;"(click)="categoryEvent(2084250335)"&gt;{{"2084250335" | translate}}&lt;/a&gt;&lt;/li&gt;</v>
      </c>
    </row>
    <row r="100" spans="1:8" ht="14.25" customHeight="1">
      <c r="A100" s="2">
        <v>2084250348</v>
      </c>
      <c r="B100" s="2" t="s">
        <v>903</v>
      </c>
      <c r="C100" s="2" t="s">
        <v>904</v>
      </c>
      <c r="D100" s="2" t="s">
        <v>905</v>
      </c>
      <c r="E100" s="3" t="str">
        <f ca="1">IFERROR(__xludf.DUMMYFUNCTION("GOOGLETRANSLATE(B100,""ja"",""vi"")"),"Code Geass")</f>
        <v>Code Geass</v>
      </c>
      <c r="F100" s="3" t="str">
        <f ca="1">IFERROR(__xludf.DUMMYFUNCTION("GOOGLETRANSLATE(C100,""ja"",""vi"")"),"Đấu giá&gt; đồ chơi, trò chơi&gt; mô hình nhựa&gt; Nhân vật&gt; Code Geass")</f>
        <v>Đấu giá&gt; đồ chơi, trò chơi&gt; mô hình nhựa&gt; Nhân vật&gt; Code Geass</v>
      </c>
      <c r="G100" s="229" t="str">
        <f t="shared" ca="1" si="2"/>
        <v>"2084250348" : "Code Geass",</v>
      </c>
      <c r="H100" s="229" t="str">
        <f t="shared" si="3"/>
        <v>&lt;li class="col-md-3"&gt;&lt;a class="text-cut" href="javascript:;"(click)="categoryEvent(2084250348)"&gt;{{"2084250348" | translate}}&lt;/a&gt;&lt;/li&gt;</v>
      </c>
    </row>
    <row r="101" spans="1:8" ht="14.25" customHeight="1">
      <c r="A101" s="2">
        <v>2084250349</v>
      </c>
      <c r="B101" s="2" t="s">
        <v>910</v>
      </c>
      <c r="C101" s="2" t="s">
        <v>912</v>
      </c>
      <c r="D101" s="2" t="s">
        <v>913</v>
      </c>
      <c r="E101" s="3" t="str">
        <f ca="1">IFERROR(__xludf.DUMMYFUNCTION("GOOGLETRANSLATE(B101,""ja"",""vi"")"),"Godzilla")</f>
        <v>Godzilla</v>
      </c>
      <c r="F101" s="3" t="str">
        <f ca="1">IFERROR(__xludf.DUMMYFUNCTION("GOOGLETRANSLATE(C101,""ja"",""vi"")"),"Đấu giá&gt; đồ chơi, trò chơi&gt; mô hình nhựa&gt; Nhân vật&gt; Godzilla")</f>
        <v>Đấu giá&gt; đồ chơi, trò chơi&gt; mô hình nhựa&gt; Nhân vật&gt; Godzilla</v>
      </c>
      <c r="G101" s="229" t="str">
        <f t="shared" ca="1" si="2"/>
        <v>"2084250349" : "Godzilla",</v>
      </c>
      <c r="H101" s="229" t="str">
        <f t="shared" si="3"/>
        <v>&lt;li class="col-md-3"&gt;&lt;a class="text-cut" href="javascript:;"(click)="categoryEvent(2084250349)"&gt;{{"2084250349" | translate}}&lt;/a&gt;&lt;/li&gt;</v>
      </c>
    </row>
    <row r="102" spans="1:8" ht="14.25" customHeight="1">
      <c r="A102" s="2">
        <v>2084250361</v>
      </c>
      <c r="B102" s="2" t="s">
        <v>914</v>
      </c>
      <c r="C102" s="2" t="s">
        <v>916</v>
      </c>
      <c r="D102" s="2" t="s">
        <v>918</v>
      </c>
      <c r="E102" s="3" t="str">
        <f ca="1">IFERROR(__xludf.DUMMYFUNCTION("GOOGLETRANSLATE(B102,""ja"",""vi"")"),"Patlabor")</f>
        <v>Patlabor</v>
      </c>
      <c r="F102" s="3" t="str">
        <f ca="1">IFERROR(__xludf.DUMMYFUNCTION("GOOGLETRANSLATE(C102,""ja"",""vi"")"),"Đấu giá&gt; đồ chơi, trò chơi&gt; mô hình nhựa&gt; Nhân vật&gt; Patlabor")</f>
        <v>Đấu giá&gt; đồ chơi, trò chơi&gt; mô hình nhựa&gt; Nhân vật&gt; Patlabor</v>
      </c>
      <c r="G102" s="229" t="str">
        <f t="shared" ca="1" si="2"/>
        <v>"2084250361" : "Patlabor",</v>
      </c>
      <c r="H102" s="229" t="str">
        <f t="shared" si="3"/>
        <v>&lt;li class="col-md-3"&gt;&lt;a class="text-cut" href="javascript:;"(click)="categoryEvent(2084250361)"&gt;{{"2084250361" | translate}}&lt;/a&gt;&lt;/li&gt;</v>
      </c>
    </row>
    <row r="103" spans="1:8" ht="14.25" customHeight="1">
      <c r="A103" s="2">
        <v>2084250362</v>
      </c>
      <c r="B103" s="2" t="s">
        <v>921</v>
      </c>
      <c r="C103" s="2" t="s">
        <v>922</v>
      </c>
      <c r="D103" s="2" t="s">
        <v>923</v>
      </c>
      <c r="E103" s="3" t="str">
        <f ca="1">IFERROR(__xludf.DUMMYFUNCTION("GOOGLETRANSLATE(B103,""ja"",""vi"")"),"Galaxy trôi Vifam")</f>
        <v>Galaxy trôi Vifam</v>
      </c>
      <c r="F103" s="3" t="str">
        <f ca="1">IFERROR(__xludf.DUMMYFUNCTION("GOOGLETRANSLATE(C103,""ja"",""vi"")"),"Đấu giá&gt; đồ chơi, trò chơi&gt; mô hình nhựa&gt; Nhân vật&gt; thiên hà trôi Vifam")</f>
        <v>Đấu giá&gt; đồ chơi, trò chơi&gt; mô hình nhựa&gt; Nhân vật&gt; thiên hà trôi Vifam</v>
      </c>
      <c r="G103" s="229" t="str">
        <f t="shared" ca="1" si="2"/>
        <v>"2084250362" : "Galaxy trôi Vifam",</v>
      </c>
      <c r="H103" s="229" t="str">
        <f t="shared" si="3"/>
        <v>&lt;li class="col-md-3"&gt;&lt;a class="text-cut" href="javascript:;"(click)="categoryEvent(2084250362)"&gt;{{"2084250362" | translate}}&lt;/a&gt;&lt;/li&gt;</v>
      </c>
    </row>
    <row r="104" spans="1:8" ht="14.25" customHeight="1">
      <c r="A104" s="2">
        <v>2084250350</v>
      </c>
      <c r="B104" s="2" t="s">
        <v>926</v>
      </c>
      <c r="C104" s="2" t="s">
        <v>927</v>
      </c>
      <c r="D104" s="2" t="s">
        <v>928</v>
      </c>
      <c r="E104" s="3" t="str">
        <f ca="1">IFERROR(__xludf.DUMMYFUNCTION("GOOGLETRANSLATE(B104,""ja"",""vi"")"),"tên của loài chim")</f>
        <v>tên của loài chim</v>
      </c>
      <c r="F104" s="3" t="str">
        <f ca="1">IFERROR(__xludf.DUMMYFUNCTION("GOOGLETRANSLATE(C104,""ja"",""vi"")"),"Đấu giá&gt; đồ chơi, trò chơi&gt; mô hình nhựa&gt; Nhân vật&gt; Thunderbird")</f>
        <v>Đấu giá&gt; đồ chơi, trò chơi&gt; mô hình nhựa&gt; Nhân vật&gt; Thunderbird</v>
      </c>
      <c r="G104" s="229" t="str">
        <f t="shared" ca="1" si="2"/>
        <v>"2084250350" : "tên của loài chim",</v>
      </c>
      <c r="H104" s="229" t="str">
        <f t="shared" si="3"/>
        <v>&lt;li class="col-md-3"&gt;&lt;a class="text-cut" href="javascript:;"(click)="categoryEvent(2084250350)"&gt;{{"2084250350" | translate}}&lt;/a&gt;&lt;/li&gt;</v>
      </c>
    </row>
    <row r="105" spans="1:8" ht="14.25" customHeight="1">
      <c r="A105" s="2">
        <v>2084250351</v>
      </c>
      <c r="B105" s="2" t="s">
        <v>932</v>
      </c>
      <c r="C105" s="2" t="s">
        <v>933</v>
      </c>
      <c r="D105" s="2" t="s">
        <v>934</v>
      </c>
      <c r="E105" s="3" t="str">
        <f ca="1">IFERROR(__xludf.DUMMYFUNCTION("GOOGLETRANSLATE(B105,""ja"",""vi"")"),"Super Robot Wars")</f>
        <v>Super Robot Wars</v>
      </c>
      <c r="F105" s="3" t="str">
        <f ca="1">IFERROR(__xludf.DUMMYFUNCTION("GOOGLETRANSLATE(C105,""ja"",""vi"")"),"Đấu giá&gt; đồ chơi, trò chơi&gt; mô hình nhựa&gt; Nhân vật&gt; Super Robot Wars")</f>
        <v>Đấu giá&gt; đồ chơi, trò chơi&gt; mô hình nhựa&gt; Nhân vật&gt; Super Robot Wars</v>
      </c>
      <c r="G105" s="229" t="str">
        <f t="shared" ca="1" si="2"/>
        <v>"2084250351" : "Super Robot Wars",</v>
      </c>
      <c r="H105" s="229" t="str">
        <f t="shared" si="3"/>
        <v>&lt;li class="col-md-3"&gt;&lt;a class="text-cut" href="javascript:;"(click)="categoryEvent(2084250351)"&gt;{{"2084250351" | translate}}&lt;/a&gt;&lt;/li&gt;</v>
      </c>
    </row>
    <row r="106" spans="1:8" ht="14.25" customHeight="1">
      <c r="A106" s="2">
        <v>2084250352</v>
      </c>
      <c r="B106" s="2" t="s">
        <v>938</v>
      </c>
      <c r="C106" s="2" t="s">
        <v>940</v>
      </c>
      <c r="D106" s="2" t="s">
        <v>941</v>
      </c>
      <c r="E106" s="3" t="str">
        <f ca="1">IFERROR(__xludf.DUMMYFUNCTION("GOOGLETRANSLATE(B106,""ja"",""vi"")"),"star Wars")</f>
        <v>star Wars</v>
      </c>
      <c r="F106" s="3" t="str">
        <f ca="1">IFERROR(__xludf.DUMMYFUNCTION("GOOGLETRANSLATE(C106,""ja"",""vi"")"),"Đấu giá&gt; đồ chơi, trò chơi&gt; mô hình nhựa&gt; Nhân vật&gt; Star Wars")</f>
        <v>Đấu giá&gt; đồ chơi, trò chơi&gt; mô hình nhựa&gt; Nhân vật&gt; Star Wars</v>
      </c>
      <c r="G106" s="229" t="str">
        <f t="shared" ca="1" si="2"/>
        <v>"2084250352" : "star Wars",</v>
      </c>
      <c r="H106" s="229" t="str">
        <f t="shared" si="3"/>
        <v>&lt;li class="col-md-3"&gt;&lt;a class="text-cut" href="javascript:;"(click)="categoryEvent(2084250352)"&gt;{{"2084250352" | translate}}&lt;/a&gt;&lt;/li&gt;</v>
      </c>
    </row>
    <row r="107" spans="1:8" ht="14.25" customHeight="1">
      <c r="A107" s="2">
        <v>2084250353</v>
      </c>
      <c r="B107" s="2" t="s">
        <v>944</v>
      </c>
      <c r="C107" s="2" t="s">
        <v>945</v>
      </c>
      <c r="D107" s="2" t="s">
        <v>946</v>
      </c>
      <c r="E107" s="3" t="str">
        <f ca="1">IFERROR(__xludf.DUMMYFUNCTION("GOOGLETRANSLATE(B107,""ja"",""vi"")"),"star trek")</f>
        <v>star trek</v>
      </c>
      <c r="F107" s="3" t="str">
        <f ca="1">IFERROR(__xludf.DUMMYFUNCTION("GOOGLETRANSLATE(C107,""ja"",""vi"")"),"Đấu giá&gt; đồ chơi, trò chơi&gt; mô hình nhựa&gt; Nhân vật&gt; Star Trek")</f>
        <v>Đấu giá&gt; đồ chơi, trò chơi&gt; mô hình nhựa&gt; Nhân vật&gt; Star Trek</v>
      </c>
      <c r="G107" s="229" t="str">
        <f t="shared" ca="1" si="2"/>
        <v>"2084250353" : "star trek",</v>
      </c>
      <c r="H107" s="229" t="str">
        <f t="shared" si="3"/>
        <v>&lt;li class="col-md-3"&gt;&lt;a class="text-cut" href="javascript:;"(click)="categoryEvent(2084250353)"&gt;{{"2084250353" | translate}}&lt;/a&gt;&lt;/li&gt;</v>
      </c>
    </row>
    <row r="108" spans="1:8" ht="14.25" customHeight="1">
      <c r="A108" s="2">
        <v>2084250370</v>
      </c>
      <c r="B108" s="2" t="s">
        <v>947</v>
      </c>
      <c r="C108" s="2" t="s">
        <v>948</v>
      </c>
      <c r="D108" s="2" t="s">
        <v>949</v>
      </c>
      <c r="E108" s="3" t="str">
        <f ca="1">IFERROR(__xludf.DUMMYFUNCTION("GOOGLETRANSLATE(B108,""ja"",""vi"")"),"Studio Ghibli")</f>
        <v>Studio Ghibli</v>
      </c>
      <c r="F108" s="3" t="str">
        <f ca="1">IFERROR(__xludf.DUMMYFUNCTION("GOOGLETRANSLATE(C108,""ja"",""vi"")"),"Đấu giá&gt; đồ chơi, trò chơi&gt; mô hình nhựa&gt; Nhân vật&gt; Studio Ghibli")</f>
        <v>Đấu giá&gt; đồ chơi, trò chơi&gt; mô hình nhựa&gt; Nhân vật&gt; Studio Ghibli</v>
      </c>
      <c r="G108" s="229" t="str">
        <f t="shared" ca="1" si="2"/>
        <v>"2084250370" : "Studio Ghibli",</v>
      </c>
      <c r="H108" s="229" t="str">
        <f t="shared" si="3"/>
        <v>&lt;li class="col-md-3"&gt;&lt;a class="text-cut" href="javascript:;"(click)="categoryEvent(2084250370)"&gt;{{"2084250370" | translate}}&lt;/a&gt;&lt;/li&gt;</v>
      </c>
    </row>
    <row r="109" spans="1:8" ht="14.25" customHeight="1">
      <c r="A109" s="2">
        <v>2084250354</v>
      </c>
      <c r="B109" s="2" t="s">
        <v>950</v>
      </c>
      <c r="C109" s="2" t="s">
        <v>951</v>
      </c>
      <c r="D109" s="2" t="s">
        <v>952</v>
      </c>
      <c r="E109" s="3" t="str">
        <f ca="1">IFERROR(__xludf.DUMMYFUNCTION("GOOGLETRANSLATE(B109,""ja"",""vi"")"),"Zoids")</f>
        <v>Zoids</v>
      </c>
      <c r="F109" s="3" t="str">
        <f ca="1">IFERROR(__xludf.DUMMYFUNCTION("GOOGLETRANSLATE(C109,""ja"",""vi"")"),"Đấu giá&gt; đồ chơi, trò chơi&gt; mô hình nhựa&gt; Nhân vật&gt; Zoids")</f>
        <v>Đấu giá&gt; đồ chơi, trò chơi&gt; mô hình nhựa&gt; Nhân vật&gt; Zoids</v>
      </c>
      <c r="G109" s="229" t="str">
        <f t="shared" ca="1" si="2"/>
        <v>"2084250354" : "Zoids",</v>
      </c>
      <c r="H109" s="229" t="str">
        <f t="shared" si="3"/>
        <v>&lt;li class="col-md-3"&gt;&lt;a class="text-cut" href="javascript:;"(click)="categoryEvent(2084250354)"&gt;{{"2084250354" | translate}}&lt;/a&gt;&lt;/li&gt;</v>
      </c>
    </row>
    <row r="110" spans="1:8" ht="14.25" customHeight="1">
      <c r="A110" s="2">
        <v>2084250364</v>
      </c>
      <c r="B110" s="2" t="s">
        <v>956</v>
      </c>
      <c r="C110" s="2" t="s">
        <v>957</v>
      </c>
      <c r="D110" s="2" t="s">
        <v>958</v>
      </c>
      <c r="E110" s="3" t="str">
        <f ca="1">IFERROR(__xludf.DUMMYFUNCTION("GOOGLETRANSLATE(B110,""ja"",""vi"")"),"Heavy Metal L-Gaim")</f>
        <v>Heavy Metal L-Gaim</v>
      </c>
      <c r="F110" s="3" t="str">
        <f ca="1">IFERROR(__xludf.DUMMYFUNCTION("GOOGLETRANSLATE(C110,""ja"",""vi"")"),"Đấu giá&gt; đồ chơi, game&gt; mô hình nhựa&gt; Nhân vật&gt; Heavy Metal L-Gaim")</f>
        <v>Đấu giá&gt; đồ chơi, game&gt; mô hình nhựa&gt; Nhân vật&gt; Heavy Metal L-Gaim</v>
      </c>
      <c r="G110" s="229" t="str">
        <f t="shared" ca="1" si="2"/>
        <v>"2084250364" : "Heavy Metal L-Gaim",</v>
      </c>
      <c r="H110" s="229" t="str">
        <f t="shared" si="3"/>
        <v>&lt;li class="col-md-3"&gt;&lt;a class="text-cut" href="javascript:;"(click)="categoryEvent(2084250364)"&gt;{{"2084250364" | translate}}&lt;/a&gt;&lt;/li&gt;</v>
      </c>
    </row>
    <row r="111" spans="1:8" ht="14.25" customHeight="1">
      <c r="A111" s="2">
        <v>2084250365</v>
      </c>
      <c r="B111" s="2" t="s">
        <v>960</v>
      </c>
      <c r="C111" s="2" t="s">
        <v>962</v>
      </c>
      <c r="D111" s="2" t="s">
        <v>964</v>
      </c>
      <c r="E111" s="3" t="str">
        <f ca="1">IFERROR(__xludf.DUMMYFUNCTION("GOOGLETRANSLATE(B111,""ja"",""vi"")"),"Neon Genesis Evangelion")</f>
        <v>Neon Genesis Evangelion</v>
      </c>
      <c r="F111" s="3" t="str">
        <f ca="1">IFERROR(__xludf.DUMMYFUNCTION("GOOGLETRANSLATE(C111,""ja"",""vi"")"),"Đấu giá&gt; đồ chơi, trò chơi&gt; mô hình nhựa&gt; Nhân vật&gt; Neon Genesis Evangelion")</f>
        <v>Đấu giá&gt; đồ chơi, trò chơi&gt; mô hình nhựa&gt; Nhân vật&gt; Neon Genesis Evangelion</v>
      </c>
      <c r="G111" s="229" t="str">
        <f t="shared" ca="1" si="2"/>
        <v>"2084250365" : "Neon Genesis Evangelion",</v>
      </c>
      <c r="H111" s="229" t="str">
        <f t="shared" si="3"/>
        <v>&lt;li class="col-md-3"&gt;&lt;a class="text-cut" href="javascript:;"(click)="categoryEvent(2084250365)"&gt;{{"2084250365" | translate}}&lt;/a&gt;&lt;/li&gt;</v>
      </c>
    </row>
    <row r="112" spans="1:8" ht="14.25" customHeight="1">
      <c r="A112" s="2">
        <v>2084250366</v>
      </c>
      <c r="B112" s="2" t="s">
        <v>965</v>
      </c>
      <c r="C112" s="2" t="s">
        <v>968</v>
      </c>
      <c r="D112" s="2" t="s">
        <v>971</v>
      </c>
      <c r="E112" s="3" t="str">
        <f ca="1">IFERROR(__xludf.DUMMYFUNCTION("GOOGLETRANSLATE(B112,""ja"",""vi"")"),"Xabungle")</f>
        <v>Xabungle</v>
      </c>
      <c r="F112" s="3" t="str">
        <f ca="1">IFERROR(__xludf.DUMMYFUNCTION("GOOGLETRANSLATE(C112,""ja"",""vi"")"),"Đấu giá&gt; đồ chơi, trò chơi&gt; mô hình nhựa&gt; Nhân vật&gt; Xabungle")</f>
        <v>Đấu giá&gt; đồ chơi, trò chơi&gt; mô hình nhựa&gt; Nhân vật&gt; Xabungle</v>
      </c>
      <c r="G112" s="229" t="str">
        <f t="shared" ca="1" si="2"/>
        <v>"2084250366" : "Xabungle",</v>
      </c>
      <c r="H112" s="229" t="str">
        <f t="shared" si="3"/>
        <v>&lt;li class="col-md-3"&gt;&lt;a class="text-cut" href="javascript:;"(click)="categoryEvent(2084250366)"&gt;{{"2084250366" | translate}}&lt;/a&gt;&lt;/li&gt;</v>
      </c>
    </row>
    <row r="113" spans="1:8" ht="14.25" customHeight="1">
      <c r="A113" s="2">
        <v>2084250367</v>
      </c>
      <c r="B113" s="2" t="s">
        <v>977</v>
      </c>
      <c r="C113" s="2" t="s">
        <v>981</v>
      </c>
      <c r="D113" s="2" t="s">
        <v>983</v>
      </c>
      <c r="E113" s="3" t="str">
        <f ca="1">IFERROR(__xludf.DUMMYFUNCTION("GOOGLETRANSLATE(B113,""ja"",""vi"")"),"Votoms")</f>
        <v>Votoms</v>
      </c>
      <c r="F113" s="3" t="str">
        <f ca="1">IFERROR(__xludf.DUMMYFUNCTION("GOOGLETRANSLATE(C113,""ja"",""vi"")"),"Đấu giá&gt; đồ chơi, trò chơi&gt; mô hình nhựa&gt; Nhân vật&gt; Votoms")</f>
        <v>Đấu giá&gt; đồ chơi, trò chơi&gt; mô hình nhựa&gt; Nhân vật&gt; Votoms</v>
      </c>
      <c r="G113" s="229" t="str">
        <f t="shared" ca="1" si="2"/>
        <v>"2084250367" : "Votoms",</v>
      </c>
      <c r="H113" s="229" t="str">
        <f t="shared" si="3"/>
        <v>&lt;li class="col-md-3"&gt;&lt;a class="text-cut" href="javascript:;"(click)="categoryEvent(2084250367)"&gt;{{"2084250367" | translate}}&lt;/a&gt;&lt;/li&gt;</v>
      </c>
    </row>
    <row r="114" spans="1:8" ht="14.25" customHeight="1">
      <c r="A114" s="2">
        <v>2084310499</v>
      </c>
      <c r="B114" s="2" t="s">
        <v>990</v>
      </c>
      <c r="C114" s="2" t="s">
        <v>991</v>
      </c>
      <c r="D114" s="2" t="s">
        <v>992</v>
      </c>
      <c r="E114" s="3" t="str">
        <f ca="1">IFERROR(__xludf.DUMMYFUNCTION("GOOGLETRANSLATE(B114,""ja"",""vi"")"),"The Little battlers")</f>
        <v>The Little battlers</v>
      </c>
      <c r="F114" s="3" t="str">
        <f ca="1">IFERROR(__xludf.DUMMYFUNCTION("GOOGLETRANSLATE(C114,""ja"",""vi"")"),"Đấu giá&gt; đồ chơi, trò chơi&gt; mô hình nhựa&gt; Nhân vật&gt; The Little battlers")</f>
        <v>Đấu giá&gt; đồ chơi, trò chơi&gt; mô hình nhựa&gt; Nhân vật&gt; The Little battlers</v>
      </c>
      <c r="G114" s="229" t="str">
        <f t="shared" ca="1" si="2"/>
        <v>"2084310499" : "The Little battlers",</v>
      </c>
      <c r="H114" s="229" t="str">
        <f t="shared" si="3"/>
        <v>&lt;li class="col-md-3"&gt;&lt;a class="text-cut" href="javascript:;"(click)="categoryEvent(2084310499)"&gt;{{"2084310499" | translate}}&lt;/a&gt;&lt;/li&gt;</v>
      </c>
    </row>
    <row r="115" spans="1:8" ht="14.25" customHeight="1">
      <c r="A115" s="2">
        <v>2084250368</v>
      </c>
      <c r="B115" s="2" t="s">
        <v>998</v>
      </c>
      <c r="C115" s="2" t="s">
        <v>999</v>
      </c>
      <c r="D115" s="2" t="s">
        <v>1001</v>
      </c>
      <c r="E115" s="3" t="str">
        <f ca="1">IFERROR(__xludf.DUMMYFUNCTION("GOOGLETRANSLATE(B115,""ja"",""vi"")"),"Fang của Dougram mặt trời")</f>
        <v>Fang của Dougram mặt trời</v>
      </c>
      <c r="F115" s="3" t="str">
        <f ca="1">IFERROR(__xludf.DUMMYFUNCTION("GOOGLETRANSLATE(C115,""ja"",""vi"")"),"Đấu giá&gt; đồ chơi, trò chơi&gt; mô hình nhựa&gt; Nhân vật&gt; Fang của mặt trời Dougram")</f>
        <v>Đấu giá&gt; đồ chơi, trò chơi&gt; mô hình nhựa&gt; Nhân vật&gt; Fang của mặt trời Dougram</v>
      </c>
      <c r="G115" s="229" t="str">
        <f t="shared" ca="1" si="2"/>
        <v>"2084250368" : "Fang của Dougram mặt trời",</v>
      </c>
      <c r="H115" s="229" t="str">
        <f t="shared" si="3"/>
        <v>&lt;li class="col-md-3"&gt;&lt;a class="text-cut" href="javascript:;"(click)="categoryEvent(2084250368)"&gt;{{"2084250368" | translate}}&lt;/a&gt;&lt;/li&gt;</v>
      </c>
    </row>
    <row r="116" spans="1:8" ht="14.25" customHeight="1">
      <c r="A116" s="2">
        <v>2084250369</v>
      </c>
      <c r="B116" s="2" t="s">
        <v>1002</v>
      </c>
      <c r="C116" s="2" t="s">
        <v>1003</v>
      </c>
      <c r="D116" s="2" t="s">
        <v>1004</v>
      </c>
      <c r="E116" s="3" t="str">
        <f ca="1">IFERROR(__xludf.DUMMYFUNCTION("GOOGLETRANSLATE(B116,""ja"",""vi"")"),"Space Runaway Ideon")</f>
        <v>Space Runaway Ideon</v>
      </c>
      <c r="F116" s="3" t="str">
        <f ca="1">IFERROR(__xludf.DUMMYFUNCTION("GOOGLETRANSLATE(C116,""ja"",""vi"")"),"Đấu giá&gt; đồ chơi, trò chơi&gt; mô hình nhựa&gt; Nhân vật&gt; Space Runaway Ideon")</f>
        <v>Đấu giá&gt; đồ chơi, trò chơi&gt; mô hình nhựa&gt; Nhân vật&gt; Space Runaway Ideon</v>
      </c>
      <c r="G116" s="229" t="str">
        <f t="shared" ca="1" si="2"/>
        <v>"2084250369" : "Space Runaway Ideon",</v>
      </c>
      <c r="H116" s="229" t="str">
        <f t="shared" si="3"/>
        <v>&lt;li class="col-md-3"&gt;&lt;a class="text-cut" href="javascript:;"(click)="categoryEvent(2084250369)"&gt;{{"2084250369" | translate}}&lt;/a&gt;&lt;/li&gt;</v>
      </c>
    </row>
    <row r="117" spans="1:8" ht="14.25" customHeight="1">
      <c r="A117" s="2">
        <v>2084250355</v>
      </c>
      <c r="B117" s="2" t="s">
        <v>1009</v>
      </c>
      <c r="C117" s="2" t="s">
        <v>1012</v>
      </c>
      <c r="D117" s="2" t="s">
        <v>1015</v>
      </c>
      <c r="E117" s="3" t="str">
        <f ca="1">IFERROR(__xludf.DUMMYFUNCTION("GOOGLETRANSLATE(B117,""ja"",""vi"")"),"ảo On")</f>
        <v>ảo On</v>
      </c>
      <c r="F117" s="3" t="str">
        <f ca="1">IFERROR(__xludf.DUMMYFUNCTION("GOOGLETRANSLATE(C117,""ja"",""vi"")"),"Đấu giá&gt; đồ chơi, trò chơi&gt; mô hình nhựa&gt; Nhân vật&gt; ảo On")</f>
        <v>Đấu giá&gt; đồ chơi, trò chơi&gt; mô hình nhựa&gt; Nhân vật&gt; ảo On</v>
      </c>
      <c r="G117" s="229" t="str">
        <f t="shared" ca="1" si="2"/>
        <v>"2084250355" : "ảo On",</v>
      </c>
      <c r="H117" s="229" t="str">
        <f t="shared" si="3"/>
        <v>&lt;li class="col-md-3"&gt;&lt;a class="text-cut" href="javascript:;"(click)="categoryEvent(2084250355)"&gt;{{"2084250355" | translate}}&lt;/a&gt;&lt;/li&gt;</v>
      </c>
    </row>
    <row r="118" spans="1:8" ht="14.25" customHeight="1">
      <c r="A118" s="2">
        <v>2084250356</v>
      </c>
      <c r="B118" s="2" t="s">
        <v>1020</v>
      </c>
      <c r="C118" s="2" t="s">
        <v>1022</v>
      </c>
      <c r="D118" s="2" t="s">
        <v>1024</v>
      </c>
      <c r="E118" s="3" t="str">
        <f ca="1">IFERROR(__xludf.DUMMYFUNCTION("GOOGLETRANSLATE(B118,""ja"",""vi"")"),"Macross")</f>
        <v>Macross</v>
      </c>
      <c r="F118" s="3" t="str">
        <f ca="1">IFERROR(__xludf.DUMMYFUNCTION("GOOGLETRANSLATE(C118,""ja"",""vi"")"),"Đấu giá&gt; đồ chơi, trò chơi&gt; mô hình nhựa&gt; Nhân vật&gt; Macross")</f>
        <v>Đấu giá&gt; đồ chơi, trò chơi&gt; mô hình nhựa&gt; Nhân vật&gt; Macross</v>
      </c>
      <c r="G118" s="229" t="str">
        <f t="shared" ca="1" si="2"/>
        <v>"2084250356" : "Macross",</v>
      </c>
      <c r="H118" s="229" t="str">
        <f t="shared" si="3"/>
        <v>&lt;li class="col-md-3"&gt;&lt;a class="text-cut" href="javascript:;"(click)="categoryEvent(2084250356)"&gt;{{"2084250356" | translate}}&lt;/a&gt;&lt;/li&gt;</v>
      </c>
    </row>
    <row r="119" spans="1:8" ht="14.25" customHeight="1">
      <c r="A119" s="2">
        <v>2084250357</v>
      </c>
      <c r="B119" s="2" t="s">
        <v>1027</v>
      </c>
      <c r="C119" s="2" t="s">
        <v>1029</v>
      </c>
      <c r="D119" s="2" t="s">
        <v>1032</v>
      </c>
      <c r="E119" s="3" t="str">
        <f ca="1">IFERROR(__xludf.DUMMYFUNCTION("GOOGLETRANSLATE(B119,""ja"",""vi"")"),"Maschinen Krieger")</f>
        <v>Maschinen Krieger</v>
      </c>
      <c r="F119" s="3" t="str">
        <f ca="1">IFERROR(__xludf.DUMMYFUNCTION("GOOGLETRANSLATE(C119,""ja"",""vi"")"),"Đấu giá&gt; đồ chơi, trò chơi&gt; mô hình nhựa&gt; Nhân vật&gt; Maschinen Krieger")</f>
        <v>Đấu giá&gt; đồ chơi, trò chơi&gt; mô hình nhựa&gt; Nhân vật&gt; Maschinen Krieger</v>
      </c>
      <c r="G119" s="229" t="str">
        <f t="shared" ca="1" si="2"/>
        <v>"2084250357" : "Maschinen Krieger",</v>
      </c>
      <c r="H119" s="229" t="str">
        <f t="shared" si="3"/>
        <v>&lt;li class="col-md-3"&gt;&lt;a class="text-cut" href="javascript:;"(click)="categoryEvent(2084250357)"&gt;{{"2084250357" | translate}}&lt;/a&gt;&lt;/li&gt;</v>
      </c>
    </row>
    <row r="120" spans="1:8" ht="14.25" customHeight="1">
      <c r="A120" s="2">
        <v>2084250358</v>
      </c>
      <c r="B120" s="2" t="s">
        <v>1035</v>
      </c>
      <c r="C120" s="2" t="s">
        <v>1037</v>
      </c>
      <c r="D120" s="2" t="s">
        <v>1040</v>
      </c>
      <c r="E120" s="3" t="str">
        <f ca="1">IFERROR(__xludf.DUMMYFUNCTION("GOOGLETRANSLATE(B120,""ja"",""vi"")"),"Mazinger Z")</f>
        <v>Mazinger Z</v>
      </c>
      <c r="F120" s="3" t="str">
        <f ca="1">IFERROR(__xludf.DUMMYFUNCTION("GOOGLETRANSLATE(C120,""ja"",""vi"")"),"Đấu giá&gt; đồ chơi, trò chơi&gt; mô hình nhựa&gt; Nhân vật&gt; Mazinger Z")</f>
        <v>Đấu giá&gt; đồ chơi, trò chơi&gt; mô hình nhựa&gt; Nhân vật&gt; Mazinger Z</v>
      </c>
      <c r="G120" s="229" t="str">
        <f t="shared" ca="1" si="2"/>
        <v>"2084250358" : "Mazinger Z",</v>
      </c>
      <c r="H120" s="229" t="str">
        <f t="shared" si="3"/>
        <v>&lt;li class="col-md-3"&gt;&lt;a class="text-cut" href="javascript:;"(click)="categoryEvent(2084250358)"&gt;{{"2084250358" | translate}}&lt;/a&gt;&lt;/li&gt;</v>
      </c>
    </row>
    <row r="121" spans="1:8" ht="14.25" customHeight="1">
      <c r="A121" s="2">
        <v>2084250371</v>
      </c>
      <c r="B121" s="2" t="s">
        <v>1044</v>
      </c>
      <c r="C121" s="2" t="s">
        <v>1047</v>
      </c>
      <c r="D121" s="2" t="s">
        <v>1048</v>
      </c>
      <c r="E121" s="3" t="str">
        <f ca="1">IFERROR(__xludf.DUMMYFUNCTION("GOOGLETRANSLATE(B121,""ja"",""vi"")"),"Majin Anh hùng Wataru")</f>
        <v>Majin Anh hùng Wataru</v>
      </c>
      <c r="F121" s="3" t="str">
        <f ca="1">IFERROR(__xludf.DUMMYFUNCTION("GOOGLETRANSLATE(C121,""ja"",""vi"")"),"Đấu giá&gt; đồ chơi, trò chơi&gt; mô hình nhựa&gt; Nhân vật&gt; Majin Anh hùng Wataru")</f>
        <v>Đấu giá&gt; đồ chơi, trò chơi&gt; mô hình nhựa&gt; Nhân vật&gt; Majin Anh hùng Wataru</v>
      </c>
      <c r="G121" s="229" t="str">
        <f t="shared" ca="1" si="2"/>
        <v>"2084250371" : "Majin Anh hùng Wataru",</v>
      </c>
      <c r="H121" s="229" t="str">
        <f t="shared" si="3"/>
        <v>&lt;li class="col-md-3"&gt;&lt;a class="text-cut" href="javascript:;"(click)="categoryEvent(2084250371)"&gt;{{"2084250371" | translate}}&lt;/a&gt;&lt;/li&gt;</v>
      </c>
    </row>
    <row r="122" spans="1:8" ht="14.25" customHeight="1">
      <c r="A122" s="2">
        <v>2084250359</v>
      </c>
      <c r="B122" s="2" t="s">
        <v>1052</v>
      </c>
      <c r="C122" s="2" t="s">
        <v>1054</v>
      </c>
      <c r="D122" s="2" t="s">
        <v>1056</v>
      </c>
      <c r="E122" s="3" t="str">
        <f ca="1">IFERROR(__xludf.DUMMYFUNCTION("GOOGLETRANSLATE(B122,""ja"",""vi"")"),"Robodatchi")</f>
        <v>Robodatchi</v>
      </c>
      <c r="F122" s="3" t="str">
        <f ca="1">IFERROR(__xludf.DUMMYFUNCTION("GOOGLETRANSLATE(C122,""ja"",""vi"")"),"Đấu giá&gt; đồ chơi, trò chơi&gt; mô hình nhựa&gt; Nhân vật&gt; Robodatchi")</f>
        <v>Đấu giá&gt; đồ chơi, trò chơi&gt; mô hình nhựa&gt; Nhân vật&gt; Robodatchi</v>
      </c>
      <c r="G122" s="229" t="str">
        <f t="shared" ca="1" si="2"/>
        <v>"2084250359" : "Robodatchi",</v>
      </c>
      <c r="H122" s="229" t="str">
        <f t="shared" si="3"/>
        <v>&lt;li class="col-md-3"&gt;&lt;a class="text-cut" href="javascript:;"(click)="categoryEvent(2084250359)"&gt;{{"2084250359" | translate}}&lt;/a&gt;&lt;/li&gt;</v>
      </c>
    </row>
    <row r="123" spans="1:8" ht="14.25" customHeight="1">
      <c r="A123" s="2">
        <v>2084250375</v>
      </c>
      <c r="B123" s="2" t="s">
        <v>1060</v>
      </c>
      <c r="C123" s="2" t="s">
        <v>1061</v>
      </c>
      <c r="D123" s="2" t="s">
        <v>1062</v>
      </c>
      <c r="E123" s="3" t="str">
        <f ca="1">IFERROR(__xludf.DUMMYFUNCTION("GOOGLETRANSLATE(B123,""ja"",""vi"")"),"thành phẩm")</f>
        <v>thành phẩm</v>
      </c>
      <c r="F123" s="3" t="str">
        <f ca="1">IFERROR(__xludf.DUMMYFUNCTION("GOOGLETRANSLATE(C123,""ja"",""vi"")"),"Đấu giá&gt; đồ chơi, trò chơi&gt; mô hình nhựa&gt; Nhân vật&gt; thành phẩm")</f>
        <v>Đấu giá&gt; đồ chơi, trò chơi&gt; mô hình nhựa&gt; Nhân vật&gt; thành phẩm</v>
      </c>
      <c r="G123" s="229" t="str">
        <f t="shared" ca="1" si="2"/>
        <v>"2084250375" : "thành phẩm",</v>
      </c>
      <c r="H123" s="229" t="str">
        <f t="shared" si="3"/>
        <v>&lt;li class="col-md-3"&gt;&lt;a class="text-cut" href="javascript:;"(click)="categoryEvent(2084250375)"&gt;{{"2084250375" | translate}}&lt;/a&gt;&lt;/li&gt;</v>
      </c>
    </row>
    <row r="124" spans="1:8" ht="14.25" customHeight="1">
      <c r="A124" s="2">
        <v>2084250373</v>
      </c>
      <c r="B124" s="2" t="s">
        <v>16</v>
      </c>
      <c r="C124" s="2" t="s">
        <v>1068</v>
      </c>
      <c r="D124" s="2" t="s">
        <v>1070</v>
      </c>
      <c r="E124" s="3" t="str">
        <f ca="1">IFERROR(__xludf.DUMMYFUNCTION("GOOGLETRANSLATE(B124,""ja"",""vi"")"),"nếu không thì")</f>
        <v>nếu không thì</v>
      </c>
      <c r="F124" s="3" t="str">
        <f ca="1">IFERROR(__xludf.DUMMYFUNCTION("GOOGLETRANSLATE(C124,""ja"",""vi"")"),"Đấu giá&gt; đồ chơi, trò chơi&gt; mô hình nhựa&gt; Nhân vật&gt; Khác")</f>
        <v>Đấu giá&gt; đồ chơi, trò chơi&gt; mô hình nhựa&gt; Nhân vật&gt; Khác</v>
      </c>
      <c r="G124" s="229" t="str">
        <f t="shared" ca="1" si="2"/>
        <v>"2084250373" : "nếu không thì",</v>
      </c>
      <c r="H124" s="229" t="str">
        <f t="shared" si="3"/>
        <v>&lt;li class="col-md-3"&gt;&lt;a class="text-cut" href="javascript:;"(click)="categoryEvent(2084250373)"&gt;{{"2084250373" | translate}}&lt;/a&gt;&lt;/li&gt;</v>
      </c>
    </row>
    <row r="125" spans="1:8" ht="14.25" customHeight="1">
      <c r="E125" s="3"/>
      <c r="F125" s="3"/>
      <c r="G125" s="229"/>
      <c r="H125" s="229"/>
    </row>
    <row r="126" spans="1:8" ht="25.8" customHeight="1">
      <c r="A126" s="250">
        <v>21636</v>
      </c>
      <c r="B126" s="232"/>
      <c r="C126" s="232"/>
      <c r="D126" s="233"/>
      <c r="E126" s="3"/>
      <c r="F126" s="3"/>
      <c r="G126" s="229"/>
      <c r="H126" s="229"/>
    </row>
    <row r="127" spans="1:8" ht="14.25" customHeight="1">
      <c r="A127" s="2">
        <v>2084261439</v>
      </c>
      <c r="B127" s="2" t="s">
        <v>1081</v>
      </c>
      <c r="C127" s="2" t="s">
        <v>1083</v>
      </c>
      <c r="D127" s="2" t="s">
        <v>1085</v>
      </c>
      <c r="E127" s="3" t="str">
        <f ca="1">IFERROR(__xludf.DUMMYFUNCTION("GOOGLETRANSLATE(B127,""ja"",""vi"")"),"Tổng khối lượng đặt")</f>
        <v>Tổng khối lượng đặt</v>
      </c>
      <c r="F127" s="3" t="str">
        <f ca="1">IFERROR(__xludf.DUMMYFUNCTION("GOOGLETRANSLATE(C127,""ja"",""vi"")"),"Đấu giá&gt; cuốn sách, tạp chí&gt; manga, truyện tranh&gt; toàn bộ khối lượng bộ")</f>
        <v>Đấu giá&gt; cuốn sách, tạp chí&gt; manga, truyện tranh&gt; toàn bộ khối lượng bộ</v>
      </c>
      <c r="G127" s="229" t="str">
        <f t="shared" ca="1" si="2"/>
        <v>"2084261439" : "Tổng khối lượng đặt",</v>
      </c>
      <c r="H127" s="229" t="str">
        <f t="shared" si="3"/>
        <v>&lt;li class="col-md-3"&gt;&lt;a class="text-cut" href="javascript:;"(click)="categoryEvent(2084261439)"&gt;{{"2084261439" | translate}}&lt;/a&gt;&lt;/li&gt;</v>
      </c>
    </row>
    <row r="128" spans="1:8" ht="14.25" customHeight="1">
      <c r="A128" s="2">
        <v>2084261457</v>
      </c>
      <c r="B128" s="2" t="s">
        <v>1086</v>
      </c>
      <c r="C128" s="2" t="s">
        <v>1087</v>
      </c>
      <c r="D128" s="2" t="s">
        <v>1088</v>
      </c>
      <c r="E128" s="3" t="str">
        <f ca="1">IFERROR(__xludf.DUMMYFUNCTION("GOOGLETRANSLATE(B128,""ja"",""vi"")"),"con trai")</f>
        <v>con trai</v>
      </c>
      <c r="F128" s="3" t="str">
        <f ca="1">IFERROR(__xludf.DUMMYFUNCTION("GOOGLETRANSLATE(C128,""ja"",""vi"")"),"Đấu giá&gt; cuốn sách, tạp chí&gt; manga, truyện tranh&gt; boy")</f>
        <v>Đấu giá&gt; cuốn sách, tạp chí&gt; manga, truyện tranh&gt; boy</v>
      </c>
      <c r="G128" s="229" t="str">
        <f t="shared" ca="1" si="2"/>
        <v>"2084261457" : "con trai",</v>
      </c>
      <c r="H128" s="229" t="str">
        <f t="shared" si="3"/>
        <v>&lt;li class="col-md-3"&gt;&lt;a class="text-cut" href="javascript:;"(click)="categoryEvent(2084261457)"&gt;{{"2084261457" | translate}}&lt;/a&gt;&lt;/li&gt;</v>
      </c>
    </row>
    <row r="129" spans="1:8" ht="14.25" customHeight="1">
      <c r="A129" s="2">
        <v>2084261458</v>
      </c>
      <c r="B129" s="2" t="s">
        <v>1089</v>
      </c>
      <c r="C129" s="2" t="s">
        <v>1090</v>
      </c>
      <c r="D129" s="2" t="s">
        <v>1091</v>
      </c>
      <c r="E129" s="3" t="str">
        <f ca="1">IFERROR(__xludf.DUMMYFUNCTION("GOOGLETRANSLATE(B129,""ja"",""vi"")"),"ít cô gái")</f>
        <v>ít cô gái</v>
      </c>
      <c r="F129" s="3" t="str">
        <f ca="1">IFERROR(__xludf.DUMMYFUNCTION("GOOGLETRANSLATE(C129,""ja"",""vi"")"),"Đấu giá&gt; cuốn sách, tạp chí&gt; manga, truyện tranh&gt; cô gái")</f>
        <v>Đấu giá&gt; cuốn sách, tạp chí&gt; manga, truyện tranh&gt; cô gái</v>
      </c>
      <c r="G129" s="229" t="str">
        <f t="shared" ca="1" si="2"/>
        <v>"2084261458" : "ít cô gái",</v>
      </c>
      <c r="H129" s="229" t="str">
        <f t="shared" si="3"/>
        <v>&lt;li class="col-md-3"&gt;&lt;a class="text-cut" href="javascript:;"(click)="categoryEvent(2084261458)"&gt;{{"2084261458" | translate}}&lt;/a&gt;&lt;/li&gt;</v>
      </c>
    </row>
    <row r="130" spans="1:8" ht="14.25" customHeight="1">
      <c r="A130" s="2">
        <v>2084261459</v>
      </c>
      <c r="B130" s="2" t="s">
        <v>1095</v>
      </c>
      <c r="C130" s="2" t="s">
        <v>1096</v>
      </c>
      <c r="D130" s="2" t="s">
        <v>1097</v>
      </c>
      <c r="E130" s="3" t="str">
        <f ca="1">IFERROR(__xludf.DUMMYFUNCTION("GOOGLETRANSLATE(B130,""ja"",""vi"")"),"tuổi trẻ")</f>
        <v>tuổi trẻ</v>
      </c>
      <c r="F130" s="3" t="str">
        <f ca="1">IFERROR(__xludf.DUMMYFUNCTION("GOOGLETRANSLATE(C130,""ja"",""vi"")"),"Đấu giá&gt; cuốn sách, tạp chí&gt; manga, truyện tranh&gt; trẻ")</f>
        <v>Đấu giá&gt; cuốn sách, tạp chí&gt; manga, truyện tranh&gt; trẻ</v>
      </c>
      <c r="G130" s="229" t="str">
        <f t="shared" ref="G130:G193" ca="1" si="4">CONCATENATE(CHAR(34)&amp;"",A130,""&amp;CHAR(34)," : ", CHAR(34)&amp;"",E130,""&amp;CHAR(34),",")</f>
        <v>"2084261459" : "tuổi trẻ",</v>
      </c>
      <c r="H130" s="229" t="str">
        <f t="shared" si="3"/>
        <v>&lt;li class="col-md-3"&gt;&lt;a class="text-cut" href="javascript:;"(click)="categoryEvent(2084261459)"&gt;{{"2084261459" | translate}}&lt;/a&gt;&lt;/li&gt;</v>
      </c>
    </row>
    <row r="131" spans="1:8" ht="14.25" customHeight="1">
      <c r="A131" s="2">
        <v>2084261460</v>
      </c>
      <c r="B131" s="2" t="s">
        <v>1101</v>
      </c>
      <c r="C131" s="2" t="s">
        <v>1102</v>
      </c>
      <c r="D131" s="2" t="s">
        <v>1103</v>
      </c>
      <c r="E131" s="3" t="str">
        <f ca="1">IFERROR(__xludf.DUMMYFUNCTION("GOOGLETRANSLATE(B131,""ja"",""vi"")"),"đàn bà")</f>
        <v>đàn bà</v>
      </c>
      <c r="F131" s="3" t="str">
        <f ca="1">IFERROR(__xludf.DUMMYFUNCTION("GOOGLETRANSLATE(C131,""ja"",""vi"")"),"Đấu giá&gt; cuốn sách, tạp chí&gt; manga, truyện tranh&gt; phụ nữ")</f>
        <v>Đấu giá&gt; cuốn sách, tạp chí&gt; manga, truyện tranh&gt; phụ nữ</v>
      </c>
      <c r="G131" s="229" t="str">
        <f t="shared" ca="1" si="4"/>
        <v>"2084261460" : "đàn bà",</v>
      </c>
      <c r="H131" s="229" t="str">
        <f t="shared" ref="H131:H194" si="5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href="javascript:;"(click)="categoryEvent(2084261460)"&gt;{{"2084261460" | translate}}&lt;/a&gt;&lt;/li&gt;</v>
      </c>
    </row>
    <row r="132" spans="1:8" ht="14.25" customHeight="1">
      <c r="A132" s="2">
        <v>2084040624</v>
      </c>
      <c r="B132" s="2" t="s">
        <v>1106</v>
      </c>
      <c r="C132" s="2" t="s">
        <v>1108</v>
      </c>
      <c r="D132" s="2" t="s">
        <v>1109</v>
      </c>
      <c r="E132" s="3" t="str">
        <f ca="1">IFERROR(__xludf.DUMMYFUNCTION("GOOGLETRANSLATE(B132,""ja"",""vi"")"),"boys Love")</f>
        <v>boys Love</v>
      </c>
      <c r="F132" s="3" t="str">
        <f ca="1">IFERROR(__xludf.DUMMYFUNCTION("GOOGLETRANSLATE(C132,""ja"",""vi"")"),"Đấu giá&gt; cuốn sách, tạp chí&gt; manga, truyện tranh&gt; Boys Love")</f>
        <v>Đấu giá&gt; cuốn sách, tạp chí&gt; manga, truyện tranh&gt; Boys Love</v>
      </c>
      <c r="G132" s="229" t="str">
        <f t="shared" ca="1" si="4"/>
        <v>"2084040624" : "boys Love",</v>
      </c>
      <c r="H132" s="229" t="str">
        <f t="shared" si="5"/>
        <v>&lt;li class="col-md-3"&gt;&lt;a class="text-cut" href="javascript:;"(click)="categoryEvent(2084040624)"&gt;{{"2084040624" | translate}}&lt;/a&gt;&lt;/li&gt;</v>
      </c>
    </row>
    <row r="133" spans="1:8" ht="14.25" customHeight="1">
      <c r="A133" s="2">
        <v>2084005146</v>
      </c>
      <c r="B133" s="2" t="s">
        <v>1110</v>
      </c>
      <c r="C133" s="2" t="s">
        <v>1111</v>
      </c>
      <c r="D133" s="2" t="s">
        <v>1113</v>
      </c>
      <c r="E133" s="3" t="str">
        <f ca="1">IFERROR(__xludf.DUMMYFUNCTION("GOOGLETRANSLATE(B133,""ja"",""vi"")"),"doujinshi")</f>
        <v>doujinshi</v>
      </c>
      <c r="F133" s="3" t="str">
        <f ca="1">IFERROR(__xludf.DUMMYFUNCTION("GOOGLETRANSLATE(C133,""ja"",""vi"")"),"Đấu giá&gt; cuốn sách, tạp chí&gt; manga, truyện tranh&gt; fanzine")</f>
        <v>Đấu giá&gt; cuốn sách, tạp chí&gt; manga, truyện tranh&gt; fanzine</v>
      </c>
      <c r="G133" s="229" t="str">
        <f t="shared" ca="1" si="4"/>
        <v>"2084005146" : "doujinshi",</v>
      </c>
      <c r="H133" s="229" t="str">
        <f t="shared" si="5"/>
        <v>&lt;li class="col-md-3"&gt;&lt;a class="text-cut" href="javascript:;"(click)="categoryEvent(2084005146)"&gt;{{"2084005146" | translate}}&lt;/a&gt;&lt;/li&gt;</v>
      </c>
    </row>
    <row r="134" spans="1:8" ht="14.25" customHeight="1">
      <c r="A134" s="2">
        <v>2084008144</v>
      </c>
      <c r="B134" s="2" t="s">
        <v>1116</v>
      </c>
      <c r="C134" s="2" t="s">
        <v>1117</v>
      </c>
      <c r="D134" s="2" t="s">
        <v>1120</v>
      </c>
      <c r="E134" s="3" t="str">
        <f ca="1">IFERROR(__xludf.DUMMYFUNCTION("GOOGLETRANSLATE(B134,""ja"",""vi"")"),"dải phim hoạt hình")</f>
        <v>dải phim hoạt hình</v>
      </c>
      <c r="F134" s="3" t="str">
        <f ca="1">IFERROR(__xludf.DUMMYFUNCTION("GOOGLETRANSLATE(C134,""ja"",""vi"")"),"Đấu giá&gt; cuốn sách, tạp chí&gt; manga, truyện tranh&gt; tạp chí truyện tranh")</f>
        <v>Đấu giá&gt; cuốn sách, tạp chí&gt; manga, truyện tranh&gt; tạp chí truyện tranh</v>
      </c>
      <c r="G134" s="229" t="str">
        <f t="shared" ca="1" si="4"/>
        <v>"2084008144" : "dải phim hoạt hình",</v>
      </c>
      <c r="H134" s="229" t="str">
        <f t="shared" si="5"/>
        <v>&lt;li class="col-md-3"&gt;&lt;a class="text-cut" href="javascript:;"(click)="categoryEvent(2084008144)"&gt;{{"2084008144" | translate}}&lt;/a&gt;&lt;/li&gt;</v>
      </c>
    </row>
    <row r="135" spans="1:8" ht="14.25" customHeight="1">
      <c r="A135" s="2">
        <v>2084008750</v>
      </c>
      <c r="B135" s="2" t="s">
        <v>1121</v>
      </c>
      <c r="C135" s="2" t="s">
        <v>1122</v>
      </c>
      <c r="D135" s="2" t="s">
        <v>1123</v>
      </c>
      <c r="E135" s="3" t="str">
        <f ca="1">IFERROR(__xludf.DUMMYFUNCTION("GOOGLETRANSLATE(B135,""ja"",""vi"")"),"truyện tranh, làm việc ở nước ngoài của Mỹ")</f>
        <v>truyện tranh, làm việc ở nước ngoài của Mỹ</v>
      </c>
      <c r="F135" s="3" t="str">
        <f ca="1">IFERROR(__xludf.DUMMYFUNCTION("GOOGLETRANSLATE(C135,""ja"",""vi"")"),"Đấu giá&gt; cuốn sách, tạp chí&gt; manga, truyện tranh&gt; truyện tranh, làm việc ở nước ngoài của Mỹ")</f>
        <v>Đấu giá&gt; cuốn sách, tạp chí&gt; manga, truyện tranh&gt; truyện tranh, làm việc ở nước ngoài của Mỹ</v>
      </c>
      <c r="G135" s="229" t="str">
        <f t="shared" ca="1" si="4"/>
        <v>"2084008750" : "truyện tranh, làm việc ở nước ngoài của Mỹ",</v>
      </c>
      <c r="H135" s="229" t="str">
        <f t="shared" si="5"/>
        <v>&lt;li class="col-md-3"&gt;&lt;a class="text-cut" href="javascript:;"(click)="categoryEvent(2084008750)"&gt;{{"2084008750" | translate}}&lt;/a&gt;&lt;/li&gt;</v>
      </c>
    </row>
    <row r="136" spans="1:8" ht="14.25" customHeight="1">
      <c r="A136" s="2">
        <v>2084008751</v>
      </c>
      <c r="B136" s="2" t="s">
        <v>1124</v>
      </c>
      <c r="C136" s="2" t="s">
        <v>1125</v>
      </c>
      <c r="D136" s="2" t="s">
        <v>1126</v>
      </c>
      <c r="E136" s="3" t="str">
        <f ca="1">IFERROR(__xludf.DUMMYFUNCTION("GOOGLETRANSLATE(B136,""ja"",""vi"")"),"bộ sưu tập hình minh họa, bộ sưu tập hình ảnh gốc")</f>
        <v>bộ sưu tập hình minh họa, bộ sưu tập hình ảnh gốc</v>
      </c>
      <c r="F136" s="3" t="str">
        <f ca="1">IFERROR(__xludf.DUMMYFUNCTION("GOOGLETRANSLATE(C136,""ja"",""vi"")"),"Đấu giá&gt; cuốn sách, tạp chí&gt; manga, truyện tranh&gt; Bộ sưu tập minh hoạ, bộ sưu tập hình ảnh gốc")</f>
        <v>Đấu giá&gt; cuốn sách, tạp chí&gt; manga, truyện tranh&gt; Bộ sưu tập minh hoạ, bộ sưu tập hình ảnh gốc</v>
      </c>
      <c r="G136" s="229" t="str">
        <f t="shared" ca="1" si="4"/>
        <v>"2084008751" : "bộ sưu tập hình minh họa, bộ sưu tập hình ảnh gốc",</v>
      </c>
      <c r="H136" s="229" t="str">
        <f t="shared" si="5"/>
        <v>&lt;li class="col-md-3"&gt;&lt;a class="text-cut" href="javascript:;"(click)="categoryEvent(2084008751)"&gt;{{"2084008751" | translate}}&lt;/a&gt;&lt;/li&gt;</v>
      </c>
    </row>
    <row r="137" spans="1:8" ht="14.25" customHeight="1">
      <c r="A137" s="2">
        <v>21639</v>
      </c>
      <c r="B137" s="2" t="s">
        <v>16</v>
      </c>
      <c r="C137" s="2" t="s">
        <v>1127</v>
      </c>
      <c r="D137" s="2" t="s">
        <v>1128</v>
      </c>
      <c r="E137" s="3" t="str">
        <f ca="1">IFERROR(__xludf.DUMMYFUNCTION("GOOGLETRANSLATE(B137,""ja"",""vi"")"),"nếu không thì")</f>
        <v>nếu không thì</v>
      </c>
      <c r="F137" s="3" t="str">
        <f ca="1">IFERROR(__xludf.DUMMYFUNCTION("GOOGLETRANSLATE(C137,""ja"",""vi"")"),"Đấu giá&gt; cuốn sách, tạp chí&gt; manga, truyện tranh&gt; Khác")</f>
        <v>Đấu giá&gt; cuốn sách, tạp chí&gt; manga, truyện tranh&gt; Khác</v>
      </c>
      <c r="G137" s="229" t="str">
        <f t="shared" ca="1" si="4"/>
        <v>"21639" : "nếu không thì",</v>
      </c>
      <c r="H137" s="229" t="str">
        <f t="shared" si="5"/>
        <v>&lt;li class="col-md-3"&gt;&lt;a class="text-cut" href="javascript:;"(click)="categoryEvent(21639)"&gt;{{"21639" | translate}}&lt;/a&gt;&lt;/li&gt;</v>
      </c>
    </row>
    <row r="138" spans="1:8" ht="14.25" customHeight="1">
      <c r="E138" s="3"/>
      <c r="F138" s="3"/>
      <c r="G138" s="229"/>
      <c r="H138" s="229"/>
    </row>
    <row r="139" spans="1:8" ht="21" customHeight="1">
      <c r="A139" s="251">
        <v>21976</v>
      </c>
      <c r="B139" s="232"/>
      <c r="C139" s="232"/>
      <c r="D139" s="233"/>
      <c r="E139" s="3"/>
      <c r="F139" s="3"/>
      <c r="G139" s="229"/>
      <c r="H139" s="229"/>
    </row>
    <row r="140" spans="1:8" ht="14.25" customHeight="1">
      <c r="A140" s="2">
        <v>2084057188</v>
      </c>
      <c r="B140" s="2" t="s">
        <v>1135</v>
      </c>
      <c r="C140" s="2" t="s">
        <v>1136</v>
      </c>
      <c r="D140" s="2" t="s">
        <v>1138</v>
      </c>
      <c r="E140" s="3" t="str">
        <f ca="1">IFERROR(__xludf.DUMMYFUNCTION("GOOGLETRANSLATE(B140,""ja"",""vi"")"),"sơn mài Nhật")</f>
        <v>sơn mài Nhật</v>
      </c>
      <c r="F140" s="3" t="str">
        <f ca="1">IFERROR(__xludf.DUMMYFUNCTION("GOOGLETRANSLATE(C140,""ja"",""vi"")"),"Đấu giá&gt; phim, video&gt; DVD&gt; Anime&gt; Nhật Bản")</f>
        <v>Đấu giá&gt; phim, video&gt; DVD&gt; Anime&gt; Nhật Bản</v>
      </c>
      <c r="G140" s="229" t="str">
        <f t="shared" ca="1" si="4"/>
        <v>"2084057188" : "sơn mài Nhật",</v>
      </c>
      <c r="H140" s="229" t="str">
        <f t="shared" si="5"/>
        <v>&lt;li class="col-md-3"&gt;&lt;a class="text-cut" href="javascript:;"(click)="categoryEvent(2084057188)"&gt;{{"2084057188" | translate}}&lt;/a&gt;&lt;/li&gt;</v>
      </c>
    </row>
    <row r="141" spans="1:8" ht="14.25" customHeight="1">
      <c r="A141" s="2">
        <v>2084057189</v>
      </c>
      <c r="B141" s="2" t="s">
        <v>72</v>
      </c>
      <c r="C141" s="2" t="s">
        <v>1142</v>
      </c>
      <c r="D141" s="2" t="s">
        <v>1144</v>
      </c>
      <c r="E141" s="3" t="str">
        <f ca="1">IFERROR(__xludf.DUMMYFUNCTION("GOOGLETRANSLATE(B141,""ja"",""vi"")"),"nước ngoài")</f>
        <v>nước ngoài</v>
      </c>
      <c r="F141" s="3" t="str">
        <f ca="1">IFERROR(__xludf.DUMMYFUNCTION("GOOGLETRANSLATE(C141,""ja"",""vi"")"),"Đấu giá&gt; phim, video&gt; DVD&gt; Anime&gt; Overseas")</f>
        <v>Đấu giá&gt; phim, video&gt; DVD&gt; Anime&gt; Overseas</v>
      </c>
      <c r="G141" s="229" t="str">
        <f t="shared" ca="1" si="4"/>
        <v>"2084057189" : "nước ngoài",</v>
      </c>
      <c r="H141" s="229" t="str">
        <f t="shared" si="5"/>
        <v>&lt;li class="col-md-3"&gt;&lt;a class="text-cut" href="javascript:;"(click)="categoryEvent(2084057189)"&gt;{{"2084057189" | translate}}&lt;/a&gt;&lt;/li&gt;</v>
      </c>
    </row>
    <row r="142" spans="1:8" ht="14.25" customHeight="1">
      <c r="E142" s="3"/>
      <c r="F142" s="3"/>
      <c r="G142" s="229"/>
      <c r="H142" s="229"/>
    </row>
    <row r="143" spans="1:8" ht="24" customHeight="1">
      <c r="A143" s="247">
        <v>22080</v>
      </c>
      <c r="B143" s="232"/>
      <c r="C143" s="232"/>
      <c r="D143" s="233"/>
      <c r="E143" s="3"/>
      <c r="F143" s="3"/>
      <c r="G143" s="229"/>
      <c r="H143" s="229"/>
    </row>
    <row r="144" spans="1:8" ht="14.25" customHeight="1">
      <c r="A144" s="2">
        <v>2084057185</v>
      </c>
      <c r="B144" s="2" t="s">
        <v>1135</v>
      </c>
      <c r="C144" s="2" t="s">
        <v>1159</v>
      </c>
      <c r="D144" s="2" t="s">
        <v>1161</v>
      </c>
      <c r="E144" s="3" t="str">
        <f ca="1">IFERROR(__xludf.DUMMYFUNCTION("GOOGLETRANSLATE(B144,""ja"",""vi"")"),"sơn mài Nhật")</f>
        <v>sơn mài Nhật</v>
      </c>
      <c r="F144" s="3" t="str">
        <f ca="1">IFERROR(__xludf.DUMMYFUNCTION("GOOGLETRANSLATE(C144,""ja"",""vi"")"),"Đấu giá&gt; phim, video&gt; băng video&gt; Anime&gt; Nhật Bản")</f>
        <v>Đấu giá&gt; phim, video&gt; băng video&gt; Anime&gt; Nhật Bản</v>
      </c>
      <c r="G144" s="229" t="str">
        <f t="shared" ca="1" si="4"/>
        <v>"2084057185" : "sơn mài Nhật",</v>
      </c>
      <c r="H144" s="229" t="str">
        <f t="shared" si="5"/>
        <v>&lt;li class="col-md-3"&gt;&lt;a class="text-cut" href="javascript:;"(click)="categoryEvent(2084057185)"&gt;{{"2084057185" | translate}}&lt;/a&gt;&lt;/li&gt;</v>
      </c>
    </row>
    <row r="145" spans="1:8" ht="14.25" customHeight="1">
      <c r="A145" s="2">
        <v>2084057186</v>
      </c>
      <c r="B145" s="2" t="s">
        <v>72</v>
      </c>
      <c r="C145" s="2" t="s">
        <v>1165</v>
      </c>
      <c r="D145" s="2" t="s">
        <v>1168</v>
      </c>
      <c r="E145" s="3" t="str">
        <f ca="1">IFERROR(__xludf.DUMMYFUNCTION("GOOGLETRANSLATE(B145,""ja"",""vi"")"),"nước ngoài")</f>
        <v>nước ngoài</v>
      </c>
      <c r="F145" s="3" t="str">
        <f ca="1">IFERROR(__xludf.DUMMYFUNCTION("GOOGLETRANSLATE(C145,""ja"",""vi"")"),"Đấu giá&gt; phim, video&gt; băng video&gt; Anime&gt; Overseas")</f>
        <v>Đấu giá&gt; phim, video&gt; băng video&gt; Anime&gt; Overseas</v>
      </c>
      <c r="G145" s="229" t="str">
        <f t="shared" ca="1" si="4"/>
        <v>"2084057186" : "nước ngoài",</v>
      </c>
      <c r="H145" s="229" t="str">
        <f t="shared" si="5"/>
        <v>&lt;li class="col-md-3"&gt;&lt;a class="text-cut" href="javascript:;"(click)="categoryEvent(2084057186)"&gt;{{"2084057186" | translate}}&lt;/a&gt;&lt;/li&gt;</v>
      </c>
    </row>
    <row r="146" spans="1:8" ht="14.25" customHeight="1">
      <c r="E146" s="3"/>
      <c r="F146" s="3"/>
      <c r="G146" s="229"/>
      <c r="H146" s="229"/>
    </row>
    <row r="147" spans="1:8" ht="21" customHeight="1">
      <c r="A147" s="248">
        <v>2084005149</v>
      </c>
      <c r="B147" s="232"/>
      <c r="C147" s="232"/>
      <c r="D147" s="233"/>
      <c r="E147" s="3"/>
      <c r="F147" s="3"/>
      <c r="G147" s="229"/>
      <c r="H147" s="229"/>
    </row>
    <row r="148" spans="1:8" ht="14.25" customHeight="1">
      <c r="A148" s="2">
        <v>2084006959</v>
      </c>
      <c r="B148" s="2" t="s">
        <v>1183</v>
      </c>
      <c r="C148" s="2" t="s">
        <v>1185</v>
      </c>
      <c r="D148" s="2" t="s">
        <v>1187</v>
      </c>
      <c r="E148" s="3" t="str">
        <f ca="1">IFERROR(__xludf.DUMMYFUNCTION("GOOGLETRANSLATE(B148,""ja"",""vi"")"),"Anime chung bài hát")</f>
        <v>Anime chung bài hát</v>
      </c>
      <c r="F148" s="3" t="str">
        <f ca="1">IFERROR(__xludf.DUMMYFUNCTION("GOOGLETRANSLATE(C148,""ja"",""vi"")"),"Đấu giá&gt; Âm nhạc&gt; CD&gt; phim hoạt hình bài hát&gt; phim hoạt hình nói chung bài hát")</f>
        <v>Đấu giá&gt; Âm nhạc&gt; CD&gt; phim hoạt hình bài hát&gt; phim hoạt hình nói chung bài hát</v>
      </c>
      <c r="G148" s="229" t="str">
        <f t="shared" ca="1" si="4"/>
        <v>"2084006959" : "Anime chung bài hát",</v>
      </c>
      <c r="H148" s="229" t="str">
        <f t="shared" si="5"/>
        <v>&lt;li class="col-md-3"&gt;&lt;a class="text-cut" href="javascript:;"(click)="categoryEvent(2084006959)"&gt;{{"2084006959" | translate}}&lt;/a&gt;&lt;/li&gt;</v>
      </c>
    </row>
    <row r="149" spans="1:8" ht="14.25" customHeight="1">
      <c r="A149" s="2">
        <v>2084047607</v>
      </c>
      <c r="B149" s="2" t="s">
        <v>1190</v>
      </c>
      <c r="C149" s="2" t="s">
        <v>1192</v>
      </c>
      <c r="D149" s="2" t="s">
        <v>1193</v>
      </c>
      <c r="E149" s="3" t="str">
        <f ca="1">IFERROR(__xludf.DUMMYFUNCTION("GOOGLETRANSLATE(B149,""ja"",""vi"")"),"Fushigi Yugi")</f>
        <v>Fushigi Yugi</v>
      </c>
      <c r="F149" s="3" t="str">
        <f ca="1">IFERROR(__xludf.DUMMYFUNCTION("GOOGLETRANSLATE(C149,""ja"",""vi"")"),"Đấu giá&gt; Âm nhạc&gt; CD&gt; phim hoạt hình bài hát&gt; Fushigi Yugi")</f>
        <v>Đấu giá&gt; Âm nhạc&gt; CD&gt; phim hoạt hình bài hát&gt; Fushigi Yugi</v>
      </c>
      <c r="G149" s="229" t="str">
        <f t="shared" ca="1" si="4"/>
        <v>"2084047607" : "Fushigi Yugi",</v>
      </c>
      <c r="H149" s="229" t="str">
        <f t="shared" si="5"/>
        <v>&lt;li class="col-md-3"&gt;&lt;a class="text-cut" href="javascript:;"(click)="categoryEvent(2084047607)"&gt;{{"2084047607" | translate}}&lt;/a&gt;&lt;/li&gt;</v>
      </c>
    </row>
    <row r="150" spans="1:8" ht="14.25" customHeight="1">
      <c r="A150" s="2">
        <v>2084006960</v>
      </c>
      <c r="B150" s="2" t="s">
        <v>895</v>
      </c>
      <c r="C150" s="2" t="s">
        <v>1194</v>
      </c>
      <c r="D150" s="2" t="s">
        <v>1195</v>
      </c>
      <c r="E150" s="3" t="str">
        <f ca="1">IFERROR(__xludf.DUMMYFUNCTION("GOOGLETRANSLATE(B150,""ja"",""vi"")"),"Gundam")</f>
        <v>Gundam</v>
      </c>
      <c r="F150" s="3" t="str">
        <f ca="1">IFERROR(__xludf.DUMMYFUNCTION("GOOGLETRANSLATE(C150,""ja"",""vi"")"),"Đấu giá&gt; Âm nhạc&gt; CD&gt; phim hoạt hình bài hát&gt; Gundam")</f>
        <v>Đấu giá&gt; Âm nhạc&gt; CD&gt; phim hoạt hình bài hát&gt; Gundam</v>
      </c>
      <c r="G150" s="229" t="str">
        <f t="shared" ca="1" si="4"/>
        <v>"2084006960" : "Gundam",</v>
      </c>
      <c r="H150" s="229" t="str">
        <f t="shared" si="5"/>
        <v>&lt;li class="col-md-3"&gt;&lt;a class="text-cut" href="javascript:;"(click)="categoryEvent(2084006960)"&gt;{{"2084006960" | translate}}&lt;/a&gt;&lt;/li&gt;</v>
      </c>
    </row>
    <row r="151" spans="1:8" ht="14.25" customHeight="1">
      <c r="A151" s="2">
        <v>2084243365</v>
      </c>
      <c r="B151" s="2" t="s">
        <v>947</v>
      </c>
      <c r="C151" s="2" t="s">
        <v>1199</v>
      </c>
      <c r="D151" s="2" t="s">
        <v>1200</v>
      </c>
      <c r="E151" s="3" t="str">
        <f ca="1">IFERROR(__xludf.DUMMYFUNCTION("GOOGLETRANSLATE(B151,""ja"",""vi"")"),"Studio Ghibli")</f>
        <v>Studio Ghibli</v>
      </c>
      <c r="F151" s="3" t="str">
        <f ca="1">IFERROR(__xludf.DUMMYFUNCTION("GOOGLETRANSLATE(C151,""ja"",""vi"")"),"Đấu giá&gt; Âm nhạc&gt; CD&gt; phim hoạt bài hát&gt; Studio Ghibli")</f>
        <v>Đấu giá&gt; Âm nhạc&gt; CD&gt; phim hoạt bài hát&gt; Studio Ghibli</v>
      </c>
      <c r="G151" s="229" t="str">
        <f t="shared" ca="1" si="4"/>
        <v>"2084243365" : "Studio Ghibli",</v>
      </c>
      <c r="H151" s="229" t="str">
        <f t="shared" si="5"/>
        <v>&lt;li class="col-md-3"&gt;&lt;a class="text-cut" href="javascript:;"(click)="categoryEvent(2084243365)"&gt;{{"2084243365" | translate}}&lt;/a&gt;&lt;/li&gt;</v>
      </c>
    </row>
    <row r="152" spans="1:8" ht="14.25" customHeight="1">
      <c r="A152" s="2">
        <v>2084006963</v>
      </c>
      <c r="B152" s="2" t="s">
        <v>1201</v>
      </c>
      <c r="C152" s="2" t="s">
        <v>1202</v>
      </c>
      <c r="D152" s="2" t="s">
        <v>1204</v>
      </c>
      <c r="E152" s="3" t="str">
        <f ca="1">IFERROR(__xludf.DUMMYFUNCTION("GOOGLETRANSLATE(B152,""ja"",""vi"")"),"Slayers")</f>
        <v>Slayers</v>
      </c>
      <c r="F152" s="3" t="str">
        <f ca="1">IFERROR(__xludf.DUMMYFUNCTION("GOOGLETRANSLATE(C152,""ja"",""vi"")"),"Đấu giá&gt; Âm nhạc&gt; CD&gt; phim hoạt hình bài hát&gt; Slayers")</f>
        <v>Đấu giá&gt; Âm nhạc&gt; CD&gt; phim hoạt hình bài hát&gt; Slayers</v>
      </c>
      <c r="G152" s="229" t="str">
        <f t="shared" ca="1" si="4"/>
        <v>"2084006963" : "Slayers",</v>
      </c>
      <c r="H152" s="229" t="str">
        <f t="shared" si="5"/>
        <v>&lt;li class="col-md-3"&gt;&lt;a class="text-cut" href="javascript:;"(click)="categoryEvent(2084006963)"&gt;{{"2084006963" | translate}}&lt;/a&gt;&lt;/li&gt;</v>
      </c>
    </row>
    <row r="153" spans="1:8" ht="14.25" customHeight="1">
      <c r="A153" s="2">
        <v>2084243366</v>
      </c>
      <c r="B153" s="2" t="s">
        <v>1207</v>
      </c>
      <c r="C153" s="2" t="s">
        <v>1208</v>
      </c>
      <c r="D153" s="2" t="s">
        <v>1209</v>
      </c>
      <c r="E153" s="3" t="str">
        <f ca="1">IFERROR(__xludf.DUMMYFUNCTION("GOOGLETRANSLATE(B153,""ja"",""vi"")"),"Disney")</f>
        <v>Disney</v>
      </c>
      <c r="F153" s="3" t="str">
        <f ca="1">IFERROR(__xludf.DUMMYFUNCTION("GOOGLETRANSLATE(C153,""ja"",""vi"")"),"Đấu giá&gt; Âm nhạc&gt; CD&gt; phim hoạt hình bài hát&gt; Disney")</f>
        <v>Đấu giá&gt; Âm nhạc&gt; CD&gt; phim hoạt hình bài hát&gt; Disney</v>
      </c>
      <c r="G153" s="229" t="str">
        <f t="shared" ca="1" si="4"/>
        <v>"2084243366" : "Disney",</v>
      </c>
      <c r="H153" s="229" t="str">
        <f t="shared" si="5"/>
        <v>&lt;li class="col-md-3"&gt;&lt;a class="text-cut" href="javascript:;"(click)="categoryEvent(2084243366)"&gt;{{"2084243366" | translate}}&lt;/a&gt;&lt;/li&gt;</v>
      </c>
    </row>
    <row r="154" spans="1:8" ht="14.25" customHeight="1">
      <c r="A154" s="2">
        <v>2084006965</v>
      </c>
      <c r="B154" s="2" t="s">
        <v>1020</v>
      </c>
      <c r="C154" s="2" t="s">
        <v>1210</v>
      </c>
      <c r="D154" s="2" t="s">
        <v>1211</v>
      </c>
      <c r="E154" s="3" t="str">
        <f ca="1">IFERROR(__xludf.DUMMYFUNCTION("GOOGLETRANSLATE(B154,""ja"",""vi"")"),"Macross")</f>
        <v>Macross</v>
      </c>
      <c r="F154" s="3" t="str">
        <f ca="1">IFERROR(__xludf.DUMMYFUNCTION("GOOGLETRANSLATE(C154,""ja"",""vi"")"),"Đấu giá&gt; Âm nhạc&gt; CD&gt; phim hoạt hình bài hát&gt; Macross")</f>
        <v>Đấu giá&gt; Âm nhạc&gt; CD&gt; phim hoạt hình bài hát&gt; Macross</v>
      </c>
      <c r="G154" s="229" t="str">
        <f t="shared" ca="1" si="4"/>
        <v>"2084006965" : "Macross",</v>
      </c>
      <c r="H154" s="229" t="str">
        <f t="shared" si="5"/>
        <v>&lt;li class="col-md-3"&gt;&lt;a class="text-cut" href="javascript:;"(click)="categoryEvent(2084006965)"&gt;{{"2084006965" | translate}}&lt;/a&gt;&lt;/li&gt;</v>
      </c>
    </row>
    <row r="155" spans="1:8" ht="14.25" customHeight="1">
      <c r="A155" s="2">
        <v>2084006968</v>
      </c>
      <c r="B155" s="2" t="s">
        <v>1213</v>
      </c>
      <c r="C155" s="2" t="s">
        <v>1214</v>
      </c>
      <c r="D155" s="2" t="s">
        <v>1215</v>
      </c>
      <c r="E155" s="3" t="str">
        <f ca="1">IFERROR(__xludf.DUMMYFUNCTION("GOOGLETRANSLATE(B155,""ja"",""vi"")"),"Lupin III")</f>
        <v>Lupin III</v>
      </c>
      <c r="F155" s="3" t="str">
        <f ca="1">IFERROR(__xludf.DUMMYFUNCTION("GOOGLETRANSLATE(C155,""ja"",""vi"")"),"Đấu giá&gt; Âm nhạc&gt; CD&gt; phim hoạt hình bài hát&gt; Lupin the Third")</f>
        <v>Đấu giá&gt; Âm nhạc&gt; CD&gt; phim hoạt hình bài hát&gt; Lupin the Third</v>
      </c>
      <c r="G155" s="229" t="str">
        <f t="shared" ca="1" si="4"/>
        <v>"2084006968" : "Lupin III",</v>
      </c>
      <c r="H155" s="229" t="str">
        <f t="shared" si="5"/>
        <v>&lt;li class="col-md-3"&gt;&lt;a class="text-cut" href="javascript:;"(click)="categoryEvent(2084006968)"&gt;{{"2084006968" | translate}}&lt;/a&gt;&lt;/li&gt;</v>
      </c>
    </row>
    <row r="156" spans="1:8" ht="14.25" customHeight="1">
      <c r="A156" s="2">
        <v>2084006969</v>
      </c>
      <c r="B156" s="2" t="s">
        <v>1220</v>
      </c>
      <c r="C156" s="2" t="s">
        <v>1222</v>
      </c>
      <c r="D156" s="2" t="s">
        <v>1223</v>
      </c>
      <c r="E156" s="3" t="str">
        <f ca="1">IFERROR(__xludf.DUMMYFUNCTION("GOOGLETRANSLATE(B156,""ja"",""vi"")"),"Nadesico")</f>
        <v>Nadesico</v>
      </c>
      <c r="F156" s="3" t="str">
        <f ca="1">IFERROR(__xludf.DUMMYFUNCTION("GOOGLETRANSLATE(C156,""ja"",""vi"")"),"Đấu giá&gt; Âm nhạc&gt; CD&gt; phim hoạt hình bài hát&gt; Nadesico")</f>
        <v>Đấu giá&gt; Âm nhạc&gt; CD&gt; phim hoạt hình bài hát&gt; Nadesico</v>
      </c>
      <c r="G156" s="229" t="str">
        <f t="shared" ca="1" si="4"/>
        <v>"2084006969" : "Nadesico",</v>
      </c>
      <c r="H156" s="229" t="str">
        <f t="shared" si="5"/>
        <v>&lt;li class="col-md-3"&gt;&lt;a class="text-cut" href="javascript:;"(click)="categoryEvent(2084006969)"&gt;{{"2084006969" | translate}}&lt;/a&gt;&lt;/li&gt;</v>
      </c>
    </row>
    <row r="157" spans="1:8" ht="14.25" customHeight="1">
      <c r="A157" s="2">
        <v>2084006962</v>
      </c>
      <c r="B157" s="2" t="s">
        <v>1228</v>
      </c>
      <c r="C157" s="2" t="s">
        <v>1230</v>
      </c>
      <c r="D157" s="2" t="s">
        <v>1231</v>
      </c>
      <c r="E157" s="3" t="str">
        <f ca="1">IFERROR(__xludf.DUMMYFUNCTION("GOOGLETRANSLATE(B157,""ja"",""vi"")"),"Tương lai GPX Cyber ​​Formula")</f>
        <v>Tương lai GPX Cyber ​​Formula</v>
      </c>
      <c r="F157" s="3" t="str">
        <f ca="1">IFERROR(__xludf.DUMMYFUNCTION("GOOGLETRANSLATE(C157,""ja"",""vi"")"),"Đấu giá&gt; Âm nhạc&gt; CD&gt; phim hoạt hình bài hát&gt; Future GPX Cyber ​​Formula")</f>
        <v>Đấu giá&gt; Âm nhạc&gt; CD&gt; phim hoạt hình bài hát&gt; Future GPX Cyber ​​Formula</v>
      </c>
      <c r="G157" s="229" t="str">
        <f t="shared" ca="1" si="4"/>
        <v>"2084006962" : "Tương lai GPX Cyber ​​Formula",</v>
      </c>
      <c r="H157" s="229" t="str">
        <f t="shared" si="5"/>
        <v>&lt;li class="col-md-3"&gt;&lt;a class="text-cut" href="javascript:;"(click)="categoryEvent(2084006962)"&gt;{{"2084006962" | translate}}&lt;/a&gt;&lt;/li&gt;</v>
      </c>
    </row>
    <row r="158" spans="1:8" ht="14.25" customHeight="1">
      <c r="A158" s="2">
        <v>2084006964</v>
      </c>
      <c r="B158" s="2" t="s">
        <v>960</v>
      </c>
      <c r="C158" s="2" t="s">
        <v>1236</v>
      </c>
      <c r="D158" s="2" t="s">
        <v>1237</v>
      </c>
      <c r="E158" s="3" t="str">
        <f ca="1">IFERROR(__xludf.DUMMYFUNCTION("GOOGLETRANSLATE(B158,""ja"",""vi"")"),"Neon Genesis Evangelion")</f>
        <v>Neon Genesis Evangelion</v>
      </c>
      <c r="F158" s="3" t="str">
        <f ca="1">IFERROR(__xludf.DUMMYFUNCTION("GOOGLETRANSLATE(C158,""ja"",""vi"")"),"Đấu giá&gt; Âm nhạc&gt; CD&gt; phim hoạt hình bài hát&gt; Neon Genesis Evangelion")</f>
        <v>Đấu giá&gt; Âm nhạc&gt; CD&gt; phim hoạt hình bài hát&gt; Neon Genesis Evangelion</v>
      </c>
      <c r="G158" s="229" t="str">
        <f t="shared" ca="1" si="4"/>
        <v>"2084006964" : "Neon Genesis Evangelion",</v>
      </c>
      <c r="H158" s="229" t="str">
        <f t="shared" si="5"/>
        <v>&lt;li class="col-md-3"&gt;&lt;a class="text-cut" href="javascript:;"(click)="categoryEvent(2084006964)"&gt;{{"2084006964" | translate}}&lt;/a&gt;&lt;/li&gt;</v>
      </c>
    </row>
    <row r="159" spans="1:8" ht="14.25" customHeight="1">
      <c r="A159" s="2">
        <v>2084006970</v>
      </c>
      <c r="B159" s="2" t="s">
        <v>1242</v>
      </c>
      <c r="C159" s="2" t="s">
        <v>1243</v>
      </c>
      <c r="D159" s="2" t="s">
        <v>1244</v>
      </c>
      <c r="E159" s="3" t="str">
        <f ca="1">IFERROR(__xludf.DUMMYFUNCTION("GOOGLETRANSLATE(B159,""ja"",""vi"")"),"diễn viên Đài phát thanh")</f>
        <v>diễn viên Đài phát thanh</v>
      </c>
      <c r="F159" s="3" t="str">
        <f ca="1">IFERROR(__xludf.DUMMYFUNCTION("GOOGLETRANSLATE(C159,""ja"",""vi"")"),"Đấu giá&gt; Âm nhạc&gt; CD&gt; phim hoạt hình bài hát&gt; Diễn viên lồng tiếng")</f>
        <v>Đấu giá&gt; Âm nhạc&gt; CD&gt; phim hoạt hình bài hát&gt; Diễn viên lồng tiếng</v>
      </c>
      <c r="G159" s="229" t="str">
        <f t="shared" ca="1" si="4"/>
        <v>"2084006970" : "diễn viên Đài phát thanh",</v>
      </c>
      <c r="H159" s="229" t="str">
        <f t="shared" si="5"/>
        <v>&lt;li class="col-md-3"&gt;&lt;a class="text-cut" href="javascript:;"(click)="categoryEvent(2084006970)"&gt;{{"2084006970" | translate}}&lt;/a&gt;&lt;/li&gt;</v>
      </c>
    </row>
    <row r="160" spans="1:8" ht="14.25" customHeight="1">
      <c r="A160" s="2">
        <v>2084006967</v>
      </c>
      <c r="B160" s="2" t="s">
        <v>1248</v>
      </c>
      <c r="C160" s="2" t="s">
        <v>1249</v>
      </c>
      <c r="D160" s="2" t="s">
        <v>1250</v>
      </c>
      <c r="E160" s="3" t="str">
        <f ca="1">IFERROR(__xludf.DUMMYFUNCTION("GOOGLETRANSLATE(B160,""ja"",""vi"")"),"Tenchi Muyo!")</f>
        <v>Tenchi Muyo!</v>
      </c>
      <c r="F160" s="3" t="str">
        <f ca="1">IFERROR(__xludf.DUMMYFUNCTION("GOOGLETRANSLATE(C160,""ja"",""vi"")"),"Đấu giá&gt; Âm nhạc&gt; CD&gt; phim hoạt hình bài hát&gt; Tenchi Muyo!")</f>
        <v>Đấu giá&gt; Âm nhạc&gt; CD&gt; phim hoạt hình bài hát&gt; Tenchi Muyo!</v>
      </c>
      <c r="G160" s="229" t="str">
        <f t="shared" ca="1" si="4"/>
        <v>"2084006967" : "Tenchi Muyo!",</v>
      </c>
      <c r="H160" s="229" t="str">
        <f t="shared" si="5"/>
        <v>&lt;li class="col-md-3"&gt;&lt;a class="text-cut" href="javascript:;"(click)="categoryEvent(2084006967)"&gt;{{"2084006967" | translate}}&lt;/a&gt;&lt;/li&gt;</v>
      </c>
    </row>
    <row r="161" spans="1:8" ht="14.25" customHeight="1">
      <c r="A161" s="2">
        <v>2084006966</v>
      </c>
      <c r="B161" s="2" t="s">
        <v>1255</v>
      </c>
      <c r="C161" s="2" t="s">
        <v>1258</v>
      </c>
      <c r="D161" s="2" t="s">
        <v>1259</v>
      </c>
      <c r="E161" s="3" t="str">
        <f ca="1">IFERROR(__xludf.DUMMYFUNCTION("GOOGLETRANSLATE(B161,""ja"",""vi"")"),"Yu Yu Hakusho")</f>
        <v>Yu Yu Hakusho</v>
      </c>
      <c r="F161" s="3" t="str">
        <f ca="1">IFERROR(__xludf.DUMMYFUNCTION("GOOGLETRANSLATE(C161,""ja"",""vi"")"),"Đấu giá&gt; Âm nhạc&gt; CD&gt; phim hoạt hình bài hát&gt; Yu Yu Hakusho")</f>
        <v>Đấu giá&gt; Âm nhạc&gt; CD&gt; phim hoạt hình bài hát&gt; Yu Yu Hakusho</v>
      </c>
      <c r="G161" s="229" t="str">
        <f t="shared" ca="1" si="4"/>
        <v>"2084006966" : "Yu Yu Hakusho",</v>
      </c>
      <c r="H161" s="229" t="str">
        <f t="shared" si="5"/>
        <v>&lt;li class="col-md-3"&gt;&lt;a class="text-cut" href="javascript:;"(click)="categoryEvent(2084006966)"&gt;{{"2084006966" | translate}}&lt;/a&gt;&lt;/li&gt;</v>
      </c>
    </row>
    <row r="162" spans="1:8" ht="14.25" customHeight="1">
      <c r="A162" s="2">
        <v>2084047451</v>
      </c>
      <c r="B162" s="2" t="s">
        <v>1264</v>
      </c>
      <c r="C162" s="2" t="s">
        <v>1266</v>
      </c>
      <c r="D162" s="2" t="s">
        <v>1268</v>
      </c>
      <c r="E162" s="3" t="str">
        <f ca="1">IFERROR(__xludf.DUMMYFUNCTION("GOOGLETRANSLATE(B162,""ja"",""vi"")"),"CD Sách, CD Drama")</f>
        <v>CD Sách, CD Drama</v>
      </c>
      <c r="F162" s="3" t="str">
        <f ca="1">IFERROR(__xludf.DUMMYFUNCTION("GOOGLETRANSLATE(C162,""ja"",""vi"")"),"Đấu giá&gt; Âm nhạc&gt; CD&gt; phim hoạt hình bài hát&gt; CD Sách, CD Drama")</f>
        <v>Đấu giá&gt; Âm nhạc&gt; CD&gt; phim hoạt hình bài hát&gt; CD Sách, CD Drama</v>
      </c>
      <c r="G162" s="229" t="str">
        <f t="shared" ca="1" si="4"/>
        <v>"2084047451" : "CD Sách, CD Drama",</v>
      </c>
      <c r="H162" s="229" t="str">
        <f t="shared" si="5"/>
        <v>&lt;li class="col-md-3"&gt;&lt;a class="text-cut" href="javascript:;"(click)="categoryEvent(2084047451)"&gt;{{"2084047451" | translate}}&lt;/a&gt;&lt;/li&gt;</v>
      </c>
    </row>
    <row r="163" spans="1:8" ht="14.25" customHeight="1">
      <c r="E163" s="3"/>
      <c r="F163" s="3"/>
      <c r="G163" s="229"/>
      <c r="H163" s="229"/>
    </row>
    <row r="164" spans="1:8" ht="30" customHeight="1">
      <c r="A164" s="244">
        <v>2084006158</v>
      </c>
      <c r="B164" s="232"/>
      <c r="C164" s="232"/>
      <c r="D164" s="233"/>
      <c r="E164" s="3"/>
      <c r="F164" s="3"/>
      <c r="G164" s="229"/>
      <c r="H164" s="229"/>
    </row>
    <row r="165" spans="1:8" ht="14.25" customHeight="1">
      <c r="A165" s="2">
        <v>2084040020</v>
      </c>
      <c r="B165" s="2" t="s">
        <v>590</v>
      </c>
      <c r="C165" s="2" t="s">
        <v>1277</v>
      </c>
      <c r="D165" s="2" t="s">
        <v>1278</v>
      </c>
      <c r="E165" s="3" t="str">
        <f ca="1">IFERROR(__xludf.DUMMYFUNCTION("GOOGLETRANSLATE(B165,""ja"",""vi"")"),"hàng nitơ")</f>
        <v>hàng nitơ</v>
      </c>
      <c r="F165" s="3" t="str">
        <f ca="1">IFERROR(__xludf.DUMMYFUNCTION("GOOGLETRANSLATE(C165,""ja"",""vi"")"),"Đấu giá&gt; cổ, bộ sưu tập&gt; vấn đề in&gt; Lịch&gt; truyện tranh, hoạt hình&gt; hàng nitơ")</f>
        <v>Đấu giá&gt; cổ, bộ sưu tập&gt; vấn đề in&gt; Lịch&gt; truyện tranh, hoạt hình&gt; hàng nitơ</v>
      </c>
      <c r="G165" s="229" t="str">
        <f t="shared" ca="1" si="4"/>
        <v>"2084040020" : "hàng nitơ",</v>
      </c>
      <c r="H165" s="229" t="str">
        <f t="shared" si="5"/>
        <v>&lt;li class="col-md-3"&gt;&lt;a class="text-cut" href="javascript:;"(click)="categoryEvent(2084040020)"&gt;{{"2084040020" | translate}}&lt;/a&gt;&lt;/li&gt;</v>
      </c>
    </row>
    <row r="166" spans="1:8" ht="14.25" customHeight="1">
      <c r="A166" s="2">
        <v>2084040079</v>
      </c>
      <c r="B166" s="2" t="s">
        <v>599</v>
      </c>
      <c r="C166" s="2" t="s">
        <v>1284</v>
      </c>
      <c r="D166" s="2" t="s">
        <v>1285</v>
      </c>
      <c r="E166" s="3" t="str">
        <f ca="1">IFERROR(__xludf.DUMMYFUNCTION("GOOGLETRANSLATE(B166,""ja"",""vi"")"),"hoặc hàng")</f>
        <v>hoặc hàng</v>
      </c>
      <c r="F166" s="3" t="str">
        <f ca="1">IFERROR(__xludf.DUMMYFUNCTION("GOOGLETRANSLATE(C166,""ja"",""vi"")"),"Đấu giá&gt; cổ, bộ sưu tập&gt; vấn đề in&gt; Lịch&gt; truyện tranh, hoạt hình&gt; hoặc hàng")</f>
        <v>Đấu giá&gt; cổ, bộ sưu tập&gt; vấn đề in&gt; Lịch&gt; truyện tranh, hoạt hình&gt; hoặc hàng</v>
      </c>
      <c r="G166" s="229" t="str">
        <f t="shared" ca="1" si="4"/>
        <v>"2084040079" : "hoặc hàng",</v>
      </c>
      <c r="H166" s="229" t="str">
        <f t="shared" si="5"/>
        <v>&lt;li class="col-md-3"&gt;&lt;a class="text-cut" href="javascript:;"(click)="categoryEvent(2084040079)"&gt;{{"2084040079" | translate}}&lt;/a&gt;&lt;/li&gt;</v>
      </c>
    </row>
    <row r="167" spans="1:8" ht="14.25" customHeight="1">
      <c r="A167" s="2">
        <v>2084040135</v>
      </c>
      <c r="B167" s="2" t="s">
        <v>610</v>
      </c>
      <c r="C167" s="2" t="s">
        <v>1291</v>
      </c>
      <c r="D167" s="2" t="s">
        <v>1293</v>
      </c>
      <c r="E167" s="3" t="str">
        <f ca="1">IFERROR(__xludf.DUMMYFUNCTION("GOOGLETRANSLATE(B167,""ja"",""vi"")"),"Các chữ s")</f>
        <v>Các chữ s</v>
      </c>
      <c r="F167" s="3" t="str">
        <f ca="1">IFERROR(__xludf.DUMMYFUNCTION("GOOGLETRANSLATE(C167,""ja"",""vi"")"),"Đấu giá&gt; cổ, bộ sưu tập&gt; vấn đề in&gt; Lịch&gt; truyện tranh, hoạt hình&gt; chữ s")</f>
        <v>Đấu giá&gt; cổ, bộ sưu tập&gt; vấn đề in&gt; Lịch&gt; truyện tranh, hoạt hình&gt; chữ s</v>
      </c>
      <c r="G167" s="229" t="str">
        <f t="shared" ca="1" si="4"/>
        <v>"2084040135" : "Các chữ s",</v>
      </c>
      <c r="H167" s="229" t="str">
        <f t="shared" si="5"/>
        <v>&lt;li class="col-md-3"&gt;&lt;a class="text-cut" href="javascript:;"(click)="categoryEvent(2084040135)"&gt;{{"2084040135" | translate}}&lt;/a&gt;&lt;/li&gt;</v>
      </c>
    </row>
    <row r="168" spans="1:8" ht="14.25" customHeight="1">
      <c r="A168" s="2">
        <v>2084040177</v>
      </c>
      <c r="B168" s="2" t="s">
        <v>619</v>
      </c>
      <c r="C168" s="2" t="s">
        <v>1297</v>
      </c>
      <c r="D168" s="2" t="s">
        <v>1299</v>
      </c>
      <c r="E168" s="3" t="str">
        <f ca="1">IFERROR(__xludf.DUMMYFUNCTION("GOOGLETRANSLATE(B168,""ja"",""vi"")"),"Tagyo")</f>
        <v>Tagyo</v>
      </c>
      <c r="F168" s="3" t="str">
        <f ca="1">IFERROR(__xludf.DUMMYFUNCTION("GOOGLETRANSLATE(C168,""ja"",""vi"")"),"Đấu giá&gt; cổ, bộ sưu tập&gt; in vấn đề&gt; Lịch&gt; truyện tranh, hoạt hình&gt; Tagyo")</f>
        <v>Đấu giá&gt; cổ, bộ sưu tập&gt; in vấn đề&gt; Lịch&gt; truyện tranh, hoạt hình&gt; Tagyo</v>
      </c>
      <c r="G168" s="229" t="str">
        <f t="shared" ca="1" si="4"/>
        <v>"2084040177" : "Tagyo",</v>
      </c>
      <c r="H168" s="229" t="str">
        <f t="shared" si="5"/>
        <v>&lt;li class="col-md-3"&gt;&lt;a class="text-cut" href="javascript:;"(click)="categoryEvent(2084040177)"&gt;{{"2084040177" | translate}}&lt;/a&gt;&lt;/li&gt;</v>
      </c>
    </row>
    <row r="169" spans="1:8" ht="14.25" customHeight="1">
      <c r="A169" s="2">
        <v>2084040207</v>
      </c>
      <c r="B169" s="2" t="s">
        <v>625</v>
      </c>
      <c r="C169" s="2" t="s">
        <v>1302</v>
      </c>
      <c r="D169" s="2" t="s">
        <v>1303</v>
      </c>
      <c r="E169" s="3" t="str">
        <f ca="1">IFERROR(__xludf.DUMMYFUNCTION("GOOGLETRANSLATE(B169,""ja"",""vi"")"),"Một dòng")</f>
        <v>Một dòng</v>
      </c>
      <c r="F169" s="3" t="str">
        <f ca="1">IFERROR(__xludf.DUMMYFUNCTION("GOOGLETRANSLATE(C169,""ja"",""vi"")"),"Đấu giá&gt; cổ, bộ sưu tập&gt; vấn đề in&gt; Lịch&gt; truyện tranh, hoạt hình&gt; hàng")</f>
        <v>Đấu giá&gt; cổ, bộ sưu tập&gt; vấn đề in&gt; Lịch&gt; truyện tranh, hoạt hình&gt; hàng</v>
      </c>
      <c r="G169" s="229" t="str">
        <f t="shared" ca="1" si="4"/>
        <v>"2084040207" : "Một dòng",</v>
      </c>
      <c r="H169" s="229" t="str">
        <f t="shared" si="5"/>
        <v>&lt;li class="col-md-3"&gt;&lt;a class="text-cut" href="javascript:;"(click)="categoryEvent(2084040207)"&gt;{{"2084040207" | translate}}&lt;/a&gt;&lt;/li&gt;</v>
      </c>
    </row>
    <row r="170" spans="1:8" ht="14.25" customHeight="1">
      <c r="A170" s="2">
        <v>2084040259</v>
      </c>
      <c r="B170" s="2" t="s">
        <v>631</v>
      </c>
      <c r="C170" s="2" t="s">
        <v>1305</v>
      </c>
      <c r="D170" s="2" t="s">
        <v>1307</v>
      </c>
      <c r="E170" s="3" t="str">
        <f ca="1">IFERROR(__xludf.DUMMYFUNCTION("GOOGLETRANSLATE(B170,""ja"",""vi"")"),"hàng")</f>
        <v>hàng</v>
      </c>
      <c r="F170" s="3" t="str">
        <f ca="1">IFERROR(__xludf.DUMMYFUNCTION("GOOGLETRANSLATE(C170,""ja"",""vi"")"),"Đấu giá&gt; cổ, bộ sưu tập&gt; vấn đề in&gt; Lịch&gt; truyện tranh, hoạt hình&gt; liên tiếp")</f>
        <v>Đấu giá&gt; cổ, bộ sưu tập&gt; vấn đề in&gt; Lịch&gt; truyện tranh, hoạt hình&gt; liên tiếp</v>
      </c>
      <c r="G170" s="229" t="str">
        <f t="shared" ca="1" si="4"/>
        <v>"2084040259" : "hàng",</v>
      </c>
      <c r="H170" s="229" t="str">
        <f t="shared" si="5"/>
        <v>&lt;li class="col-md-3"&gt;&lt;a class="text-cut" href="javascript:;"(click)="categoryEvent(2084040259)"&gt;{{"2084040259" | translate}}&lt;/a&gt;&lt;/li&gt;</v>
      </c>
    </row>
    <row r="171" spans="1:8" ht="14.25" customHeight="1">
      <c r="A171" s="2">
        <v>2084040304</v>
      </c>
      <c r="B171" s="2" t="s">
        <v>638</v>
      </c>
      <c r="C171" s="2" t="s">
        <v>1309</v>
      </c>
      <c r="D171" s="2" t="s">
        <v>1311</v>
      </c>
      <c r="E171" s="3" t="str">
        <f ca="1">IFERROR(__xludf.DUMMYFUNCTION("GOOGLETRANSLATE(B171,""ja"",""vi"")"),"hoặc dòng")</f>
        <v>hoặc dòng</v>
      </c>
      <c r="F171" s="3" t="str">
        <f ca="1">IFERROR(__xludf.DUMMYFUNCTION("GOOGLETRANSLATE(C171,""ja"",""vi"")"),"Đấu giá&gt; cổ, bộ sưu tập&gt; vấn đề in&gt; Lịch&gt; truyện tranh, hoạt hình&gt; hoặc hàng")</f>
        <v>Đấu giá&gt; cổ, bộ sưu tập&gt; vấn đề in&gt; Lịch&gt; truyện tranh, hoạt hình&gt; hoặc hàng</v>
      </c>
      <c r="G171" s="229" t="str">
        <f t="shared" ca="1" si="4"/>
        <v>"2084040304" : "hoặc dòng",</v>
      </c>
      <c r="H171" s="229" t="str">
        <f t="shared" si="5"/>
        <v>&lt;li class="col-md-3"&gt;&lt;a class="text-cut" href="javascript:;"(click)="categoryEvent(2084040304)"&gt;{{"2084040304" | translate}}&lt;/a&gt;&lt;/li&gt;</v>
      </c>
    </row>
    <row r="172" spans="1:8" ht="14.25" customHeight="1">
      <c r="A172" s="2">
        <v>2084040328</v>
      </c>
      <c r="B172" s="2" t="s">
        <v>646</v>
      </c>
      <c r="C172" s="2" t="s">
        <v>1314</v>
      </c>
      <c r="D172" s="2" t="s">
        <v>1316</v>
      </c>
      <c r="E172" s="3" t="str">
        <f ca="1">IFERROR(__xludf.DUMMYFUNCTION("GOOGLETRANSLATE(B172,""ja"",""vi"")"),"hoặc hàng")</f>
        <v>hoặc hàng</v>
      </c>
      <c r="F172" s="3" t="str">
        <f ca="1">IFERROR(__xludf.DUMMYFUNCTION("GOOGLETRANSLATE(C172,""ja"",""vi"")"),"Đấu giá&gt; cổ, bộ sưu tập&gt; vấn đề in&gt; Lịch&gt; truyện tranh, hoạt hình&gt; hoặc hàng")</f>
        <v>Đấu giá&gt; cổ, bộ sưu tập&gt; vấn đề in&gt; Lịch&gt; truyện tranh, hoạt hình&gt; hoặc hàng</v>
      </c>
      <c r="G172" s="229" t="str">
        <f t="shared" ca="1" si="4"/>
        <v>"2084040328" : "hoặc hàng",</v>
      </c>
      <c r="H172" s="229" t="str">
        <f t="shared" si="5"/>
        <v>&lt;li class="col-md-3"&gt;&lt;a class="text-cut" href="javascript:;"(click)="categoryEvent(2084040328)"&gt;{{"2084040328" | translate}}&lt;/a&gt;&lt;/li&gt;</v>
      </c>
    </row>
    <row r="173" spans="1:8" ht="14.25" customHeight="1">
      <c r="A173" s="2">
        <v>2084040339</v>
      </c>
      <c r="B173" s="2" t="s">
        <v>751</v>
      </c>
      <c r="C173" s="2" t="s">
        <v>1319</v>
      </c>
      <c r="D173" s="2" t="s">
        <v>1320</v>
      </c>
      <c r="E173" s="3" t="str">
        <f ca="1">IFERROR(__xludf.DUMMYFUNCTION("GOOGLETRANSLATE(B173,""ja"",""vi"")"),"Racovian")</f>
        <v>Racovian</v>
      </c>
      <c r="F173" s="3" t="str">
        <f ca="1">IFERROR(__xludf.DUMMYFUNCTION("GOOGLETRANSLATE(C173,""ja"",""vi"")"),"Đấu giá&gt; cổ, bộ sưu tập&gt; vấn đề in&gt; Lịch&gt; truyện tranh, hoạt hình&gt; Racovian")</f>
        <v>Đấu giá&gt; cổ, bộ sưu tập&gt; vấn đề in&gt; Lịch&gt; truyện tranh, hoạt hình&gt; Racovian</v>
      </c>
      <c r="G173" s="229" t="str">
        <f t="shared" ca="1" si="4"/>
        <v>"2084040339" : "Racovian",</v>
      </c>
      <c r="H173" s="229" t="str">
        <f t="shared" si="5"/>
        <v>&lt;li class="col-md-3"&gt;&lt;a class="text-cut" href="javascript:;"(click)="categoryEvent(2084040339)"&gt;{{"2084040339" | translate}}&lt;/a&gt;&lt;/li&gt;</v>
      </c>
    </row>
    <row r="174" spans="1:8" ht="14.25" customHeight="1">
      <c r="A174" s="2">
        <v>2084040354</v>
      </c>
      <c r="B174" s="2" t="s">
        <v>756</v>
      </c>
      <c r="C174" s="2" t="s">
        <v>1324</v>
      </c>
      <c r="D174" s="2" t="s">
        <v>1325</v>
      </c>
      <c r="E174" s="3" t="str">
        <f ca="1">IFERROR(__xludf.DUMMYFUNCTION("GOOGLETRANSLATE(B174,""ja"",""vi"")"),"tôi hàng")</f>
        <v>tôi hàng</v>
      </c>
      <c r="F174" s="3" t="str">
        <f ca="1">IFERROR(__xludf.DUMMYFUNCTION("GOOGLETRANSLATE(C174,""ja"",""vi"")"),"Đấu giá&gt; cổ, bộ sưu tập&gt; in vấn đề&gt; Lịch&gt; truyện tranh, hoạt hình&gt; Tôi dòng")</f>
        <v>Đấu giá&gt; cổ, bộ sưu tập&gt; in vấn đề&gt; Lịch&gt; truyện tranh, hoạt hình&gt; Tôi dòng</v>
      </c>
      <c r="G174" s="229" t="str">
        <f t="shared" ca="1" si="4"/>
        <v>"2084040354" : "tôi hàng",</v>
      </c>
      <c r="H174" s="229" t="str">
        <f t="shared" si="5"/>
        <v>&lt;li class="col-md-3"&gt;&lt;a class="text-cut" href="javascript:;"(click)="categoryEvent(2084040354)"&gt;{{"2084040354" | translate}}&lt;/a&gt;&lt;/li&gt;</v>
      </c>
    </row>
    <row r="175" spans="1:8" ht="14.25" customHeight="1">
      <c r="E175" s="3"/>
      <c r="F175" s="3"/>
      <c r="G175" s="229"/>
      <c r="H175" s="229"/>
    </row>
    <row r="176" spans="1:8" ht="21.6" customHeight="1">
      <c r="A176" s="245">
        <v>21020</v>
      </c>
      <c r="B176" s="232"/>
      <c r="C176" s="232"/>
      <c r="D176" s="233"/>
      <c r="E176" s="3"/>
      <c r="F176" s="3"/>
      <c r="G176" s="229"/>
      <c r="H176" s="229"/>
    </row>
    <row r="177" spans="1:8" ht="14.25" customHeight="1">
      <c r="A177" s="2">
        <v>2084006032</v>
      </c>
      <c r="B177" s="2" t="s">
        <v>286</v>
      </c>
      <c r="C177" s="2" t="s">
        <v>1338</v>
      </c>
      <c r="D177" s="2" t="s">
        <v>1341</v>
      </c>
      <c r="E177" s="3" t="str">
        <f ca="1">IFERROR(__xludf.DUMMYFUNCTION("GOOGLETRANSLATE(B177,""ja"",""vi"")"),"bằng cách làm việc")</f>
        <v>bằng cách làm việc</v>
      </c>
      <c r="F177" s="3" t="str">
        <f ca="1">IFERROR(__xludf.DUMMYFUNCTION("GOOGLETRANSLATE(C177,""ja"",""vi"")"),"Đấu giá&gt; cổ, bộ sưu tập&gt; giao dịch thẻ&gt; truyện tranh, hoạt hình&gt; bởi công việc")</f>
        <v>Đấu giá&gt; cổ, bộ sưu tập&gt; giao dịch thẻ&gt; truyện tranh, hoạt hình&gt; bởi công việc</v>
      </c>
      <c r="G177" s="229" t="str">
        <f t="shared" ca="1" si="4"/>
        <v>"2084006032" : "bằng cách làm việc",</v>
      </c>
      <c r="H177" s="229" t="str">
        <f t="shared" si="5"/>
        <v>&lt;li class="col-md-3"&gt;&lt;a class="text-cut" href="javascript:;"(click)="categoryEvent(2084006032)"&gt;{{"2084006032" | translate}}&lt;/a&gt;&lt;/li&gt;</v>
      </c>
    </row>
    <row r="178" spans="1:8" ht="14.25" customHeight="1">
      <c r="A178" s="2">
        <v>2084006008</v>
      </c>
      <c r="B178" s="2" t="s">
        <v>1348</v>
      </c>
      <c r="C178" s="2" t="s">
        <v>1351</v>
      </c>
      <c r="D178" s="2" t="s">
        <v>1353</v>
      </c>
      <c r="E178" s="3" t="str">
        <f ca="1">IFERROR(__xludf.DUMMYFUNCTION("GOOGLETRANSLATE(B178,""ja"",""vi"")"),"thẻ giao dịch truyền hình trò chơi")</f>
        <v>thẻ giao dịch truyền hình trò chơi</v>
      </c>
      <c r="F178" s="3" t="str">
        <f ca="1">IFERROR(__xludf.DUMMYFUNCTION("GOOGLETRANSLATE(C178,""ja"",""vi"")"),"Đấu giá&gt; cổ, bộ sưu tập&gt; giao dịch thẻ&gt; truyện tranh, hoạt hình&gt; trò chơi điện tử giao dịch thẻ")</f>
        <v>Đấu giá&gt; cổ, bộ sưu tập&gt; giao dịch thẻ&gt; truyện tranh, hoạt hình&gt; trò chơi điện tử giao dịch thẻ</v>
      </c>
      <c r="G178" s="229" t="str">
        <f t="shared" ca="1" si="4"/>
        <v>"2084006008" : "thẻ giao dịch truyền hình trò chơi",</v>
      </c>
      <c r="H178" s="229" t="str">
        <f t="shared" si="5"/>
        <v>&lt;li class="col-md-3"&gt;&lt;a class="text-cut" href="javascript:;"(click)="categoryEvent(2084006008)"&gt;{{"2084006008" | translate}}&lt;/a&gt;&lt;/li&gt;</v>
      </c>
    </row>
    <row r="179" spans="1:8" ht="14.25" customHeight="1">
      <c r="E179" s="3"/>
      <c r="F179" s="3"/>
      <c r="G179" s="229"/>
      <c r="H179" s="229"/>
    </row>
    <row r="180" spans="1:8" ht="22.8" customHeight="1">
      <c r="A180" s="243">
        <v>2084005120</v>
      </c>
      <c r="B180" s="232"/>
      <c r="C180" s="232"/>
      <c r="D180" s="233"/>
      <c r="E180" s="3"/>
      <c r="F180" s="3"/>
      <c r="G180" s="229"/>
      <c r="H180" s="229"/>
    </row>
    <row r="181" spans="1:8" ht="14.25" customHeight="1">
      <c r="A181" s="2">
        <v>2084034193</v>
      </c>
      <c r="B181" s="2" t="s">
        <v>590</v>
      </c>
      <c r="C181" s="2" t="s">
        <v>1371</v>
      </c>
      <c r="D181" s="2" t="s">
        <v>1372</v>
      </c>
      <c r="E181" s="3" t="str">
        <f ca="1">IFERROR(__xludf.DUMMYFUNCTION("GOOGLETRANSLATE(B181,""ja"",""vi"")"),"hàng nitơ")</f>
        <v>hàng nitơ</v>
      </c>
      <c r="F181" s="3" t="str">
        <f ca="1">IFERROR(__xludf.DUMMYFUNCTION("GOOGLETRANSLATE(C181,""ja"",""vi"")"),"Đấu giá&gt; vé, chứng từ, đặt phòng khách sạn&gt; Thẻ trả trước&gt; Thẻ điện thoại&gt; truyện tranh, hoạt hình&gt; hàng nitơ")</f>
        <v>Đấu giá&gt; vé, chứng từ, đặt phòng khách sạn&gt; Thẻ trả trước&gt; Thẻ điện thoại&gt; truyện tranh, hoạt hình&gt; hàng nitơ</v>
      </c>
      <c r="G181" s="229" t="str">
        <f t="shared" ca="1" si="4"/>
        <v>"2084034193" : "hàng nitơ",</v>
      </c>
      <c r="H181" s="229" t="str">
        <f t="shared" si="5"/>
        <v>&lt;li class="col-md-3"&gt;&lt;a class="text-cut" href="javascript:;"(click)="categoryEvent(2084034193)"&gt;{{"2084034193" | translate}}&lt;/a&gt;&lt;/li&gt;</v>
      </c>
    </row>
    <row r="182" spans="1:8" ht="14.25" customHeight="1">
      <c r="A182" s="2">
        <v>2084037044</v>
      </c>
      <c r="B182" s="2" t="s">
        <v>599</v>
      </c>
      <c r="C182" s="2" t="s">
        <v>1380</v>
      </c>
      <c r="D182" s="2" t="s">
        <v>1382</v>
      </c>
      <c r="E182" s="3" t="str">
        <f ca="1">IFERROR(__xludf.DUMMYFUNCTION("GOOGLETRANSLATE(B182,""ja"",""vi"")"),"hoặc hàng")</f>
        <v>hoặc hàng</v>
      </c>
      <c r="F182" s="3" t="str">
        <f ca="1">IFERROR(__xludf.DUMMYFUNCTION("GOOGLETRANSLATE(C182,""ja"",""vi"")"),"Đấu giá&gt; vé, chứng từ, đặt phòng khách sạn&gt; Thẻ trả trước&gt; Thẻ điện thoại&gt; truyện tranh, hoạt hình&gt; hoặc hàng")</f>
        <v>Đấu giá&gt; vé, chứng từ, đặt phòng khách sạn&gt; Thẻ trả trước&gt; Thẻ điện thoại&gt; truyện tranh, hoạt hình&gt; hoặc hàng</v>
      </c>
      <c r="G182" s="229" t="str">
        <f t="shared" ca="1" si="4"/>
        <v>"2084037044" : "hoặc hàng",</v>
      </c>
      <c r="H182" s="229" t="str">
        <f t="shared" si="5"/>
        <v>&lt;li class="col-md-3"&gt;&lt;a class="text-cut" href="javascript:;"(click)="categoryEvent(2084037044)"&gt;{{"2084037044" | translate}}&lt;/a&gt;&lt;/li&gt;</v>
      </c>
    </row>
    <row r="183" spans="1:8" ht="14.25" customHeight="1">
      <c r="A183" s="2">
        <v>2084034212</v>
      </c>
      <c r="B183" s="2" t="s">
        <v>610</v>
      </c>
      <c r="C183" s="2" t="s">
        <v>1389</v>
      </c>
      <c r="D183" s="2" t="s">
        <v>1392</v>
      </c>
      <c r="E183" s="3" t="str">
        <f ca="1">IFERROR(__xludf.DUMMYFUNCTION("GOOGLETRANSLATE(B183,""ja"",""vi"")"),"Các chữ s")</f>
        <v>Các chữ s</v>
      </c>
      <c r="F183" s="3" t="str">
        <f ca="1">IFERROR(__xludf.DUMMYFUNCTION("GOOGLETRANSLATE(C183,""ja"",""vi"")"),"Đấu giá&gt; vé, chứng từ, đặt phòng khách sạn&gt; Thẻ trả trước&gt; Thẻ điện thoại&gt; truyện tranh, hoạt hình&gt; chữ s")</f>
        <v>Đấu giá&gt; vé, chứng từ, đặt phòng khách sạn&gt; Thẻ trả trước&gt; Thẻ điện thoại&gt; truyện tranh, hoạt hình&gt; chữ s</v>
      </c>
      <c r="G183" s="229" t="str">
        <f t="shared" ca="1" si="4"/>
        <v>"2084034212" : "Các chữ s",</v>
      </c>
      <c r="H183" s="229" t="str">
        <f t="shared" si="5"/>
        <v>&lt;li class="col-md-3"&gt;&lt;a class="text-cut" href="javascript:;"(click)="categoryEvent(2084034212)"&gt;{{"2084034212" | translate}}&lt;/a&gt;&lt;/li&gt;</v>
      </c>
    </row>
    <row r="184" spans="1:8" ht="14.25" customHeight="1">
      <c r="A184" s="2">
        <v>2084034221</v>
      </c>
      <c r="B184" s="2" t="s">
        <v>619</v>
      </c>
      <c r="C184" s="2" t="s">
        <v>1398</v>
      </c>
      <c r="D184" s="2" t="s">
        <v>1399</v>
      </c>
      <c r="E184" s="3" t="str">
        <f ca="1">IFERROR(__xludf.DUMMYFUNCTION("GOOGLETRANSLATE(B184,""ja"",""vi"")"),"Tagyo")</f>
        <v>Tagyo</v>
      </c>
      <c r="F184" s="3" t="str">
        <f ca="1">IFERROR(__xludf.DUMMYFUNCTION("GOOGLETRANSLATE(C184,""ja"",""vi"")"),"Đấu giá&gt; vé, chứng từ, đặt phòng khách sạn&gt; Thẻ trả trước&gt; Thẻ điện thoại&gt; truyện tranh, hoạt hình&gt; Tagyo")</f>
        <v>Đấu giá&gt; vé, chứng từ, đặt phòng khách sạn&gt; Thẻ trả trước&gt; Thẻ điện thoại&gt; truyện tranh, hoạt hình&gt; Tagyo</v>
      </c>
      <c r="G184" s="229" t="str">
        <f t="shared" ca="1" si="4"/>
        <v>"2084034221" : "Tagyo",</v>
      </c>
      <c r="H184" s="229" t="str">
        <f t="shared" si="5"/>
        <v>&lt;li class="col-md-3"&gt;&lt;a class="text-cut" href="javascript:;"(click)="categoryEvent(2084034221)"&gt;{{"2084034221" | translate}}&lt;/a&gt;&lt;/li&gt;</v>
      </c>
    </row>
    <row r="185" spans="1:8" ht="14.25" customHeight="1">
      <c r="A185" s="2">
        <v>2084034230</v>
      </c>
      <c r="B185" s="2" t="s">
        <v>625</v>
      </c>
      <c r="C185" s="2" t="s">
        <v>1405</v>
      </c>
      <c r="D185" s="2" t="s">
        <v>1406</v>
      </c>
      <c r="E185" s="3" t="str">
        <f ca="1">IFERROR(__xludf.DUMMYFUNCTION("GOOGLETRANSLATE(B185,""ja"",""vi"")"),"Một dòng")</f>
        <v>Một dòng</v>
      </c>
      <c r="F185" s="3" t="str">
        <f ca="1">IFERROR(__xludf.DUMMYFUNCTION("GOOGLETRANSLATE(C185,""ja"",""vi"")"),"Đấu giá&gt; vé, chứng từ, đặt phòng khách sạn&gt; Thẻ trả trước&gt; Thẻ điện thoại&gt; truyện tranh, hoạt hình&gt; hàng")</f>
        <v>Đấu giá&gt; vé, chứng từ, đặt phòng khách sạn&gt; Thẻ trả trước&gt; Thẻ điện thoại&gt; truyện tranh, hoạt hình&gt; hàng</v>
      </c>
      <c r="G185" s="229" t="str">
        <f t="shared" ca="1" si="4"/>
        <v>"2084034230" : "Một dòng",</v>
      </c>
      <c r="H185" s="229" t="str">
        <f t="shared" si="5"/>
        <v>&lt;li class="col-md-3"&gt;&lt;a class="text-cut" href="javascript:;"(click)="categoryEvent(2084034230)"&gt;{{"2084034230" | translate}}&lt;/a&gt;&lt;/li&gt;</v>
      </c>
    </row>
    <row r="186" spans="1:8" ht="14.25" customHeight="1">
      <c r="A186" s="2">
        <v>2084037167</v>
      </c>
      <c r="B186" s="2" t="s">
        <v>631</v>
      </c>
      <c r="C186" s="2" t="s">
        <v>1412</v>
      </c>
      <c r="D186" s="2" t="s">
        <v>1415</v>
      </c>
      <c r="E186" s="3" t="str">
        <f ca="1">IFERROR(__xludf.DUMMYFUNCTION("GOOGLETRANSLATE(B186,""ja"",""vi"")"),"hàng")</f>
        <v>hàng</v>
      </c>
      <c r="F186" s="3" t="str">
        <f ca="1">IFERROR(__xludf.DUMMYFUNCTION("GOOGLETRANSLATE(C186,""ja"",""vi"")"),"Đấu giá&gt; vé, chứng từ, đặt phòng khách sạn&gt; Thẻ trả trước&gt; Thẻ điện thoại&gt; truyện tranh, hoạt hình&gt; liên tiếp")</f>
        <v>Đấu giá&gt; vé, chứng từ, đặt phòng khách sạn&gt; Thẻ trả trước&gt; Thẻ điện thoại&gt; truyện tranh, hoạt hình&gt; liên tiếp</v>
      </c>
      <c r="G186" s="229" t="str">
        <f t="shared" ca="1" si="4"/>
        <v>"2084037167" : "hàng",</v>
      </c>
      <c r="H186" s="229" t="str">
        <f t="shared" si="5"/>
        <v>&lt;li class="col-md-3"&gt;&lt;a class="text-cut" href="javascript:;"(click)="categoryEvent(2084037167)"&gt;{{"2084037167" | translate}}&lt;/a&gt;&lt;/li&gt;</v>
      </c>
    </row>
    <row r="187" spans="1:8" ht="14.25" customHeight="1">
      <c r="A187" s="2">
        <v>2084034248</v>
      </c>
      <c r="B187" s="2" t="s">
        <v>638</v>
      </c>
      <c r="C187" s="2" t="s">
        <v>1421</v>
      </c>
      <c r="D187" s="2" t="s">
        <v>1423</v>
      </c>
      <c r="E187" s="3" t="str">
        <f ca="1">IFERROR(__xludf.DUMMYFUNCTION("GOOGLETRANSLATE(B187,""ja"",""vi"")"),"hoặc dòng")</f>
        <v>hoặc dòng</v>
      </c>
      <c r="F187" s="3" t="str">
        <f ca="1">IFERROR(__xludf.DUMMYFUNCTION("GOOGLETRANSLATE(C187,""ja"",""vi"")"),"Đấu giá&gt; vé, chứng từ, đặt phòng khách sạn&gt; Thẻ trả trước&gt; Thẻ điện thoại&gt; truyện tranh, hoạt hình&gt; hoặc hàng")</f>
        <v>Đấu giá&gt; vé, chứng từ, đặt phòng khách sạn&gt; Thẻ trả trước&gt; Thẻ điện thoại&gt; truyện tranh, hoạt hình&gt; hoặc hàng</v>
      </c>
      <c r="G187" s="229" t="str">
        <f t="shared" ca="1" si="4"/>
        <v>"2084034248" : "hoặc dòng",</v>
      </c>
      <c r="H187" s="229" t="str">
        <f t="shared" si="5"/>
        <v>&lt;li class="col-md-3"&gt;&lt;a class="text-cut" href="javascript:;"(click)="categoryEvent(2084034248)"&gt;{{"2084034248" | translate}}&lt;/a&gt;&lt;/li&gt;</v>
      </c>
    </row>
    <row r="188" spans="1:8" ht="14.25" customHeight="1">
      <c r="A188" s="2">
        <v>2084034257</v>
      </c>
      <c r="B188" s="2" t="s">
        <v>646</v>
      </c>
      <c r="C188" s="2" t="s">
        <v>1427</v>
      </c>
      <c r="D188" s="2" t="s">
        <v>1428</v>
      </c>
      <c r="E188" s="3" t="str">
        <f ca="1">IFERROR(__xludf.DUMMYFUNCTION("GOOGLETRANSLATE(B188,""ja"",""vi"")"),"hoặc hàng")</f>
        <v>hoặc hàng</v>
      </c>
      <c r="F188" s="3" t="str">
        <f ca="1">IFERROR(__xludf.DUMMYFUNCTION("GOOGLETRANSLATE(C188,""ja"",""vi"")"),"Đấu giá&gt; vé, chứng từ, đặt phòng khách sạn&gt; Thẻ trả trước&gt; Thẻ điện thoại&gt; truyện tranh, hoạt hình&gt; hoặc hàng")</f>
        <v>Đấu giá&gt; vé, chứng từ, đặt phòng khách sạn&gt; Thẻ trả trước&gt; Thẻ điện thoại&gt; truyện tranh, hoạt hình&gt; hoặc hàng</v>
      </c>
      <c r="G188" s="229" t="str">
        <f t="shared" ca="1" si="4"/>
        <v>"2084034257" : "hoặc hàng",</v>
      </c>
      <c r="H188" s="229" t="str">
        <f t="shared" si="5"/>
        <v>&lt;li class="col-md-3"&gt;&lt;a class="text-cut" href="javascript:;"(click)="categoryEvent(2084034257)"&gt;{{"2084034257" | translate}}&lt;/a&gt;&lt;/li&gt;</v>
      </c>
    </row>
    <row r="189" spans="1:8" ht="14.25" customHeight="1">
      <c r="A189" s="2">
        <v>2084034266</v>
      </c>
      <c r="B189" s="2" t="s">
        <v>751</v>
      </c>
      <c r="C189" s="2" t="s">
        <v>1433</v>
      </c>
      <c r="D189" s="2" t="s">
        <v>1434</v>
      </c>
      <c r="E189" s="3" t="str">
        <f ca="1">IFERROR(__xludf.DUMMYFUNCTION("GOOGLETRANSLATE(B189,""ja"",""vi"")"),"Racovian")</f>
        <v>Racovian</v>
      </c>
      <c r="F189" s="3" t="str">
        <f ca="1">IFERROR(__xludf.DUMMYFUNCTION("GOOGLETRANSLATE(C189,""ja"",""vi"")"),"Đấu giá&gt; vé, chứng từ, đặt phòng khách sạn&gt; Thẻ trả trước&gt; Thẻ điện thoại&gt; truyện tranh, hoạt hình&gt; Racovian")</f>
        <v>Đấu giá&gt; vé, chứng từ, đặt phòng khách sạn&gt; Thẻ trả trước&gt; Thẻ điện thoại&gt; truyện tranh, hoạt hình&gt; Racovian</v>
      </c>
      <c r="G189" s="229" t="str">
        <f t="shared" ca="1" si="4"/>
        <v>"2084034266" : "Racovian",</v>
      </c>
      <c r="H189" s="229" t="str">
        <f t="shared" si="5"/>
        <v>&lt;li class="col-md-3"&gt;&lt;a class="text-cut" href="javascript:;"(click)="categoryEvent(2084034266)"&gt;{{"2084034266" | translate}}&lt;/a&gt;&lt;/li&gt;</v>
      </c>
    </row>
    <row r="190" spans="1:8" ht="14.25" customHeight="1">
      <c r="A190" s="2">
        <v>2084034274</v>
      </c>
      <c r="B190" s="2" t="s">
        <v>756</v>
      </c>
      <c r="C190" s="2" t="s">
        <v>1437</v>
      </c>
      <c r="D190" s="2" t="s">
        <v>1438</v>
      </c>
      <c r="E190" s="3" t="str">
        <f ca="1">IFERROR(__xludf.DUMMYFUNCTION("GOOGLETRANSLATE(B190,""ja"",""vi"")"),"tôi hàng")</f>
        <v>tôi hàng</v>
      </c>
      <c r="F190" s="3" t="str">
        <f ca="1">IFERROR(__xludf.DUMMYFUNCTION("GOOGLETRANSLATE(C190,""ja"",""vi"")"),"Đấu giá&gt; vé, chứng từ, đặt phòng khách sạn&gt; Thẻ trả trước&gt; Thẻ điện thoại&gt; truyện tranh, hoạt hình&gt; Tôi dòng")</f>
        <v>Đấu giá&gt; vé, chứng từ, đặt phòng khách sạn&gt; Thẻ trả trước&gt; Thẻ điện thoại&gt; truyện tranh, hoạt hình&gt; Tôi dòng</v>
      </c>
      <c r="G190" s="229" t="str">
        <f t="shared" ca="1" si="4"/>
        <v>"2084034274" : "tôi hàng",</v>
      </c>
      <c r="H190" s="229" t="str">
        <f t="shared" si="5"/>
        <v>&lt;li class="col-md-3"&gt;&lt;a class="text-cut" href="javascript:;"(click)="categoryEvent(2084034274)"&gt;{{"2084034274" | translate}}&lt;/a&gt;&lt;/li&gt;</v>
      </c>
    </row>
    <row r="191" spans="1:8" ht="14.25" customHeight="1">
      <c r="E191" s="3"/>
      <c r="F191" s="3"/>
      <c r="G191" s="229"/>
      <c r="H191" s="229"/>
    </row>
    <row r="192" spans="1:8" ht="23.4" customHeight="1">
      <c r="A192" s="246">
        <v>2084006184</v>
      </c>
      <c r="B192" s="232"/>
      <c r="C192" s="232"/>
      <c r="D192" s="233"/>
      <c r="E192" s="3"/>
      <c r="F192" s="3"/>
      <c r="G192" s="229"/>
      <c r="H192" s="229"/>
    </row>
    <row r="193" spans="1:8" ht="14.25" customHeight="1">
      <c r="A193" s="2">
        <v>2084034367</v>
      </c>
      <c r="B193" s="2" t="s">
        <v>590</v>
      </c>
      <c r="C193" s="2" t="s">
        <v>1454</v>
      </c>
      <c r="D193" s="2" t="s">
        <v>1456</v>
      </c>
      <c r="E193" s="3" t="str">
        <f ca="1">IFERROR(__xludf.DUMMYFUNCTION("GOOGLETRANSLATE(B193,""ja"",""vi"")"),"hàng nitơ")</f>
        <v>hàng nitơ</v>
      </c>
      <c r="F193" s="3" t="str">
        <f ca="1">IFERROR(__xludf.DUMMYFUNCTION("GOOGLETRANSLATE(C193,""ja"",""vi"")"),"Đấu giá&gt; cổ, bộ sưu tập&gt; vấn đề in&gt; tấm áp phích&gt; truyện tranh, hoạt hình&gt; hàng nitơ")</f>
        <v>Đấu giá&gt; cổ, bộ sưu tập&gt; vấn đề in&gt; tấm áp phích&gt; truyện tranh, hoạt hình&gt; hàng nitơ</v>
      </c>
      <c r="G193" s="229" t="str">
        <f t="shared" ca="1" si="4"/>
        <v>"2084034367" : "hàng nitơ",</v>
      </c>
      <c r="H193" s="229" t="str">
        <f t="shared" si="5"/>
        <v>&lt;li class="col-md-3"&gt;&lt;a class="text-cut" href="javascript:;"(click)="categoryEvent(2084034367)"&gt;{{"2084034367" | translate}}&lt;/a&gt;&lt;/li&gt;</v>
      </c>
    </row>
    <row r="194" spans="1:8" ht="14.25" customHeight="1">
      <c r="A194" s="2">
        <v>2084034659</v>
      </c>
      <c r="B194" s="2" t="s">
        <v>599</v>
      </c>
      <c r="C194" s="2" t="s">
        <v>1457</v>
      </c>
      <c r="D194" s="2" t="s">
        <v>1460</v>
      </c>
      <c r="E194" s="3" t="str">
        <f ca="1">IFERROR(__xludf.DUMMYFUNCTION("GOOGLETRANSLATE(B194,""ja"",""vi"")"),"hoặc hàng")</f>
        <v>hoặc hàng</v>
      </c>
      <c r="F194" s="3" t="str">
        <f ca="1">IFERROR(__xludf.DUMMYFUNCTION("GOOGLETRANSLATE(C194,""ja"",""vi"")"),"Đấu giá&gt; cổ, bộ sưu tập&gt; vấn đề in&gt; tấm áp phích&gt; truyện tranh, hoạt hình&gt; hoặc hàng")</f>
        <v>Đấu giá&gt; cổ, bộ sưu tập&gt; vấn đề in&gt; tấm áp phích&gt; truyện tranh, hoạt hình&gt; hoặc hàng</v>
      </c>
      <c r="G194" s="229" t="str">
        <f t="shared" ref="G194:G202" ca="1" si="6">CONCATENATE(CHAR(34)&amp;"",A194,""&amp;CHAR(34)," : ", CHAR(34)&amp;"",E194,""&amp;CHAR(34),",")</f>
        <v>"2084034659" : "hoặc hàng",</v>
      </c>
      <c r="H194" s="229" t="str">
        <f t="shared" si="5"/>
        <v>&lt;li class="col-md-3"&gt;&lt;a class="text-cut" href="javascript:;"(click)="categoryEvent(2084034659)"&gt;{{"2084034659" | translate}}&lt;/a&gt;&lt;/li&gt;</v>
      </c>
    </row>
    <row r="195" spans="1:8" ht="14.25" customHeight="1">
      <c r="A195" s="2">
        <v>2084034924</v>
      </c>
      <c r="B195" s="2" t="s">
        <v>610</v>
      </c>
      <c r="C195" s="2" t="s">
        <v>1463</v>
      </c>
      <c r="D195" s="2" t="s">
        <v>1464</v>
      </c>
      <c r="E195" s="3" t="str">
        <f ca="1">IFERROR(__xludf.DUMMYFUNCTION("GOOGLETRANSLATE(B195,""ja"",""vi"")"),"Các chữ s")</f>
        <v>Các chữ s</v>
      </c>
      <c r="F195" s="3" t="str">
        <f ca="1">IFERROR(__xludf.DUMMYFUNCTION("GOOGLETRANSLATE(C195,""ja"",""vi"")"),"Đấu giá&gt; cổ, bộ sưu tập&gt; vấn đề in&gt; tấm áp phích&gt; truyện tranh, hoạt hình&gt; chữ s")</f>
        <v>Đấu giá&gt; cổ, bộ sưu tập&gt; vấn đề in&gt; tấm áp phích&gt; truyện tranh, hoạt hình&gt; chữ s</v>
      </c>
      <c r="G195" s="229" t="str">
        <f t="shared" ca="1" si="6"/>
        <v>"2084034924" : "Các chữ s",</v>
      </c>
      <c r="H195" s="229" t="str">
        <f t="shared" ref="H195:H202" si="7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href="javascript:;"(click)="categoryEvent(2084034924)"&gt;{{"2084034924" | translate}}&lt;/a&gt;&lt;/li&gt;</v>
      </c>
    </row>
    <row r="196" spans="1:8" ht="14.25" customHeight="1">
      <c r="A196" s="2">
        <v>2084035306</v>
      </c>
      <c r="B196" s="2" t="s">
        <v>619</v>
      </c>
      <c r="C196" s="2" t="s">
        <v>1468</v>
      </c>
      <c r="D196" s="2" t="s">
        <v>1469</v>
      </c>
      <c r="E196" s="3" t="str">
        <f ca="1">IFERROR(__xludf.DUMMYFUNCTION("GOOGLETRANSLATE(B196,""ja"",""vi"")"),"Tagyo")</f>
        <v>Tagyo</v>
      </c>
      <c r="F196" s="3" t="str">
        <f ca="1">IFERROR(__xludf.DUMMYFUNCTION("GOOGLETRANSLATE(C196,""ja"",""vi"")"),"Đấu giá&gt; cổ, bộ sưu tập&gt; in vấn đề&gt; tấm áp phích&gt; truyện tranh, hoạt hình&gt; Tagyo")</f>
        <v>Đấu giá&gt; cổ, bộ sưu tập&gt; in vấn đề&gt; tấm áp phích&gt; truyện tranh, hoạt hình&gt; Tagyo</v>
      </c>
      <c r="G196" s="229" t="str">
        <f t="shared" ca="1" si="6"/>
        <v>"2084035306" : "Tagyo",</v>
      </c>
      <c r="H196" s="229" t="str">
        <f t="shared" si="7"/>
        <v>&lt;li class="col-md-3"&gt;&lt;a class="text-cut" href="javascript:;"(click)="categoryEvent(2084035306)"&gt;{{"2084035306" | translate}}&lt;/a&gt;&lt;/li&gt;</v>
      </c>
    </row>
    <row r="197" spans="1:8" ht="14.25" customHeight="1">
      <c r="A197" s="2">
        <v>2084035436</v>
      </c>
      <c r="B197" s="2" t="s">
        <v>625</v>
      </c>
      <c r="C197" s="2" t="s">
        <v>1474</v>
      </c>
      <c r="D197" s="2" t="s">
        <v>1475</v>
      </c>
      <c r="E197" s="3" t="str">
        <f ca="1">IFERROR(__xludf.DUMMYFUNCTION("GOOGLETRANSLATE(B197,""ja"",""vi"")"),"Một dòng")</f>
        <v>Một dòng</v>
      </c>
      <c r="F197" s="3" t="str">
        <f ca="1">IFERROR(__xludf.DUMMYFUNCTION("GOOGLETRANSLATE(C197,""ja"",""vi"")"),"Đấu giá&gt; cổ, bộ sưu tập&gt; vấn đề in&gt; tấm áp phích&gt; truyện tranh, hoạt hình&gt; hàng")</f>
        <v>Đấu giá&gt; cổ, bộ sưu tập&gt; vấn đề in&gt; tấm áp phích&gt; truyện tranh, hoạt hình&gt; hàng</v>
      </c>
      <c r="G197" s="229" t="str">
        <f t="shared" ca="1" si="6"/>
        <v>"2084035436" : "Một dòng",</v>
      </c>
      <c r="H197" s="229" t="str">
        <f t="shared" si="7"/>
        <v>&lt;li class="col-md-3"&gt;&lt;a class="text-cut" href="javascript:;"(click)="categoryEvent(2084035436)"&gt;{{"2084035436" | translate}}&lt;/a&gt;&lt;/li&gt;</v>
      </c>
    </row>
    <row r="198" spans="1:8" ht="14.25" customHeight="1">
      <c r="A198" s="2">
        <v>2084035618</v>
      </c>
      <c r="B198" s="2" t="s">
        <v>631</v>
      </c>
      <c r="C198" s="2" t="s">
        <v>1477</v>
      </c>
      <c r="D198" s="2" t="s">
        <v>1478</v>
      </c>
      <c r="E198" s="3" t="str">
        <f ca="1">IFERROR(__xludf.DUMMYFUNCTION("GOOGLETRANSLATE(B198,""ja"",""vi"")"),"hàng")</f>
        <v>hàng</v>
      </c>
      <c r="F198" s="3" t="str">
        <f ca="1">IFERROR(__xludf.DUMMYFUNCTION("GOOGLETRANSLATE(C198,""ja"",""vi"")"),"Đấu giá&gt; cổ, bộ sưu tập&gt; vấn đề in&gt; tấm áp phích&gt; truyện tranh, hoạt hình&gt; liên tiếp")</f>
        <v>Đấu giá&gt; cổ, bộ sưu tập&gt; vấn đề in&gt; tấm áp phích&gt; truyện tranh, hoạt hình&gt; liên tiếp</v>
      </c>
      <c r="G198" s="229" t="str">
        <f t="shared" ca="1" si="6"/>
        <v>"2084035618" : "hàng",</v>
      </c>
      <c r="H198" s="229" t="str">
        <f t="shared" si="7"/>
        <v>&lt;li class="col-md-3"&gt;&lt;a class="text-cut" href="javascript:;"(click)="categoryEvent(2084035618)"&gt;{{"2084035618" | translate}}&lt;/a&gt;&lt;/li&gt;</v>
      </c>
    </row>
    <row r="199" spans="1:8" ht="14.25" customHeight="1">
      <c r="A199" s="2">
        <v>2084035855</v>
      </c>
      <c r="B199" s="2" t="s">
        <v>638</v>
      </c>
      <c r="C199" s="2" t="s">
        <v>1482</v>
      </c>
      <c r="D199" s="2" t="s">
        <v>1484</v>
      </c>
      <c r="E199" s="3" t="str">
        <f ca="1">IFERROR(__xludf.DUMMYFUNCTION("GOOGLETRANSLATE(B199,""ja"",""vi"")"),"hoặc dòng")</f>
        <v>hoặc dòng</v>
      </c>
      <c r="F199" s="3" t="str">
        <f ca="1">IFERROR(__xludf.DUMMYFUNCTION("GOOGLETRANSLATE(C199,""ja"",""vi"")"),"Đấu giá&gt; cổ, bộ sưu tập&gt; vấn đề in&gt; tấm áp phích&gt; truyện tranh, hoạt hình&gt; hoặc hàng")</f>
        <v>Đấu giá&gt; cổ, bộ sưu tập&gt; vấn đề in&gt; tấm áp phích&gt; truyện tranh, hoạt hình&gt; hoặc hàng</v>
      </c>
      <c r="G199" s="229" t="str">
        <f t="shared" ca="1" si="6"/>
        <v>"2084035855" : "hoặc dòng",</v>
      </c>
      <c r="H199" s="229" t="str">
        <f t="shared" si="7"/>
        <v>&lt;li class="col-md-3"&gt;&lt;a class="text-cut" href="javascript:;"(click)="categoryEvent(2084035855)"&gt;{{"2084035855" | translate}}&lt;/a&gt;&lt;/li&gt;</v>
      </c>
    </row>
    <row r="200" spans="1:8" ht="14.25" customHeight="1">
      <c r="A200" s="2">
        <v>2084036004</v>
      </c>
      <c r="B200" s="2" t="s">
        <v>646</v>
      </c>
      <c r="C200" s="2" t="s">
        <v>1490</v>
      </c>
      <c r="D200" s="2" t="s">
        <v>1491</v>
      </c>
      <c r="E200" s="3" t="str">
        <f ca="1">IFERROR(__xludf.DUMMYFUNCTION("GOOGLETRANSLATE(B200,""ja"",""vi"")"),"hoặc hàng")</f>
        <v>hoặc hàng</v>
      </c>
      <c r="F200" s="3" t="str">
        <f ca="1">IFERROR(__xludf.DUMMYFUNCTION("GOOGLETRANSLATE(C200,""ja"",""vi"")"),"Đấu giá&gt; cổ, bộ sưu tập&gt; vấn đề in&gt; tấm áp phích&gt; truyện tranh, hoạt hình&gt; hoặc hàng")</f>
        <v>Đấu giá&gt; cổ, bộ sưu tập&gt; vấn đề in&gt; tấm áp phích&gt; truyện tranh, hoạt hình&gt; hoặc hàng</v>
      </c>
      <c r="G200" s="229" t="str">
        <f t="shared" ca="1" si="6"/>
        <v>"2084036004" : "hoặc hàng",</v>
      </c>
      <c r="H200" s="229" t="str">
        <f t="shared" si="7"/>
        <v>&lt;li class="col-md-3"&gt;&lt;a class="text-cut" href="javascript:;"(click)="categoryEvent(2084036004)"&gt;{{"2084036004" | translate}}&lt;/a&gt;&lt;/li&gt;</v>
      </c>
    </row>
    <row r="201" spans="1:8" ht="14.25" customHeight="1">
      <c r="A201" s="2">
        <v>2084036084</v>
      </c>
      <c r="B201" s="2" t="s">
        <v>751</v>
      </c>
      <c r="C201" s="2" t="s">
        <v>1496</v>
      </c>
      <c r="D201" s="2" t="s">
        <v>1497</v>
      </c>
      <c r="E201" s="3" t="str">
        <f ca="1">IFERROR(__xludf.DUMMYFUNCTION("GOOGLETRANSLATE(B201,""ja"",""vi"")"),"Racovian")</f>
        <v>Racovian</v>
      </c>
      <c r="F201" s="3" t="str">
        <f ca="1">IFERROR(__xludf.DUMMYFUNCTION("GOOGLETRANSLATE(C201,""ja"",""vi"")"),"Đấu giá&gt; cổ, bộ sưu tập&gt; vấn đề in&gt; tấm áp phích&gt; truyện tranh, hoạt hình&gt; Racovian")</f>
        <v>Đấu giá&gt; cổ, bộ sưu tập&gt; vấn đề in&gt; tấm áp phích&gt; truyện tranh, hoạt hình&gt; Racovian</v>
      </c>
      <c r="G201" s="229" t="str">
        <f t="shared" ca="1" si="6"/>
        <v>"2084036084" : "Racovian",</v>
      </c>
      <c r="H201" s="229" t="str">
        <f t="shared" si="7"/>
        <v>&lt;li class="col-md-3"&gt;&lt;a class="text-cut" href="javascript:;"(click)="categoryEvent(2084036084)"&gt;{{"2084036084" | translate}}&lt;/a&gt;&lt;/li&gt;</v>
      </c>
    </row>
    <row r="202" spans="1:8" ht="14.25" customHeight="1">
      <c r="A202" s="2">
        <v>2084036133</v>
      </c>
      <c r="B202" s="2" t="s">
        <v>756</v>
      </c>
      <c r="C202" s="2" t="s">
        <v>1501</v>
      </c>
      <c r="D202" s="2" t="s">
        <v>1503</v>
      </c>
      <c r="E202" s="3" t="str">
        <f ca="1">IFERROR(__xludf.DUMMYFUNCTION("GOOGLETRANSLATE(B202,""ja"",""vi"")"),"tôi hàng")</f>
        <v>tôi hàng</v>
      </c>
      <c r="F202" s="3" t="str">
        <f ca="1">IFERROR(__xludf.DUMMYFUNCTION("GOOGLETRANSLATE(C202,""ja"",""vi"")"),"Đấu giá&gt; cổ, bộ sưu tập&gt; in vấn đề&gt; tấm áp phích&gt; truyện tranh, hoạt hình&gt; Tôi dòng")</f>
        <v>Đấu giá&gt; cổ, bộ sưu tập&gt; in vấn đề&gt; tấm áp phích&gt; truyện tranh, hoạt hình&gt; Tôi dòng</v>
      </c>
      <c r="G202" s="229" t="str">
        <f t="shared" ca="1" si="6"/>
        <v>"2084036133" : "tôi hàng",</v>
      </c>
      <c r="H202" s="229" t="str">
        <f t="shared" si="7"/>
        <v>&lt;li class="col-md-3"&gt;&lt;a class="text-cut" href="javascript:;"(click)="categoryEvent(2084036133)"&gt;{{"2084036133" | translate}}&lt;/a&gt;&lt;/li&gt;</v>
      </c>
    </row>
    <row r="203" spans="1:8" ht="14.25" customHeight="1"/>
    <row r="204" spans="1:8" ht="14.25" customHeight="1"/>
    <row r="205" spans="1:8" ht="14.25" customHeight="1"/>
    <row r="206" spans="1:8" ht="14.25" customHeight="1"/>
    <row r="207" spans="1:8" ht="14.25" customHeight="1"/>
    <row r="208" spans="1: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95:D95"/>
    <mergeCell ref="A126:D126"/>
    <mergeCell ref="A139:D139"/>
    <mergeCell ref="A34:D34"/>
    <mergeCell ref="A53:D53"/>
    <mergeCell ref="A64:D64"/>
    <mergeCell ref="A68:D68"/>
    <mergeCell ref="A80:D80"/>
    <mergeCell ref="A180:D180"/>
    <mergeCell ref="A164:D164"/>
    <mergeCell ref="A176:D176"/>
    <mergeCell ref="A192:D192"/>
    <mergeCell ref="A143:D143"/>
    <mergeCell ref="A147:D147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D1" workbookViewId="0">
      <selection activeCell="H2" sqref="H2"/>
    </sheetView>
  </sheetViews>
  <sheetFormatPr defaultColWidth="12.59765625" defaultRowHeight="15" customHeight="1"/>
  <cols>
    <col min="1" max="1" width="21.59765625" customWidth="1"/>
    <col min="2" max="2" width="23.19921875" customWidth="1"/>
    <col min="3" max="3" width="27.5" customWidth="1"/>
    <col min="4" max="4" width="30.59765625" customWidth="1"/>
    <col min="5" max="5" width="13.5" customWidth="1"/>
    <col min="6" max="6" width="18.19921875" customWidth="1"/>
    <col min="7" max="7" width="43.39843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89">
        <v>21636</v>
      </c>
      <c r="B2" s="89" t="s">
        <v>7559</v>
      </c>
      <c r="C2" s="2" t="s">
        <v>7561</v>
      </c>
      <c r="D2" s="2" t="s">
        <v>7562</v>
      </c>
      <c r="E2" s="3" t="str">
        <f ca="1">IFERROR(__xludf.DUMMYFUNCTION("GOOGLETRANSLATE(B2,""ja"",""vi"")"),"Phim hoạt hình, truyện tranh")</f>
        <v>Phim hoạt hình, truyện tranh</v>
      </c>
      <c r="F2" s="3" t="str">
        <f ca="1">IFERROR(__xludf.DUMMYFUNCTION("GOOGLETRANSLATE(C2,""ja"",""vi"")"),"Đấu giá&gt; cuốn sách, tạp chí&gt; manga, truyện tranh")</f>
        <v>Đấu giá&gt; cuốn sách, tạp chí&gt; manga, truyện tranh</v>
      </c>
      <c r="G2" s="229" t="str">
        <f ca="1">CONCATENATE(CHAR(34)&amp;"",A2,""&amp;CHAR(34)," : ", CHAR(34)&amp;"",E2,""&amp;CHAR(34),",")</f>
        <v>"21636" : "Phim hoạt hình, truyện tranh",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href="javascript:;"(click)="categoryEvent(21636)"&gt;{{"21636" | translate}}&lt;/a&gt;&lt;/li&gt;</v>
      </c>
    </row>
    <row r="3" spans="1:8" ht="14.25" customHeight="1">
      <c r="A3" s="90">
        <v>21884</v>
      </c>
      <c r="B3" s="90" t="s">
        <v>351</v>
      </c>
      <c r="C3" s="4" t="s">
        <v>7567</v>
      </c>
      <c r="D3" s="4" t="s">
        <v>7568</v>
      </c>
      <c r="E3" s="3" t="str">
        <f ca="1">IFERROR(__xludf.DUMMYFUNCTION("GOOGLETRANSLATE(B3,""ja"",""vi"")"),"tạp chí")</f>
        <v>tạp chí</v>
      </c>
      <c r="F3" s="3" t="str">
        <f ca="1">IFERROR(__xludf.DUMMYFUNCTION("GOOGLETRANSLATE(C3,""ja"",""vi"")"),"Đấu giá&gt; Sách, tạp chí&gt; Tạp chí")</f>
        <v>Đấu giá&gt; Sách, tạp chí&gt; Tạp chí</v>
      </c>
      <c r="G3" s="229" t="str">
        <f t="shared" ref="G3:G66" ca="1" si="0">CONCATENATE(CHAR(34)&amp;"",A3,""&amp;CHAR(34)," : ", CHAR(34)&amp;"",E3,""&amp;CHAR(34),",")</f>
        <v>"21884" : "tạp chí",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href="javascript:;"(click)="categoryEvent(21884)"&gt;{{"21884" | translate}}&lt;/a&gt;&lt;/li&gt;</v>
      </c>
    </row>
    <row r="4" spans="1:8" ht="14.25" customHeight="1">
      <c r="A4" s="117">
        <v>2084008525</v>
      </c>
      <c r="B4" s="117" t="s">
        <v>7570</v>
      </c>
      <c r="C4" s="5" t="s">
        <v>7571</v>
      </c>
      <c r="D4" s="5" t="s">
        <v>7572</v>
      </c>
      <c r="E4" s="3" t="str">
        <f ca="1">IFERROR(__xludf.DUMMYFUNCTION("GOOGLETRANSLATE(B4,""ja"",""vi"")"),"Văn học, tiểu thuyết")</f>
        <v>Văn học, tiểu thuyết</v>
      </c>
      <c r="F4" s="3" t="str">
        <f ca="1">IFERROR(__xludf.DUMMYFUNCTION("GOOGLETRANSLATE(C4,""ja"",""vi"")"),"Đấu giá&gt; cuốn sách, tạp chí&gt; văn học, tiểu thuyết")</f>
        <v>Đấu giá&gt; cuốn sách, tạp chí&gt; văn học, tiểu thuyết</v>
      </c>
      <c r="G4" s="229" t="str">
        <f t="shared" ca="1" si="0"/>
        <v>"2084008525" : "Văn học, tiểu thuyết",</v>
      </c>
      <c r="H4" s="229" t="str">
        <f t="shared" si="1"/>
        <v>&lt;li class="col-md-3"&gt;&lt;a class="text-cut" href="javascript:;"(click)="categoryEvent(2084008525)"&gt;{{"2084008525" | translate}}&lt;/a&gt;&lt;/li&gt;</v>
      </c>
    </row>
    <row r="5" spans="1:8" ht="14.25" customHeight="1">
      <c r="A5" s="93">
        <v>2084008550</v>
      </c>
      <c r="B5" s="93" t="s">
        <v>7576</v>
      </c>
      <c r="C5" s="8" t="s">
        <v>7578</v>
      </c>
      <c r="D5" s="8" t="s">
        <v>7579</v>
      </c>
      <c r="E5" s="3" t="str">
        <f ca="1">IFERROR(__xludf.DUMMYFUNCTION("GOOGLETRANSLATE(B5,""ja"",""vi"")"),"Non-fiction, giáo dục")</f>
        <v>Non-fiction, giáo dục</v>
      </c>
      <c r="F5" s="3" t="str">
        <f ca="1">IFERROR(__xludf.DUMMYFUNCTION("GOOGLETRANSLATE(C5,""ja"",""vi"")"),"Đấu giá&gt; cuốn sách, tạp chí&gt; không hư cấu, giáo dục")</f>
        <v>Đấu giá&gt; cuốn sách, tạp chí&gt; không hư cấu, giáo dục</v>
      </c>
      <c r="G5" s="229" t="str">
        <f t="shared" ca="1" si="0"/>
        <v>"2084008550" : "Non-fiction, giáo dục",</v>
      </c>
      <c r="H5" s="229" t="str">
        <f t="shared" si="1"/>
        <v>&lt;li class="col-md-3"&gt;&lt;a class="text-cut" href="javascript:;"(click)="categoryEvent(2084008550)"&gt;{{"2084008550" | translate}}&lt;/a&gt;&lt;/li&gt;</v>
      </c>
    </row>
    <row r="6" spans="1:8" ht="14.25" customHeight="1">
      <c r="A6" s="94">
        <v>21740</v>
      </c>
      <c r="B6" s="94" t="s">
        <v>7580</v>
      </c>
      <c r="C6" s="6" t="s">
        <v>7582</v>
      </c>
      <c r="D6" s="6" t="s">
        <v>7583</v>
      </c>
      <c r="E6" s="3" t="str">
        <f ca="1">IFERROR(__xludf.DUMMYFUNCTION("GOOGLETRANSLATE(B6,""ja"",""vi"")"),"Maps, hướng dẫn du lịch")</f>
        <v>Maps, hướng dẫn du lịch</v>
      </c>
      <c r="F6" s="3" t="str">
        <f ca="1">IFERROR(__xludf.DUMMYFUNCTION("GOOGLETRANSLATE(C6,""ja"",""vi"")"),"Đấu giá&gt; cuốn sách, tạp chí&gt; Bản đồ, hướng dẫn viên du lịch")</f>
        <v>Đấu giá&gt; cuốn sách, tạp chí&gt; Bản đồ, hướng dẫn viên du lịch</v>
      </c>
      <c r="G6" s="229" t="str">
        <f t="shared" ca="1" si="0"/>
        <v>"21740" : "Maps, hướng dẫn du lịch",</v>
      </c>
      <c r="H6" s="229" t="str">
        <f t="shared" si="1"/>
        <v>&lt;li class="col-md-3"&gt;&lt;a class="text-cut" href="javascript:;"(click)="categoryEvent(21740)"&gt;{{"21740" | translate}}&lt;/a&gt;&lt;/li&gt;</v>
      </c>
    </row>
    <row r="7" spans="1:8" ht="14.25" customHeight="1">
      <c r="A7" s="95">
        <v>2084008861</v>
      </c>
      <c r="B7" s="95" t="s">
        <v>7586</v>
      </c>
      <c r="C7" s="9" t="s">
        <v>7587</v>
      </c>
      <c r="D7" s="9" t="s">
        <v>7588</v>
      </c>
      <c r="E7" s="3" t="str">
        <f ca="1">IFERROR(__xludf.DUMMYFUNCTION("GOOGLETRANSLATE(B7,""ja"",""vi"")"),"Sở thích, thể thao, sử dụng thực tế")</f>
        <v>Sở thích, thể thao, sử dụng thực tế</v>
      </c>
      <c r="F7" s="3" t="str">
        <f ca="1">IFERROR(__xludf.DUMMYFUNCTION("GOOGLETRANSLATE(C7,""ja"",""vi"")"),"Đấu giá&gt; cuốn sách, tạp chí&gt; sở thích, thể thao, sử dụng thực tế")</f>
        <v>Đấu giá&gt; cuốn sách, tạp chí&gt; sở thích, thể thao, sử dụng thực tế</v>
      </c>
      <c r="G7" s="229" t="str">
        <f t="shared" ca="1" si="0"/>
        <v>"2084008861" : "Sở thích, thể thao, sử dụng thực tế",</v>
      </c>
      <c r="H7" s="229" t="str">
        <f t="shared" si="1"/>
        <v>&lt;li class="col-md-3"&gt;&lt;a class="text-cut" href="javascript:;"(click)="categoryEvent(2084008861)"&gt;{{"2084008861" | translate}}&lt;/a&gt;&lt;/li&gt;</v>
      </c>
    </row>
    <row r="8" spans="1:8" ht="14.25" customHeight="1">
      <c r="A8" s="96">
        <v>2084008935</v>
      </c>
      <c r="B8" s="96" t="s">
        <v>7589</v>
      </c>
      <c r="C8" s="7" t="s">
        <v>7590</v>
      </c>
      <c r="D8" s="7" t="s">
        <v>7591</v>
      </c>
      <c r="E8" s="3" t="str">
        <f ca="1">IFERROR(__xludf.DUMMYFUNCTION("GOOGLETRANSLATE(B8,""ja"",""vi"")"),"House, sinh hoạt, chăm sóc trẻ em")</f>
        <v>House, sinh hoạt, chăm sóc trẻ em</v>
      </c>
      <c r="F8" s="3" t="str">
        <f ca="1">IFERROR(__xludf.DUMMYFUNCTION("GOOGLETRANSLATE(C8,""ja"",""vi"")"),"Đấu giá&gt; cuốn sách, tạp chí&gt; nhà, sinh hoạt, chăm sóc trẻ em")</f>
        <v>Đấu giá&gt; cuốn sách, tạp chí&gt; nhà, sinh hoạt, chăm sóc trẻ em</v>
      </c>
      <c r="G8" s="229" t="str">
        <f t="shared" ca="1" si="0"/>
        <v>"2084008935" : "House, sinh hoạt, chăm sóc trẻ em",</v>
      </c>
      <c r="H8" s="229" t="str">
        <f t="shared" si="1"/>
        <v>&lt;li class="col-md-3"&gt;&lt;a class="text-cut" href="javascript:;"(click)="categoryEvent(2084008935)"&gt;{{"2084008935" | translate}}&lt;/a&gt;&lt;/li&gt;</v>
      </c>
    </row>
    <row r="9" spans="1:8" ht="14.25" customHeight="1">
      <c r="A9" s="97">
        <v>21712</v>
      </c>
      <c r="B9" s="97" t="s">
        <v>7592</v>
      </c>
      <c r="C9" s="41" t="s">
        <v>7593</v>
      </c>
      <c r="D9" s="41" t="s">
        <v>7594</v>
      </c>
      <c r="E9" s="3" t="str">
        <f ca="1">IFERROR(__xludf.DUMMYFUNCTION("GOOGLETRANSLATE(B9,""ja"",""vi"")"),"Học tập, giáo dục")</f>
        <v>Học tập, giáo dục</v>
      </c>
      <c r="F9" s="3" t="str">
        <f ca="1">IFERROR(__xludf.DUMMYFUNCTION("GOOGLETRANSLATE(C9,""ja"",""vi"")"),"Đấu giá&gt; cuốn sách, tạp chí&gt; nghiên cứu, giáo dục")</f>
        <v>Đấu giá&gt; cuốn sách, tạp chí&gt; nghiên cứu, giáo dục</v>
      </c>
      <c r="G9" s="229" t="str">
        <f t="shared" ca="1" si="0"/>
        <v>"21712" : "Học tập, giáo dục",</v>
      </c>
      <c r="H9" s="229" t="str">
        <f t="shared" si="1"/>
        <v>&lt;li class="col-md-3"&gt;&lt;a class="text-cut" href="javascript:;"(click)="categoryEvent(21712)"&gt;{{"21712" | translate}}&lt;/a&gt;&lt;/li&gt;</v>
      </c>
    </row>
    <row r="10" spans="1:8" ht="14.25" customHeight="1">
      <c r="A10" s="98">
        <v>21624</v>
      </c>
      <c r="B10" s="98" t="s">
        <v>510</v>
      </c>
      <c r="C10" s="16" t="s">
        <v>7596</v>
      </c>
      <c r="D10" s="16" t="s">
        <v>7597</v>
      </c>
      <c r="E10" s="3" t="str">
        <f ca="1">IFERROR(__xludf.DUMMYFUNCTION("GOOGLETRANSLATE(B10,""ja"",""vi"")"),"sách, truyện tranh cho trẻ em")</f>
        <v>sách, truyện tranh cho trẻ em</v>
      </c>
      <c r="F10" s="3" t="str">
        <f ca="1">IFERROR(__xludf.DUMMYFUNCTION("GOOGLETRANSLATE(C10,""ja"",""vi"")"),"Đấu giá&gt; Sách, tạp chí&gt; sách thiếu nhi, truyện tranh")</f>
        <v>Đấu giá&gt; Sách, tạp chí&gt; sách thiếu nhi, truyện tranh</v>
      </c>
      <c r="G10" s="229" t="str">
        <f t="shared" ca="1" si="0"/>
        <v>"21624" : "sách, truyện tranh cho trẻ em",</v>
      </c>
      <c r="H10" s="229" t="str">
        <f t="shared" si="1"/>
        <v>&lt;li class="col-md-3"&gt;&lt;a class="text-cut" href="javascript:;"(click)="categoryEvent(21624)"&gt;{{"21624" | translate}}&lt;/a&gt;&lt;/li&gt;</v>
      </c>
    </row>
    <row r="11" spans="1:8" ht="14.25" customHeight="1">
      <c r="A11" s="99">
        <v>21700</v>
      </c>
      <c r="B11" s="99" t="s">
        <v>7599</v>
      </c>
      <c r="C11" s="43" t="s">
        <v>7601</v>
      </c>
      <c r="D11" s="43" t="s">
        <v>7602</v>
      </c>
      <c r="E11" s="3" t="str">
        <f ca="1">IFERROR(__xludf.DUMMYFUNCTION("GOOGLETRANSLATE(B11,""ja"",""vi"")"),"Máy tính và Internet")</f>
        <v>Máy tính và Internet</v>
      </c>
      <c r="F11" s="3" t="str">
        <f ca="1">IFERROR(__xludf.DUMMYFUNCTION("GOOGLETRANSLATE(C11,""ja"",""vi"")"),"Đấu giá&gt; cuốn sách, tạp chí&gt; máy tính và Internet")</f>
        <v>Đấu giá&gt; cuốn sách, tạp chí&gt; máy tính và Internet</v>
      </c>
      <c r="G11" s="229" t="str">
        <f t="shared" ca="1" si="0"/>
        <v>"21700" : "Máy tính và Internet",</v>
      </c>
      <c r="H11" s="229" t="str">
        <f t="shared" si="1"/>
        <v>&lt;li class="col-md-3"&gt;&lt;a class="text-cut" href="javascript:;"(click)="categoryEvent(21700)"&gt;{{"21700" | translate}}&lt;/a&gt;&lt;/li&gt;</v>
      </c>
    </row>
    <row r="12" spans="1:8" ht="14.25" customHeight="1">
      <c r="A12" s="100">
        <v>21820</v>
      </c>
      <c r="B12" s="100" t="s">
        <v>7607</v>
      </c>
      <c r="C12" s="45" t="s">
        <v>7608</v>
      </c>
      <c r="D12" s="45" t="s">
        <v>7610</v>
      </c>
      <c r="E12" s="3" t="str">
        <f ca="1">IFERROR(__xludf.DUMMYFUNCTION("GOOGLETRANSLATE(B12,""ja"",""vi"")"),"khoa học tự nhiên và công nghệ")</f>
        <v>khoa học tự nhiên và công nghệ</v>
      </c>
      <c r="F12" s="3" t="str">
        <f ca="1">IFERROR(__xludf.DUMMYFUNCTION("GOOGLETRANSLATE(C12,""ja"",""vi"")"),"Đấu giá&gt; cuốn sách, tạp chí&gt; khoa học tự nhiên và công nghệ")</f>
        <v>Đấu giá&gt; cuốn sách, tạp chí&gt; khoa học tự nhiên và công nghệ</v>
      </c>
      <c r="G12" s="229" t="str">
        <f t="shared" ca="1" si="0"/>
        <v>"21820" : "khoa học tự nhiên và công nghệ",</v>
      </c>
      <c r="H12" s="229" t="str">
        <f t="shared" si="1"/>
        <v>&lt;li class="col-md-3"&gt;&lt;a class="text-cut" href="javascript:;"(click)="categoryEvent(21820)"&gt;{{"21820" | translate}}&lt;/a&gt;&lt;/li&gt;</v>
      </c>
    </row>
    <row r="13" spans="1:8" ht="14.25" customHeight="1">
      <c r="A13" s="101">
        <v>2084008989</v>
      </c>
      <c r="B13" s="101" t="s">
        <v>7616</v>
      </c>
      <c r="C13" s="48" t="s">
        <v>7617</v>
      </c>
      <c r="D13" s="48" t="s">
        <v>7618</v>
      </c>
      <c r="E13" s="3" t="str">
        <f ca="1">IFERROR(__xludf.DUMMYFUNCTION("GOOGLETRANSLATE(B13,""ja"",""vi"")"),"Sức khỏe &amp; Y tế")</f>
        <v>Sức khỏe &amp; Y tế</v>
      </c>
      <c r="F13" s="3" t="str">
        <f ca="1">IFERROR(__xludf.DUMMYFUNCTION("GOOGLETRANSLATE(C13,""ja"",""vi"")"),"Đấu giá&gt; cuốn sách, tạp chí&gt; sức khỏe và y học")</f>
        <v>Đấu giá&gt; cuốn sách, tạp chí&gt; sức khỏe và y học</v>
      </c>
      <c r="G13" s="229" t="str">
        <f t="shared" ca="1" si="0"/>
        <v>"2084008989" : "Sức khỏe &amp; Y tế",</v>
      </c>
      <c r="H13" s="229" t="str">
        <f t="shared" si="1"/>
        <v>&lt;li class="col-md-3"&gt;&lt;a class="text-cut" href="javascript:;"(click)="categoryEvent(2084008989)"&gt;{{"2084008989" | translate}}&lt;/a&gt;&lt;/li&gt;</v>
      </c>
    </row>
    <row r="14" spans="1:8" ht="14.25" customHeight="1">
      <c r="A14" s="102">
        <v>2084009036</v>
      </c>
      <c r="B14" s="102" t="s">
        <v>7622</v>
      </c>
      <c r="C14" s="50" t="s">
        <v>7624</v>
      </c>
      <c r="D14" s="50" t="s">
        <v>7625</v>
      </c>
      <c r="E14" s="3" t="str">
        <f ca="1">IFERROR(__xludf.DUMMYFUNCTION("GOOGLETRANSLATE(B14,""ja"",""vi"")"),"Nghệ thuật &amp; Giải trí")</f>
        <v>Nghệ thuật &amp; Giải trí</v>
      </c>
      <c r="F14" s="3" t="str">
        <f ca="1">IFERROR(__xludf.DUMMYFUNCTION("GOOGLETRANSLATE(C14,""ja"",""vi"")"),"Đấu giá&gt; Sách, tạp chí&gt; Nghệ thuật &amp; giải trí")</f>
        <v>Đấu giá&gt; Sách, tạp chí&gt; Nghệ thuật &amp; giải trí</v>
      </c>
      <c r="G14" s="229" t="str">
        <f t="shared" ca="1" si="0"/>
        <v>"2084009036" : "Nghệ thuật &amp; Giải trí",</v>
      </c>
      <c r="H14" s="229" t="str">
        <f t="shared" si="1"/>
        <v>&lt;li class="col-md-3"&gt;&lt;a class="text-cut" href="javascript:;"(click)="categoryEvent(2084009036)"&gt;{{"2084009036" | translate}}&lt;/a&gt;&lt;/li&gt;</v>
      </c>
    </row>
    <row r="15" spans="1:8" ht="14.25" customHeight="1">
      <c r="A15" s="103">
        <v>2084008755</v>
      </c>
      <c r="B15" s="103" t="s">
        <v>7629</v>
      </c>
      <c r="C15" s="53" t="s">
        <v>7630</v>
      </c>
      <c r="D15" s="53" t="s">
        <v>7632</v>
      </c>
      <c r="E15" s="3" t="str">
        <f ca="1">IFERROR(__xludf.DUMMYFUNCTION("GOOGLETRANSLATE(B15,""ja"",""vi"")"),"Kinh doanh, kinh tế")</f>
        <v>Kinh doanh, kinh tế</v>
      </c>
      <c r="F15" s="3" t="str">
        <f ca="1">IFERROR(__xludf.DUMMYFUNCTION("GOOGLETRANSLATE(C15,""ja"",""vi"")"),"Đấu giá&gt; cuốn sách, tạp chí&gt; kinh doanh, kinh tế")</f>
        <v>Đấu giá&gt; cuốn sách, tạp chí&gt; kinh doanh, kinh tế</v>
      </c>
      <c r="G15" s="229" t="str">
        <f t="shared" ca="1" si="0"/>
        <v>"2084008755" : "Kinh doanh, kinh tế",</v>
      </c>
      <c r="H15" s="229" t="str">
        <f t="shared" si="1"/>
        <v>&lt;li class="col-md-3"&gt;&lt;a class="text-cut" href="javascript:;"(click)="categoryEvent(2084008755)"&gt;{{"2084008755" | translate}}&lt;/a&gt;&lt;/li&gt;</v>
      </c>
    </row>
    <row r="16" spans="1:8" ht="14.25" customHeight="1">
      <c r="A16" s="104">
        <v>2084008565</v>
      </c>
      <c r="B16" s="104" t="s">
        <v>7635</v>
      </c>
      <c r="C16" s="56" t="s">
        <v>7636</v>
      </c>
      <c r="D16" s="56" t="str">
        <f>CONCATENATE("0,","23632,",A24)</f>
        <v>0,23632,2084261439</v>
      </c>
      <c r="E16" s="3" t="str">
        <f ca="1">IFERROR(__xludf.DUMMYFUNCTION("GOOGLETRANSLATE(B16,""ja"",""vi"")"),"Nhân văn, Xã hội")</f>
        <v>Nhân văn, Xã hội</v>
      </c>
      <c r="F16" s="3" t="str">
        <f ca="1">IFERROR(__xludf.DUMMYFUNCTION("GOOGLETRANSLATE(C16,""ja"",""vi"")"),"Đấu giá&gt; cuốn sách, tạp chí&gt; nhân văn, xã hội")</f>
        <v>Đấu giá&gt; cuốn sách, tạp chí&gt; nhân văn, xã hội</v>
      </c>
      <c r="G16" s="229" t="str">
        <f t="shared" ca="1" si="0"/>
        <v>"2084008565" : "Nhân văn, Xã hội",</v>
      </c>
      <c r="H16" s="229" t="str">
        <f t="shared" si="1"/>
        <v>&lt;li class="col-md-3"&gt;&lt;a class="text-cut" href="javascript:;"(click)="categoryEvent(2084008565)"&gt;{{"2084008565" | translate}}&lt;/a&gt;&lt;/li&gt;</v>
      </c>
    </row>
    <row r="17" spans="1:8" ht="14.25" customHeight="1">
      <c r="A17" s="105">
        <v>2084263670</v>
      </c>
      <c r="B17" s="105" t="s">
        <v>5571</v>
      </c>
      <c r="C17" s="59" t="s">
        <v>7640</v>
      </c>
      <c r="D17" s="59" t="s">
        <v>7642</v>
      </c>
      <c r="E17" s="3" t="str">
        <f ca="1">IFERROR(__xludf.DUMMYFUNCTION("GOOGLETRANSLATE(B17,""ja"",""vi"")"),"sách cũ, tài liệu cũ")</f>
        <v>sách cũ, tài liệu cũ</v>
      </c>
      <c r="F17" s="3" t="str">
        <f ca="1">IFERROR(__xludf.DUMMYFUNCTION("GOOGLETRANSLATE(C17,""ja"",""vi"")"),"Đấu giá&gt; cuốn sách, tạp chí&gt; cuốn sách cũ, tài liệu cổ")</f>
        <v>Đấu giá&gt; cuốn sách, tạp chí&gt; cuốn sách cũ, tài liệu cổ</v>
      </c>
      <c r="G17" s="229" t="str">
        <f t="shared" ca="1" si="0"/>
        <v>"2084263670" : "sách cũ, tài liệu cũ",</v>
      </c>
      <c r="H17" s="229" t="str">
        <f t="shared" si="1"/>
        <v>&lt;li class="col-md-3"&gt;&lt;a class="text-cut" href="javascript:;"(click)="categoryEvent(2084263670)"&gt;{{"2084263670" | translate}}&lt;/a&gt;&lt;/li&gt;</v>
      </c>
    </row>
    <row r="18" spans="1:8" ht="14.25" customHeight="1">
      <c r="A18" s="106">
        <v>20072</v>
      </c>
      <c r="B18" s="106" t="s">
        <v>303</v>
      </c>
      <c r="C18" s="63" t="s">
        <v>7645</v>
      </c>
      <c r="D18" s="63" t="s">
        <v>7646</v>
      </c>
      <c r="E18" s="3" t="str">
        <f ca="1">IFERROR(__xludf.DUMMYFUNCTION("GOOGLETRANSLATE(B18,""ja"",""vi"")"),"lịch")</f>
        <v>lịch</v>
      </c>
      <c r="F18" s="3" t="str">
        <f ca="1">IFERROR(__xludf.DUMMYFUNCTION("GOOGLETRANSLATE(C18,""ja"",""vi"")"),"Đấu giá&gt; cuốn sách, tạp chí&gt; Lịch")</f>
        <v>Đấu giá&gt; cuốn sách, tạp chí&gt; Lịch</v>
      </c>
      <c r="G18" s="229" t="str">
        <f t="shared" ca="1" si="0"/>
        <v>"20072" : "lịch",</v>
      </c>
      <c r="H18" s="229" t="str">
        <f t="shared" si="1"/>
        <v>&lt;li class="col-md-3"&gt;&lt;a class="text-cut" href="javascript:;"(click)="categoryEvent(20072)"&gt;{{"20072" | translate}}&lt;/a&gt;&lt;/li&gt;</v>
      </c>
    </row>
    <row r="19" spans="1:8" ht="14.25" customHeight="1">
      <c r="A19" s="171">
        <v>2084063841</v>
      </c>
      <c r="B19" s="171" t="s">
        <v>1609</v>
      </c>
      <c r="C19" s="72" t="s">
        <v>7651</v>
      </c>
      <c r="D19" s="72" t="s">
        <v>7653</v>
      </c>
      <c r="E19" s="3" t="str">
        <f ca="1">IFERROR(__xludf.DUMMYFUNCTION("GOOGLETRANSLATE(B19,""ja"",""vi"")"),"bìa sách")</f>
        <v>bìa sách</v>
      </c>
      <c r="F19" s="3" t="str">
        <f ca="1">IFERROR(__xludf.DUMMYFUNCTION("GOOGLETRANSLATE(C19,""ja"",""vi"")"),"Đấu giá&gt; cuốn sách, tạp chí&gt; bìa sách")</f>
        <v>Đấu giá&gt; cuốn sách, tạp chí&gt; bìa sách</v>
      </c>
      <c r="G19" s="229" t="str">
        <f t="shared" ca="1" si="0"/>
        <v>"2084063841" : "bìa sách",</v>
      </c>
      <c r="H19" s="229" t="str">
        <f t="shared" si="1"/>
        <v>&lt;li class="col-md-3"&gt;&lt;a class="text-cut" href="javascript:;"(click)="categoryEvent(2084063841)"&gt;{{"2084063841" | translate}}&lt;/a&gt;&lt;/li&gt;</v>
      </c>
    </row>
    <row r="20" spans="1:8" ht="14.25" customHeight="1">
      <c r="A20" s="172">
        <v>2084047451</v>
      </c>
      <c r="B20" s="172" t="s">
        <v>7660</v>
      </c>
      <c r="C20" s="62" t="s">
        <v>7663</v>
      </c>
      <c r="D20" s="62" t="s">
        <v>7664</v>
      </c>
      <c r="E20" s="3" t="str">
        <f ca="1">IFERROR(__xludf.DUMMYFUNCTION("GOOGLETRANSLATE(B20,""ja"",""vi"")"),"CD cuốn sách")</f>
        <v>CD cuốn sách</v>
      </c>
      <c r="F20" s="3" t="str">
        <f ca="1">IFERROR(__xludf.DUMMYFUNCTION("GOOGLETRANSLATE(C20,""ja"",""vi"")"),"Đấu giá&gt; cuốn sách, tạp chí&gt; CD cuốn sách")</f>
        <v>Đấu giá&gt; cuốn sách, tạp chí&gt; CD cuốn sách</v>
      </c>
      <c r="G20" s="229" t="str">
        <f t="shared" ca="1" si="0"/>
        <v>"2084047451" : "CD cuốn sách",</v>
      </c>
      <c r="H20" s="229" t="str">
        <f t="shared" si="1"/>
        <v>&lt;li class="col-md-3"&gt;&lt;a class="text-cut" href="javascript:;"(click)="categoryEvent(2084047451)"&gt;{{"2084047451" | translate}}&lt;/a&gt;&lt;/li&gt;</v>
      </c>
    </row>
    <row r="21" spans="1:8" ht="14.25" customHeight="1">
      <c r="E21" s="3"/>
      <c r="F21" s="3"/>
      <c r="G21" s="229"/>
      <c r="H21" s="229"/>
    </row>
    <row r="22" spans="1:8" ht="14.25" customHeight="1">
      <c r="E22" s="3"/>
      <c r="F22" s="3"/>
      <c r="G22" s="229"/>
      <c r="H22" s="229"/>
    </row>
    <row r="23" spans="1:8" ht="25.5" customHeight="1">
      <c r="A23" s="257">
        <v>21636</v>
      </c>
      <c r="B23" s="258"/>
      <c r="C23" s="258"/>
      <c r="D23" s="258"/>
      <c r="E23" s="3"/>
      <c r="F23" s="3"/>
      <c r="G23" s="229"/>
      <c r="H23" s="229"/>
    </row>
    <row r="24" spans="1:8" ht="14.25" customHeight="1">
      <c r="A24" s="2">
        <v>2084261439</v>
      </c>
      <c r="B24" s="2" t="s">
        <v>1081</v>
      </c>
      <c r="C24" s="2" t="s">
        <v>1083</v>
      </c>
      <c r="D24" s="116" t="b">
        <f>'21964'!D2=CONCATENATE("0,","21600,21636,",A24)</f>
        <v>0</v>
      </c>
      <c r="E24" s="3" t="str">
        <f ca="1">IFERROR(__xludf.DUMMYFUNCTION("GOOGLETRANSLATE(B24,""ja"",""vi"")"),"Tổng khối lượng đặt")</f>
        <v>Tổng khối lượng đặt</v>
      </c>
      <c r="F24" s="3" t="str">
        <f ca="1">IFERROR(__xludf.DUMMYFUNCTION("GOOGLETRANSLATE(C24,""ja"",""vi"")"),"Đấu giá&gt; cuốn sách, tạp chí&gt; manga, truyện tranh&gt; toàn bộ khối lượng bộ")</f>
        <v>Đấu giá&gt; cuốn sách, tạp chí&gt; manga, truyện tranh&gt; toàn bộ khối lượng bộ</v>
      </c>
      <c r="G24" s="229" t="str">
        <f t="shared" ca="1" si="0"/>
        <v>"2084261439" : "Tổng khối lượng đặt",</v>
      </c>
      <c r="H24" s="229" t="str">
        <f t="shared" si="1"/>
        <v>&lt;li class="col-md-3"&gt;&lt;a class="text-cut" href="javascript:;"(click)="categoryEvent(2084261439)"&gt;{{"2084261439" | translate}}&lt;/a&gt;&lt;/li&gt;</v>
      </c>
    </row>
    <row r="25" spans="1:8" ht="14.25" customHeight="1">
      <c r="A25" s="2">
        <v>2084261457</v>
      </c>
      <c r="B25" s="2" t="s">
        <v>1086</v>
      </c>
      <c r="C25" s="2" t="s">
        <v>1087</v>
      </c>
      <c r="D25" s="116" t="str">
        <f t="shared" ref="D25:D34" si="2">CONCATENATE("0,","21600,21636,",A25)</f>
        <v>0,21600,21636,2084261457</v>
      </c>
      <c r="E25" s="3" t="str">
        <f ca="1">IFERROR(__xludf.DUMMYFUNCTION("GOOGLETRANSLATE(B25,""ja"",""vi"")"),"con trai")</f>
        <v>con trai</v>
      </c>
      <c r="F25" s="3" t="str">
        <f ca="1">IFERROR(__xludf.DUMMYFUNCTION("GOOGLETRANSLATE(C25,""ja"",""vi"")"),"Đấu giá&gt; cuốn sách, tạp chí&gt; manga, truyện tranh&gt; boy")</f>
        <v>Đấu giá&gt; cuốn sách, tạp chí&gt; manga, truyện tranh&gt; boy</v>
      </c>
      <c r="G25" s="229" t="str">
        <f t="shared" ca="1" si="0"/>
        <v>"2084261457" : "con trai",</v>
      </c>
      <c r="H25" s="229" t="str">
        <f t="shared" si="1"/>
        <v>&lt;li class="col-md-3"&gt;&lt;a class="text-cut" href="javascript:;"(click)="categoryEvent(2084261457)"&gt;{{"2084261457" | translate}}&lt;/a&gt;&lt;/li&gt;</v>
      </c>
    </row>
    <row r="26" spans="1:8" ht="14.25" customHeight="1">
      <c r="A26" s="2">
        <v>2084261458</v>
      </c>
      <c r="B26" s="2" t="s">
        <v>1089</v>
      </c>
      <c r="C26" s="2" t="s">
        <v>1090</v>
      </c>
      <c r="D26" s="116" t="str">
        <f t="shared" si="2"/>
        <v>0,21600,21636,2084261458</v>
      </c>
      <c r="E26" s="3" t="str">
        <f ca="1">IFERROR(__xludf.DUMMYFUNCTION("GOOGLETRANSLATE(B26,""ja"",""vi"")"),"ít cô gái")</f>
        <v>ít cô gái</v>
      </c>
      <c r="F26" s="3" t="str">
        <f ca="1">IFERROR(__xludf.DUMMYFUNCTION("GOOGLETRANSLATE(C26,""ja"",""vi"")"),"Đấu giá&gt; cuốn sách, tạp chí&gt; manga, truyện tranh&gt; cô gái")</f>
        <v>Đấu giá&gt; cuốn sách, tạp chí&gt; manga, truyện tranh&gt; cô gái</v>
      </c>
      <c r="G26" s="229" t="str">
        <f t="shared" ca="1" si="0"/>
        <v>"2084261458" : "ít cô gái",</v>
      </c>
      <c r="H26" s="229" t="str">
        <f t="shared" si="1"/>
        <v>&lt;li class="col-md-3"&gt;&lt;a class="text-cut" href="javascript:;"(click)="categoryEvent(2084261458)"&gt;{{"2084261458" | translate}}&lt;/a&gt;&lt;/li&gt;</v>
      </c>
    </row>
    <row r="27" spans="1:8" ht="14.25" customHeight="1">
      <c r="A27" s="2">
        <v>2084261459</v>
      </c>
      <c r="B27" s="2" t="s">
        <v>1095</v>
      </c>
      <c r="C27" s="2" t="s">
        <v>1096</v>
      </c>
      <c r="D27" s="116" t="str">
        <f t="shared" si="2"/>
        <v>0,21600,21636,2084261459</v>
      </c>
      <c r="E27" s="3" t="str">
        <f ca="1">IFERROR(__xludf.DUMMYFUNCTION("GOOGLETRANSLATE(B27,""ja"",""vi"")"),"tuổi trẻ")</f>
        <v>tuổi trẻ</v>
      </c>
      <c r="F27" s="3" t="str">
        <f ca="1">IFERROR(__xludf.DUMMYFUNCTION("GOOGLETRANSLATE(C27,""ja"",""vi"")"),"Đấu giá&gt; cuốn sách, tạp chí&gt; manga, truyện tranh&gt; trẻ")</f>
        <v>Đấu giá&gt; cuốn sách, tạp chí&gt; manga, truyện tranh&gt; trẻ</v>
      </c>
      <c r="G27" s="229" t="str">
        <f t="shared" ca="1" si="0"/>
        <v>"2084261459" : "tuổi trẻ",</v>
      </c>
      <c r="H27" s="229" t="str">
        <f t="shared" si="1"/>
        <v>&lt;li class="col-md-3"&gt;&lt;a class="text-cut" href="javascript:;"(click)="categoryEvent(2084261459)"&gt;{{"2084261459" | translate}}&lt;/a&gt;&lt;/li&gt;</v>
      </c>
    </row>
    <row r="28" spans="1:8" ht="14.25" customHeight="1">
      <c r="A28" s="2">
        <v>2084261460</v>
      </c>
      <c r="B28" s="2" t="s">
        <v>1101</v>
      </c>
      <c r="C28" s="2" t="s">
        <v>1102</v>
      </c>
      <c r="D28" s="116" t="str">
        <f t="shared" si="2"/>
        <v>0,21600,21636,2084261460</v>
      </c>
      <c r="E28" s="3" t="str">
        <f ca="1">IFERROR(__xludf.DUMMYFUNCTION("GOOGLETRANSLATE(B28,""ja"",""vi"")"),"đàn bà")</f>
        <v>đàn bà</v>
      </c>
      <c r="F28" s="3" t="str">
        <f ca="1">IFERROR(__xludf.DUMMYFUNCTION("GOOGLETRANSLATE(C28,""ja"",""vi"")"),"Đấu giá&gt; cuốn sách, tạp chí&gt; manga, truyện tranh&gt; phụ nữ")</f>
        <v>Đấu giá&gt; cuốn sách, tạp chí&gt; manga, truyện tranh&gt; phụ nữ</v>
      </c>
      <c r="G28" s="229" t="str">
        <f t="shared" ca="1" si="0"/>
        <v>"2084261460" : "đàn bà",</v>
      </c>
      <c r="H28" s="229" t="str">
        <f t="shared" si="1"/>
        <v>&lt;li class="col-md-3"&gt;&lt;a class="text-cut" href="javascript:;"(click)="categoryEvent(2084261460)"&gt;{{"2084261460" | translate}}&lt;/a&gt;&lt;/li&gt;</v>
      </c>
    </row>
    <row r="29" spans="1:8" ht="14.25" customHeight="1">
      <c r="A29" s="2">
        <v>2084040624</v>
      </c>
      <c r="B29" s="2" t="s">
        <v>1106</v>
      </c>
      <c r="C29" s="2" t="s">
        <v>1108</v>
      </c>
      <c r="D29" s="116" t="str">
        <f t="shared" si="2"/>
        <v>0,21600,21636,2084040624</v>
      </c>
      <c r="E29" s="3" t="str">
        <f ca="1">IFERROR(__xludf.DUMMYFUNCTION("GOOGLETRANSLATE(B29,""ja"",""vi"")"),"boys Love")</f>
        <v>boys Love</v>
      </c>
      <c r="F29" s="3" t="str">
        <f ca="1">IFERROR(__xludf.DUMMYFUNCTION("GOOGLETRANSLATE(C29,""ja"",""vi"")"),"Đấu giá&gt; cuốn sách, tạp chí&gt; manga, truyện tranh&gt; Boys Love")</f>
        <v>Đấu giá&gt; cuốn sách, tạp chí&gt; manga, truyện tranh&gt; Boys Love</v>
      </c>
      <c r="G29" s="229" t="str">
        <f t="shared" ca="1" si="0"/>
        <v>"2084040624" : "boys Love",</v>
      </c>
      <c r="H29" s="229" t="str">
        <f t="shared" si="1"/>
        <v>&lt;li class="col-md-3"&gt;&lt;a class="text-cut" href="javascript:;"(click)="categoryEvent(2084040624)"&gt;{{"2084040624" | translate}}&lt;/a&gt;&lt;/li&gt;</v>
      </c>
    </row>
    <row r="30" spans="1:8" ht="14.25" customHeight="1">
      <c r="A30" s="2">
        <v>2084005146</v>
      </c>
      <c r="B30" s="2" t="s">
        <v>1110</v>
      </c>
      <c r="C30" s="2" t="s">
        <v>1111</v>
      </c>
      <c r="D30" s="116" t="str">
        <f t="shared" si="2"/>
        <v>0,21600,21636,2084005146</v>
      </c>
      <c r="E30" s="3" t="str">
        <f ca="1">IFERROR(__xludf.DUMMYFUNCTION("GOOGLETRANSLATE(B30,""ja"",""vi"")"),"doujinshi")</f>
        <v>doujinshi</v>
      </c>
      <c r="F30" s="3" t="str">
        <f ca="1">IFERROR(__xludf.DUMMYFUNCTION("GOOGLETRANSLATE(C30,""ja"",""vi"")"),"Đấu giá&gt; cuốn sách, tạp chí&gt; manga, truyện tranh&gt; fanzine")</f>
        <v>Đấu giá&gt; cuốn sách, tạp chí&gt; manga, truyện tranh&gt; fanzine</v>
      </c>
      <c r="G30" s="229" t="str">
        <f t="shared" ca="1" si="0"/>
        <v>"2084005146" : "doujinshi",</v>
      </c>
      <c r="H30" s="229" t="str">
        <f t="shared" si="1"/>
        <v>&lt;li class="col-md-3"&gt;&lt;a class="text-cut" href="javascript:;"(click)="categoryEvent(2084005146)"&gt;{{"2084005146" | translate}}&lt;/a&gt;&lt;/li&gt;</v>
      </c>
    </row>
    <row r="31" spans="1:8" ht="14.25" customHeight="1">
      <c r="A31" s="2">
        <v>2084008144</v>
      </c>
      <c r="B31" s="2" t="s">
        <v>1116</v>
      </c>
      <c r="C31" s="2" t="s">
        <v>1117</v>
      </c>
      <c r="D31" s="116" t="str">
        <f t="shared" si="2"/>
        <v>0,21600,21636,2084008144</v>
      </c>
      <c r="E31" s="3" t="str">
        <f ca="1">IFERROR(__xludf.DUMMYFUNCTION("GOOGLETRANSLATE(B31,""ja"",""vi"")"),"dải phim hoạt hình")</f>
        <v>dải phim hoạt hình</v>
      </c>
      <c r="F31" s="3" t="str">
        <f ca="1">IFERROR(__xludf.DUMMYFUNCTION("GOOGLETRANSLATE(C31,""ja"",""vi"")"),"Đấu giá&gt; cuốn sách, tạp chí&gt; manga, truyện tranh&gt; tạp chí truyện tranh")</f>
        <v>Đấu giá&gt; cuốn sách, tạp chí&gt; manga, truyện tranh&gt; tạp chí truyện tranh</v>
      </c>
      <c r="G31" s="229" t="str">
        <f t="shared" ca="1" si="0"/>
        <v>"2084008144" : "dải phim hoạt hình",</v>
      </c>
      <c r="H31" s="229" t="str">
        <f t="shared" si="1"/>
        <v>&lt;li class="col-md-3"&gt;&lt;a class="text-cut" href="javascript:;"(click)="categoryEvent(2084008144)"&gt;{{"2084008144" | translate}}&lt;/a&gt;&lt;/li&gt;</v>
      </c>
    </row>
    <row r="32" spans="1:8" ht="14.25" customHeight="1">
      <c r="A32" s="2">
        <v>2084008750</v>
      </c>
      <c r="B32" s="2" t="s">
        <v>1121</v>
      </c>
      <c r="C32" s="2" t="s">
        <v>1122</v>
      </c>
      <c r="D32" s="116" t="str">
        <f t="shared" si="2"/>
        <v>0,21600,21636,2084008750</v>
      </c>
      <c r="E32" s="3" t="str">
        <f ca="1">IFERROR(__xludf.DUMMYFUNCTION("GOOGLETRANSLATE(B32,""ja"",""vi"")"),"truyện tranh, làm việc ở nước ngoài của Mỹ")</f>
        <v>truyện tranh, làm việc ở nước ngoài của Mỹ</v>
      </c>
      <c r="F32" s="3" t="str">
        <f ca="1">IFERROR(__xludf.DUMMYFUNCTION("GOOGLETRANSLATE(C32,""ja"",""vi"")"),"Đấu giá&gt; cuốn sách, tạp chí&gt; manga, truyện tranh&gt; truyện tranh, làm việc ở nước ngoài của Mỹ")</f>
        <v>Đấu giá&gt; cuốn sách, tạp chí&gt; manga, truyện tranh&gt; truyện tranh, làm việc ở nước ngoài của Mỹ</v>
      </c>
      <c r="G32" s="229" t="str">
        <f t="shared" ca="1" si="0"/>
        <v>"2084008750" : "truyện tranh, làm việc ở nước ngoài của Mỹ",</v>
      </c>
      <c r="H32" s="229" t="str">
        <f t="shared" si="1"/>
        <v>&lt;li class="col-md-3"&gt;&lt;a class="text-cut" href="javascript:;"(click)="categoryEvent(2084008750)"&gt;{{"2084008750" | translate}}&lt;/a&gt;&lt;/li&gt;</v>
      </c>
    </row>
    <row r="33" spans="1:8" ht="14.25" customHeight="1">
      <c r="A33" s="2">
        <v>2084008751</v>
      </c>
      <c r="B33" s="2" t="s">
        <v>1124</v>
      </c>
      <c r="C33" s="2" t="s">
        <v>1125</v>
      </c>
      <c r="D33" s="116" t="str">
        <f t="shared" si="2"/>
        <v>0,21600,21636,2084008751</v>
      </c>
      <c r="E33" s="3" t="str">
        <f ca="1">IFERROR(__xludf.DUMMYFUNCTION("GOOGLETRANSLATE(B33,""ja"",""vi"")"),"bộ sưu tập hình minh họa, bộ sưu tập hình ảnh gốc")</f>
        <v>bộ sưu tập hình minh họa, bộ sưu tập hình ảnh gốc</v>
      </c>
      <c r="F33" s="3" t="str">
        <f ca="1">IFERROR(__xludf.DUMMYFUNCTION("GOOGLETRANSLATE(C33,""ja"",""vi"")"),"Đấu giá&gt; cuốn sách, tạp chí&gt; manga, truyện tranh&gt; Bộ sưu tập minh hoạ, bộ sưu tập hình ảnh gốc")</f>
        <v>Đấu giá&gt; cuốn sách, tạp chí&gt; manga, truyện tranh&gt; Bộ sưu tập minh hoạ, bộ sưu tập hình ảnh gốc</v>
      </c>
      <c r="G33" s="229" t="str">
        <f t="shared" ca="1" si="0"/>
        <v>"2084008751" : "bộ sưu tập hình minh họa, bộ sưu tập hình ảnh gốc",</v>
      </c>
      <c r="H33" s="229" t="str">
        <f t="shared" si="1"/>
        <v>&lt;li class="col-md-3"&gt;&lt;a class="text-cut" href="javascript:;"(click)="categoryEvent(2084008751)"&gt;{{"2084008751" | translate}}&lt;/a&gt;&lt;/li&gt;</v>
      </c>
    </row>
    <row r="34" spans="1:8" ht="14.25" customHeight="1">
      <c r="A34" s="2">
        <v>21639</v>
      </c>
      <c r="B34" s="2" t="s">
        <v>16</v>
      </c>
      <c r="C34" s="2" t="s">
        <v>1127</v>
      </c>
      <c r="D34" s="116" t="str">
        <f t="shared" si="2"/>
        <v>0,21600,21636,21639</v>
      </c>
      <c r="E34" s="3" t="str">
        <f ca="1">IFERROR(__xludf.DUMMYFUNCTION("GOOGLETRANSLATE(B34,""ja"",""vi"")"),"nếu không thì")</f>
        <v>nếu không thì</v>
      </c>
      <c r="F34" s="3" t="str">
        <f ca="1">IFERROR(__xludf.DUMMYFUNCTION("GOOGLETRANSLATE(C34,""ja"",""vi"")"),"Đấu giá&gt; cuốn sách, tạp chí&gt; manga, truyện tranh&gt; Khác")</f>
        <v>Đấu giá&gt; cuốn sách, tạp chí&gt; manga, truyện tranh&gt; Khác</v>
      </c>
      <c r="G34" s="229" t="str">
        <f t="shared" ca="1" si="0"/>
        <v>"21639" : "nếu không thì",</v>
      </c>
      <c r="H34" s="229" t="str">
        <f t="shared" si="1"/>
        <v>&lt;li class="col-md-3"&gt;&lt;a class="text-cut" href="javascript:;"(click)="categoryEvent(21639)"&gt;{{"21639" | translate}}&lt;/a&gt;&lt;/li&gt;</v>
      </c>
    </row>
    <row r="35" spans="1:8" ht="14.25" customHeight="1">
      <c r="E35" s="3"/>
      <c r="F35" s="3"/>
      <c r="G35" s="229"/>
      <c r="H35" s="229"/>
    </row>
    <row r="36" spans="1:8" ht="14.25" customHeight="1">
      <c r="E36" s="3"/>
      <c r="F36" s="3"/>
      <c r="G36" s="229"/>
      <c r="H36" s="229"/>
    </row>
    <row r="37" spans="1:8" ht="14.25" customHeight="1">
      <c r="A37" s="239">
        <v>21884</v>
      </c>
      <c r="B37" s="232"/>
      <c r="C37" s="232"/>
      <c r="D37" s="233"/>
      <c r="E37" s="3"/>
      <c r="F37" s="3"/>
      <c r="G37" s="229"/>
      <c r="H37" s="229"/>
    </row>
    <row r="38" spans="1:8" ht="14.25" customHeight="1">
      <c r="A38" s="2">
        <v>2084008056</v>
      </c>
      <c r="B38" s="2" t="s">
        <v>7622</v>
      </c>
      <c r="C38" s="2" t="s">
        <v>7714</v>
      </c>
      <c r="D38" s="116" t="str">
        <f t="shared" ref="D38:D50" si="3">CONCATENATE("0,","21600,21884,",A38)</f>
        <v>0,21600,21884,2084008056</v>
      </c>
      <c r="E38" s="3" t="str">
        <f ca="1">IFERROR(__xludf.DUMMYFUNCTION("GOOGLETRANSLATE(B38,""ja"",""vi"")"),"Nghệ thuật &amp; Giải trí")</f>
        <v>Nghệ thuật &amp; Giải trí</v>
      </c>
      <c r="F38" s="3" t="str">
        <f ca="1">IFERROR(__xludf.DUMMYFUNCTION("GOOGLETRANSLATE(C38,""ja"",""vi"")"),"Đấu giá&gt; cuốn sách, tạp chí&gt; Tạp chí&gt; nghệ thuật, giải trí")</f>
        <v>Đấu giá&gt; cuốn sách, tạp chí&gt; Tạp chí&gt; nghệ thuật, giải trí</v>
      </c>
      <c r="G38" s="229" t="str">
        <f t="shared" ca="1" si="0"/>
        <v>"2084008056" : "Nghệ thuật &amp; Giải trí",</v>
      </c>
      <c r="H38" s="229" t="str">
        <f t="shared" si="1"/>
        <v>&lt;li class="col-md-3"&gt;&lt;a class="text-cut" href="javascript:;"(click)="categoryEvent(2084008056)"&gt;{{"2084008056" | translate}}&lt;/a&gt;&lt;/li&gt;</v>
      </c>
    </row>
    <row r="39" spans="1:8" ht="14.25" customHeight="1">
      <c r="A39" s="2">
        <v>21908</v>
      </c>
      <c r="B39" s="2" t="s">
        <v>7599</v>
      </c>
      <c r="C39" s="2" t="s">
        <v>7721</v>
      </c>
      <c r="D39" s="116" t="str">
        <f t="shared" si="3"/>
        <v>0,21600,21884,21908</v>
      </c>
      <c r="E39" s="3" t="str">
        <f ca="1">IFERROR(__xludf.DUMMYFUNCTION("GOOGLETRANSLATE(B39,""ja"",""vi"")"),"Máy tính và Internet")</f>
        <v>Máy tính và Internet</v>
      </c>
      <c r="F39" s="3" t="str">
        <f ca="1">IFERROR(__xludf.DUMMYFUNCTION("GOOGLETRANSLATE(C39,""ja"",""vi"")"),"Đấu giá&gt; cuốn sách, tạp chí&gt; Tạp chí&gt; máy tính và Internet")</f>
        <v>Đấu giá&gt; cuốn sách, tạp chí&gt; Tạp chí&gt; máy tính và Internet</v>
      </c>
      <c r="G39" s="229" t="str">
        <f t="shared" ca="1" si="0"/>
        <v>"21908" : "Máy tính và Internet",</v>
      </c>
      <c r="H39" s="229" t="str">
        <f t="shared" si="1"/>
        <v>&lt;li class="col-md-3"&gt;&lt;a class="text-cut" href="javascript:;"(click)="categoryEvent(21908)"&gt;{{"21908" | translate}}&lt;/a&gt;&lt;/li&gt;</v>
      </c>
    </row>
    <row r="40" spans="1:8" ht="14.25" customHeight="1">
      <c r="A40" s="2">
        <v>2084008141</v>
      </c>
      <c r="B40" s="2" t="s">
        <v>7726</v>
      </c>
      <c r="C40" s="2" t="s">
        <v>7727</v>
      </c>
      <c r="D40" s="116" t="str">
        <f t="shared" si="3"/>
        <v>0,21600,21884,2084008141</v>
      </c>
      <c r="E40" s="3" t="str">
        <f ca="1">IFERROR(__xludf.DUMMYFUNCTION("GOOGLETRANSLATE(B40,""ja"",""vi"")"),"Trend thông tin, thị xã hướng dẫn")</f>
        <v>Trend thông tin, thị xã hướng dẫn</v>
      </c>
      <c r="F40" s="3" t="str">
        <f ca="1">IFERROR(__xludf.DUMMYFUNCTION("GOOGLETRANSLATE(C40,""ja"",""vi"")"),"Đấu giá&gt; cuốn sách, tạp chí&gt; Tạp chí&gt; Thông tin xu hướng, thị xã hướng dẫn")</f>
        <v>Đấu giá&gt; cuốn sách, tạp chí&gt; Tạp chí&gt; Thông tin xu hướng, thị xã hướng dẫn</v>
      </c>
      <c r="G40" s="229" t="str">
        <f t="shared" ca="1" si="0"/>
        <v>"2084008141" : "Trend thông tin, thị xã hướng dẫn",</v>
      </c>
      <c r="H40" s="229" t="str">
        <f t="shared" si="1"/>
        <v>&lt;li class="col-md-3"&gt;&lt;a class="text-cut" href="javascript:;"(click)="categoryEvent(2084008141)"&gt;{{"2084008141" | translate}}&lt;/a&gt;&lt;/li&gt;</v>
      </c>
    </row>
    <row r="41" spans="1:8" ht="14.25" customHeight="1">
      <c r="A41" s="2">
        <v>21944</v>
      </c>
      <c r="B41" s="2" t="s">
        <v>7730</v>
      </c>
      <c r="C41" s="2" t="s">
        <v>7731</v>
      </c>
      <c r="D41" s="116" t="str">
        <f t="shared" si="3"/>
        <v>0,21600,21884,21944</v>
      </c>
      <c r="E41" s="3" t="str">
        <f ca="1">IFERROR(__xludf.DUMMYFUNCTION("GOOGLETRANSLATE(B41,""ja"",""vi"")"),"Tin tức, chung")</f>
        <v>Tin tức, chung</v>
      </c>
      <c r="F41" s="3" t="str">
        <f ca="1">IFERROR(__xludf.DUMMYFUNCTION("GOOGLETRANSLATE(C41,""ja"",""vi"")"),"Đấu giá&gt; cuốn sách, tạp chí&gt; Tạp chí&gt; Tin tức, Tổng")</f>
        <v>Đấu giá&gt; cuốn sách, tạp chí&gt; Tạp chí&gt; Tin tức, Tổng</v>
      </c>
      <c r="G41" s="229" t="str">
        <f t="shared" ca="1" si="0"/>
        <v>"21944" : "Tin tức, chung",</v>
      </c>
      <c r="H41" s="229" t="str">
        <f t="shared" si="1"/>
        <v>&lt;li class="col-md-3"&gt;&lt;a class="text-cut" href="javascript:;"(click)="categoryEvent(21944)"&gt;{{"21944" | translate}}&lt;/a&gt;&lt;/li&gt;</v>
      </c>
    </row>
    <row r="42" spans="1:8" ht="14.25" customHeight="1">
      <c r="A42" s="2">
        <v>21912</v>
      </c>
      <c r="B42" s="2" t="s">
        <v>174</v>
      </c>
      <c r="C42" s="2" t="s">
        <v>7733</v>
      </c>
      <c r="D42" s="116" t="str">
        <f t="shared" si="3"/>
        <v>0,21600,21884,21912</v>
      </c>
      <c r="E42" s="3" t="str">
        <f ca="1">IFERROR(__xludf.DUMMYFUNCTION("GOOGLETRANSLATE(B42,""ja"",""vi"")"),"kiểu")</f>
        <v>kiểu</v>
      </c>
      <c r="F42" s="3" t="str">
        <f ca="1">IFERROR(__xludf.DUMMYFUNCTION("GOOGLETRANSLATE(C42,""ja"",""vi"")"),"Đấu giá&gt; cuốn sách, tạp chí&gt; Tạp chí&gt; thời trang")</f>
        <v>Đấu giá&gt; cuốn sách, tạp chí&gt; Tạp chí&gt; thời trang</v>
      </c>
      <c r="G42" s="229" t="str">
        <f t="shared" ca="1" si="0"/>
        <v>"21912" : "kiểu",</v>
      </c>
      <c r="H42" s="229" t="str">
        <f t="shared" si="1"/>
        <v>&lt;li class="col-md-3"&gt;&lt;a class="text-cut" href="javascript:;"(click)="categoryEvent(21912)"&gt;{{"21912" | translate}}&lt;/a&gt;&lt;/li&gt;</v>
      </c>
    </row>
    <row r="43" spans="1:8" ht="14.25" customHeight="1">
      <c r="A43" s="2">
        <v>21920</v>
      </c>
      <c r="B43" s="2" t="s">
        <v>7735</v>
      </c>
      <c r="C43" s="2" t="s">
        <v>7736</v>
      </c>
      <c r="D43" s="116" t="str">
        <f t="shared" si="3"/>
        <v>0,21600,21884,21920</v>
      </c>
      <c r="E43" s="3" t="str">
        <f ca="1">IFERROR(__xludf.DUMMYFUNCTION("GOOGLETRANSLATE(B43,""ja"",""vi"")"),"tạp chí ngoại ngữ")</f>
        <v>tạp chí ngoại ngữ</v>
      </c>
      <c r="F43" s="3" t="str">
        <f ca="1">IFERROR(__xludf.DUMMYFUNCTION("GOOGLETRANSLATE(C43,""ja"",""vi"")"),"Đấu giá&gt; cuốn sách, tạp chí&gt; Tạp chí&gt; tạp chí ngoại ngữ")</f>
        <v>Đấu giá&gt; cuốn sách, tạp chí&gt; Tạp chí&gt; tạp chí ngoại ngữ</v>
      </c>
      <c r="G43" s="229" t="str">
        <f t="shared" ca="1" si="0"/>
        <v>"21920" : "tạp chí ngoại ngữ",</v>
      </c>
      <c r="H43" s="229" t="str">
        <f t="shared" si="1"/>
        <v>&lt;li class="col-md-3"&gt;&lt;a class="text-cut" href="javascript:;"(click)="categoryEvent(21920)"&gt;{{"21920" | translate}}&lt;/a&gt;&lt;/li&gt;</v>
      </c>
    </row>
    <row r="44" spans="1:8" ht="14.25" customHeight="1">
      <c r="A44" s="2">
        <v>2084008076</v>
      </c>
      <c r="B44" s="2" t="s">
        <v>7592</v>
      </c>
      <c r="C44" s="2" t="s">
        <v>7738</v>
      </c>
      <c r="D44" s="116" t="str">
        <f t="shared" si="3"/>
        <v>0,21600,21884,2084008076</v>
      </c>
      <c r="E44" s="3" t="str">
        <f ca="1">IFERROR(__xludf.DUMMYFUNCTION("GOOGLETRANSLATE(B44,""ja"",""vi"")"),"Học tập, giáo dục")</f>
        <v>Học tập, giáo dục</v>
      </c>
      <c r="F44" s="3" t="str">
        <f ca="1">IFERROR(__xludf.DUMMYFUNCTION("GOOGLETRANSLATE(C44,""ja"",""vi"")"),"Đấu giá&gt; cuốn sách, tạp chí&gt; Tạp chí&gt; nghiên cứu, giáo dục")</f>
        <v>Đấu giá&gt; cuốn sách, tạp chí&gt; Tạp chí&gt; nghiên cứu, giáo dục</v>
      </c>
      <c r="G44" s="229" t="str">
        <f t="shared" ca="1" si="0"/>
        <v>"2084008076" : "Học tập, giáo dục",</v>
      </c>
      <c r="H44" s="229" t="str">
        <f t="shared" si="1"/>
        <v>&lt;li class="col-md-3"&gt;&lt;a class="text-cut" href="javascript:;"(click)="categoryEvent(2084008076)"&gt;{{"2084008076" | translate}}&lt;/a&gt;&lt;/li&gt;</v>
      </c>
    </row>
    <row r="45" spans="1:8" ht="14.25" customHeight="1">
      <c r="A45" s="2">
        <v>2084008153</v>
      </c>
      <c r="B45" s="2" t="s">
        <v>7607</v>
      </c>
      <c r="C45" s="2" t="s">
        <v>7741</v>
      </c>
      <c r="D45" s="116" t="str">
        <f t="shared" si="3"/>
        <v>0,21600,21884,2084008153</v>
      </c>
      <c r="E45" s="3" t="str">
        <f ca="1">IFERROR(__xludf.DUMMYFUNCTION("GOOGLETRANSLATE(B45,""ja"",""vi"")"),"khoa học tự nhiên và công nghệ")</f>
        <v>khoa học tự nhiên và công nghệ</v>
      </c>
      <c r="F45" s="3" t="str">
        <f ca="1">IFERROR(__xludf.DUMMYFUNCTION("GOOGLETRANSLATE(C45,""ja"",""vi"")"),"Đấu giá&gt; cuốn sách, tạp chí&gt; Tạp chí&gt; khoa học tự nhiên và công nghệ")</f>
        <v>Đấu giá&gt; cuốn sách, tạp chí&gt; Tạp chí&gt; khoa học tự nhiên và công nghệ</v>
      </c>
      <c r="G45" s="229" t="str">
        <f t="shared" ca="1" si="0"/>
        <v>"2084008153" : "khoa học tự nhiên và công nghệ",</v>
      </c>
      <c r="H45" s="229" t="str">
        <f t="shared" si="1"/>
        <v>&lt;li class="col-md-3"&gt;&lt;a class="text-cut" href="javascript:;"(click)="categoryEvent(2084008153)"&gt;{{"2084008153" | translate}}&lt;/a&gt;&lt;/li&gt;</v>
      </c>
    </row>
    <row r="46" spans="1:8" ht="14.25" customHeight="1">
      <c r="A46" s="2">
        <v>2084008082</v>
      </c>
      <c r="B46" s="2" t="s">
        <v>7586</v>
      </c>
      <c r="C46" s="2" t="s">
        <v>7745</v>
      </c>
      <c r="D46" s="116" t="str">
        <f t="shared" si="3"/>
        <v>0,21600,21884,2084008082</v>
      </c>
      <c r="E46" s="3" t="str">
        <f ca="1">IFERROR(__xludf.DUMMYFUNCTION("GOOGLETRANSLATE(B46,""ja"",""vi"")"),"Sở thích, thể thao, sử dụng thực tế")</f>
        <v>Sở thích, thể thao, sử dụng thực tế</v>
      </c>
      <c r="F46" s="3" t="str">
        <f ca="1">IFERROR(__xludf.DUMMYFUNCTION("GOOGLETRANSLATE(C46,""ja"",""vi"")"),"Đấu giá&gt; cuốn sách, tạp chí&gt; Tạp chí&gt; sở thích, thể thao, sử dụng thực tế")</f>
        <v>Đấu giá&gt; cuốn sách, tạp chí&gt; Tạp chí&gt; sở thích, thể thao, sử dụng thực tế</v>
      </c>
      <c r="G46" s="229" t="str">
        <f t="shared" ca="1" si="0"/>
        <v>"2084008082" : "Sở thích, thể thao, sử dụng thực tế",</v>
      </c>
      <c r="H46" s="229" t="str">
        <f t="shared" si="1"/>
        <v>&lt;li class="col-md-3"&gt;&lt;a class="text-cut" href="javascript:;"(click)="categoryEvent(2084008082)"&gt;{{"2084008082" | translate}}&lt;/a&gt;&lt;/li&gt;</v>
      </c>
    </row>
    <row r="47" spans="1:8" ht="14.25" customHeight="1">
      <c r="A47" s="2">
        <v>2084008123</v>
      </c>
      <c r="B47" s="2" t="s">
        <v>7589</v>
      </c>
      <c r="C47" s="2" t="s">
        <v>7751</v>
      </c>
      <c r="D47" s="116" t="str">
        <f t="shared" si="3"/>
        <v>0,21600,21884,2084008123</v>
      </c>
      <c r="E47" s="3" t="str">
        <f ca="1">IFERROR(__xludf.DUMMYFUNCTION("GOOGLETRANSLATE(B47,""ja"",""vi"")"),"House, sinh hoạt, chăm sóc trẻ em")</f>
        <v>House, sinh hoạt, chăm sóc trẻ em</v>
      </c>
      <c r="F47" s="3" t="str">
        <f ca="1">IFERROR(__xludf.DUMMYFUNCTION("GOOGLETRANSLATE(C47,""ja"",""vi"")"),"Đấu giá&gt; cuốn sách, tạp chí&gt; Tạp chí&gt; nhà, sinh hoạt, chăm sóc trẻ em")</f>
        <v>Đấu giá&gt; cuốn sách, tạp chí&gt; Tạp chí&gt; nhà, sinh hoạt, chăm sóc trẻ em</v>
      </c>
      <c r="G47" s="229" t="str">
        <f t="shared" ca="1" si="0"/>
        <v>"2084008123" : "House, sinh hoạt, chăm sóc trẻ em",</v>
      </c>
      <c r="H47" s="229" t="str">
        <f t="shared" si="1"/>
        <v>&lt;li class="col-md-3"&gt;&lt;a class="text-cut" href="javascript:;"(click)="categoryEvent(2084008123)"&gt;{{"2084008123" | translate}}&lt;/a&gt;&lt;/li&gt;</v>
      </c>
    </row>
    <row r="48" spans="1:8" ht="14.25" customHeight="1">
      <c r="A48" s="2">
        <v>2084008137</v>
      </c>
      <c r="B48" s="2" t="s">
        <v>7754</v>
      </c>
      <c r="C48" s="2" t="s">
        <v>7755</v>
      </c>
      <c r="D48" s="116" t="str">
        <f t="shared" si="3"/>
        <v>0,21600,21884,2084008137</v>
      </c>
      <c r="E48" s="3" t="str">
        <f ca="1">IFERROR(__xludf.DUMMYFUNCTION("GOOGLETRANSLATE(B48,""ja"",""vi"")"),"Nhân văn, xã hội, non-fiction")</f>
        <v>Nhân văn, xã hội, non-fiction</v>
      </c>
      <c r="F48" s="3" t="str">
        <f ca="1">IFERROR(__xludf.DUMMYFUNCTION("GOOGLETRANSLATE(C48,""ja"",""vi"")"),"Đấu giá&gt; cuốn sách, tạp chí&gt; Tạp chí&gt; nhân văn, xã hội, không hư cấu")</f>
        <v>Đấu giá&gt; cuốn sách, tạp chí&gt; Tạp chí&gt; nhân văn, xã hội, không hư cấu</v>
      </c>
      <c r="G48" s="229" t="str">
        <f t="shared" ca="1" si="0"/>
        <v>"2084008137" : "Nhân văn, xã hội, non-fiction",</v>
      </c>
      <c r="H48" s="229" t="str">
        <f t="shared" si="1"/>
        <v>&lt;li class="col-md-3"&gt;&lt;a class="text-cut" href="javascript:;"(click)="categoryEvent(2084008137)"&gt;{{"2084008137" | translate}}&lt;/a&gt;&lt;/li&gt;</v>
      </c>
    </row>
    <row r="49" spans="1:8" ht="14.25" customHeight="1">
      <c r="A49" s="2">
        <v>2084008132</v>
      </c>
      <c r="B49" s="2" t="s">
        <v>7570</v>
      </c>
      <c r="C49" s="2" t="s">
        <v>7760</v>
      </c>
      <c r="D49" s="116" t="str">
        <f t="shared" si="3"/>
        <v>0,21600,21884,2084008132</v>
      </c>
      <c r="E49" s="3" t="str">
        <f ca="1">IFERROR(__xludf.DUMMYFUNCTION("GOOGLETRANSLATE(B49,""ja"",""vi"")"),"Văn học, tiểu thuyết")</f>
        <v>Văn học, tiểu thuyết</v>
      </c>
      <c r="F49" s="3" t="str">
        <f ca="1">IFERROR(__xludf.DUMMYFUNCTION("GOOGLETRANSLATE(C49,""ja"",""vi"")"),"Đấu giá&gt; cuốn sách, tạp chí&gt; Tạp chí&gt; văn học, tiểu thuyết")</f>
        <v>Đấu giá&gt; cuốn sách, tạp chí&gt; Tạp chí&gt; văn học, tiểu thuyết</v>
      </c>
      <c r="G49" s="229" t="str">
        <f t="shared" ca="1" si="0"/>
        <v>"2084008132" : "Văn học, tiểu thuyết",</v>
      </c>
      <c r="H49" s="229" t="str">
        <f t="shared" si="1"/>
        <v>&lt;li class="col-md-3"&gt;&lt;a class="text-cut" href="javascript:;"(click)="categoryEvent(2084008132)"&gt;{{"2084008132" | translate}}&lt;/a&gt;&lt;/li&gt;</v>
      </c>
    </row>
    <row r="50" spans="1:8" ht="14.25" customHeight="1">
      <c r="A50" s="2">
        <v>2084008144</v>
      </c>
      <c r="B50" s="2" t="s">
        <v>7763</v>
      </c>
      <c r="C50" s="2" t="s">
        <v>7765</v>
      </c>
      <c r="D50" s="116" t="str">
        <f t="shared" si="3"/>
        <v>0,21600,21884,2084008144</v>
      </c>
      <c r="E50" s="3" t="str">
        <f ca="1">IFERROR(__xludf.DUMMYFUNCTION("GOOGLETRANSLATE(B50,""ja"",""vi"")"),"Phim hoạt hình, truyện tranh")</f>
        <v>Phim hoạt hình, truyện tranh</v>
      </c>
      <c r="F50" s="3" t="str">
        <f ca="1">IFERROR(__xludf.DUMMYFUNCTION("GOOGLETRANSLATE(C50,""ja"",""vi"")"),"Đấu giá&gt; cuốn sách, tạp chí&gt; Tạp chí&gt; manga, truyện tranh")</f>
        <v>Đấu giá&gt; cuốn sách, tạp chí&gt; Tạp chí&gt; manga, truyện tranh</v>
      </c>
      <c r="G50" s="229" t="str">
        <f t="shared" ca="1" si="0"/>
        <v>"2084008144" : "Phim hoạt hình, truyện tranh",</v>
      </c>
      <c r="H50" s="229" t="str">
        <f t="shared" si="1"/>
        <v>&lt;li class="col-md-3"&gt;&lt;a class="text-cut" href="javascript:;"(click)="categoryEvent(2084008144)"&gt;{{"2084008144" | translate}}&lt;/a&gt;&lt;/li&gt;</v>
      </c>
    </row>
    <row r="51" spans="1:8" ht="14.25" customHeight="1">
      <c r="E51" s="3"/>
      <c r="F51" s="3"/>
      <c r="G51" s="229"/>
      <c r="H51" s="229"/>
    </row>
    <row r="52" spans="1:8" ht="14.25" customHeight="1">
      <c r="E52" s="3"/>
      <c r="F52" s="3"/>
      <c r="G52" s="229"/>
      <c r="H52" s="229"/>
    </row>
    <row r="53" spans="1:8" ht="14.25" customHeight="1">
      <c r="A53" s="240">
        <v>2084008525</v>
      </c>
      <c r="B53" s="232"/>
      <c r="C53" s="232"/>
      <c r="D53" s="233"/>
      <c r="E53" s="3"/>
      <c r="F53" s="3"/>
      <c r="G53" s="229"/>
      <c r="H53" s="229"/>
    </row>
    <row r="54" spans="1:8" ht="14.25" customHeight="1">
      <c r="A54" s="2">
        <v>2084037443</v>
      </c>
      <c r="B54" s="2" t="s">
        <v>7772</v>
      </c>
      <c r="C54" s="2" t="s">
        <v>7773</v>
      </c>
      <c r="D54" s="116" t="str">
        <f t="shared" ref="D54:D70" si="4">CONCATENATE("0,","21600,2084008525,",A54)</f>
        <v>0,21600,2084008525,2084037443</v>
      </c>
      <c r="E54" s="3" t="str">
        <f ca="1">IFERROR(__xludf.DUMMYFUNCTION("GOOGLETRANSLATE(B54,""ja"",""vi"")"),"chung Novel")</f>
        <v>chung Novel</v>
      </c>
      <c r="F54" s="3" t="str">
        <f ca="1">IFERROR(__xludf.DUMMYFUNCTION("GOOGLETRANSLATE(C54,""ja"",""vi"")"),"Đấu giá&gt; cuốn sách, tạp chí&gt; văn học, tiểu thuyết&gt; chung tiểu thuyết")</f>
        <v>Đấu giá&gt; cuốn sách, tạp chí&gt; văn học, tiểu thuyết&gt; chung tiểu thuyết</v>
      </c>
      <c r="G54" s="229" t="str">
        <f t="shared" ca="1" si="0"/>
        <v>"2084037443" : "chung Novel",</v>
      </c>
      <c r="H54" s="229" t="str">
        <f t="shared" si="1"/>
        <v>&lt;li class="col-md-3"&gt;&lt;a class="text-cut" href="javascript:;"(click)="categoryEvent(2084037443)"&gt;{{"2084037443" | translate}}&lt;/a&gt;&lt;/li&gt;</v>
      </c>
    </row>
    <row r="55" spans="1:8" ht="14.25" customHeight="1">
      <c r="A55" s="2">
        <v>2084008529</v>
      </c>
      <c r="B55" s="2" t="s">
        <v>7777</v>
      </c>
      <c r="C55" s="2" t="s">
        <v>7778</v>
      </c>
      <c r="D55" s="116" t="str">
        <f t="shared" si="4"/>
        <v>0,21600,2084008525,2084008529</v>
      </c>
      <c r="E55" s="3" t="str">
        <f ca="1">IFERROR(__xludf.DUMMYFUNCTION("GOOGLETRANSLATE(B55,""ja"",""vi"")"),"light novel")</f>
        <v>light novel</v>
      </c>
      <c r="F55" s="3" t="str">
        <f ca="1">IFERROR(__xludf.DUMMYFUNCTION("GOOGLETRANSLATE(C55,""ja"",""vi"")"),"Đấu giá&gt; cuốn sách, tạp chí&gt; văn học, tiểu thuyết&gt; light novel")</f>
        <v>Đấu giá&gt; cuốn sách, tạp chí&gt; văn học, tiểu thuyết&gt; light novel</v>
      </c>
      <c r="G55" s="229" t="str">
        <f t="shared" ca="1" si="0"/>
        <v>"2084008529" : "light novel",</v>
      </c>
      <c r="H55" s="229" t="str">
        <f t="shared" si="1"/>
        <v>&lt;li class="col-md-3"&gt;&lt;a class="text-cut" href="javascript:;"(click)="categoryEvent(2084008529)"&gt;{{"2084008529" | translate}}&lt;/a&gt;&lt;/li&gt;</v>
      </c>
    </row>
    <row r="56" spans="1:8" ht="14.25" customHeight="1">
      <c r="A56" s="2">
        <v>2084034057</v>
      </c>
      <c r="B56" s="2" t="s">
        <v>7781</v>
      </c>
      <c r="C56" s="2" t="s">
        <v>7782</v>
      </c>
      <c r="D56" s="116" t="str">
        <f t="shared" si="4"/>
        <v>0,21600,2084008525,2084034057</v>
      </c>
      <c r="E56" s="3" t="str">
        <f ca="1">IFERROR(__xludf.DUMMYFUNCTION("GOOGLETRANSLATE(B56,""ja"",""vi"")"),"Lãng mạn, tiểu thuyết lãng mạn")</f>
        <v>Lãng mạn, tiểu thuyết lãng mạn</v>
      </c>
      <c r="F56" s="3" t="str">
        <f ca="1">IFERROR(__xludf.DUMMYFUNCTION("GOOGLETRANSLATE(C56,""ja"",""vi"")"),"Đấu giá&gt; cuốn sách, tạp chí&gt; văn học, tiểu thuyết&gt; lãng mạn, tiểu thuyết lãng mạn")</f>
        <v>Đấu giá&gt; cuốn sách, tạp chí&gt; văn học, tiểu thuyết&gt; lãng mạn, tiểu thuyết lãng mạn</v>
      </c>
      <c r="G56" s="229" t="str">
        <f t="shared" ca="1" si="0"/>
        <v>"2084034057" : "Lãng mạn, tiểu thuyết lãng mạn",</v>
      </c>
      <c r="H56" s="229" t="str">
        <f t="shared" si="1"/>
        <v>&lt;li class="col-md-3"&gt;&lt;a class="text-cut" href="javascript:;"(click)="categoryEvent(2084034057)"&gt;{{"2084034057" | translate}}&lt;/a&gt;&lt;/li&gt;</v>
      </c>
    </row>
    <row r="57" spans="1:8" ht="14.25" customHeight="1">
      <c r="A57" s="2">
        <v>2084008505</v>
      </c>
      <c r="B57" s="2" t="s">
        <v>5144</v>
      </c>
      <c r="C57" s="2" t="s">
        <v>7786</v>
      </c>
      <c r="D57" s="116" t="str">
        <f t="shared" si="4"/>
        <v>0,21600,2084008525,2084008505</v>
      </c>
      <c r="E57" s="3" t="str">
        <f ca="1">IFERROR(__xludf.DUMMYFUNCTION("GOOGLETRANSLATE(B57,""ja"",""vi"")"),"SF")</f>
        <v>SF</v>
      </c>
      <c r="F57" s="3" t="str">
        <f ca="1">IFERROR(__xludf.DUMMYFUNCTION("GOOGLETRANSLATE(C57,""ja"",""vi"")"),"Đấu giá&gt; Sách, Tạp chí&gt; văn học, tiểu thuyết&gt; SF")</f>
        <v>Đấu giá&gt; Sách, Tạp chí&gt; văn học, tiểu thuyết&gt; SF</v>
      </c>
      <c r="G57" s="229" t="str">
        <f t="shared" ca="1" si="0"/>
        <v>"2084008505" : "SF",</v>
      </c>
      <c r="H57" s="229" t="str">
        <f t="shared" si="1"/>
        <v>&lt;li class="col-md-3"&gt;&lt;a class="text-cut" href="javascript:;"(click)="categoryEvent(2084008505)"&gt;{{"2084008505" | translate}}&lt;/a&gt;&lt;/li&gt;</v>
      </c>
    </row>
    <row r="58" spans="1:8" ht="14.25" customHeight="1">
      <c r="A58" s="2">
        <v>2084008512</v>
      </c>
      <c r="B58" s="2" t="s">
        <v>7789</v>
      </c>
      <c r="C58" s="2" t="s">
        <v>7790</v>
      </c>
      <c r="D58" s="116" t="str">
        <f t="shared" si="4"/>
        <v>0,21600,2084008525,2084008512</v>
      </c>
      <c r="E58" s="3" t="str">
        <f ca="1">IFERROR(__xludf.DUMMYFUNCTION("GOOGLETRANSLATE(B58,""ja"",""vi"")"),"ảo tưởng")</f>
        <v>ảo tưởng</v>
      </c>
      <c r="F58" s="3" t="str">
        <f ca="1">IFERROR(__xludf.DUMMYFUNCTION("GOOGLETRANSLATE(C58,""ja"",""vi"")"),"Đấu giá&gt; cuốn sách, tạp chí&gt; văn học, tiểu thuyết&gt; tưởng tượng")</f>
        <v>Đấu giá&gt; cuốn sách, tạp chí&gt; văn học, tiểu thuyết&gt; tưởng tượng</v>
      </c>
      <c r="G58" s="229" t="str">
        <f t="shared" ca="1" si="0"/>
        <v>"2084008512" : "ảo tưởng",</v>
      </c>
      <c r="H58" s="229" t="str">
        <f t="shared" si="1"/>
        <v>&lt;li class="col-md-3"&gt;&lt;a class="text-cut" href="javascript:;"(click)="categoryEvent(2084008512)"&gt;{{"2084008512" | translate}}&lt;/a&gt;&lt;/li&gt;</v>
      </c>
    </row>
    <row r="59" spans="1:8" ht="14.25" customHeight="1">
      <c r="A59" s="2">
        <v>2084008519</v>
      </c>
      <c r="B59" s="2" t="s">
        <v>7715</v>
      </c>
      <c r="C59" s="2" t="s">
        <v>7793</v>
      </c>
      <c r="D59" s="116" t="str">
        <f t="shared" si="4"/>
        <v>0,21600,2084008525,2084008519</v>
      </c>
      <c r="E59" s="3" t="str">
        <f ca="1">IFERROR(__xludf.DUMMYFUNCTION("GOOGLETRANSLATE(B59,""ja"",""vi"")"),"rùng rợn")</f>
        <v>rùng rợn</v>
      </c>
      <c r="F59" s="3" t="str">
        <f ca="1">IFERROR(__xludf.DUMMYFUNCTION("GOOGLETRANSLATE(C59,""ja"",""vi"")"),"Đấu giá&gt; cuốn sách, tạp chí&gt; văn học, tiểu thuyết&gt; kinh dị")</f>
        <v>Đấu giá&gt; cuốn sách, tạp chí&gt; văn học, tiểu thuyết&gt; kinh dị</v>
      </c>
      <c r="G59" s="229" t="str">
        <f t="shared" ca="1" si="0"/>
        <v>"2084008519" : "rùng rợn",</v>
      </c>
      <c r="H59" s="229" t="str">
        <f t="shared" si="1"/>
        <v>&lt;li class="col-md-3"&gt;&lt;a class="text-cut" href="javascript:;"(click)="categoryEvent(2084008519)"&gt;{{"2084008519" | translate}}&lt;/a&gt;&lt;/li&gt;</v>
      </c>
    </row>
    <row r="60" spans="1:8" ht="14.25" customHeight="1">
      <c r="A60" s="2">
        <v>21792</v>
      </c>
      <c r="B60" s="2" t="s">
        <v>7797</v>
      </c>
      <c r="C60" s="2" t="s">
        <v>7798</v>
      </c>
      <c r="D60" s="116" t="str">
        <f t="shared" si="4"/>
        <v>0,21600,2084008525,21792</v>
      </c>
      <c r="E60" s="3" t="str">
        <f ca="1">IFERROR(__xludf.DUMMYFUNCTION("GOOGLETRANSLATE(B60,""ja"",""vi"")"),"điều bí ẩn")</f>
        <v>điều bí ẩn</v>
      </c>
      <c r="F60" s="3" t="str">
        <f ca="1">IFERROR(__xludf.DUMMYFUNCTION("GOOGLETRANSLATE(C60,""ja"",""vi"")"),"Đấu giá&gt; cuốn sách, tạp chí&gt; văn học, tiểu thuyết&gt; bí ẩn")</f>
        <v>Đấu giá&gt; cuốn sách, tạp chí&gt; văn học, tiểu thuyết&gt; bí ẩn</v>
      </c>
      <c r="G60" s="229" t="str">
        <f t="shared" ca="1" si="0"/>
        <v>"21792" : "điều bí ẩn",</v>
      </c>
      <c r="H60" s="229" t="str">
        <f t="shared" si="1"/>
        <v>&lt;li class="col-md-3"&gt;&lt;a class="text-cut" href="javascript:;"(click)="categoryEvent(21792)"&gt;{{"21792" | translate}}&lt;/a&gt;&lt;/li&gt;</v>
      </c>
    </row>
    <row r="61" spans="1:8" ht="14.25" customHeight="1">
      <c r="A61" s="2">
        <v>2084008533</v>
      </c>
      <c r="B61" s="2" t="s">
        <v>7801</v>
      </c>
      <c r="C61" s="2" t="s">
        <v>7803</v>
      </c>
      <c r="D61" s="116" t="str">
        <f t="shared" si="4"/>
        <v>0,21600,2084008525,2084008533</v>
      </c>
      <c r="E61" s="3" t="str">
        <f ca="1">IFERROR(__xludf.DUMMYFUNCTION("GOOGLETRANSLATE(B61,""ja"",""vi"")"),"Era, lịch sử")</f>
        <v>Era, lịch sử</v>
      </c>
      <c r="F61" s="3" t="str">
        <f ca="1">IFERROR(__xludf.DUMMYFUNCTION("GOOGLETRANSLATE(C61,""ja"",""vi"")"),"Đấu giá&gt; cuốn sách, tạp chí&gt; văn học, tiểu thuyết&gt; thời đại, lịch sử")</f>
        <v>Đấu giá&gt; cuốn sách, tạp chí&gt; văn học, tiểu thuyết&gt; thời đại, lịch sử</v>
      </c>
      <c r="G61" s="229" t="str">
        <f t="shared" ca="1" si="0"/>
        <v>"2084008533" : "Era, lịch sử",</v>
      </c>
      <c r="H61" s="229" t="str">
        <f t="shared" si="1"/>
        <v>&lt;li class="col-md-3"&gt;&lt;a class="text-cut" href="javascript:;"(click)="categoryEvent(2084008533)"&gt;{{"2084008533" | translate}}&lt;/a&gt;&lt;/li&gt;</v>
      </c>
    </row>
    <row r="62" spans="1:8" ht="14.25" customHeight="1">
      <c r="A62" s="2">
        <v>2084008536</v>
      </c>
      <c r="B62" s="2" t="s">
        <v>7804</v>
      </c>
      <c r="C62" s="2" t="s">
        <v>7805</v>
      </c>
      <c r="D62" s="116" t="str">
        <f t="shared" si="4"/>
        <v>0,21600,2084008525,2084008536</v>
      </c>
      <c r="E62" s="3" t="str">
        <f ca="1">IFERROR(__xludf.DUMMYFUNCTION("GOOGLETRANSLATE(B62,""ja"",""vi"")"),"Belles Lettres-")</f>
        <v>Belles Lettres-</v>
      </c>
      <c r="F62" s="3" t="str">
        <f ca="1">IFERROR(__xludf.DUMMYFUNCTION("GOOGLETRANSLATE(C62,""ja"",""vi"")"),"Đấu giá&gt; cuốn sách, tạp chí&gt; văn học, tiểu thuyết&gt; belles-Lettres")</f>
        <v>Đấu giá&gt; cuốn sách, tạp chí&gt; văn học, tiểu thuyết&gt; belles-Lettres</v>
      </c>
      <c r="G62" s="229" t="str">
        <f t="shared" ca="1" si="0"/>
        <v>"2084008536" : "Belles Lettres-",</v>
      </c>
      <c r="H62" s="229" t="str">
        <f t="shared" si="1"/>
        <v>&lt;li class="col-md-3"&gt;&lt;a class="text-cut" href="javascript:;"(click)="categoryEvent(2084008536)"&gt;{{"2084008536" | translate}}&lt;/a&gt;&lt;/li&gt;</v>
      </c>
    </row>
    <row r="63" spans="1:8" ht="14.25" customHeight="1">
      <c r="A63" s="2">
        <v>21628</v>
      </c>
      <c r="B63" s="2" t="s">
        <v>7809</v>
      </c>
      <c r="C63" s="2" t="s">
        <v>7810</v>
      </c>
      <c r="D63" s="116" t="str">
        <f t="shared" si="4"/>
        <v>0,21600,2084008525,21628</v>
      </c>
      <c r="E63" s="3" t="str">
        <f ca="1">IFERROR(__xludf.DUMMYFUNCTION("GOOGLETRANSLATE(B63,""ja"",""vi"")"),"văn học cổ điển")</f>
        <v>văn học cổ điển</v>
      </c>
      <c r="F63" s="3" t="str">
        <f ca="1">IFERROR(__xludf.DUMMYFUNCTION("GOOGLETRANSLATE(C63,""ja"",""vi"")"),"Đấu giá&gt; cuốn sách, tạp chí&gt; văn học, tiểu thuyết&gt; văn học cổ điển")</f>
        <v>Đấu giá&gt; cuốn sách, tạp chí&gt; văn học, tiểu thuyết&gt; văn học cổ điển</v>
      </c>
      <c r="G63" s="229" t="str">
        <f t="shared" ca="1" si="0"/>
        <v>"21628" : "văn học cổ điển",</v>
      </c>
      <c r="H63" s="229" t="str">
        <f t="shared" si="1"/>
        <v>&lt;li class="col-md-3"&gt;&lt;a class="text-cut" href="javascript:;"(click)="categoryEvent(21628)"&gt;{{"21628" | translate}}&lt;/a&gt;&lt;/li&gt;</v>
      </c>
    </row>
    <row r="64" spans="1:8" ht="14.25" customHeight="1">
      <c r="A64" s="2">
        <v>2084008545</v>
      </c>
      <c r="B64" s="2" t="s">
        <v>7813</v>
      </c>
      <c r="C64" s="2" t="s">
        <v>7814</v>
      </c>
      <c r="D64" s="116" t="str">
        <f t="shared" si="4"/>
        <v>0,21600,2084008525,2084008545</v>
      </c>
      <c r="E64" s="3" t="str">
        <f ca="1">IFERROR(__xludf.DUMMYFUNCTION("GOOGLETRANSLATE(B64,""ja"",""vi"")"),"Tiểu luận, tiểu luận")</f>
        <v>Tiểu luận, tiểu luận</v>
      </c>
      <c r="F64" s="3" t="str">
        <f ca="1">IFERROR(__xludf.DUMMYFUNCTION("GOOGLETRANSLATE(C64,""ja"",""vi"")"),"Đấu giá&gt; cuốn sách, tạp chí&gt; văn học, tiểu thuyết&gt; tiểu luận, bài luận")</f>
        <v>Đấu giá&gt; cuốn sách, tạp chí&gt; văn học, tiểu thuyết&gt; tiểu luận, bài luận</v>
      </c>
      <c r="G64" s="229" t="str">
        <f t="shared" ca="1" si="0"/>
        <v>"2084008545" : "Tiểu luận, tiểu luận",</v>
      </c>
      <c r="H64" s="229" t="str">
        <f t="shared" si="1"/>
        <v>&lt;li class="col-md-3"&gt;&lt;a class="text-cut" href="javascript:;"(click)="categoryEvent(2084008545)"&gt;{{"2084008545" | translate}}&lt;/a&gt;&lt;/li&gt;</v>
      </c>
    </row>
    <row r="65" spans="1:8" ht="14.25" customHeight="1">
      <c r="A65" s="2">
        <v>2084008548</v>
      </c>
      <c r="B65" s="2" t="s">
        <v>7818</v>
      </c>
      <c r="C65" s="2" t="s">
        <v>7819</v>
      </c>
      <c r="D65" s="116" t="str">
        <f t="shared" si="4"/>
        <v>0,21600,2084008525,2084008548</v>
      </c>
      <c r="E65" s="3" t="str">
        <f ca="1">IFERROR(__xludf.DUMMYFUNCTION("GOOGLETRANSLATE(B65,""ja"",""vi"")"),"Sách hướng dẫn, giới thiệu nhà văn")</f>
        <v>Sách hướng dẫn, giới thiệu nhà văn</v>
      </c>
      <c r="F65" s="3" t="str">
        <f ca="1">IFERROR(__xludf.DUMMYFUNCTION("GOOGLETRANSLATE(C65,""ja"",""vi"")"),"Đấu giá&gt; cuốn sách, tạp chí&gt; văn học, tiểu thuyết&gt; cuốn sách hướng dẫn, nhà văn Giới thiệu")</f>
        <v>Đấu giá&gt; cuốn sách, tạp chí&gt; văn học, tiểu thuyết&gt; cuốn sách hướng dẫn, nhà văn Giới thiệu</v>
      </c>
      <c r="G65" s="229" t="str">
        <f t="shared" ca="1" si="0"/>
        <v>"2084008548" : "Sách hướng dẫn, giới thiệu nhà văn",</v>
      </c>
      <c r="H65" s="229" t="str">
        <f t="shared" si="1"/>
        <v>&lt;li class="col-md-3"&gt;&lt;a class="text-cut" href="javascript:;"(click)="categoryEvent(2084008548)"&gt;{{"2084008548" | translate}}&lt;/a&gt;&lt;/li&gt;</v>
      </c>
    </row>
    <row r="66" spans="1:8" ht="14.25" customHeight="1">
      <c r="A66" s="2">
        <v>2084048841</v>
      </c>
      <c r="B66" s="2" t="s">
        <v>7822</v>
      </c>
      <c r="C66" s="2" t="s">
        <v>7823</v>
      </c>
      <c r="D66" s="116" t="str">
        <f t="shared" si="4"/>
        <v>0,21600,2084008525,2084048841</v>
      </c>
      <c r="E66" s="3" t="str">
        <f ca="1">IFERROR(__xludf.DUMMYFUNCTION("GOOGLETRANSLATE(B66,""ja"",""vi"")"),"nghiên cứu văn học nước ngoài")</f>
        <v>nghiên cứu văn học nước ngoài</v>
      </c>
      <c r="F66" s="3" t="str">
        <f ca="1">IFERROR(__xludf.DUMMYFUNCTION("GOOGLETRANSLATE(C66,""ja"",""vi"")"),"Đấu giá&gt; cuốn sách, tạp chí&gt; văn học, tiểu thuyết&gt; nghiên cứu văn học nước ngoài")</f>
        <v>Đấu giá&gt; cuốn sách, tạp chí&gt; văn học, tiểu thuyết&gt; nghiên cứu văn học nước ngoài</v>
      </c>
      <c r="G66" s="229" t="str">
        <f t="shared" ca="1" si="0"/>
        <v>"2084048841" : "nghiên cứu văn học nước ngoài",</v>
      </c>
      <c r="H66" s="229" t="str">
        <f t="shared" si="1"/>
        <v>&lt;li class="col-md-3"&gt;&lt;a class="text-cut" href="javascript:;"(click)="categoryEvent(2084048841)"&gt;{{"2084048841" | translate}}&lt;/a&gt;&lt;/li&gt;</v>
      </c>
    </row>
    <row r="67" spans="1:8" ht="14.25" customHeight="1">
      <c r="A67" s="2">
        <v>2084048840</v>
      </c>
      <c r="B67" s="2" t="s">
        <v>7827</v>
      </c>
      <c r="C67" s="2" t="s">
        <v>7828</v>
      </c>
      <c r="D67" s="116" t="str">
        <f t="shared" si="4"/>
        <v>0,21600,2084008525,2084048840</v>
      </c>
      <c r="E67" s="3" t="str">
        <f ca="1">IFERROR(__xludf.DUMMYFUNCTION("GOOGLETRANSLATE(B67,""ja"",""vi"")"),"Nghiên cứu văn học")</f>
        <v>Nghiên cứu văn học</v>
      </c>
      <c r="F67" s="3" t="str">
        <f ca="1">IFERROR(__xludf.DUMMYFUNCTION("GOOGLETRANSLATE(C67,""ja"",""vi"")"),"Đấu giá&gt; cuốn sách, tạp chí&gt; văn học, tiểu thuyết&gt; nghiên cứu văn học Nhật Bản")</f>
        <v>Đấu giá&gt; cuốn sách, tạp chí&gt; văn học, tiểu thuyết&gt; nghiên cứu văn học Nhật Bản</v>
      </c>
      <c r="G67" s="229" t="str">
        <f t="shared" ref="G67:G130" ca="1" si="5">CONCATENATE(CHAR(34)&amp;"",A67,""&amp;CHAR(34)," : ", CHAR(34)&amp;"",E67,""&amp;CHAR(34),",")</f>
        <v>"2084048840" : "Nghiên cứu văn học",</v>
      </c>
      <c r="H67" s="229" t="str">
        <f t="shared" ref="H67:H130" si="6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href="javascript:;"(click)="categoryEvent(2084048840)"&gt;{{"2084048840" | translate}}&lt;/a&gt;&lt;/li&gt;</v>
      </c>
    </row>
    <row r="68" spans="1:8" ht="14.25" customHeight="1">
      <c r="A68" s="2">
        <v>2084008543</v>
      </c>
      <c r="B68" s="2" t="s">
        <v>7831</v>
      </c>
      <c r="C68" s="2" t="s">
        <v>7833</v>
      </c>
      <c r="D68" s="116" t="str">
        <f t="shared" si="4"/>
        <v>0,21600,2084008525,2084008543</v>
      </c>
      <c r="E68" s="3" t="str">
        <f ca="1">IFERROR(__xludf.DUMMYFUNCTION("GOOGLETRANSLATE(B68,""ja"",""vi"")"),"thơ phú")</f>
        <v>thơ phú</v>
      </c>
      <c r="F68" s="3" t="str">
        <f ca="1">IFERROR(__xludf.DUMMYFUNCTION("GOOGLETRANSLATE(C68,""ja"",""vi"")"),"Đấu giá&gt; cuốn sách, tạp chí&gt; văn học, tiểu thuyết&gt; thơ")</f>
        <v>Đấu giá&gt; cuốn sách, tạp chí&gt; văn học, tiểu thuyết&gt; thơ</v>
      </c>
      <c r="G68" s="229" t="str">
        <f t="shared" ca="1" si="5"/>
        <v>"2084008543" : "thơ phú",</v>
      </c>
      <c r="H68" s="229" t="str">
        <f t="shared" si="6"/>
        <v>&lt;li class="col-md-3"&gt;&lt;a class="text-cut" href="javascript:;"(click)="categoryEvent(2084008543)"&gt;{{"2084008543" | translate}}&lt;/a&gt;&lt;/li&gt;</v>
      </c>
    </row>
    <row r="69" spans="1:8" ht="14.25" customHeight="1">
      <c r="A69" s="2">
        <v>2084008544</v>
      </c>
      <c r="B69" s="2" t="s">
        <v>7836</v>
      </c>
      <c r="C69" s="2" t="s">
        <v>7838</v>
      </c>
      <c r="D69" s="116" t="str">
        <f t="shared" si="4"/>
        <v>0,21600,2084008525,2084008544</v>
      </c>
      <c r="E69" s="3" t="str">
        <f ca="1">IFERROR(__xludf.DUMMYFUNCTION("GOOGLETRANSLATE(B69,""ja"",""vi"")"),"Tanka, haiku")</f>
        <v>Tanka, haiku</v>
      </c>
      <c r="F69" s="3" t="str">
        <f ca="1">IFERROR(__xludf.DUMMYFUNCTION("GOOGLETRANSLATE(C69,""ja"",""vi"")"),"Đấu giá&gt; cuốn sách, tạp chí&gt; văn học, tiểu thuyết&gt; Tanka, haiku")</f>
        <v>Đấu giá&gt; cuốn sách, tạp chí&gt; văn học, tiểu thuyết&gt; Tanka, haiku</v>
      </c>
      <c r="G69" s="229" t="str">
        <f t="shared" ca="1" si="5"/>
        <v>"2084008544" : "Tanka, haiku",</v>
      </c>
      <c r="H69" s="229" t="str">
        <f t="shared" si="6"/>
        <v>&lt;li class="col-md-3"&gt;&lt;a class="text-cut" href="javascript:;"(click)="categoryEvent(2084008544)"&gt;{{"2084008544" | translate}}&lt;/a&gt;&lt;/li&gt;</v>
      </c>
    </row>
    <row r="70" spans="1:8" ht="14.25" customHeight="1">
      <c r="A70" s="2">
        <v>2084008549</v>
      </c>
      <c r="B70" s="2" t="s">
        <v>7840</v>
      </c>
      <c r="C70" s="2" t="s">
        <v>7841</v>
      </c>
      <c r="D70" s="116" t="str">
        <f t="shared" si="4"/>
        <v>0,21600,2084008525,2084008549</v>
      </c>
      <c r="E70" s="3" t="str">
        <f ca="1">IFERROR(__xludf.DUMMYFUNCTION("GOOGLETRANSLATE(B70,""ja"",""vi"")"),"Sách, sách ngoại ngữ")</f>
        <v>Sách, sách ngoại ngữ</v>
      </c>
      <c r="F70" s="3" t="str">
        <f ca="1">IFERROR(__xludf.DUMMYFUNCTION("GOOGLETRANSLATE(C70,""ja"",""vi"")"),"Đấu giá&gt; cuốn sách, tạp chí&gt; văn học, tiểu thuyết&gt; Sách, sách ngoại ngữ")</f>
        <v>Đấu giá&gt; cuốn sách, tạp chí&gt; văn học, tiểu thuyết&gt; Sách, sách ngoại ngữ</v>
      </c>
      <c r="G70" s="229" t="str">
        <f t="shared" ca="1" si="5"/>
        <v>"2084008549" : "Sách, sách ngoại ngữ",</v>
      </c>
      <c r="H70" s="229" t="str">
        <f t="shared" si="6"/>
        <v>&lt;li class="col-md-3"&gt;&lt;a class="text-cut" href="javascript:;"(click)="categoryEvent(2084008549)"&gt;{{"2084008549" | translate}}&lt;/a&gt;&lt;/li&gt;</v>
      </c>
    </row>
    <row r="71" spans="1:8" ht="14.25" customHeight="1">
      <c r="E71" s="3"/>
      <c r="F71" s="3"/>
      <c r="G71" s="229"/>
      <c r="H71" s="229"/>
    </row>
    <row r="72" spans="1:8" ht="14.25" customHeight="1">
      <c r="E72" s="3"/>
      <c r="F72" s="3"/>
      <c r="G72" s="229"/>
      <c r="H72" s="229"/>
    </row>
    <row r="73" spans="1:8" ht="14.25" customHeight="1">
      <c r="A73" s="237">
        <v>2084008550</v>
      </c>
      <c r="B73" s="232"/>
      <c r="C73" s="232"/>
      <c r="D73" s="233"/>
      <c r="E73" s="3"/>
      <c r="F73" s="3"/>
      <c r="G73" s="229"/>
      <c r="H73" s="229"/>
    </row>
    <row r="74" spans="1:8" ht="14.25" customHeight="1">
      <c r="A74" s="2">
        <v>2084008563</v>
      </c>
      <c r="B74" s="2" t="s">
        <v>7851</v>
      </c>
      <c r="C74" s="2" t="s">
        <v>7852</v>
      </c>
      <c r="D74" s="116" t="str">
        <f t="shared" ref="D74:D82" si="7">CONCATENATE("0,","21600,2084008550,",A74)</f>
        <v>0,21600,2084008550,2084008563</v>
      </c>
      <c r="E74" s="3" t="str">
        <f ca="1">IFERROR(__xludf.DUMMYFUNCTION("GOOGLETRANSLATE(B74,""ja"",""vi"")"),"Cấy truyền")</f>
        <v>Cấy truyền</v>
      </c>
      <c r="F74" s="3" t="str">
        <f ca="1">IFERROR(__xludf.DUMMYFUNCTION("GOOGLETRANSLATE(C74,""ja"",""vi"")"),"Đấu giá&gt; cuốn sách, tạp chí&gt; không hư cấu, giáo dục&gt; nét đẹp văn hóa")</f>
        <v>Đấu giá&gt; cuốn sách, tạp chí&gt; không hư cấu, giáo dục&gt; nét đẹp văn hóa</v>
      </c>
      <c r="G74" s="229" t="str">
        <f t="shared" ca="1" si="5"/>
        <v>"2084008563" : "Cấy truyền",</v>
      </c>
      <c r="H74" s="229" t="str">
        <f t="shared" si="6"/>
        <v>&lt;li class="col-md-3"&gt;&lt;a class="text-cut" href="javascript:;"(click)="categoryEvent(2084008563)"&gt;{{"2084008563" | translate}}&lt;/a&gt;&lt;/li&gt;</v>
      </c>
    </row>
    <row r="75" spans="1:8" ht="14.25" customHeight="1">
      <c r="A75" s="2">
        <v>2084008552</v>
      </c>
      <c r="B75" s="2" t="s">
        <v>7709</v>
      </c>
      <c r="C75" s="2" t="s">
        <v>7857</v>
      </c>
      <c r="D75" s="116" t="str">
        <f t="shared" si="7"/>
        <v>0,21600,2084008550,2084008552</v>
      </c>
      <c r="E75" s="3" t="str">
        <f ca="1">IFERROR(__xludf.DUMMYFUNCTION("GOOGLETRANSLATE(B75,""ja"",""vi"")"),"Phim tài liệu")</f>
        <v>Phim tài liệu</v>
      </c>
      <c r="F75" s="3" t="str">
        <f ca="1">IFERROR(__xludf.DUMMYFUNCTION("GOOGLETRANSLATE(C75,""ja"",""vi"")"),"Đấu giá&gt; cuốn sách, tạp chí&gt; không hư cấu, giáo dục&gt; phim tài liệu")</f>
        <v>Đấu giá&gt; cuốn sách, tạp chí&gt; không hư cấu, giáo dục&gt; phim tài liệu</v>
      </c>
      <c r="G75" s="229" t="str">
        <f t="shared" ca="1" si="5"/>
        <v>"2084008552" : "Phim tài liệu",</v>
      </c>
      <c r="H75" s="229" t="str">
        <f t="shared" si="6"/>
        <v>&lt;li class="col-md-3"&gt;&lt;a class="text-cut" href="javascript:;"(click)="categoryEvent(2084008552)"&gt;{{"2084008552" | translate}}&lt;/a&gt;&lt;/li&gt;</v>
      </c>
    </row>
    <row r="76" spans="1:8" ht="14.25" customHeight="1">
      <c r="A76" s="2">
        <v>2084008551</v>
      </c>
      <c r="B76" s="2" t="s">
        <v>7675</v>
      </c>
      <c r="C76" s="2" t="s">
        <v>7860</v>
      </c>
      <c r="D76" s="116" t="str">
        <f t="shared" si="7"/>
        <v>0,21600,2084008550,2084008551</v>
      </c>
      <c r="E76" s="3" t="str">
        <f ca="1">IFERROR(__xludf.DUMMYFUNCTION("GOOGLETRANSLATE(B76,""ja"",""vi"")"),"không hư cấu")</f>
        <v>không hư cấu</v>
      </c>
      <c r="F76" s="3" t="str">
        <f ca="1">IFERROR(__xludf.DUMMYFUNCTION("GOOGLETRANSLATE(C76,""ja"",""vi"")"),"Đấu giá&gt; cuốn sách, tạp chí&gt; không hư cấu, giáo dục&gt; không hư cấu")</f>
        <v>Đấu giá&gt; cuốn sách, tạp chí&gt; không hư cấu, giáo dục&gt; không hư cấu</v>
      </c>
      <c r="G76" s="229" t="str">
        <f t="shared" ca="1" si="5"/>
        <v>"2084008551" : "không hư cấu",</v>
      </c>
      <c r="H76" s="229" t="str">
        <f t="shared" si="6"/>
        <v>&lt;li class="col-md-3"&gt;&lt;a class="text-cut" href="javascript:;"(click)="categoryEvent(2084008551)"&gt;{{"2084008551" | translate}}&lt;/a&gt;&lt;/li&gt;</v>
      </c>
    </row>
    <row r="77" spans="1:8" ht="14.25" customHeight="1">
      <c r="A77" s="2">
        <v>2084008564</v>
      </c>
      <c r="B77" s="2" t="s">
        <v>7863</v>
      </c>
      <c r="C77" s="2" t="s">
        <v>7864</v>
      </c>
      <c r="D77" s="116" t="str">
        <f t="shared" si="7"/>
        <v>0,21600,2084008550,2084008564</v>
      </c>
      <c r="E77" s="3" t="str">
        <f ca="1">IFERROR(__xludf.DUMMYFUNCTION("GOOGLETRANSLATE(B77,""ja"",""vi"")"),"Trivia, kiến ​​thức")</f>
        <v>Trivia, kiến ​​thức</v>
      </c>
      <c r="F77" s="3" t="str">
        <f ca="1">IFERROR(__xludf.DUMMYFUNCTION("GOOGLETRANSLATE(C77,""ja"",""vi"")"),"Đấu giá&gt; cuốn sách, tạp chí&gt; không hư cấu, giáo dục&gt; đố, kiến ​​thức")</f>
        <v>Đấu giá&gt; cuốn sách, tạp chí&gt; không hư cấu, giáo dục&gt; đố, kiến ​​thức</v>
      </c>
      <c r="G77" s="229" t="str">
        <f t="shared" ca="1" si="5"/>
        <v>"2084008564" : "Trivia, kiến ​​thức",</v>
      </c>
      <c r="H77" s="229" t="str">
        <f t="shared" si="6"/>
        <v>&lt;li class="col-md-3"&gt;&lt;a class="text-cut" href="javascript:;"(click)="categoryEvent(2084008564)"&gt;{{"2084008564" | translate}}&lt;/a&gt;&lt;/li&gt;</v>
      </c>
    </row>
    <row r="78" spans="1:8" ht="14.25" customHeight="1">
      <c r="A78" s="2">
        <v>2084008561</v>
      </c>
      <c r="B78" s="2" t="s">
        <v>7866</v>
      </c>
      <c r="C78" s="2" t="s">
        <v>7867</v>
      </c>
      <c r="D78" s="116" t="str">
        <f t="shared" si="7"/>
        <v>0,21600,2084008550,2084008561</v>
      </c>
      <c r="E78" s="3" t="str">
        <f ca="1">IFERROR(__xludf.DUMMYFUNCTION("GOOGLETRANSLATE(B78,""ja"",""vi"")"),"Lý thuyết cuộc sống, sức khỏe tâm thần")</f>
        <v>Lý thuyết cuộc sống, sức khỏe tâm thần</v>
      </c>
      <c r="F78" s="3" t="str">
        <f ca="1">IFERROR(__xludf.DUMMYFUNCTION("GOOGLETRANSLATE(C78,""ja"",""vi"")"),"Đấu giá&gt; cuốn sách, tạp chí&gt; sách khoa học, giáo dục&gt; Lý thuyết cuộc sống, sức khỏe tâm thần")</f>
        <v>Đấu giá&gt; cuốn sách, tạp chí&gt; sách khoa học, giáo dục&gt; Lý thuyết cuộc sống, sức khỏe tâm thần</v>
      </c>
      <c r="G78" s="229" t="str">
        <f t="shared" ca="1" si="5"/>
        <v>"2084008561" : "Lý thuyết cuộc sống, sức khỏe tâm thần",</v>
      </c>
      <c r="H78" s="229" t="str">
        <f t="shared" si="6"/>
        <v>&lt;li class="col-md-3"&gt;&lt;a class="text-cut" href="javascript:;"(click)="categoryEvent(2084008561)"&gt;{{"2084008561" | translate}}&lt;/a&gt;&lt;/li&gt;</v>
      </c>
    </row>
    <row r="79" spans="1:8" ht="14.25" customHeight="1">
      <c r="A79" s="2">
        <v>2084008553</v>
      </c>
      <c r="B79" s="2" t="s">
        <v>7869</v>
      </c>
      <c r="C79" s="2" t="s">
        <v>7870</v>
      </c>
      <c r="D79" s="116" t="str">
        <f t="shared" si="7"/>
        <v>0,21600,2084008550,2084008553</v>
      </c>
      <c r="E79" s="3" t="str">
        <f ca="1">IFERROR(__xludf.DUMMYFUNCTION("GOOGLETRANSLATE(B79,""ja"",""vi"")"),"Senki, quân sự")</f>
        <v>Senki, quân sự</v>
      </c>
      <c r="F79" s="3" t="str">
        <f ca="1">IFERROR(__xludf.DUMMYFUNCTION("GOOGLETRANSLATE(C79,""ja"",""vi"")"),"Đấu giá&gt; cuốn sách, tạp chí&gt; không hư cấu, giáo dục&gt; Senki, quân sự")</f>
        <v>Đấu giá&gt; cuốn sách, tạp chí&gt; không hư cấu, giáo dục&gt; Senki, quân sự</v>
      </c>
      <c r="G79" s="229" t="str">
        <f t="shared" ca="1" si="5"/>
        <v>"2084008553" : "Senki, quân sự",</v>
      </c>
      <c r="H79" s="229" t="str">
        <f t="shared" si="6"/>
        <v>&lt;li class="col-md-3"&gt;&lt;a class="text-cut" href="javascript:;"(click)="categoryEvent(2084008553)"&gt;{{"2084008553" | translate}}&lt;/a&gt;&lt;/li&gt;</v>
      </c>
    </row>
    <row r="80" spans="1:8" ht="14.25" customHeight="1">
      <c r="A80" s="2">
        <v>2084008562</v>
      </c>
      <c r="B80" s="2" t="s">
        <v>7877</v>
      </c>
      <c r="C80" s="2" t="s">
        <v>7878</v>
      </c>
      <c r="D80" s="116" t="str">
        <f t="shared" si="7"/>
        <v>0,21600,2084008550,2084008562</v>
      </c>
      <c r="E80" s="3" t="str">
        <f ca="1">IFERROR(__xludf.DUMMYFUNCTION("GOOGLETRANSLATE(B80,""ja"",""vi"")"),"Huyền bí, huyền bí")</f>
        <v>Huyền bí, huyền bí</v>
      </c>
      <c r="F80" s="3" t="str">
        <f ca="1">IFERROR(__xludf.DUMMYFUNCTION("GOOGLETRANSLATE(C80,""ja"",""vi"")"),"Đấu giá&gt; cuốn sách, tạp chí&gt; không hư cấu, giáo dục&gt; huyền bí, huyền bí")</f>
        <v>Đấu giá&gt; cuốn sách, tạp chí&gt; không hư cấu, giáo dục&gt; huyền bí, huyền bí</v>
      </c>
      <c r="G80" s="229" t="str">
        <f t="shared" ca="1" si="5"/>
        <v>"2084008562" : "Huyền bí, huyền bí",</v>
      </c>
      <c r="H80" s="229" t="str">
        <f t="shared" si="6"/>
        <v>&lt;li class="col-md-3"&gt;&lt;a class="text-cut" href="javascript:;"(click)="categoryEvent(2084008562)"&gt;{{"2084008562" | translate}}&lt;/a&gt;&lt;/li&gt;</v>
      </c>
    </row>
    <row r="81" spans="1:8" ht="14.25" customHeight="1">
      <c r="A81" s="2">
        <v>2084008554</v>
      </c>
      <c r="B81" s="2" t="s">
        <v>7881</v>
      </c>
      <c r="C81" s="2" t="s">
        <v>7882</v>
      </c>
      <c r="D81" s="116" t="str">
        <f t="shared" si="7"/>
        <v>0,21600,2084008550,2084008554</v>
      </c>
      <c r="E81" s="3" t="str">
        <f ca="1">IFERROR(__xludf.DUMMYFUNCTION("GOOGLETRANSLATE(B81,""ja"",""vi"")"),"Tiểu sử, dân tiểu sử")</f>
        <v>Tiểu sử, dân tiểu sử</v>
      </c>
      <c r="F81" s="3" t="str">
        <f ca="1">IFERROR(__xludf.DUMMYFUNCTION("GOOGLETRANSLATE(C81,""ja"",""vi"")"),"Đấu giá&gt; cuốn sách, tạp chí&gt; không hư cấu, giáo dục&gt; tiểu sử, tiểu sử dân")</f>
        <v>Đấu giá&gt; cuốn sách, tạp chí&gt; không hư cấu, giáo dục&gt; tiểu sử, tiểu sử dân</v>
      </c>
      <c r="G81" s="229" t="str">
        <f t="shared" ca="1" si="5"/>
        <v>"2084008554" : "Tiểu sử, dân tiểu sử",</v>
      </c>
      <c r="H81" s="229" t="str">
        <f t="shared" si="6"/>
        <v>&lt;li class="col-md-3"&gt;&lt;a class="text-cut" href="javascript:;"(click)="categoryEvent(2084008554)"&gt;{{"2084008554" | translate}}&lt;/a&gt;&lt;/li&gt;</v>
      </c>
    </row>
    <row r="82" spans="1:8" ht="14.25" customHeight="1">
      <c r="A82" s="2">
        <v>21812</v>
      </c>
      <c r="B82" s="2" t="s">
        <v>7886</v>
      </c>
      <c r="C82" s="2" t="s">
        <v>7887</v>
      </c>
      <c r="D82" s="116" t="str">
        <f t="shared" si="7"/>
        <v>0,21600,2084008550,21812</v>
      </c>
      <c r="E82" s="3" t="str">
        <f ca="1">IFERROR(__xludf.DUMMYFUNCTION("GOOGLETRANSLATE(B82,""ja"",""vi"")"),"Tình yêu, hôn nhân")</f>
        <v>Tình yêu, hôn nhân</v>
      </c>
      <c r="F82" s="3" t="str">
        <f ca="1">IFERROR(__xludf.DUMMYFUNCTION("GOOGLETRANSLATE(C82,""ja"",""vi"")"),"Đấu giá&gt; cuốn sách, tạp chí&gt; không hư cấu, giáo dục&gt; tình yêu, hôn nhân")</f>
        <v>Đấu giá&gt; cuốn sách, tạp chí&gt; không hư cấu, giáo dục&gt; tình yêu, hôn nhân</v>
      </c>
      <c r="G82" s="229" t="str">
        <f t="shared" ca="1" si="5"/>
        <v>"21812" : "Tình yêu, hôn nhân",</v>
      </c>
      <c r="H82" s="229" t="str">
        <f t="shared" si="6"/>
        <v>&lt;li class="col-md-3"&gt;&lt;a class="text-cut" href="javascript:;"(click)="categoryEvent(21812)"&gt;{{"21812" | translate}}&lt;/a&gt;&lt;/li&gt;</v>
      </c>
    </row>
    <row r="83" spans="1:8" ht="14.25" customHeight="1">
      <c r="E83" s="3"/>
      <c r="F83" s="3"/>
      <c r="G83" s="229"/>
      <c r="H83" s="229"/>
    </row>
    <row r="84" spans="1:8" ht="14.25" customHeight="1">
      <c r="E84" s="3"/>
      <c r="F84" s="3"/>
      <c r="G84" s="229"/>
      <c r="H84" s="229"/>
    </row>
    <row r="85" spans="1:8" ht="14.25" customHeight="1">
      <c r="A85" s="241">
        <v>21740</v>
      </c>
      <c r="B85" s="232"/>
      <c r="C85" s="232"/>
      <c r="D85" s="233"/>
      <c r="E85" s="3"/>
      <c r="F85" s="3"/>
      <c r="G85" s="229"/>
      <c r="H85" s="229"/>
    </row>
    <row r="86" spans="1:8" ht="14.25" customHeight="1">
      <c r="A86" s="2">
        <v>2084008916</v>
      </c>
      <c r="B86" s="2" t="s">
        <v>7896</v>
      </c>
      <c r="C86" s="2" t="s">
        <v>7899</v>
      </c>
      <c r="D86" s="116" t="str">
        <f t="shared" ref="D86:D92" si="8">CONCATENATE("0,","21600,21740,",A86)</f>
        <v>0,21600,21740,2084008916</v>
      </c>
      <c r="E86" s="3" t="str">
        <f ca="1">IFERROR(__xludf.DUMMYFUNCTION("GOOGLETRANSLATE(B86,""ja"",""vi"")"),"bản đồ Nhật Bản")</f>
        <v>bản đồ Nhật Bản</v>
      </c>
      <c r="F86" s="3" t="str">
        <f ca="1">IFERROR(__xludf.DUMMYFUNCTION("GOOGLETRANSLATE(C86,""ja"",""vi"")"),"Đấu giá&gt; cuốn sách, tạp chí&gt; bản đồ, hướng dẫn du lịch&gt; bản đồ Nhật Bản")</f>
        <v>Đấu giá&gt; cuốn sách, tạp chí&gt; bản đồ, hướng dẫn du lịch&gt; bản đồ Nhật Bản</v>
      </c>
      <c r="G86" s="229" t="str">
        <f t="shared" ca="1" si="5"/>
        <v>"2084008916" : "bản đồ Nhật Bản",</v>
      </c>
      <c r="H86" s="229" t="str">
        <f t="shared" si="6"/>
        <v>&lt;li class="col-md-3"&gt;&lt;a class="text-cut" href="javascript:;"(click)="categoryEvent(2084008916)"&gt;{{"2084008916" | translate}}&lt;/a&gt;&lt;/li&gt;</v>
      </c>
    </row>
    <row r="87" spans="1:8" ht="14.25" customHeight="1">
      <c r="A87" s="2">
        <v>2084008929</v>
      </c>
      <c r="B87" s="2" t="s">
        <v>7902</v>
      </c>
      <c r="C87" s="2" t="s">
        <v>7903</v>
      </c>
      <c r="D87" s="116" t="str">
        <f t="shared" si="8"/>
        <v>0,21600,21740,2084008929</v>
      </c>
      <c r="E87" s="3" t="str">
        <f ca="1">IFERROR(__xludf.DUMMYFUNCTION("GOOGLETRANSLATE(B87,""ja"",""vi"")"),"bản đồ đường đi")</f>
        <v>bản đồ đường đi</v>
      </c>
      <c r="F87" s="3" t="str">
        <f ca="1">IFERROR(__xludf.DUMMYFUNCTION("GOOGLETRANSLATE(C87,""ja"",""vi"")"),"Đấu giá&gt; cuốn sách, tạp chí&gt; Bản đồ, hướng dẫn viên du lịch&gt; lộ")</f>
        <v>Đấu giá&gt; cuốn sách, tạp chí&gt; Bản đồ, hướng dẫn viên du lịch&gt; lộ</v>
      </c>
      <c r="G87" s="229" t="str">
        <f t="shared" ca="1" si="5"/>
        <v>"2084008929" : "bản đồ đường đi",</v>
      </c>
      <c r="H87" s="229" t="str">
        <f t="shared" si="6"/>
        <v>&lt;li class="col-md-3"&gt;&lt;a class="text-cut" href="javascript:;"(click)="categoryEvent(2084008929)"&gt;{{"2084008929" | translate}}&lt;/a&gt;&lt;/li&gt;</v>
      </c>
    </row>
    <row r="88" spans="1:8" ht="14.25" customHeight="1">
      <c r="A88" s="2">
        <v>2084008930</v>
      </c>
      <c r="B88" s="2" t="s">
        <v>7904</v>
      </c>
      <c r="C88" s="2" t="s">
        <v>7905</v>
      </c>
      <c r="D88" s="116" t="str">
        <f t="shared" si="8"/>
        <v>0,21600,21740,2084008930</v>
      </c>
      <c r="E88" s="3" t="str">
        <f ca="1">IFERROR(__xludf.DUMMYFUNCTION("GOOGLETRANSLATE(B88,""ja"",""vi"")"),"Bản đồ nhà")</f>
        <v>Bản đồ nhà</v>
      </c>
      <c r="F88" s="3" t="str">
        <f ca="1">IFERROR(__xludf.DUMMYFUNCTION("GOOGLETRANSLATE(C88,""ja"",""vi"")"),"Đấu giá&gt; cuốn sách, tạp chí&gt; bản đồ, hướng dẫn du lịch&gt; đồ nhà ở")</f>
        <v>Đấu giá&gt; cuốn sách, tạp chí&gt; bản đồ, hướng dẫn du lịch&gt; đồ nhà ở</v>
      </c>
      <c r="G88" s="229" t="str">
        <f t="shared" ca="1" si="5"/>
        <v>"2084008930" : "Bản đồ nhà",</v>
      </c>
      <c r="H88" s="229" t="str">
        <f t="shared" si="6"/>
        <v>&lt;li class="col-md-3"&gt;&lt;a class="text-cut" href="javascript:;"(click)="categoryEvent(2084008930)"&gt;{{"2084008930" | translate}}&lt;/a&gt;&lt;/li&gt;</v>
      </c>
    </row>
    <row r="89" spans="1:8" ht="14.25" customHeight="1">
      <c r="A89" s="2">
        <v>2084008928</v>
      </c>
      <c r="B89" s="2" t="s">
        <v>7908</v>
      </c>
      <c r="C89" s="2" t="s">
        <v>7910</v>
      </c>
      <c r="D89" s="116" t="str">
        <f t="shared" si="8"/>
        <v>0,21600,21740,2084008928</v>
      </c>
      <c r="E89" s="3" t="str">
        <f ca="1">IFERROR(__xludf.DUMMYFUNCTION("GOOGLETRANSLATE(B89,""ja"",""vi"")"),"Bản đồ thế giới")</f>
        <v>Bản đồ thế giới</v>
      </c>
      <c r="F89" s="3" t="str">
        <f ca="1">IFERROR(__xludf.DUMMYFUNCTION("GOOGLETRANSLATE(C89,""ja"",""vi"")"),"Đấu giá&gt; cuốn sách, tạp chí&gt; Bản đồ, hướng dẫn viên du lịch&gt; Thế giới Bản đồ")</f>
        <v>Đấu giá&gt; cuốn sách, tạp chí&gt; Bản đồ, hướng dẫn viên du lịch&gt; Thế giới Bản đồ</v>
      </c>
      <c r="G89" s="229" t="str">
        <f t="shared" ca="1" si="5"/>
        <v>"2084008928" : "Bản đồ thế giới",</v>
      </c>
      <c r="H89" s="229" t="str">
        <f t="shared" si="6"/>
        <v>&lt;li class="col-md-3"&gt;&lt;a class="text-cut" href="javascript:;"(click)="categoryEvent(2084008928)"&gt;{{"2084008928" | translate}}&lt;/a&gt;&lt;/li&gt;</v>
      </c>
    </row>
    <row r="90" spans="1:8" ht="14.25" customHeight="1">
      <c r="A90" s="2">
        <v>2084008910</v>
      </c>
      <c r="B90" s="2" t="s">
        <v>7911</v>
      </c>
      <c r="C90" s="2" t="s">
        <v>7912</v>
      </c>
      <c r="D90" s="116" t="str">
        <f t="shared" si="8"/>
        <v>0,21600,21740,2084008910</v>
      </c>
      <c r="E90" s="3" t="str">
        <f ca="1">IFERROR(__xludf.DUMMYFUNCTION("GOOGLETRANSLATE(B90,""ja"",""vi"")"),"Du lịch, hướng dẫn giải trí")</f>
        <v>Du lịch, hướng dẫn giải trí</v>
      </c>
      <c r="F90" s="3" t="str">
        <f ca="1">IFERROR(__xludf.DUMMYFUNCTION("GOOGLETRANSLATE(C90,""ja"",""vi"")"),"Đấu giá&gt; cuốn sách, tạp chí&gt; Bản đồ, hướng dẫn viên du lịch&gt; Du lịch, hướng dẫn giải trí")</f>
        <v>Đấu giá&gt; cuốn sách, tạp chí&gt; Bản đồ, hướng dẫn viên du lịch&gt; Du lịch, hướng dẫn giải trí</v>
      </c>
      <c r="G90" s="229" t="str">
        <f t="shared" ca="1" si="5"/>
        <v>"2084008910" : "Du lịch, hướng dẫn giải trí",</v>
      </c>
      <c r="H90" s="229" t="str">
        <f t="shared" si="6"/>
        <v>&lt;li class="col-md-3"&gt;&lt;a class="text-cut" href="javascript:;"(click)="categoryEvent(2084008910)"&gt;{{"2084008910" | translate}}&lt;/a&gt;&lt;/li&gt;</v>
      </c>
    </row>
    <row r="91" spans="1:8" ht="14.25" customHeight="1">
      <c r="A91" s="2">
        <v>2084008931</v>
      </c>
      <c r="B91" s="2" t="s">
        <v>5578</v>
      </c>
      <c r="C91" s="2" t="s">
        <v>7915</v>
      </c>
      <c r="D91" s="116" t="str">
        <f t="shared" si="8"/>
        <v>0,21600,21740,2084008931</v>
      </c>
      <c r="E91" s="3" t="str">
        <f ca="1">IFERROR(__xludf.DUMMYFUNCTION("GOOGLETRANSLATE(B91,""ja"",""vi"")"),"bản đồ cũ")</f>
        <v>bản đồ cũ</v>
      </c>
      <c r="F91" s="3" t="str">
        <f ca="1">IFERROR(__xludf.DUMMYFUNCTION("GOOGLETRANSLATE(C91,""ja"",""vi"")"),"Đấu giá&gt; cuốn sách, tạp chí&gt; Bản đồ, hướng dẫn viên du lịch&gt; bản đồ cũ")</f>
        <v>Đấu giá&gt; cuốn sách, tạp chí&gt; Bản đồ, hướng dẫn viên du lịch&gt; bản đồ cũ</v>
      </c>
      <c r="G91" s="229" t="str">
        <f t="shared" ca="1" si="5"/>
        <v>"2084008931" : "bản đồ cũ",</v>
      </c>
      <c r="H91" s="229" t="str">
        <f t="shared" si="6"/>
        <v>&lt;li class="col-md-3"&gt;&lt;a class="text-cut" href="javascript:;"(click)="categoryEvent(2084008931)"&gt;{{"2084008931" | translate}}&lt;/a&gt;&lt;/li&gt;</v>
      </c>
    </row>
    <row r="92" spans="1:8" ht="14.25" customHeight="1">
      <c r="A92" s="2">
        <v>2084008932</v>
      </c>
      <c r="B92" s="2" t="s">
        <v>16</v>
      </c>
      <c r="C92" s="2" t="s">
        <v>7917</v>
      </c>
      <c r="D92" s="116" t="str">
        <f t="shared" si="8"/>
        <v>0,21600,21740,2084008932</v>
      </c>
      <c r="E92" s="3" t="str">
        <f ca="1">IFERROR(__xludf.DUMMYFUNCTION("GOOGLETRANSLATE(B92,""ja"",""vi"")"),"nếu không thì")</f>
        <v>nếu không thì</v>
      </c>
      <c r="F92" s="3" t="str">
        <f ca="1">IFERROR(__xludf.DUMMYFUNCTION("GOOGLETRANSLATE(C92,""ja"",""vi"")"),"Đấu giá&gt; cuốn sách, tạp chí&gt; Bản đồ, hướng dẫn viên du lịch&gt; Khác")</f>
        <v>Đấu giá&gt; cuốn sách, tạp chí&gt; Bản đồ, hướng dẫn viên du lịch&gt; Khác</v>
      </c>
      <c r="G92" s="229" t="str">
        <f t="shared" ca="1" si="5"/>
        <v>"2084008932" : "nếu không thì",</v>
      </c>
      <c r="H92" s="229" t="str">
        <f t="shared" si="6"/>
        <v>&lt;li class="col-md-3"&gt;&lt;a class="text-cut" href="javascript:;"(click)="categoryEvent(2084008932)"&gt;{{"2084008932" | translate}}&lt;/a&gt;&lt;/li&gt;</v>
      </c>
    </row>
    <row r="93" spans="1:8" ht="14.25" customHeight="1">
      <c r="E93" s="3"/>
      <c r="F93" s="3"/>
      <c r="G93" s="229"/>
      <c r="H93" s="229"/>
    </row>
    <row r="94" spans="1:8" ht="14.25" customHeight="1">
      <c r="E94" s="3"/>
      <c r="F94" s="3"/>
      <c r="G94" s="229"/>
      <c r="H94" s="229"/>
    </row>
    <row r="95" spans="1:8" ht="14.25" customHeight="1">
      <c r="A95" s="242">
        <v>2084008861</v>
      </c>
      <c r="B95" s="232"/>
      <c r="C95" s="232"/>
      <c r="D95" s="233"/>
      <c r="E95" s="3"/>
      <c r="F95" s="3"/>
      <c r="G95" s="229"/>
      <c r="H95" s="229"/>
    </row>
    <row r="96" spans="1:8" ht="14.25" customHeight="1">
      <c r="A96" s="2">
        <v>2084008869</v>
      </c>
      <c r="B96" s="2" t="s">
        <v>7924</v>
      </c>
      <c r="C96" s="2" t="s">
        <v>7926</v>
      </c>
      <c r="D96" s="116" t="str">
        <f t="shared" ref="D96:D118" si="9">CONCATENATE("0,","21600,2084008861,",A96)</f>
        <v>0,21600,2084008861,2084008869</v>
      </c>
      <c r="E96" s="3" t="str">
        <f ca="1">IFERROR(__xludf.DUMMYFUNCTION("GOOGLETRANSLATE(B96,""ja"",""vi"")"),"ngoài trời")</f>
        <v>ngoài trời</v>
      </c>
      <c r="F96" s="3" t="str">
        <f ca="1">IFERROR(__xludf.DUMMYFUNCTION("GOOGLETRANSLATE(C96,""ja"",""vi"")"),"Đấu giá&gt; cuốn sách, tạp chí&gt; sở thích, thể thao, sử dụng thực tế&gt; Ngoài trời")</f>
        <v>Đấu giá&gt; cuốn sách, tạp chí&gt; sở thích, thể thao, sử dụng thực tế&gt; Ngoài trời</v>
      </c>
      <c r="G96" s="229" t="str">
        <f t="shared" ca="1" si="5"/>
        <v>"2084008869" : "ngoài trời",</v>
      </c>
      <c r="H96" s="229" t="str">
        <f t="shared" si="6"/>
        <v>&lt;li class="col-md-3"&gt;&lt;a class="text-cut" href="javascript:;"(click)="categoryEvent(2084008869)"&gt;{{"2084008869" | translate}}&lt;/a&gt;&lt;/li&gt;</v>
      </c>
    </row>
    <row r="97" spans="1:8" ht="14.25" customHeight="1">
      <c r="A97" s="2">
        <v>2084008892</v>
      </c>
      <c r="B97" s="2" t="s">
        <v>7931</v>
      </c>
      <c r="C97" s="2" t="s">
        <v>7932</v>
      </c>
      <c r="D97" s="116" t="str">
        <f t="shared" si="9"/>
        <v>0,21600,2084008861,2084008892</v>
      </c>
      <c r="E97" s="3" t="str">
        <f ca="1">IFERROR(__xludf.DUMMYFUNCTION("GOOGLETRANSLATE(B97,""ja"",""vi"")"),"Minh hoạ, cắt")</f>
        <v>Minh hoạ, cắt</v>
      </c>
      <c r="F97" s="3" t="str">
        <f ca="1">IFERROR(__xludf.DUMMYFUNCTION("GOOGLETRANSLATE(C97,""ja"",""vi"")"),"Đấu giá&gt; cuốn sách, tạp chí&gt; sở thích, thể thao, sử dụng thực tế&gt; minh họa, cắt")</f>
        <v>Đấu giá&gt; cuốn sách, tạp chí&gt; sở thích, thể thao, sử dụng thực tế&gt; minh họa, cắt</v>
      </c>
      <c r="G97" s="229" t="str">
        <f t="shared" ca="1" si="5"/>
        <v>"2084008892" : "Minh hoạ, cắt",</v>
      </c>
      <c r="H97" s="229" t="str">
        <f t="shared" si="6"/>
        <v>&lt;li class="col-md-3"&gt;&lt;a class="text-cut" href="javascript:;"(click)="categoryEvent(2084008892)"&gt;{{"2084008892" | translate}}&lt;/a&gt;&lt;/li&gt;</v>
      </c>
    </row>
    <row r="98" spans="1:8" ht="14.25" customHeight="1">
      <c r="A98" s="2">
        <v>21608</v>
      </c>
      <c r="B98" s="2" t="s">
        <v>4698</v>
      </c>
      <c r="C98" s="2" t="s">
        <v>7935</v>
      </c>
      <c r="D98" s="116" t="str">
        <f t="shared" si="9"/>
        <v>0,21600,2084008861,21608</v>
      </c>
      <c r="E98" s="3" t="str">
        <f ca="1">IFERROR(__xludf.DUMMYFUNCTION("GOOGLETRANSLATE(B98,""ja"",""vi"")"),"âm thanh")</f>
        <v>âm thanh</v>
      </c>
      <c r="F98" s="3" t="str">
        <f ca="1">IFERROR(__xludf.DUMMYFUNCTION("GOOGLETRANSLATE(C98,""ja"",""vi"")"),"Đấu giá&gt; cuốn sách, tạp chí&gt; sở thích, thể thao, sử dụng thực tế&gt; âm thanh")</f>
        <v>Đấu giá&gt; cuốn sách, tạp chí&gt; sở thích, thể thao, sử dụng thực tế&gt; âm thanh</v>
      </c>
      <c r="G98" s="229" t="str">
        <f t="shared" ca="1" si="5"/>
        <v>"21608" : "âm thanh",</v>
      </c>
      <c r="H98" s="229" t="str">
        <f t="shared" si="6"/>
        <v>&lt;li class="col-md-3"&gt;&lt;a class="text-cut" href="javascript:;"(click)="categoryEvent(21608)"&gt;{{"21608" | translate}}&lt;/a&gt;&lt;/li&gt;</v>
      </c>
    </row>
    <row r="99" spans="1:8" ht="14.25" customHeight="1">
      <c r="A99" s="2">
        <v>2084008876</v>
      </c>
      <c r="B99" s="2" t="s">
        <v>3868</v>
      </c>
      <c r="C99" s="2" t="s">
        <v>7938</v>
      </c>
      <c r="D99" s="116" t="str">
        <f t="shared" si="9"/>
        <v>0,21600,2084008861,2084008876</v>
      </c>
      <c r="E99" s="3" t="str">
        <f ca="1">IFERROR(__xludf.DUMMYFUNCTION("GOOGLETRANSLATE(B99,""ja"",""vi"")"),"xe mô tô")</f>
        <v>xe mô tô</v>
      </c>
      <c r="F99" s="3" t="str">
        <f ca="1">IFERROR(__xludf.DUMMYFUNCTION("GOOGLETRANSLATE(C99,""ja"",""vi"")"),"Đấu giá&gt; cuốn sách, tạp chí&gt; sở thích, thể thao, sử dụng thực tế&gt; xe máy")</f>
        <v>Đấu giá&gt; cuốn sách, tạp chí&gt; sở thích, thể thao, sử dụng thực tế&gt; xe máy</v>
      </c>
      <c r="G99" s="229" t="str">
        <f t="shared" ca="1" si="5"/>
        <v>"2084008876" : "xe mô tô",</v>
      </c>
      <c r="H99" s="229" t="str">
        <f t="shared" si="6"/>
        <v>&lt;li class="col-md-3"&gt;&lt;a class="text-cut" href="javascript:;"(click)="categoryEvent(2084008876)"&gt;{{"2084008876" | translate}}&lt;/a&gt;&lt;/li&gt;</v>
      </c>
    </row>
    <row r="100" spans="1:8" ht="14.25" customHeight="1">
      <c r="A100" s="2">
        <v>2084008883</v>
      </c>
      <c r="B100" s="2" t="s">
        <v>7941</v>
      </c>
      <c r="C100" s="2" t="s">
        <v>7942</v>
      </c>
      <c r="D100" s="116" t="str">
        <f t="shared" si="9"/>
        <v>0,21600,2084008861,2084008883</v>
      </c>
      <c r="E100" s="3" t="str">
        <f ca="1">IFERROR(__xludf.DUMMYFUNCTION("GOOGLETRANSLATE(B100,""ja"",""vi"")"),"Máy ảnh, video")</f>
        <v>Máy ảnh, video</v>
      </c>
      <c r="F100" s="3" t="str">
        <f ca="1">IFERROR(__xludf.DUMMYFUNCTION("GOOGLETRANSLATE(C100,""ja"",""vi"")"),"Đấu giá&gt; cuốn sách, tạp chí&gt; sở thích, thể thao, sử dụng thực tế&gt; máy ảnh, video")</f>
        <v>Đấu giá&gt; cuốn sách, tạp chí&gt; sở thích, thể thao, sử dụng thực tế&gt; máy ảnh, video</v>
      </c>
      <c r="G100" s="229" t="str">
        <f t="shared" ca="1" si="5"/>
        <v>"2084008883" : "Máy ảnh, video",</v>
      </c>
      <c r="H100" s="229" t="str">
        <f t="shared" si="6"/>
        <v>&lt;li class="col-md-3"&gt;&lt;a class="text-cut" href="javascript:;"(click)="categoryEvent(2084008883)"&gt;{{"2084008883" | translate}}&lt;/a&gt;&lt;/li&gt;</v>
      </c>
    </row>
    <row r="101" spans="1:8" ht="14.25" customHeight="1">
      <c r="A101" s="2">
        <v>2084008882</v>
      </c>
      <c r="B101" s="2" t="s">
        <v>7944</v>
      </c>
      <c r="C101" s="2" t="s">
        <v>7945</v>
      </c>
      <c r="D101" s="116" t="str">
        <f t="shared" si="9"/>
        <v>0,21600,2084008861,2084008882</v>
      </c>
      <c r="E101" s="3" t="str">
        <f ca="1">IFERROR(__xludf.DUMMYFUNCTION("GOOGLETRANSLATE(B101,""ja"",""vi"")"),"Cờ bạc")</f>
        <v>Cờ bạc</v>
      </c>
      <c r="F101" s="3" t="str">
        <f ca="1">IFERROR(__xludf.DUMMYFUNCTION("GOOGLETRANSLATE(C101,""ja"",""vi"")"),"Đấu giá&gt; cuốn sách, tạp chí&gt; sở thích, thể thao, sử dụng thực tế&gt; cờ bạc")</f>
        <v>Đấu giá&gt; cuốn sách, tạp chí&gt; sở thích, thể thao, sử dụng thực tế&gt; cờ bạc</v>
      </c>
      <c r="G101" s="229" t="str">
        <f t="shared" ca="1" si="5"/>
        <v>"2084008882" : "Cờ bạc",</v>
      </c>
      <c r="H101" s="229" t="str">
        <f t="shared" si="6"/>
        <v>&lt;li class="col-md-3"&gt;&lt;a class="text-cut" href="javascript:;"(click)="categoryEvent(2084008882)"&gt;{{"2084008882" | translate}}&lt;/a&gt;&lt;/li&gt;</v>
      </c>
    </row>
    <row r="102" spans="1:8" ht="14.25" customHeight="1">
      <c r="A102" s="2">
        <v>2084008898</v>
      </c>
      <c r="B102" s="2" t="s">
        <v>7949</v>
      </c>
      <c r="C102" s="2" t="s">
        <v>7950</v>
      </c>
      <c r="D102" s="116" t="str">
        <f t="shared" si="9"/>
        <v>0,21600,2084008861,2084008898</v>
      </c>
      <c r="E102" s="3" t="str">
        <f ca="1">IFERROR(__xludf.DUMMYFUNCTION("GOOGLETRANSLATE(B102,""ja"",""vi"")"),"lời nói")</f>
        <v>lời nói</v>
      </c>
      <c r="F102" s="3" t="str">
        <f ca="1">IFERROR(__xludf.DUMMYFUNCTION("GOOGLETRANSLATE(C102,""ja"",""vi"")"),"Đấu giá&gt; cuốn sách, tạp chí&gt; sở thích, thể thao, sử dụng thực tế&gt; Speech")</f>
        <v>Đấu giá&gt; cuốn sách, tạp chí&gt; sở thích, thể thao, sử dụng thực tế&gt; Speech</v>
      </c>
      <c r="G102" s="229" t="str">
        <f t="shared" ca="1" si="5"/>
        <v>"2084008898" : "lời nói",</v>
      </c>
      <c r="H102" s="229" t="str">
        <f t="shared" si="6"/>
        <v>&lt;li class="col-md-3"&gt;&lt;a class="text-cut" href="javascript:;"(click)="categoryEvent(2084008898)"&gt;{{"2084008898" | translate}}&lt;/a&gt;&lt;/li&gt;</v>
      </c>
    </row>
    <row r="103" spans="1:8" ht="14.25" customHeight="1">
      <c r="A103" s="2">
        <v>21840</v>
      </c>
      <c r="B103" s="2" t="s">
        <v>262</v>
      </c>
      <c r="C103" s="2" t="s">
        <v>7953</v>
      </c>
      <c r="D103" s="116" t="str">
        <f t="shared" si="9"/>
        <v>0,21600,2084008861,21840</v>
      </c>
      <c r="E103" s="3" t="str">
        <f ca="1">IFERROR(__xludf.DUMMYFUNCTION("GOOGLETRANSLATE(B103,""ja"",""vi"")"),"thể thao")</f>
        <v>thể thao</v>
      </c>
      <c r="F103" s="3" t="str">
        <f ca="1">IFERROR(__xludf.DUMMYFUNCTION("GOOGLETRANSLATE(C103,""ja"",""vi"")"),"Đấu giá&gt; cuốn sách, tạp chí&gt; sở thích, thể thao, sử dụng thực tế&gt; Thể Thao")</f>
        <v>Đấu giá&gt; cuốn sách, tạp chí&gt; sở thích, thể thao, sử dụng thực tế&gt; Thể Thao</v>
      </c>
      <c r="G103" s="229" t="str">
        <f t="shared" ca="1" si="5"/>
        <v>"21840" : "thể thao",</v>
      </c>
      <c r="H103" s="229" t="str">
        <f t="shared" si="6"/>
        <v>&lt;li class="col-md-3"&gt;&lt;a class="text-cut" href="javascript:;"(click)="categoryEvent(21840)"&gt;{{"21840" | translate}}&lt;/a&gt;&lt;/li&gt;</v>
      </c>
    </row>
    <row r="104" spans="1:8" ht="14.25" customHeight="1">
      <c r="A104" s="2">
        <v>2084008884</v>
      </c>
      <c r="B104" s="2" t="s">
        <v>7954</v>
      </c>
      <c r="C104" s="2" t="s">
        <v>7955</v>
      </c>
      <c r="D104" s="116" t="str">
        <f t="shared" si="9"/>
        <v>0,21600,2084008861,2084008884</v>
      </c>
      <c r="E104" s="3" t="str">
        <f ca="1">IFERROR(__xludf.DUMMYFUNCTION("GOOGLETRANSLATE(B104,""ja"",""vi"")"),"Vật nuôi, động vật")</f>
        <v>Vật nuôi, động vật</v>
      </c>
      <c r="F104" s="3" t="str">
        <f ca="1">IFERROR(__xludf.DUMMYFUNCTION("GOOGLETRANSLATE(C104,""ja"",""vi"")"),"Đấu giá&gt; cuốn sách, tạp chí&gt; sở thích, thể thao, sử dụng thực tế&gt; vật nuôi, động vật")</f>
        <v>Đấu giá&gt; cuốn sách, tạp chí&gt; sở thích, thể thao, sử dụng thực tế&gt; vật nuôi, động vật</v>
      </c>
      <c r="G104" s="229" t="str">
        <f t="shared" ca="1" si="5"/>
        <v>"2084008884" : "Vật nuôi, động vật",</v>
      </c>
      <c r="H104" s="229" t="str">
        <f t="shared" si="6"/>
        <v>&lt;li class="col-md-3"&gt;&lt;a class="text-cut" href="javascript:;"(click)="categoryEvent(2084008884)"&gt;{{"2084008884" | translate}}&lt;/a&gt;&lt;/li&gt;</v>
      </c>
    </row>
    <row r="105" spans="1:8" ht="14.25" customHeight="1">
      <c r="A105" s="2">
        <v>2084008881</v>
      </c>
      <c r="B105" s="2" t="s">
        <v>7957</v>
      </c>
      <c r="C105" s="2" t="s">
        <v>7958</v>
      </c>
      <c r="D105" s="116" t="str">
        <f t="shared" si="9"/>
        <v>0,21600,2084008861,2084008881</v>
      </c>
      <c r="E105" s="3" t="str">
        <f ca="1">IFERROR(__xludf.DUMMYFUNCTION("GOOGLETRANSLATE(B105,""ja"",""vi"")"),"Go, Shogi")</f>
        <v>Go, Shogi</v>
      </c>
      <c r="F105" s="3" t="str">
        <f ca="1">IFERROR(__xludf.DUMMYFUNCTION("GOOGLETRANSLATE(C105,""ja"",""vi"")"),"Đấu giá&gt; cuốn sách, tạp chí&gt; sở thích, thể thao, sử dụng thực tế&gt; Go, Shogi")</f>
        <v>Đấu giá&gt; cuốn sách, tạp chí&gt; sở thích, thể thao, sử dụng thực tế&gt; Go, Shogi</v>
      </c>
      <c r="G105" s="229" t="str">
        <f t="shared" ca="1" si="5"/>
        <v>"2084008881" : "Go, Shogi",</v>
      </c>
      <c r="H105" s="229" t="str">
        <f t="shared" si="6"/>
        <v>&lt;li class="col-md-3"&gt;&lt;a class="text-cut" href="javascript:;"(click)="categoryEvent(2084008881)"&gt;{{"2084008881" | translate}}&lt;/a&gt;&lt;/li&gt;</v>
      </c>
    </row>
    <row r="106" spans="1:8" ht="14.25" customHeight="1">
      <c r="A106" s="2">
        <v>2084047772</v>
      </c>
      <c r="B106" s="2" t="s">
        <v>318</v>
      </c>
      <c r="C106" s="2" t="s">
        <v>7959</v>
      </c>
      <c r="D106" s="116" t="str">
        <f t="shared" si="9"/>
        <v>0,21600,2084008861,2084047772</v>
      </c>
      <c r="E106" s="3" t="str">
        <f ca="1">IFERROR(__xludf.DUMMYFUNCTION("GOOGLETRANSLATE(B106,""ja"",""vi"")"),"Hoa, làm vườn")</f>
        <v>Hoa, làm vườn</v>
      </c>
      <c r="F106" s="3" t="str">
        <f ca="1">IFERROR(__xludf.DUMMYFUNCTION("GOOGLETRANSLATE(C106,""ja"",""vi"")"),"Đấu giá&gt; cuốn sách, tạp chí&gt; sở thích, thể thao, sử dụng thực tế&gt; hoa, làm vườn")</f>
        <v>Đấu giá&gt; cuốn sách, tạp chí&gt; sở thích, thể thao, sử dụng thực tế&gt; hoa, làm vườn</v>
      </c>
      <c r="G106" s="229" t="str">
        <f t="shared" ca="1" si="5"/>
        <v>"2084047772" : "Hoa, làm vườn",</v>
      </c>
      <c r="H106" s="229" t="str">
        <f t="shared" si="6"/>
        <v>&lt;li class="col-md-3"&gt;&lt;a class="text-cut" href="javascript:;"(click)="categoryEvent(2084047772)"&gt;{{"2084047772" | translate}}&lt;/a&gt;&lt;/li&gt;</v>
      </c>
    </row>
    <row r="107" spans="1:8" ht="14.25" customHeight="1">
      <c r="A107" s="2">
        <v>21632</v>
      </c>
      <c r="B107" s="2" t="s">
        <v>7960</v>
      </c>
      <c r="C107" s="2" t="s">
        <v>7961</v>
      </c>
      <c r="D107" s="116" t="str">
        <f t="shared" si="9"/>
        <v>0,21600,2084008861,21632</v>
      </c>
      <c r="E107" s="3" t="str">
        <f ca="1">IFERROR(__xludf.DUMMYFUNCTION("GOOGLETRANSLATE(B107,""ja"",""vi"")"),"bộ sưu tập tiền, bộ sưu tập tem")</f>
        <v>bộ sưu tập tiền, bộ sưu tập tem</v>
      </c>
      <c r="F107" s="3" t="str">
        <f ca="1">IFERROR(__xludf.DUMMYFUNCTION("GOOGLETRANSLATE(C107,""ja"",""vi"")"),"Đấu giá&gt; cuốn sách, tạp chí&gt; sở thích, thể thao, sử dụng thực tế&gt; Bộ sưu tập tiền, bộ sưu tập tem")</f>
        <v>Đấu giá&gt; cuốn sách, tạp chí&gt; sở thích, thể thao, sử dụng thực tế&gt; Bộ sưu tập tiền, bộ sưu tập tem</v>
      </c>
      <c r="G107" s="229" t="str">
        <f t="shared" ca="1" si="5"/>
        <v>"21632" : "bộ sưu tập tiền, bộ sưu tập tem",</v>
      </c>
      <c r="H107" s="229" t="str">
        <f t="shared" si="6"/>
        <v>&lt;li class="col-md-3"&gt;&lt;a class="text-cut" href="javascript:;"(click)="categoryEvent(21632)"&gt;{{"21632" | translate}}&lt;/a&gt;&lt;/li&gt;</v>
      </c>
    </row>
    <row r="108" spans="1:8" ht="14.25" customHeight="1">
      <c r="A108" s="2">
        <v>2084023870</v>
      </c>
      <c r="B108" s="2" t="s">
        <v>6333</v>
      </c>
      <c r="C108" s="2" t="s">
        <v>7962</v>
      </c>
      <c r="D108" s="116" t="str">
        <f t="shared" si="9"/>
        <v>0,21600,2084008861,2084023870</v>
      </c>
      <c r="E108" s="3" t="str">
        <f ca="1">IFERROR(__xludf.DUMMYFUNCTION("GOOGLETRANSLATE(B108,""ja"",""vi"")"),"phi cơ")</f>
        <v>phi cơ</v>
      </c>
      <c r="F108" s="3" t="str">
        <f ca="1">IFERROR(__xludf.DUMMYFUNCTION("GOOGLETRANSLATE(C108,""ja"",""vi"")"),"Đấu giá&gt; cuốn sách, tạp chí&gt; sở thích, thể thao, sử dụng thực tế&gt; máy bay")</f>
        <v>Đấu giá&gt; cuốn sách, tạp chí&gt; sở thích, thể thao, sử dụng thực tế&gt; máy bay</v>
      </c>
      <c r="G108" s="229" t="str">
        <f t="shared" ca="1" si="5"/>
        <v>"2084023870" : "phi cơ",</v>
      </c>
      <c r="H108" s="229" t="str">
        <f t="shared" si="6"/>
        <v>&lt;li class="col-md-3"&gt;&lt;a class="text-cut" href="javascript:;"(click)="categoryEvent(2084023870)"&gt;{{"2084023870" | translate}}&lt;/a&gt;&lt;/li&gt;</v>
      </c>
    </row>
    <row r="109" spans="1:8" ht="14.25" customHeight="1">
      <c r="A109" s="2">
        <v>2084008871</v>
      </c>
      <c r="B109" s="2" t="s">
        <v>5924</v>
      </c>
      <c r="C109" s="2" t="s">
        <v>7965</v>
      </c>
      <c r="D109" s="116" t="str">
        <f t="shared" si="9"/>
        <v>0,21600,2084008861,2084008871</v>
      </c>
      <c r="E109" s="3" t="str">
        <f ca="1">IFERROR(__xludf.DUMMYFUNCTION("GOOGLETRANSLATE(B109,""ja"",""vi"")"),"xe hơi")</f>
        <v>xe hơi</v>
      </c>
      <c r="F109" s="3" t="str">
        <f ca="1">IFERROR(__xludf.DUMMYFUNCTION("GOOGLETRANSLATE(C109,""ja"",""vi"")"),"Đấu giá&gt; cuốn sách, tạp chí&gt; sở thích, thể thao, sử dụng thực tế&gt; ô tô")</f>
        <v>Đấu giá&gt; cuốn sách, tạp chí&gt; sở thích, thể thao, sử dụng thực tế&gt; ô tô</v>
      </c>
      <c r="G109" s="229" t="str">
        <f t="shared" ca="1" si="5"/>
        <v>"2084008871" : "xe hơi",</v>
      </c>
      <c r="H109" s="229" t="str">
        <f t="shared" si="6"/>
        <v>&lt;li class="col-md-3"&gt;&lt;a class="text-cut" href="javascript:;"(click)="categoryEvent(2084008871)"&gt;{{"2084008871" | translate}}&lt;/a&gt;&lt;/li&gt;</v>
      </c>
    </row>
    <row r="110" spans="1:8" ht="14.25" customHeight="1">
      <c r="A110" s="2">
        <v>2084008899</v>
      </c>
      <c r="B110" s="2" t="s">
        <v>7966</v>
      </c>
      <c r="C110" s="2" t="s">
        <v>7967</v>
      </c>
      <c r="D110" s="116" t="str">
        <f t="shared" si="9"/>
        <v>0,21600,2084008861,2084008899</v>
      </c>
      <c r="E110" s="3" t="str">
        <f ca="1">IFERROR(__xludf.DUMMYFUNCTION("GOOGLETRANSLATE(B110,""ja"",""vi"")"),"Bói toán")</f>
        <v>Bói toán</v>
      </c>
      <c r="F110" s="3" t="str">
        <f ca="1">IFERROR(__xludf.DUMMYFUNCTION("GOOGLETRANSLATE(C110,""ja"",""vi"")"),"Đấu giá&gt; cuốn sách, tạp chí&gt; sở thích, thể thao, sử dụng thực tế&gt; bói toán")</f>
        <v>Đấu giá&gt; cuốn sách, tạp chí&gt; sở thích, thể thao, sử dụng thực tế&gt; bói toán</v>
      </c>
      <c r="G110" s="229" t="str">
        <f t="shared" ca="1" si="5"/>
        <v>"2084008899" : "Bói toán",</v>
      </c>
      <c r="H110" s="229" t="str">
        <f t="shared" si="6"/>
        <v>&lt;li class="col-md-3"&gt;&lt;a class="text-cut" href="javascript:;"(click)="categoryEvent(2084008899)"&gt;{{"2084008899" | translate}}&lt;/a&gt;&lt;/li&gt;</v>
      </c>
    </row>
    <row r="111" spans="1:8" ht="14.25" customHeight="1">
      <c r="A111" s="2">
        <v>2084049569</v>
      </c>
      <c r="B111" s="2" t="s">
        <v>7969</v>
      </c>
      <c r="C111" s="2" t="s">
        <v>7971</v>
      </c>
      <c r="D111" s="116" t="str">
        <f t="shared" si="9"/>
        <v>0,21600,2084008861,2084049569</v>
      </c>
      <c r="E111" s="3" t="str">
        <f ca="1">IFERROR(__xludf.DUMMYFUNCTION("GOOGLETRANSLATE(B111,""ja"",""vi"")"),"Một con tàu")</f>
        <v>Một con tàu</v>
      </c>
      <c r="F111" s="3" t="str">
        <f ca="1">IFERROR(__xludf.DUMMYFUNCTION("GOOGLETRANSLATE(C111,""ja"",""vi"")"),"Đấu giá&gt; cuốn sách, tạp chí&gt; sở thích, thể thao, sử dụng thực tế&gt; Ship")</f>
        <v>Đấu giá&gt; cuốn sách, tạp chí&gt; sở thích, thể thao, sử dụng thực tế&gt; Ship</v>
      </c>
      <c r="G111" s="229" t="str">
        <f t="shared" ca="1" si="5"/>
        <v>"2084049569" : "Một con tàu",</v>
      </c>
      <c r="H111" s="229" t="str">
        <f t="shared" si="6"/>
        <v>&lt;li class="col-md-3"&gt;&lt;a class="text-cut" href="javascript:;"(click)="categoryEvent(2084049569)"&gt;{{"2084049569" | translate}}&lt;/a&gt;&lt;/li&gt;</v>
      </c>
    </row>
    <row r="112" spans="1:8" ht="14.25" customHeight="1">
      <c r="A112" s="2">
        <v>2084048234</v>
      </c>
      <c r="B112" s="2" t="s">
        <v>7972</v>
      </c>
      <c r="C112" s="2" t="s">
        <v>7973</v>
      </c>
      <c r="D112" s="116" t="str">
        <f t="shared" si="9"/>
        <v>0,21600,2084008861,2084048234</v>
      </c>
      <c r="E112" s="3" t="str">
        <f ca="1">IFERROR(__xludf.DUMMYFUNCTION("GOOGLETRANSLATE(B112,""ja"",""vi"")"),"trà đạo")</f>
        <v>trà đạo</v>
      </c>
      <c r="F112" s="3" t="str">
        <f ca="1">IFERROR(__xludf.DUMMYFUNCTION("GOOGLETRANSLATE(C112,""ja"",""vi"")"),"Đấu giá&gt; cuốn sách, tạp chí&gt; sở thích, thể thao, sử dụng thực tế&gt; trà đạo")</f>
        <v>Đấu giá&gt; cuốn sách, tạp chí&gt; sở thích, thể thao, sử dụng thực tế&gt; trà đạo</v>
      </c>
      <c r="G112" s="229" t="str">
        <f t="shared" ca="1" si="5"/>
        <v>"2084048234" : "trà đạo",</v>
      </c>
      <c r="H112" s="229" t="str">
        <f t="shared" si="6"/>
        <v>&lt;li class="col-md-3"&gt;&lt;a class="text-cut" href="javascript:;"(click)="categoryEvent(2084048234)"&gt;{{"2084048234" | translate}}&lt;/a&gt;&lt;/li&gt;</v>
      </c>
    </row>
    <row r="113" spans="1:8" ht="14.25" customHeight="1">
      <c r="A113" s="2">
        <v>2084008870</v>
      </c>
      <c r="B113" s="2" t="s">
        <v>7975</v>
      </c>
      <c r="C113" s="2" t="s">
        <v>7976</v>
      </c>
      <c r="D113" s="116" t="str">
        <f t="shared" si="9"/>
        <v>0,21600,2084008861,2084008870</v>
      </c>
      <c r="E113" s="3" t="str">
        <f ca="1">IFERROR(__xludf.DUMMYFUNCTION("GOOGLETRANSLATE(B113,""ja"",""vi"")"),"Câu cá, câu cá")</f>
        <v>Câu cá, câu cá</v>
      </c>
      <c r="F113" s="3" t="str">
        <f ca="1">IFERROR(__xludf.DUMMYFUNCTION("GOOGLETRANSLATE(C113,""ja"",""vi"")"),"Đấu giá&gt; sách, tạp chí&gt; sở thích, thể thao, sử dụng thực tế&gt; câu cá, câu cá")</f>
        <v>Đấu giá&gt; sách, tạp chí&gt; sở thích, thể thao, sử dụng thực tế&gt; câu cá, câu cá</v>
      </c>
      <c r="G113" s="229" t="str">
        <f t="shared" ca="1" si="5"/>
        <v>"2084008870" : "Câu cá, câu cá",</v>
      </c>
      <c r="H113" s="229" t="str">
        <f t="shared" si="6"/>
        <v>&lt;li class="col-md-3"&gt;&lt;a class="text-cut" href="javascript:;"(click)="categoryEvent(2084008870)"&gt;{{"2084008870" | translate}}&lt;/a&gt;&lt;/li&gt;</v>
      </c>
    </row>
    <row r="114" spans="1:8" ht="14.25" customHeight="1">
      <c r="A114" s="2">
        <v>2084023873</v>
      </c>
      <c r="B114" s="2" t="s">
        <v>1546</v>
      </c>
      <c r="C114" s="2" t="s">
        <v>7977</v>
      </c>
      <c r="D114" s="116" t="str">
        <f t="shared" si="9"/>
        <v>0,21600,2084008861,2084023873</v>
      </c>
      <c r="E114" s="3" t="str">
        <f ca="1">IFERROR(__xludf.DUMMYFUNCTION("GOOGLETRANSLATE(B114,""ja"",""vi"")"),"đường sắt")</f>
        <v>đường sắt</v>
      </c>
      <c r="F114" s="3" t="str">
        <f ca="1">IFERROR(__xludf.DUMMYFUNCTION("GOOGLETRANSLATE(C114,""ja"",""vi"")"),"Đấu giá&gt; cuốn sách, tạp chí&gt; sở thích, thể thao, sử dụng thực tế&gt; đường sắt")</f>
        <v>Đấu giá&gt; cuốn sách, tạp chí&gt; sở thích, thể thao, sử dụng thực tế&gt; đường sắt</v>
      </c>
      <c r="G114" s="229" t="str">
        <f t="shared" ca="1" si="5"/>
        <v>"2084023873" : "đường sắt",</v>
      </c>
      <c r="H114" s="229" t="str">
        <f t="shared" si="6"/>
        <v>&lt;li class="col-md-3"&gt;&lt;a class="text-cut" href="javascript:;"(click)="categoryEvent(2084023873)"&gt;{{"2084023873" | translate}}&lt;/a&gt;&lt;/li&gt;</v>
      </c>
    </row>
    <row r="115" spans="1:8" ht="14.25" customHeight="1">
      <c r="A115" s="2">
        <v>2084008903</v>
      </c>
      <c r="B115" s="2" t="s">
        <v>7978</v>
      </c>
      <c r="C115" s="2" t="s">
        <v>7979</v>
      </c>
      <c r="D115" s="116" t="str">
        <f t="shared" si="9"/>
        <v>0,21600,2084008861,2084008903</v>
      </c>
      <c r="E115" s="3" t="str">
        <f ca="1">IFERROR(__xludf.DUMMYFUNCTION("GOOGLETRANSLATE(B115,""ja"",""vi"")"),"Đặt tên, và họ phán xét")</f>
        <v>Đặt tên, và họ phán xét</v>
      </c>
      <c r="F115" s="3" t="str">
        <f ca="1">IFERROR(__xludf.DUMMYFUNCTION("GOOGLETRANSLATE(C115,""ja"",""vi"")"),"Đấu giá&gt; cuốn sách, tạp chí&gt; sở thích, thể thao, sử dụng thực tế&gt; đặt tên, và họ phán xét")</f>
        <v>Đấu giá&gt; cuốn sách, tạp chí&gt; sở thích, thể thao, sử dụng thực tế&gt; đặt tên, và họ phán xét</v>
      </c>
      <c r="G115" s="229" t="str">
        <f t="shared" ca="1" si="5"/>
        <v>"2084008903" : "Đặt tên, và họ phán xét",</v>
      </c>
      <c r="H115" s="229" t="str">
        <f t="shared" si="6"/>
        <v>&lt;li class="col-md-3"&gt;&lt;a class="text-cut" href="javascript:;"(click)="categoryEvent(2084008903)"&gt;{{"2084008903" | translate}}&lt;/a&gt;&lt;/li&gt;</v>
      </c>
    </row>
    <row r="116" spans="1:8" ht="14.25" customHeight="1">
      <c r="A116" s="2">
        <v>2084048352</v>
      </c>
      <c r="B116" s="2" t="s">
        <v>7982</v>
      </c>
      <c r="C116" s="2" t="s">
        <v>7983</v>
      </c>
      <c r="D116" s="116" t="str">
        <f t="shared" si="9"/>
        <v>0,21600,2084008861,2084048352</v>
      </c>
      <c r="E116" s="3" t="str">
        <f ca="1">IFERROR(__xludf.DUMMYFUNCTION("GOOGLETRANSLATE(B116,""ja"",""vi"")"),"Mô hình, mô hình nhựa, điều khiển bằng radio")</f>
        <v>Mô hình, mô hình nhựa, điều khiển bằng radio</v>
      </c>
      <c r="F116" s="3" t="str">
        <f ca="1">IFERROR(__xludf.DUMMYFUNCTION("GOOGLETRANSLATE(C116,""ja"",""vi"")"),"Đấu giá&gt; cuốn sách, tạp chí&gt; sở thích, thể thao, sử dụng thực tế&gt; mô hình, mô hình nhựa, điều khiển bằng radio")</f>
        <v>Đấu giá&gt; cuốn sách, tạp chí&gt; sở thích, thể thao, sử dụng thực tế&gt; mô hình, mô hình nhựa, điều khiển bằng radio</v>
      </c>
      <c r="G116" s="229" t="str">
        <f t="shared" ca="1" si="5"/>
        <v>"2084048352" : "Mô hình, mô hình nhựa, điều khiển bằng radio",</v>
      </c>
      <c r="H116" s="229" t="str">
        <f t="shared" si="6"/>
        <v>&lt;li class="col-md-3"&gt;&lt;a class="text-cut" href="javascript:;"(click)="categoryEvent(2084048352)"&gt;{{"2084048352" | translate}}&lt;/a&gt;&lt;/li&gt;</v>
      </c>
    </row>
    <row r="117" spans="1:8" ht="14.25" customHeight="1">
      <c r="A117" s="2">
        <v>2084008910</v>
      </c>
      <c r="B117" s="2" t="s">
        <v>7911</v>
      </c>
      <c r="C117" s="2" t="s">
        <v>7986</v>
      </c>
      <c r="D117" s="116" t="str">
        <f t="shared" si="9"/>
        <v>0,21600,2084008861,2084008910</v>
      </c>
      <c r="E117" s="3" t="str">
        <f ca="1">IFERROR(__xludf.DUMMYFUNCTION("GOOGLETRANSLATE(B117,""ja"",""vi"")"),"Du lịch, hướng dẫn giải trí")</f>
        <v>Du lịch, hướng dẫn giải trí</v>
      </c>
      <c r="F117" s="3" t="str">
        <f ca="1">IFERROR(__xludf.DUMMYFUNCTION("GOOGLETRANSLATE(C117,""ja"",""vi"")"),"Đấu giá&gt; cuốn sách, tạp chí&gt; sở thích, thể thao, sử dụng thực tế&gt; Du lịch, hướng dẫn giải trí")</f>
        <v>Đấu giá&gt; cuốn sách, tạp chí&gt; sở thích, thể thao, sử dụng thực tế&gt; Du lịch, hướng dẫn giải trí</v>
      </c>
      <c r="G117" s="229" t="str">
        <f t="shared" ca="1" si="5"/>
        <v>"2084008910" : "Du lịch, hướng dẫn giải trí",</v>
      </c>
      <c r="H117" s="229" t="str">
        <f t="shared" si="6"/>
        <v>&lt;li class="col-md-3"&gt;&lt;a class="text-cut" href="javascript:;"(click)="categoryEvent(2084008910)"&gt;{{"2084008910" | translate}}&lt;/a&gt;&lt;/li&gt;</v>
      </c>
    </row>
    <row r="118" spans="1:8" ht="14.25" customHeight="1">
      <c r="A118" s="2">
        <v>2084315460</v>
      </c>
      <c r="B118" s="2" t="s">
        <v>16</v>
      </c>
      <c r="C118" s="2" t="s">
        <v>7989</v>
      </c>
      <c r="D118" s="116" t="str">
        <f t="shared" si="9"/>
        <v>0,21600,2084008861,2084315460</v>
      </c>
      <c r="E118" s="3" t="str">
        <f ca="1">IFERROR(__xludf.DUMMYFUNCTION("GOOGLETRANSLATE(B118,""ja"",""vi"")"),"nếu không thì")</f>
        <v>nếu không thì</v>
      </c>
      <c r="F118" s="3" t="str">
        <f ca="1">IFERROR(__xludf.DUMMYFUNCTION("GOOGLETRANSLATE(C118,""ja"",""vi"")"),"Đấu giá&gt; cuốn sách, tạp chí&gt; sở thích, thể thao, sử dụng thực tế&gt; Khác")</f>
        <v>Đấu giá&gt; cuốn sách, tạp chí&gt; sở thích, thể thao, sử dụng thực tế&gt; Khác</v>
      </c>
      <c r="G118" s="229" t="str">
        <f t="shared" ca="1" si="5"/>
        <v>"2084315460" : "nếu không thì",</v>
      </c>
      <c r="H118" s="229" t="str">
        <f t="shared" si="6"/>
        <v>&lt;li class="col-md-3"&gt;&lt;a class="text-cut" href="javascript:;"(click)="categoryEvent(2084315460)"&gt;{{"2084315460" | translate}}&lt;/a&gt;&lt;/li&gt;</v>
      </c>
    </row>
    <row r="119" spans="1:8" ht="14.25" customHeight="1">
      <c r="E119" s="3"/>
      <c r="F119" s="3"/>
      <c r="G119" s="229"/>
      <c r="H119" s="229"/>
    </row>
    <row r="120" spans="1:8" ht="14.25" customHeight="1">
      <c r="E120" s="3"/>
      <c r="F120" s="3"/>
      <c r="G120" s="229"/>
      <c r="H120" s="229"/>
    </row>
    <row r="121" spans="1:8" ht="14.25" customHeight="1">
      <c r="A121" s="238">
        <v>2084008935</v>
      </c>
      <c r="B121" s="232"/>
      <c r="C121" s="232"/>
      <c r="D121" s="233"/>
      <c r="E121" s="3"/>
      <c r="F121" s="3"/>
      <c r="G121" s="229"/>
      <c r="H121" s="229"/>
    </row>
    <row r="122" spans="1:8" ht="14.25" customHeight="1">
      <c r="A122" s="2">
        <v>2084008949</v>
      </c>
      <c r="B122" s="2" t="s">
        <v>7992</v>
      </c>
      <c r="C122" s="2" t="s">
        <v>7993</v>
      </c>
      <c r="D122" s="116" t="str">
        <f t="shared" ref="D122:D137" si="10">CONCATENATE("0,","21600,2084008935,",A122)</f>
        <v>0,21600,2084008935,2084008949</v>
      </c>
      <c r="E122" s="3" t="str">
        <f ca="1">IFERROR(__xludf.DUMMYFUNCTION("GOOGLETRANSLATE(B122,""ja"",""vi"")"),"Kỷ luật, chăm sóc trẻ em")</f>
        <v>Kỷ luật, chăm sóc trẻ em</v>
      </c>
      <c r="F122" s="3" t="str">
        <f ca="1">IFERROR(__xludf.DUMMYFUNCTION("GOOGLETRANSLATE(C122,""ja"",""vi"")"),"Đấu giá&gt; cuốn sách, tạp chí&gt; nhà, sinh hoạt, chăm sóc trẻ&gt; kỷ luật, chăm sóc trẻ em")</f>
        <v>Đấu giá&gt; cuốn sách, tạp chí&gt; nhà, sinh hoạt, chăm sóc trẻ&gt; kỷ luật, chăm sóc trẻ em</v>
      </c>
      <c r="G122" s="229" t="str">
        <f t="shared" ca="1" si="5"/>
        <v>"2084008949" : "Kỷ luật, chăm sóc trẻ em",</v>
      </c>
      <c r="H122" s="229" t="str">
        <f t="shared" si="6"/>
        <v>&lt;li class="col-md-3"&gt;&lt;a class="text-cut" href="javascript:;"(click)="categoryEvent(2084008949)"&gt;{{"2084008949" | translate}}&lt;/a&gt;&lt;/li&gt;</v>
      </c>
    </row>
    <row r="123" spans="1:8" ht="14.25" customHeight="1">
      <c r="A123" s="2">
        <v>2084008946</v>
      </c>
      <c r="B123" s="2" t="s">
        <v>7994</v>
      </c>
      <c r="C123" s="2" t="s">
        <v>7995</v>
      </c>
      <c r="D123" s="116" t="str">
        <f t="shared" si="10"/>
        <v>0,21600,2084008935,2084008946</v>
      </c>
      <c r="E123" s="3" t="str">
        <f ca="1">IFERROR(__xludf.DUMMYFUNCTION("GOOGLETRANSLATE(B123,""ja"",""vi"")"),"Nội thất, xây dựng nhà")</f>
        <v>Nội thất, xây dựng nhà</v>
      </c>
      <c r="F123" s="3" t="str">
        <f ca="1">IFERROR(__xludf.DUMMYFUNCTION("GOOGLETRANSLATE(C123,""ja"",""vi"")"),"Đấu giá&gt; cuốn sách, tạp chí&gt; nhà, sinh hoạt, chăm sóc trẻ&gt; nội thất, xây dựng nhà")</f>
        <v>Đấu giá&gt; cuốn sách, tạp chí&gt; nhà, sinh hoạt, chăm sóc trẻ&gt; nội thất, xây dựng nhà</v>
      </c>
      <c r="G123" s="229" t="str">
        <f t="shared" ca="1" si="5"/>
        <v>"2084008946" : "Nội thất, xây dựng nhà",</v>
      </c>
      <c r="H123" s="229" t="str">
        <f t="shared" si="6"/>
        <v>&lt;li class="col-md-3"&gt;&lt;a class="text-cut" href="javascript:;"(click)="categoryEvent(2084008946)"&gt;{{"2084008946" | translate}}&lt;/a&gt;&lt;/li&gt;</v>
      </c>
    </row>
    <row r="124" spans="1:8" ht="14.25" customHeight="1">
      <c r="A124" s="2">
        <v>2084009009</v>
      </c>
      <c r="B124" s="2" t="s">
        <v>2523</v>
      </c>
      <c r="C124" s="2" t="s">
        <v>7998</v>
      </c>
      <c r="D124" s="116" t="str">
        <f t="shared" si="10"/>
        <v>0,21600,2084008935,2084009009</v>
      </c>
      <c r="E124" s="3" t="str">
        <f ca="1">IFERROR(__xludf.DUMMYFUNCTION("GOOGLETRANSLATE(B124,""ja"",""vi"")"),"Chế độ ăn uống")</f>
        <v>Chế độ ăn uống</v>
      </c>
      <c r="F124" s="3" t="str">
        <f ca="1">IFERROR(__xludf.DUMMYFUNCTION("GOOGLETRANSLATE(C124,""ja"",""vi"")"),"Đấu giá&gt; cuốn sách, tạp chí&gt; nhà, sinh hoạt, chăm sóc trẻ&gt; Chế độ ăn uống")</f>
        <v>Đấu giá&gt; cuốn sách, tạp chí&gt; nhà, sinh hoạt, chăm sóc trẻ&gt; Chế độ ăn uống</v>
      </c>
      <c r="G124" s="229" t="str">
        <f t="shared" ca="1" si="5"/>
        <v>"2084009009" : "Chế độ ăn uống",</v>
      </c>
      <c r="H124" s="229" t="str">
        <f t="shared" si="6"/>
        <v>&lt;li class="col-md-3"&gt;&lt;a class="text-cut" href="javascript:;"(click)="categoryEvent(2084009009)"&gt;{{"2084009009" | translate}}&lt;/a&gt;&lt;/li&gt;</v>
      </c>
    </row>
    <row r="125" spans="1:8" ht="14.25" customHeight="1">
      <c r="A125" s="2">
        <v>2084008947</v>
      </c>
      <c r="B125" s="2" t="s">
        <v>8001</v>
      </c>
      <c r="C125" s="2" t="s">
        <v>8002</v>
      </c>
      <c r="D125" s="116" t="str">
        <f t="shared" si="10"/>
        <v>0,21600,2084008935,2084008947</v>
      </c>
      <c r="E125" s="3" t="str">
        <f ca="1">IFERROR(__xludf.DUMMYFUNCTION("GOOGLETRANSLATE(B125,""ja"",""vi"")"),"Thời trang, Làm đẹp")</f>
        <v>Thời trang, Làm đẹp</v>
      </c>
      <c r="F125" s="3" t="str">
        <f ca="1">IFERROR(__xludf.DUMMYFUNCTION("GOOGLETRANSLATE(C125,""ja"",""vi"")"),"Đấu giá&gt; cuốn sách, tạp chí&gt; nhà, sinh hoạt, chăm sóc trẻ&gt; thời trang, làm đẹp")</f>
        <v>Đấu giá&gt; cuốn sách, tạp chí&gt; nhà, sinh hoạt, chăm sóc trẻ&gt; thời trang, làm đẹp</v>
      </c>
      <c r="G125" s="229" t="str">
        <f t="shared" ca="1" si="5"/>
        <v>"2084008947" : "Thời trang, Làm đẹp",</v>
      </c>
      <c r="H125" s="229" t="str">
        <f t="shared" si="6"/>
        <v>&lt;li class="col-md-3"&gt;&lt;a class="text-cut" href="javascript:;"(click)="categoryEvent(2084008947)"&gt;{{"2084008947" | translate}}&lt;/a&gt;&lt;/li&gt;</v>
      </c>
    </row>
    <row r="126" spans="1:8" ht="14.25" customHeight="1">
      <c r="A126" s="2">
        <v>2084008950</v>
      </c>
      <c r="B126" s="2" t="s">
        <v>8003</v>
      </c>
      <c r="C126" s="2" t="s">
        <v>8004</v>
      </c>
      <c r="D126" s="116" t="str">
        <f t="shared" si="10"/>
        <v>0,21600,2084008935,2084008950</v>
      </c>
      <c r="E126" s="3" t="str">
        <f ca="1">IFERROR(__xludf.DUMMYFUNCTION("GOOGLETRANSLATE(B126,""ja"",""vi"")"),"Công việc gia đình, cách cư xử")</f>
        <v>Công việc gia đình, cách cư xử</v>
      </c>
      <c r="F126" s="3" t="str">
        <f ca="1">IFERROR(__xludf.DUMMYFUNCTION("GOOGLETRANSLATE(C126,""ja"",""vi"")"),"Đấu giá&gt; cuốn sách, tạp chí&gt; nhà, sinh hoạt, chăm sóc trẻ&gt; công việc gia đình, cách cư xử")</f>
        <v>Đấu giá&gt; cuốn sách, tạp chí&gt; nhà, sinh hoạt, chăm sóc trẻ&gt; công việc gia đình, cách cư xử</v>
      </c>
      <c r="G126" s="229" t="str">
        <f t="shared" ca="1" si="5"/>
        <v>"2084008950" : "Công việc gia đình, cách cư xử",</v>
      </c>
      <c r="H126" s="229" t="str">
        <f t="shared" si="6"/>
        <v>&lt;li class="col-md-3"&gt;&lt;a class="text-cut" href="javascript:;"(click)="categoryEvent(2084008950)"&gt;{{"2084008950" | translate}}&lt;/a&gt;&lt;/li&gt;</v>
      </c>
    </row>
    <row r="127" spans="1:8" ht="14.25" customHeight="1">
      <c r="A127" s="2">
        <v>2084009000</v>
      </c>
      <c r="B127" s="2" t="s">
        <v>8006</v>
      </c>
      <c r="C127" s="2" t="s">
        <v>8008</v>
      </c>
      <c r="D127" s="116" t="str">
        <f t="shared" si="10"/>
        <v>0,21600,2084008935,2084009000</v>
      </c>
      <c r="E127" s="3" t="str">
        <f ca="1">IFERROR(__xludf.DUMMYFUNCTION("GOOGLETRANSLATE(B127,""ja"",""vi"")"),"Y học gia đình")</f>
        <v>Y học gia đình</v>
      </c>
      <c r="F127" s="3" t="str">
        <f ca="1">IFERROR(__xludf.DUMMYFUNCTION("GOOGLETRANSLATE(C127,""ja"",""vi"")"),"Đấu giá&gt; cuốn sách, tạp chí&gt; nhà, sinh hoạt, chăm sóc trẻ&gt; Y Gia đình")</f>
        <v>Đấu giá&gt; cuốn sách, tạp chí&gt; nhà, sinh hoạt, chăm sóc trẻ&gt; Y Gia đình</v>
      </c>
      <c r="G127" s="229" t="str">
        <f t="shared" ca="1" si="5"/>
        <v>"2084009000" : "Y học gia đình",</v>
      </c>
      <c r="H127" s="229" t="str">
        <f t="shared" si="6"/>
        <v>&lt;li class="col-md-3"&gt;&lt;a class="text-cut" href="javascript:;"(click)="categoryEvent(2084009000)"&gt;{{"2084009000" | translate}}&lt;/a&gt;&lt;/li&gt;</v>
      </c>
    </row>
    <row r="128" spans="1:8" ht="14.25" customHeight="1">
      <c r="A128" s="2">
        <v>2084047772</v>
      </c>
      <c r="B128" s="2" t="s">
        <v>318</v>
      </c>
      <c r="C128" s="2" t="s">
        <v>8010</v>
      </c>
      <c r="D128" s="116" t="str">
        <f t="shared" si="10"/>
        <v>0,21600,2084008935,2084047772</v>
      </c>
      <c r="E128" s="3" t="str">
        <f ca="1">IFERROR(__xludf.DUMMYFUNCTION("GOOGLETRANSLATE(B128,""ja"",""vi"")"),"Hoa, làm vườn")</f>
        <v>Hoa, làm vườn</v>
      </c>
      <c r="F128" s="3" t="str">
        <f ca="1">IFERROR(__xludf.DUMMYFUNCTION("GOOGLETRANSLATE(C128,""ja"",""vi"")"),"Đấu giá&gt; cuốn sách, tạp chí&gt; nhà, sinh hoạt, chăm sóc trẻ&gt; hoa, làm vườn")</f>
        <v>Đấu giá&gt; cuốn sách, tạp chí&gt; nhà, sinh hoạt, chăm sóc trẻ&gt; hoa, làm vườn</v>
      </c>
      <c r="G128" s="229" t="str">
        <f t="shared" ca="1" si="5"/>
        <v>"2084047772" : "Hoa, làm vườn",</v>
      </c>
      <c r="H128" s="229" t="str">
        <f t="shared" si="6"/>
        <v>&lt;li class="col-md-3"&gt;&lt;a class="text-cut" href="javascript:;"(click)="categoryEvent(2084047772)"&gt;{{"2084047772" | translate}}&lt;/a&gt;&lt;/li&gt;</v>
      </c>
    </row>
    <row r="129" spans="1:8" ht="14.25" customHeight="1">
      <c r="A129" s="2">
        <v>2084009005</v>
      </c>
      <c r="B129" s="2" t="s">
        <v>8013</v>
      </c>
      <c r="C129" s="2" t="s">
        <v>8014</v>
      </c>
      <c r="D129" s="116" t="str">
        <f t="shared" si="10"/>
        <v>0,21600,2084008935,2084009005</v>
      </c>
      <c r="E129" s="3" t="str">
        <f ca="1">IFERROR(__xludf.DUMMYFUNCTION("GOOGLETRANSLATE(B129,""ja"",""vi"")"),"vệ sinh")</f>
        <v>vệ sinh</v>
      </c>
      <c r="F129" s="3" t="str">
        <f ca="1">IFERROR(__xludf.DUMMYFUNCTION("GOOGLETRANSLATE(C129,""ja"",""vi"")"),"Đấu giá&gt; cuốn sách, tạp chí&gt; nhà, sinh hoạt, chăm sóc trẻ&gt; Luật Sức khỏe")</f>
        <v>Đấu giá&gt; cuốn sách, tạp chí&gt; nhà, sinh hoạt, chăm sóc trẻ&gt; Luật Sức khỏe</v>
      </c>
      <c r="G129" s="229" t="str">
        <f t="shared" ca="1" si="5"/>
        <v>"2084009005" : "vệ sinh",</v>
      </c>
      <c r="H129" s="229" t="str">
        <f t="shared" si="6"/>
        <v>&lt;li class="col-md-3"&gt;&lt;a class="text-cut" href="javascript:;"(click)="categoryEvent(2084009005)"&gt;{{"2084009005" | translate}}&lt;/a&gt;&lt;/li&gt;</v>
      </c>
    </row>
    <row r="130" spans="1:8" ht="14.25" customHeight="1">
      <c r="A130" s="2">
        <v>2084008123</v>
      </c>
      <c r="B130" s="2" t="s">
        <v>351</v>
      </c>
      <c r="C130" s="2" t="s">
        <v>8016</v>
      </c>
      <c r="D130" s="116" t="str">
        <f t="shared" si="10"/>
        <v>0,21600,2084008935,2084008123</v>
      </c>
      <c r="E130" s="3" t="str">
        <f ca="1">IFERROR(__xludf.DUMMYFUNCTION("GOOGLETRANSLATE(B130,""ja"",""vi"")"),"tạp chí")</f>
        <v>tạp chí</v>
      </c>
      <c r="F130" s="3" t="str">
        <f ca="1">IFERROR(__xludf.DUMMYFUNCTION("GOOGLETRANSLATE(C130,""ja"",""vi"")"),"Đấu giá&gt; cuốn sách, tạp chí&gt; nhà, sinh hoạt, chăm sóc trẻ&gt; Tạp chí")</f>
        <v>Đấu giá&gt; cuốn sách, tạp chí&gt; nhà, sinh hoạt, chăm sóc trẻ&gt; Tạp chí</v>
      </c>
      <c r="G130" s="229" t="str">
        <f t="shared" ca="1" si="5"/>
        <v>"2084008123" : "tạp chí",</v>
      </c>
      <c r="H130" s="229" t="str">
        <f t="shared" si="6"/>
        <v>&lt;li class="col-md-3"&gt;&lt;a class="text-cut" href="javascript:;"(click)="categoryEvent(2084008123)"&gt;{{"2084008123" | translate}}&lt;/a&gt;&lt;/li&gt;</v>
      </c>
    </row>
    <row r="131" spans="1:8" ht="14.25" customHeight="1">
      <c r="A131" s="2">
        <v>2084008948</v>
      </c>
      <c r="B131" s="2" t="s">
        <v>8018</v>
      </c>
      <c r="C131" s="2" t="s">
        <v>8019</v>
      </c>
      <c r="D131" s="116" t="str">
        <f t="shared" si="10"/>
        <v>0,21600,2084008935,2084008948</v>
      </c>
      <c r="E131" s="3" t="str">
        <f ca="1">IFERROR(__xludf.DUMMYFUNCTION("GOOGLETRANSLATE(B131,""ja"",""vi"")"),"Lá thư, tài liệu")</f>
        <v>Lá thư, tài liệu</v>
      </c>
      <c r="F131" s="3" t="str">
        <f ca="1">IFERROR(__xludf.DUMMYFUNCTION("GOOGLETRANSLATE(C131,""ja"",""vi"")"),"Đấu giá&gt; cuốn sách, tạp chí&gt; nhà, sinh hoạt, chăm sóc trẻ&gt; thư, tài liệu")</f>
        <v>Đấu giá&gt; cuốn sách, tạp chí&gt; nhà, sinh hoạt, chăm sóc trẻ&gt; thư, tài liệu</v>
      </c>
      <c r="G131" s="229" t="str">
        <f t="shared" ref="G131:G194" ca="1" si="11">CONCATENATE(CHAR(34)&amp;"",A131,""&amp;CHAR(34)," : ", CHAR(34)&amp;"",E131,""&amp;CHAR(34),",")</f>
        <v>"2084008948" : "Lá thư, tài liệu",</v>
      </c>
      <c r="H131" s="229" t="str">
        <f t="shared" ref="H131:H194" si="12">CONCATENATE("&lt;li class=",CHAR(34)&amp;"","col-md-3",""&amp;CHAR(34),"&gt;","&lt;a class=",CHAR(34)&amp;"","text-cut",""&amp;CHAR(34)," href=",CHAR(34)&amp;"","javascript:;",""&amp;CHAR(34), "(click)=",CHAR(34)&amp;"","categoryEvent(",A131,")",""&amp;CHAR(34),"&gt;{{",CHAR(34)&amp;"",A131,""&amp;CHAR(34)," | translate}}&lt;/a&gt;&lt;/li&gt;")</f>
        <v>&lt;li class="col-md-3"&gt;&lt;a class="text-cut" href="javascript:;"(click)="categoryEvent(2084008948)"&gt;{{"2084008948" | translate}}&lt;/a&gt;&lt;/li&gt;</v>
      </c>
    </row>
    <row r="132" spans="1:8" ht="14.25" customHeight="1">
      <c r="A132" s="2">
        <v>2084008945</v>
      </c>
      <c r="B132" s="2" t="s">
        <v>3706</v>
      </c>
      <c r="C132" s="2" t="s">
        <v>8022</v>
      </c>
      <c r="D132" s="116" t="str">
        <f t="shared" si="10"/>
        <v>0,21600,2084008935,2084008945</v>
      </c>
      <c r="E132" s="3" t="str">
        <f ca="1">IFERROR(__xludf.DUMMYFUNCTION("GOOGLETRANSLATE(B132,""ja"",""vi"")"),"Rượu, đồ uống")</f>
        <v>Rượu, đồ uống</v>
      </c>
      <c r="F132" s="3" t="str">
        <f ca="1">IFERROR(__xludf.DUMMYFUNCTION("GOOGLETRANSLATE(C132,""ja"",""vi"")"),"Đấu giá&gt; cuốn sách, tạp chí&gt; nhà, sinh hoạt, chăm sóc trẻ&gt; sake, thức uống")</f>
        <v>Đấu giá&gt; cuốn sách, tạp chí&gt; nhà, sinh hoạt, chăm sóc trẻ&gt; sake, thức uống</v>
      </c>
      <c r="G132" s="229" t="str">
        <f t="shared" ca="1" si="11"/>
        <v>"2084008945" : "Rượu, đồ uống",</v>
      </c>
      <c r="H132" s="229" t="str">
        <f t="shared" si="12"/>
        <v>&lt;li class="col-md-3"&gt;&lt;a class="text-cut" href="javascript:;"(click)="categoryEvent(2084008945)"&gt;{{"2084008945" | translate}}&lt;/a&gt;&lt;/li&gt;</v>
      </c>
    </row>
    <row r="133" spans="1:8" ht="14.25" customHeight="1">
      <c r="A133" s="2">
        <v>2084009010</v>
      </c>
      <c r="B133" s="2" t="s">
        <v>8025</v>
      </c>
      <c r="C133" s="2" t="s">
        <v>8026</v>
      </c>
      <c r="D133" s="116" t="str">
        <f t="shared" si="10"/>
        <v>0,21600,2084008935,2084009010</v>
      </c>
      <c r="E133" s="3" t="str">
        <f ca="1">IFERROR(__xludf.DUMMYFUNCTION("GOOGLETRANSLATE(B133,""ja"",""vi"")"),"phụ nữ Y học")</f>
        <v>phụ nữ Y học</v>
      </c>
      <c r="F133" s="3" t="str">
        <f ca="1">IFERROR(__xludf.DUMMYFUNCTION("GOOGLETRANSLATE(C133,""ja"",""vi"")"),"Đấu giá&gt; cuốn sách, tạp chí&gt; nhà, sinh hoạt, chăm sóc trẻ&gt; người phụ nữ y tế")</f>
        <v>Đấu giá&gt; cuốn sách, tạp chí&gt; nhà, sinh hoạt, chăm sóc trẻ&gt; người phụ nữ y tế</v>
      </c>
      <c r="G133" s="229" t="str">
        <f t="shared" ca="1" si="11"/>
        <v>"2084009010" : "phụ nữ Y học",</v>
      </c>
      <c r="H133" s="229" t="str">
        <f t="shared" si="12"/>
        <v>&lt;li class="col-md-3"&gt;&lt;a class="text-cut" href="javascript:;"(click)="categoryEvent(2084009010)"&gt;{{"2084009010" | translate}}&lt;/a&gt;&lt;/li&gt;</v>
      </c>
    </row>
    <row r="134" spans="1:8" ht="14.25" customHeight="1">
      <c r="A134" s="2">
        <v>2084009011</v>
      </c>
      <c r="B134" s="2" t="s">
        <v>8030</v>
      </c>
      <c r="C134" s="2" t="s">
        <v>8032</v>
      </c>
      <c r="D134" s="116" t="str">
        <f t="shared" si="10"/>
        <v>0,21600,2084008935,2084009011</v>
      </c>
      <c r="E134" s="3" t="str">
        <f ca="1">IFERROR(__xludf.DUMMYFUNCTION("GOOGLETRANSLATE(B134,""ja"",""vi"")"),"Mang thai, sinh nở")</f>
        <v>Mang thai, sinh nở</v>
      </c>
      <c r="F134" s="3" t="str">
        <f ca="1">IFERROR(__xludf.DUMMYFUNCTION("GOOGLETRANSLATE(C134,""ja"",""vi"")"),"Đấu giá&gt; cuốn sách, tạp chí&gt; nhà, sinh hoạt, chăm sóc trẻ&gt; mang thai, sinh nở")</f>
        <v>Đấu giá&gt; cuốn sách, tạp chí&gt; nhà, sinh hoạt, chăm sóc trẻ&gt; mang thai, sinh nở</v>
      </c>
      <c r="G134" s="229" t="str">
        <f t="shared" ca="1" si="11"/>
        <v>"2084009011" : "Mang thai, sinh nở",</v>
      </c>
      <c r="H134" s="229" t="str">
        <f t="shared" si="12"/>
        <v>&lt;li class="col-md-3"&gt;&lt;a class="text-cut" href="javascript:;"(click)="categoryEvent(2084009011)"&gt;{{"2084009011" | translate}}&lt;/a&gt;&lt;/li&gt;</v>
      </c>
    </row>
    <row r="135" spans="1:8" ht="14.25" customHeight="1">
      <c r="A135" s="2">
        <v>21704</v>
      </c>
      <c r="B135" s="2" t="s">
        <v>8035</v>
      </c>
      <c r="C135" s="2" t="s">
        <v>8036</v>
      </c>
      <c r="D135" s="116" t="str">
        <f t="shared" si="10"/>
        <v>0,21600,2084008935,21704</v>
      </c>
      <c r="E135" s="3" t="str">
        <f ca="1">IFERROR(__xludf.DUMMYFUNCTION("GOOGLETRANSLATE(B135,""ja"",""vi"")"),"Nấu ăn, công thức nấu")</f>
        <v>Nấu ăn, công thức nấu</v>
      </c>
      <c r="F135" s="3" t="str">
        <f ca="1">IFERROR(__xludf.DUMMYFUNCTION("GOOGLETRANSLATE(C135,""ja"",""vi"")"),"Đấu giá&gt; cuốn sách, tạp chí&gt; nhà, sinh hoạt, chăm sóc trẻ em&gt; nấu ăn, công thức nấu ăn")</f>
        <v>Đấu giá&gt; cuốn sách, tạp chí&gt; nhà, sinh hoạt, chăm sóc trẻ em&gt; nấu ăn, công thức nấu ăn</v>
      </c>
      <c r="G135" s="229" t="str">
        <f t="shared" ca="1" si="11"/>
        <v>"21704" : "Nấu ăn, công thức nấu",</v>
      </c>
      <c r="H135" s="229" t="str">
        <f t="shared" si="12"/>
        <v>&lt;li class="col-md-3"&gt;&lt;a class="text-cut" href="javascript:;"(click)="categoryEvent(21704)"&gt;{{"21704" | translate}}&lt;/a&gt;&lt;/li&gt;</v>
      </c>
    </row>
    <row r="136" spans="1:8" ht="14.25" customHeight="1">
      <c r="A136" s="2">
        <v>21812</v>
      </c>
      <c r="B136" s="2" t="s">
        <v>7886</v>
      </c>
      <c r="C136" s="2" t="s">
        <v>8040</v>
      </c>
      <c r="D136" s="116" t="str">
        <f t="shared" si="10"/>
        <v>0,21600,2084008935,21812</v>
      </c>
      <c r="E136" s="3" t="str">
        <f ca="1">IFERROR(__xludf.DUMMYFUNCTION("GOOGLETRANSLATE(B136,""ja"",""vi"")"),"Tình yêu, hôn nhân")</f>
        <v>Tình yêu, hôn nhân</v>
      </c>
      <c r="F136" s="3" t="str">
        <f ca="1">IFERROR(__xludf.DUMMYFUNCTION("GOOGLETRANSLATE(C136,""ja"",""vi"")"),"Đấu giá&gt; cuốn sách, tạp chí&gt; nhà, sinh hoạt, chăm sóc trẻ&gt; tình yêu, hôn nhân")</f>
        <v>Đấu giá&gt; cuốn sách, tạp chí&gt; nhà, sinh hoạt, chăm sóc trẻ&gt; tình yêu, hôn nhân</v>
      </c>
      <c r="G136" s="229" t="str">
        <f t="shared" ca="1" si="11"/>
        <v>"21812" : "Tình yêu, hôn nhân",</v>
      </c>
      <c r="H136" s="229" t="str">
        <f t="shared" si="12"/>
        <v>&lt;li class="col-md-3"&gt;&lt;a class="text-cut" href="javascript:;"(click)="categoryEvent(21812)"&gt;{{"21812" | translate}}&lt;/a&gt;&lt;/li&gt;</v>
      </c>
    </row>
    <row r="137" spans="1:8" ht="14.25" customHeight="1">
      <c r="A137" s="2">
        <v>2084008951</v>
      </c>
      <c r="B137" s="2" t="s">
        <v>8042</v>
      </c>
      <c r="C137" s="2" t="s">
        <v>8043</v>
      </c>
      <c r="D137" s="116" t="str">
        <f t="shared" si="10"/>
        <v>0,21600,2084008935,2084008951</v>
      </c>
      <c r="E137" s="3" t="str">
        <f ca="1">IFERROR(__xludf.DUMMYFUNCTION("GOOGLETRANSLATE(B137,""ja"",""vi"")"),"Sum may mặc, thủ công mỹ nghệ")</f>
        <v>Sum may mặc, thủ công mỹ nghệ</v>
      </c>
      <c r="F137" s="3" t="str">
        <f ca="1">IFERROR(__xludf.DUMMYFUNCTION("GOOGLETRANSLATE(C137,""ja"",""vi"")"),"Đấu giá&gt; cuốn sách, tạp chí&gt; nhà, sinh hoạt, chăm sóc trẻ&gt; sum may mặc, thủ công mỹ nghệ")</f>
        <v>Đấu giá&gt; cuốn sách, tạp chí&gt; nhà, sinh hoạt, chăm sóc trẻ&gt; sum may mặc, thủ công mỹ nghệ</v>
      </c>
      <c r="G137" s="229" t="str">
        <f t="shared" ca="1" si="11"/>
        <v>"2084008951" : "Sum may mặc, thủ công mỹ nghệ",</v>
      </c>
      <c r="H137" s="229" t="str">
        <f t="shared" si="12"/>
        <v>&lt;li class="col-md-3"&gt;&lt;a class="text-cut" href="javascript:;"(click)="categoryEvent(2084008951)"&gt;{{"2084008951" | translate}}&lt;/a&gt;&lt;/li&gt;</v>
      </c>
    </row>
    <row r="138" spans="1:8" ht="14.25" customHeight="1">
      <c r="E138" s="3"/>
      <c r="F138" s="3"/>
      <c r="G138" s="229"/>
      <c r="H138" s="229"/>
    </row>
    <row r="139" spans="1:8" ht="14.25" customHeight="1">
      <c r="E139" s="3"/>
      <c r="F139" s="3"/>
      <c r="G139" s="229"/>
      <c r="H139" s="229"/>
    </row>
    <row r="140" spans="1:8" ht="14.25" customHeight="1">
      <c r="A140" s="256">
        <v>21712</v>
      </c>
      <c r="B140" s="232"/>
      <c r="C140" s="232"/>
      <c r="D140" s="233"/>
      <c r="E140" s="3"/>
      <c r="F140" s="3"/>
      <c r="G140" s="229"/>
      <c r="H140" s="229"/>
    </row>
    <row r="141" spans="1:8" ht="14.25" customHeight="1">
      <c r="A141" s="2">
        <v>21804</v>
      </c>
      <c r="B141" s="2" t="s">
        <v>8050</v>
      </c>
      <c r="C141" s="2" t="s">
        <v>8051</v>
      </c>
      <c r="D141" s="116" t="str">
        <f t="shared" ref="D141:D148" si="13">CONCATENATE("0,","21600,21712,",A141)</f>
        <v>0,21600,21712,21804</v>
      </c>
      <c r="E141" s="3" t="str">
        <f ca="1">IFERROR(__xludf.DUMMYFUNCTION("GOOGLETRANSLATE(B141,""ja"",""vi"")"),"Tài liệu tham khảo, từ điển")</f>
        <v>Tài liệu tham khảo, từ điển</v>
      </c>
      <c r="F141" s="3" t="str">
        <f ca="1">IFERROR(__xludf.DUMMYFUNCTION("GOOGLETRANSLATE(C141,""ja"",""vi"")"),"Đấu giá&gt; cuốn sách, tạp chí&gt; nghiên cứu, giáo dục&gt; tham khảo, từ điển")</f>
        <v>Đấu giá&gt; cuốn sách, tạp chí&gt; nghiên cứu, giáo dục&gt; tham khảo, từ điển</v>
      </c>
      <c r="G141" s="229" t="str">
        <f t="shared" ca="1" si="11"/>
        <v>"21804" : "Tài liệu tham khảo, từ điển",</v>
      </c>
      <c r="H141" s="229" t="str">
        <f t="shared" si="12"/>
        <v>&lt;li class="col-md-3"&gt;&lt;a class="text-cut" href="javascript:;"(click)="categoryEvent(21804)"&gt;{{"21804" | translate}}&lt;/a&gt;&lt;/li&gt;</v>
      </c>
    </row>
    <row r="142" spans="1:8" ht="14.25" customHeight="1">
      <c r="A142" s="2">
        <v>2084008618</v>
      </c>
      <c r="B142" s="2" t="s">
        <v>8052</v>
      </c>
      <c r="C142" s="2" t="s">
        <v>8057</v>
      </c>
      <c r="D142" s="116" t="str">
        <f t="shared" si="13"/>
        <v>0,21600,21712,2084008618</v>
      </c>
      <c r="E142" s="3" t="str">
        <f ca="1">IFERROR(__xludf.DUMMYFUNCTION("GOOGLETRANSLATE(B142,""ja"",""vi"")"),"sách nghiên cứu")</f>
        <v>sách nghiên cứu</v>
      </c>
      <c r="F142" s="3" t="str">
        <f ca="1">IFERROR(__xludf.DUMMYFUNCTION("GOOGLETRANSLATE(C142,""ja"",""vi"")"),"Đấu giá&gt; cuốn sách, tạp chí&gt; nghiên cứu, giáo dục&gt; sách nghiên cứu")</f>
        <v>Đấu giá&gt; cuốn sách, tạp chí&gt; nghiên cứu, giáo dục&gt; sách nghiên cứu</v>
      </c>
      <c r="G142" s="229" t="str">
        <f t="shared" ca="1" si="11"/>
        <v>"2084008618" : "sách nghiên cứu",</v>
      </c>
      <c r="H142" s="229" t="str">
        <f t="shared" si="12"/>
        <v>&lt;li class="col-md-3"&gt;&lt;a class="text-cut" href="javascript:;"(click)="categoryEvent(2084008618)"&gt;{{"2084008618" | translate}}&lt;/a&gt;&lt;/li&gt;</v>
      </c>
    </row>
    <row r="143" spans="1:8" ht="14.25" customHeight="1">
      <c r="A143" s="2">
        <v>2084008578</v>
      </c>
      <c r="B143" s="2" t="s">
        <v>8060</v>
      </c>
      <c r="C143" s="2" t="s">
        <v>8061</v>
      </c>
      <c r="D143" s="116" t="str">
        <f t="shared" si="13"/>
        <v>0,21600,21712,2084008578</v>
      </c>
      <c r="E143" s="3" t="str">
        <f ca="1">IFERROR(__xludf.DUMMYFUNCTION("GOOGLETRANSLATE(B143,""ja"",""vi"")"),"sách giáo dục, chăm sóc trẻ em của nhãn hiệu")</f>
        <v>sách giáo dục, chăm sóc trẻ em của nhãn hiệu</v>
      </c>
      <c r="F143" s="3" t="str">
        <f ca="1">IFERROR(__xludf.DUMMYFUNCTION("GOOGLETRANSLATE(C143,""ja"",""vi"")"),"Đấu giá&gt; cuốn sách, tạp chí&gt; nghiên cứu, giáo dục&gt; sách giáo dục, chăm sóc trẻ em của nhãn hiệu")</f>
        <v>Đấu giá&gt; cuốn sách, tạp chí&gt; nghiên cứu, giáo dục&gt; sách giáo dục, chăm sóc trẻ em của nhãn hiệu</v>
      </c>
      <c r="G143" s="229" t="str">
        <f t="shared" ca="1" si="11"/>
        <v>"2084008578" : "sách giáo dục, chăm sóc trẻ em của nhãn hiệu",</v>
      </c>
      <c r="H143" s="229" t="str">
        <f t="shared" si="12"/>
        <v>&lt;li class="col-md-3"&gt;&lt;a class="text-cut" href="javascript:;"(click)="categoryEvent(2084008578)"&gt;{{"2084008578" | translate}}&lt;/a&gt;&lt;/li&gt;</v>
      </c>
    </row>
    <row r="144" spans="1:8" ht="14.25" customHeight="1">
      <c r="A144" s="2">
        <v>21630</v>
      </c>
      <c r="B144" s="2" t="s">
        <v>8064</v>
      </c>
      <c r="C144" s="2" t="s">
        <v>8065</v>
      </c>
      <c r="D144" s="116" t="str">
        <f t="shared" si="13"/>
        <v>0,21600,21712,21630</v>
      </c>
      <c r="E144" s="3" t="str">
        <f ca="1">IFERROR(__xludf.DUMMYFUNCTION("GOOGLETRANSLATE(B144,""ja"",""vi"")"),"sách giáo khoa")</f>
        <v>sách giáo khoa</v>
      </c>
      <c r="F144" s="3" t="str">
        <f ca="1">IFERROR(__xludf.DUMMYFUNCTION("GOOGLETRANSLATE(C144,""ja"",""vi"")"),"Đấu giá&gt; cuốn sách, tạp chí&gt; nghiên cứu, giáo dục&gt; sách giáo khoa")</f>
        <v>Đấu giá&gt; cuốn sách, tạp chí&gt; nghiên cứu, giáo dục&gt; sách giáo khoa</v>
      </c>
      <c r="G144" s="229" t="str">
        <f t="shared" ca="1" si="11"/>
        <v>"21630" : "sách giáo khoa",</v>
      </c>
      <c r="H144" s="229" t="str">
        <f t="shared" si="12"/>
        <v>&lt;li class="col-md-3"&gt;&lt;a class="text-cut" href="javascript:;"(click)="categoryEvent(21630)"&gt;{{"21630" | translate}}&lt;/a&gt;&lt;/li&gt;</v>
      </c>
    </row>
    <row r="145" spans="1:8" ht="14.25" customHeight="1">
      <c r="A145" s="2">
        <v>21720</v>
      </c>
      <c r="B145" s="2" t="s">
        <v>8066</v>
      </c>
      <c r="C145" s="2" t="s">
        <v>8067</v>
      </c>
      <c r="D145" s="116" t="str">
        <f t="shared" si="13"/>
        <v>0,21600,21712,21720</v>
      </c>
      <c r="E145" s="3" t="str">
        <f ca="1">IFERROR(__xludf.DUMMYFUNCTION("GOOGLETRANSLATE(B145,""ja"",""vi"")"),"nghiên cứu ngôn ngữ")</f>
        <v>nghiên cứu ngôn ngữ</v>
      </c>
      <c r="F145" s="3" t="str">
        <f ca="1">IFERROR(__xludf.DUMMYFUNCTION("GOOGLETRANSLATE(C145,""ja"",""vi"")"),"Đấu giá&gt; cuốn sách, tạp chí&gt; nghiên cứu, giáo dục&gt; Ngôn ngữ")</f>
        <v>Đấu giá&gt; cuốn sách, tạp chí&gt; nghiên cứu, giáo dục&gt; Ngôn ngữ</v>
      </c>
      <c r="G145" s="229" t="str">
        <f t="shared" ca="1" si="11"/>
        <v>"21720" : "nghiên cứu ngôn ngữ",</v>
      </c>
      <c r="H145" s="229" t="str">
        <f t="shared" si="12"/>
        <v>&lt;li class="col-md-3"&gt;&lt;a class="text-cut" href="javascript:;"(click)="categoryEvent(21720)"&gt;{{"21720" | translate}}&lt;/a&gt;&lt;/li&gt;</v>
      </c>
    </row>
    <row r="146" spans="1:8" ht="14.25" customHeight="1">
      <c r="A146" s="2">
        <v>2084049565</v>
      </c>
      <c r="B146" s="2" t="s">
        <v>8068</v>
      </c>
      <c r="C146" s="2" t="s">
        <v>8069</v>
      </c>
      <c r="D146" s="116" t="str">
        <f t="shared" si="13"/>
        <v>0,21600,21712,2084049565</v>
      </c>
      <c r="E146" s="3" t="str">
        <f ca="1">IFERROR(__xludf.DUMMYFUNCTION("GOOGLETRANSLATE(B146,""ja"",""vi"")"),"sách bài tập")</f>
        <v>sách bài tập</v>
      </c>
      <c r="F146" s="3" t="str">
        <f ca="1">IFERROR(__xludf.DUMMYFUNCTION("GOOGLETRANSLATE(C146,""ja"",""vi"")"),"Đấu giá&gt; cuốn sách, tạp chí&gt; nghiên cứu, giáo dục&gt; Bộ sưu tập của các vấn đề")</f>
        <v>Đấu giá&gt; cuốn sách, tạp chí&gt; nghiên cứu, giáo dục&gt; Bộ sưu tập của các vấn đề</v>
      </c>
      <c r="G146" s="229" t="str">
        <f t="shared" ca="1" si="11"/>
        <v>"2084049565" : "sách bài tập",</v>
      </c>
      <c r="H146" s="229" t="str">
        <f t="shared" si="12"/>
        <v>&lt;li class="col-md-3"&gt;&lt;a class="text-cut" href="javascript:;"(click)="categoryEvent(2084049565)"&gt;{{"2084049565" | translate}}&lt;/a&gt;&lt;/li&gt;</v>
      </c>
    </row>
    <row r="147" spans="1:8" ht="14.25" customHeight="1">
      <c r="A147" s="2">
        <v>21820</v>
      </c>
      <c r="B147" s="2" t="s">
        <v>8073</v>
      </c>
      <c r="C147" s="2" t="s">
        <v>8074</v>
      </c>
      <c r="D147" s="116" t="str">
        <f t="shared" si="13"/>
        <v>0,21600,21712,21820</v>
      </c>
      <c r="E147" s="3" t="str">
        <f ca="1">IFERROR(__xludf.DUMMYFUNCTION("GOOGLETRANSLATE(B147,""ja"",""vi"")"),"sách kỹ thuật (khoa học tự nhiên và công nghệ)")</f>
        <v>sách kỹ thuật (khoa học tự nhiên và công nghệ)</v>
      </c>
      <c r="F147" s="3" t="str">
        <f ca="1">IFERROR(__xludf.DUMMYFUNCTION("GOOGLETRANSLATE(C147,""ja"",""vi"")"),"Đấu giá&gt; cuốn sách, tạp chí&gt; nghiên cứu, giáo dục&gt; sách kỹ thuật (khoa học tự nhiên và công nghệ)")</f>
        <v>Đấu giá&gt; cuốn sách, tạp chí&gt; nghiên cứu, giáo dục&gt; sách kỹ thuật (khoa học tự nhiên và công nghệ)</v>
      </c>
      <c r="G147" s="229" t="str">
        <f t="shared" ca="1" si="11"/>
        <v>"21820" : "sách kỹ thuật (khoa học tự nhiên và công nghệ)",</v>
      </c>
      <c r="H147" s="229" t="str">
        <f t="shared" si="12"/>
        <v>&lt;li class="col-md-3"&gt;&lt;a class="text-cut" href="javascript:;"(click)="categoryEvent(21820)"&gt;{{"21820" | translate}}&lt;/a&gt;&lt;/li&gt;</v>
      </c>
    </row>
    <row r="148" spans="1:8" ht="14.25" customHeight="1">
      <c r="A148" s="2">
        <v>2084008565</v>
      </c>
      <c r="B148" s="2" t="s">
        <v>8075</v>
      </c>
      <c r="C148" s="2" t="s">
        <v>8076</v>
      </c>
      <c r="D148" s="116" t="str">
        <f t="shared" si="13"/>
        <v>0,21600,21712,2084008565</v>
      </c>
      <c r="E148" s="3" t="str">
        <f ca="1">IFERROR(__xludf.DUMMYFUNCTION("GOOGLETRANSLATE(B148,""ja"",""vi"")"),"tài liệu kỹ thuật (Nhân văn, Xã hội)")</f>
        <v>tài liệu kỹ thuật (Nhân văn, Xã hội)</v>
      </c>
      <c r="F148" s="3" t="str">
        <f ca="1">IFERROR(__xludf.DUMMYFUNCTION("GOOGLETRANSLATE(C148,""ja"",""vi"")"),"Đấu giá&gt; cuốn sách, tạp chí&gt; nghiên cứu, giáo dục&gt; tài liệu kỹ thuật (Nhân văn, Xã hội)")</f>
        <v>Đấu giá&gt; cuốn sách, tạp chí&gt; nghiên cứu, giáo dục&gt; tài liệu kỹ thuật (Nhân văn, Xã hội)</v>
      </c>
      <c r="G148" s="229" t="str">
        <f t="shared" ca="1" si="11"/>
        <v>"2084008565" : "tài liệu kỹ thuật (Nhân văn, Xã hội)",</v>
      </c>
      <c r="H148" s="229" t="str">
        <f t="shared" si="12"/>
        <v>&lt;li class="col-md-3"&gt;&lt;a class="text-cut" href="javascript:;"(click)="categoryEvent(2084008565)"&gt;{{"2084008565" | translate}}&lt;/a&gt;&lt;/li&gt;</v>
      </c>
    </row>
    <row r="149" spans="1:8" ht="14.25" customHeight="1">
      <c r="E149" s="3"/>
      <c r="F149" s="3"/>
      <c r="G149" s="229"/>
      <c r="H149" s="229"/>
    </row>
    <row r="150" spans="1:8" ht="14.25" customHeight="1">
      <c r="E150" s="3"/>
      <c r="F150" s="3"/>
      <c r="G150" s="229"/>
      <c r="H150" s="229"/>
    </row>
    <row r="151" spans="1:8" ht="14.25" customHeight="1">
      <c r="A151" s="252">
        <v>21624</v>
      </c>
      <c r="B151" s="232"/>
      <c r="C151" s="232"/>
      <c r="D151" s="233"/>
      <c r="E151" s="3"/>
      <c r="F151" s="3"/>
      <c r="G151" s="229"/>
      <c r="H151" s="229"/>
    </row>
    <row r="152" spans="1:8" ht="14.25" customHeight="1">
      <c r="A152" s="2">
        <v>2084008642</v>
      </c>
      <c r="B152" s="2" t="s">
        <v>1129</v>
      </c>
      <c r="C152" s="2" t="s">
        <v>1130</v>
      </c>
      <c r="D152" s="116" t="str">
        <f t="shared" ref="D152:D157" si="14">CONCATENATE("0,","21600,21624,",A152)</f>
        <v>0,21600,21624,2084008642</v>
      </c>
      <c r="E152" s="3" t="str">
        <f ca="1">IFERROR(__xludf.DUMMYFUNCTION("GOOGLETRANSLATE(B152,""ja"",""vi"")"),"hình cuốn sách")</f>
        <v>hình cuốn sách</v>
      </c>
      <c r="F152" s="3" t="str">
        <f ca="1">IFERROR(__xludf.DUMMYFUNCTION("GOOGLETRANSLATE(C152,""ja"",""vi"")"),"Đấu giá&gt; Sách, tạp chí&gt; sách thiếu nhi, sách ảnh&gt; cuốn truyện tranh")</f>
        <v>Đấu giá&gt; Sách, tạp chí&gt; sách thiếu nhi, sách ảnh&gt; cuốn truyện tranh</v>
      </c>
      <c r="G152" s="229" t="str">
        <f t="shared" ca="1" si="11"/>
        <v>"2084008642" : "hình cuốn sách",</v>
      </c>
      <c r="H152" s="229" t="str">
        <f t="shared" si="12"/>
        <v>&lt;li class="col-md-3"&gt;&lt;a class="text-cut" href="javascript:;"(click)="categoryEvent(2084008642)"&gt;{{"2084008642" | translate}}&lt;/a&gt;&lt;/li&gt;</v>
      </c>
    </row>
    <row r="153" spans="1:8" ht="14.25" customHeight="1">
      <c r="A153" s="2">
        <v>2084008652</v>
      </c>
      <c r="B153" s="2" t="s">
        <v>1132</v>
      </c>
      <c r="C153" s="2" t="s">
        <v>1133</v>
      </c>
      <c r="D153" s="116" t="str">
        <f t="shared" si="14"/>
        <v>0,21600,21624,2084008652</v>
      </c>
      <c r="E153" s="3" t="str">
        <f ca="1">IFERROR(__xludf.DUMMYFUNCTION("GOOGLETRANSLATE(B153,""ja"",""vi"")"),"phim hoạt hình học")</f>
        <v>phim hoạt hình học</v>
      </c>
      <c r="F153" s="3" t="str">
        <f ca="1">IFERROR(__xludf.DUMMYFUNCTION("GOOGLETRANSLATE(C153,""ja"",""vi"")"),"Đấu giá&gt; Sách, tạp chí&gt; sách thiếu nhi, truyện tranh&gt; học tập phim hoạt hình")</f>
        <v>Đấu giá&gt; Sách, tạp chí&gt; sách thiếu nhi, truyện tranh&gt; học tập phim hoạt hình</v>
      </c>
      <c r="G153" s="229" t="str">
        <f t="shared" ca="1" si="11"/>
        <v>"2084008652" : "phim hoạt hình học",</v>
      </c>
      <c r="H153" s="229" t="str">
        <f t="shared" si="12"/>
        <v>&lt;li class="col-md-3"&gt;&lt;a class="text-cut" href="javascript:;"(click)="categoryEvent(2084008652)"&gt;{{"2084008652" | translate}}&lt;/a&gt;&lt;/li&gt;</v>
      </c>
    </row>
    <row r="154" spans="1:8" ht="14.25" customHeight="1">
      <c r="A154" s="2">
        <v>2084008653</v>
      </c>
      <c r="B154" s="2" t="s">
        <v>1137</v>
      </c>
      <c r="C154" s="2" t="s">
        <v>1139</v>
      </c>
      <c r="D154" s="116" t="str">
        <f t="shared" si="14"/>
        <v>0,21600,21624,2084008653</v>
      </c>
      <c r="E154" s="3" t="str">
        <f ca="1">IFERROR(__xludf.DUMMYFUNCTION("GOOGLETRANSLATE(B154,""ja"",""vi"")"),"phê bình cuốn sách cho trẻ em")</f>
        <v>phê bình cuốn sách cho trẻ em</v>
      </c>
      <c r="F154" s="3" t="str">
        <f ca="1">IFERROR(__xludf.DUMMYFUNCTION("GOOGLETRANSLATE(C154,""ja"",""vi"")"),"Đấu giá&gt; Sách, tạp chí&gt; sách thiếu nhi, truyện tranh&gt; trẻ em phê bình cuốn sách")</f>
        <v>Đấu giá&gt; Sách, tạp chí&gt; sách thiếu nhi, truyện tranh&gt; trẻ em phê bình cuốn sách</v>
      </c>
      <c r="G154" s="229" t="str">
        <f t="shared" ca="1" si="11"/>
        <v>"2084008653" : "phê bình cuốn sách cho trẻ em",</v>
      </c>
      <c r="H154" s="229" t="str">
        <f t="shared" si="12"/>
        <v>&lt;li class="col-md-3"&gt;&lt;a class="text-cut" href="javascript:;"(click)="categoryEvent(2084008653)"&gt;{{"2084008653" | translate}}&lt;/a&gt;&lt;/li&gt;</v>
      </c>
    </row>
    <row r="155" spans="1:8" ht="14.25" customHeight="1">
      <c r="A155" s="2">
        <v>2084008654</v>
      </c>
      <c r="B155" s="2" t="s">
        <v>1143</v>
      </c>
      <c r="C155" s="2" t="s">
        <v>1146</v>
      </c>
      <c r="D155" s="116" t="str">
        <f t="shared" si="14"/>
        <v>0,21600,21624,2084008654</v>
      </c>
      <c r="E155" s="3" t="str">
        <f ca="1">IFERROR(__xludf.DUMMYFUNCTION("GOOGLETRANSLATE(B155,""ja"",""vi"")"),"văn học, đọc tài liệu cho trẻ em")</f>
        <v>văn học, đọc tài liệu cho trẻ em</v>
      </c>
      <c r="F155" s="3" t="str">
        <f ca="1">IFERROR(__xludf.DUMMYFUNCTION("GOOGLETRANSLATE(C155,""ja"",""vi"")"),"Đấu giá&gt; Sách, tạp chí&gt; sách thiếu nhi, sách ảnh&gt; văn học thiếu nhi, đọc tài liệu")</f>
        <v>Đấu giá&gt; Sách, tạp chí&gt; sách thiếu nhi, sách ảnh&gt; văn học thiếu nhi, đọc tài liệu</v>
      </c>
      <c r="G155" s="229" t="str">
        <f t="shared" ca="1" si="11"/>
        <v>"2084008654" : "văn học, đọc tài liệu cho trẻ em",</v>
      </c>
      <c r="H155" s="229" t="str">
        <f t="shared" si="12"/>
        <v>&lt;li class="col-md-3"&gt;&lt;a class="text-cut" href="javascript:;"(click)="categoryEvent(2084008654)"&gt;{{"2084008654" | translate}}&lt;/a&gt;&lt;/li&gt;</v>
      </c>
    </row>
    <row r="156" spans="1:8" ht="14.25" customHeight="1">
      <c r="A156" s="2">
        <v>2084008650</v>
      </c>
      <c r="B156" s="2" t="s">
        <v>1149</v>
      </c>
      <c r="C156" s="2" t="s">
        <v>1150</v>
      </c>
      <c r="D156" s="116" t="str">
        <f t="shared" si="14"/>
        <v>0,21600,21624,2084008650</v>
      </c>
      <c r="E156" s="3" t="str">
        <f ca="1">IFERROR(__xludf.DUMMYFUNCTION("GOOGLETRANSLATE(B156,""ja"",""vi"")"),"hình cuốn sách")</f>
        <v>hình cuốn sách</v>
      </c>
      <c r="F156" s="3" t="str">
        <f ca="1">IFERROR(__xludf.DUMMYFUNCTION("GOOGLETRANSLATE(C156,""ja"",""vi"")"),"Đấu giá&gt; Sách, tạp chí&gt; sách thiếu nhi, sách ảnh&gt; cuốn truyện tranh")</f>
        <v>Đấu giá&gt; Sách, tạp chí&gt; sách thiếu nhi, sách ảnh&gt; cuốn truyện tranh</v>
      </c>
      <c r="G156" s="229" t="str">
        <f t="shared" ca="1" si="11"/>
        <v>"2084008650" : "hình cuốn sách",</v>
      </c>
      <c r="H156" s="229" t="str">
        <f t="shared" si="12"/>
        <v>&lt;li class="col-md-3"&gt;&lt;a class="text-cut" href="javascript:;"(click)="categoryEvent(2084008650)"&gt;{{"2084008650" | translate}}&lt;/a&gt;&lt;/li&gt;</v>
      </c>
    </row>
    <row r="157" spans="1:8" ht="14.25" customHeight="1">
      <c r="A157" s="2">
        <v>2084008651</v>
      </c>
      <c r="B157" s="2" t="s">
        <v>1154</v>
      </c>
      <c r="C157" s="2" t="s">
        <v>1156</v>
      </c>
      <c r="D157" s="116" t="str">
        <f t="shared" si="14"/>
        <v>0,21600,21624,2084008651</v>
      </c>
      <c r="E157" s="3" t="str">
        <f ca="1">IFERROR(__xludf.DUMMYFUNCTION("GOOGLETRANSLATE(B157,""ja"",""vi"")"),"Giới thiệu, làm việc")</f>
        <v>Giới thiệu, làm việc</v>
      </c>
      <c r="F157" s="3" t="str">
        <f ca="1">IFERROR(__xludf.DUMMYFUNCTION("GOOGLETRANSLATE(C157,""ja"",""vi"")"),"Đấu giá&gt; Sách, tạp chí&gt; sách thiếu nhi, truyện tranh&gt; Giới thiệu, làm việc")</f>
        <v>Đấu giá&gt; Sách, tạp chí&gt; sách thiếu nhi, truyện tranh&gt; Giới thiệu, làm việc</v>
      </c>
      <c r="G157" s="229" t="str">
        <f t="shared" ca="1" si="11"/>
        <v>"2084008651" : "Giới thiệu, làm việc",</v>
      </c>
      <c r="H157" s="229" t="str">
        <f t="shared" si="12"/>
        <v>&lt;li class="col-md-3"&gt;&lt;a class="text-cut" href="javascript:;"(click)="categoryEvent(2084008651)"&gt;{{"2084008651" | translate}}&lt;/a&gt;&lt;/li&gt;</v>
      </c>
    </row>
    <row r="158" spans="1:8" ht="14.25" customHeight="1">
      <c r="E158" s="3"/>
      <c r="F158" s="3"/>
      <c r="G158" s="229"/>
      <c r="H158" s="229"/>
    </row>
    <row r="159" spans="1:8" ht="14.25" customHeight="1">
      <c r="E159" s="3"/>
      <c r="F159" s="3"/>
      <c r="G159" s="229"/>
      <c r="H159" s="229"/>
    </row>
    <row r="160" spans="1:8" ht="14.25" customHeight="1">
      <c r="A160" s="261">
        <v>21700</v>
      </c>
      <c r="B160" s="232"/>
      <c r="C160" s="232"/>
      <c r="D160" s="233"/>
      <c r="E160" s="3"/>
      <c r="F160" s="3"/>
      <c r="G160" s="229"/>
      <c r="H160" s="229"/>
    </row>
    <row r="161" spans="1:8" ht="14.25" customHeight="1">
      <c r="A161" s="2">
        <v>2084008801</v>
      </c>
      <c r="B161" s="2" t="s">
        <v>8101</v>
      </c>
      <c r="C161" s="2" t="s">
        <v>8102</v>
      </c>
      <c r="D161" s="116" t="str">
        <f t="shared" ref="D161:D170" si="15">CONCATENATE("0,","21600,21700,",A161)</f>
        <v>0,21600,21700,2084008801</v>
      </c>
      <c r="E161" s="3" t="str">
        <f ca="1">IFERROR(__xludf.DUMMYFUNCTION("GOOGLETRANSLATE(B161,""ja"",""vi"")"),"Mac")</f>
        <v>Mac</v>
      </c>
      <c r="F161" s="3" t="str">
        <f ca="1">IFERROR(__xludf.DUMMYFUNCTION("GOOGLETRANSLATE(C161,""ja"",""vi"")"),"Đấu giá&gt; cuốn sách, tạp chí&gt; máy tính và internet&gt; Mac")</f>
        <v>Đấu giá&gt; cuốn sách, tạp chí&gt; máy tính và internet&gt; Mac</v>
      </c>
      <c r="G161" s="229" t="str">
        <f t="shared" ca="1" si="11"/>
        <v>"2084008801" : "Mac",</v>
      </c>
      <c r="H161" s="229" t="str">
        <f t="shared" si="12"/>
        <v>&lt;li class="col-md-3"&gt;&lt;a class="text-cut" href="javascript:;"(click)="categoryEvent(2084008801)"&gt;{{"2084008801" | translate}}&lt;/a&gt;&lt;/li&gt;</v>
      </c>
    </row>
    <row r="162" spans="1:8" ht="14.25" customHeight="1">
      <c r="A162" s="2">
        <v>2084008809</v>
      </c>
      <c r="B162" s="2" t="s">
        <v>8106</v>
      </c>
      <c r="C162" s="2" t="s">
        <v>8108</v>
      </c>
      <c r="D162" s="116" t="str">
        <f t="shared" si="15"/>
        <v>0,21600,21700,2084008809</v>
      </c>
      <c r="E162" s="3" t="str">
        <f ca="1">IFERROR(__xludf.DUMMYFUNCTION("GOOGLETRANSLATE(B162,""ja"",""vi"")"),"OS")</f>
        <v>OS</v>
      </c>
      <c r="F162" s="3" t="str">
        <f ca="1">IFERROR(__xludf.DUMMYFUNCTION("GOOGLETRANSLATE(C162,""ja"",""vi"")"),"Đấu giá&gt; cuốn sách, tạp chí&gt; máy tính và internet&gt; OS")</f>
        <v>Đấu giá&gt; cuốn sách, tạp chí&gt; máy tính và internet&gt; OS</v>
      </c>
      <c r="G162" s="229" t="str">
        <f t="shared" ca="1" si="11"/>
        <v>"2084008809" : "OS",</v>
      </c>
      <c r="H162" s="229" t="str">
        <f t="shared" si="12"/>
        <v>&lt;li class="col-md-3"&gt;&lt;a class="text-cut" href="javascript:;"(click)="categoryEvent(2084008809)"&gt;{{"2084008809" | translate}}&lt;/a&gt;&lt;/li&gt;</v>
      </c>
    </row>
    <row r="163" spans="1:8" ht="14.25" customHeight="1">
      <c r="A163" s="2">
        <v>2084008826</v>
      </c>
      <c r="B163" s="2" t="s">
        <v>8112</v>
      </c>
      <c r="C163" s="2" t="s">
        <v>8113</v>
      </c>
      <c r="D163" s="116" t="str">
        <f t="shared" si="15"/>
        <v>0,21600,21700,2084008826</v>
      </c>
      <c r="E163" s="3" t="str">
        <f ca="1">IFERROR(__xludf.DUMMYFUNCTION("GOOGLETRANSLATE(B163,""ja"",""vi"")"),"ứng dụng")</f>
        <v>ứng dụng</v>
      </c>
      <c r="F163" s="3" t="str">
        <f ca="1">IFERROR(__xludf.DUMMYFUNCTION("GOOGLETRANSLATE(C163,""ja"",""vi"")"),"Đấu giá&gt; cuốn sách, tạp chí&gt; máy tính và internet&gt; Ứng dụng")</f>
        <v>Đấu giá&gt; cuốn sách, tạp chí&gt; máy tính và internet&gt; Ứng dụng</v>
      </c>
      <c r="G163" s="229" t="str">
        <f t="shared" ca="1" si="11"/>
        <v>"2084008826" : "ứng dụng",</v>
      </c>
      <c r="H163" s="229" t="str">
        <f t="shared" si="12"/>
        <v>&lt;li class="col-md-3"&gt;&lt;a class="text-cut" href="javascript:;"(click)="categoryEvent(2084008826)"&gt;{{"2084008826" | translate}}&lt;/a&gt;&lt;/li&gt;</v>
      </c>
    </row>
    <row r="164" spans="1:8" ht="14.25" customHeight="1">
      <c r="A164" s="2">
        <v>2084008845</v>
      </c>
      <c r="B164" s="2" t="s">
        <v>8118</v>
      </c>
      <c r="C164" s="2" t="s">
        <v>8119</v>
      </c>
      <c r="D164" s="116" t="str">
        <f t="shared" si="15"/>
        <v>0,21600,21700,2084008845</v>
      </c>
      <c r="E164" s="3" t="str">
        <f ca="1">IFERROR(__xludf.DUMMYFUNCTION("GOOGLETRANSLATE(B164,""ja"",""vi"")"),"Internet, truyền thông")</f>
        <v>Internet, truyền thông</v>
      </c>
      <c r="F164" s="3" t="str">
        <f ca="1">IFERROR(__xludf.DUMMYFUNCTION("GOOGLETRANSLATE(C164,""ja"",""vi"")"),"Đấu giá&gt; cuốn sách, tạp chí&gt; máy tính và internet&gt; Internet, thông tin liên lạc")</f>
        <v>Đấu giá&gt; cuốn sách, tạp chí&gt; máy tính và internet&gt; Internet, thông tin liên lạc</v>
      </c>
      <c r="G164" s="229" t="str">
        <f t="shared" ca="1" si="11"/>
        <v>"2084008845" : "Internet, truyền thông",</v>
      </c>
      <c r="H164" s="229" t="str">
        <f t="shared" si="12"/>
        <v>&lt;li class="col-md-3"&gt;&lt;a class="text-cut" href="javascript:;"(click)="categoryEvent(2084008845)"&gt;{{"2084008845" | translate}}&lt;/a&gt;&lt;/li&gt;</v>
      </c>
    </row>
    <row r="165" spans="1:8" ht="14.25" customHeight="1">
      <c r="A165" s="2">
        <v>2084008856</v>
      </c>
      <c r="B165" s="2" t="s">
        <v>8122</v>
      </c>
      <c r="C165" s="2" t="s">
        <v>8123</v>
      </c>
      <c r="D165" s="116" t="str">
        <f t="shared" si="15"/>
        <v>0,21600,21700,2084008856</v>
      </c>
      <c r="E165" s="3" t="str">
        <f ca="1">IFERROR(__xludf.DUMMYFUNCTION("GOOGLETRANSLATE(B165,""ja"",""vi"")"),"kiểm tra trình độ máy tính")</f>
        <v>kiểm tra trình độ máy tính</v>
      </c>
      <c r="F165" s="3" t="str">
        <f ca="1">IFERROR(__xludf.DUMMYFUNCTION("GOOGLETRANSLATE(C165,""ja"",""vi"")"),"Đấu giá&gt; cuốn sách, tạp chí&gt; máy tính và internet&gt; máy tính đủ điều kiện thi")</f>
        <v>Đấu giá&gt; cuốn sách, tạp chí&gt; máy tính và internet&gt; máy tính đủ điều kiện thi</v>
      </c>
      <c r="G165" s="229" t="str">
        <f t="shared" ca="1" si="11"/>
        <v>"2084008856" : "kiểm tra trình độ máy tính",</v>
      </c>
      <c r="H165" s="229" t="str">
        <f t="shared" si="12"/>
        <v>&lt;li class="col-md-3"&gt;&lt;a class="text-cut" href="javascript:;"(click)="categoryEvent(2084008856)"&gt;{{"2084008856" | translate}}&lt;/a&gt;&lt;/li&gt;</v>
      </c>
    </row>
    <row r="166" spans="1:8" ht="14.25" customHeight="1">
      <c r="A166" s="2">
        <v>2084048851</v>
      </c>
      <c r="B166" s="2" t="s">
        <v>8124</v>
      </c>
      <c r="C166" s="2" t="s">
        <v>8125</v>
      </c>
      <c r="D166" s="116" t="str">
        <f t="shared" si="15"/>
        <v>0,21600,21700,2084048851</v>
      </c>
      <c r="E166" s="3" t="str">
        <f ca="1">IFERROR(__xludf.DUMMYFUNCTION("GOOGLETRANSLATE(B166,""ja"",""vi"")"),"thiết kế hệ thống, phát triển")</f>
        <v>thiết kế hệ thống, phát triển</v>
      </c>
      <c r="F166" s="3" t="str">
        <f ca="1">IFERROR(__xludf.DUMMYFUNCTION("GOOGLETRANSLATE(C166,""ja"",""vi"")"),"Đấu giá&gt; cuốn sách, tạp chí&gt; máy tính và internet&gt; thiết kế hệ thống, phát triển")</f>
        <v>Đấu giá&gt; cuốn sách, tạp chí&gt; máy tính và internet&gt; thiết kế hệ thống, phát triển</v>
      </c>
      <c r="G166" s="229" t="str">
        <f t="shared" ca="1" si="11"/>
        <v>"2084048851" : "thiết kế hệ thống, phát triển",</v>
      </c>
      <c r="H166" s="229" t="str">
        <f t="shared" si="12"/>
        <v>&lt;li class="col-md-3"&gt;&lt;a class="text-cut" href="javascript:;"(click)="categoryEvent(2084048851)"&gt;{{"2084048851" | translate}}&lt;/a&gt;&lt;/li&gt;</v>
      </c>
    </row>
    <row r="167" spans="1:8" ht="14.25" customHeight="1">
      <c r="A167" s="2">
        <v>2084048456</v>
      </c>
      <c r="B167" s="2" t="s">
        <v>8127</v>
      </c>
      <c r="C167" s="2" t="s">
        <v>8128</v>
      </c>
      <c r="D167" s="116" t="str">
        <f t="shared" si="15"/>
        <v>0,21600,21700,2084048456</v>
      </c>
      <c r="E167" s="3" t="str">
        <f ca="1">IFERROR(__xludf.DUMMYFUNCTION("GOOGLETRANSLATE(B167,""ja"",""vi"")"),"Digital Tạo")</f>
        <v>Digital Tạo</v>
      </c>
      <c r="F167" s="3" t="str">
        <f ca="1">IFERROR(__xludf.DUMMYFUNCTION("GOOGLETRANSLATE(C167,""ja"",""vi"")"),"Đấu giá&gt; cuốn sách, tạp chí&gt; máy tính và internet&gt; Digital Tạo")</f>
        <v>Đấu giá&gt; cuốn sách, tạp chí&gt; máy tính và internet&gt; Digital Tạo</v>
      </c>
      <c r="G167" s="229" t="str">
        <f t="shared" ca="1" si="11"/>
        <v>"2084048456" : "Digital Tạo",</v>
      </c>
      <c r="H167" s="229" t="str">
        <f t="shared" si="12"/>
        <v>&lt;li class="col-md-3"&gt;&lt;a class="text-cut" href="javascript:;"(click)="categoryEvent(2084048456)"&gt;{{"2084048456" | translate}}&lt;/a&gt;&lt;/li&gt;</v>
      </c>
    </row>
    <row r="168" spans="1:8" ht="14.25" customHeight="1">
      <c r="A168" s="2">
        <v>2084008802</v>
      </c>
      <c r="B168" s="2" t="s">
        <v>8131</v>
      </c>
      <c r="C168" s="2" t="s">
        <v>8132</v>
      </c>
      <c r="D168" s="116" t="str">
        <f t="shared" si="15"/>
        <v>0,21600,21700,2084008802</v>
      </c>
      <c r="E168" s="3" t="str">
        <f ca="1">IFERROR(__xludf.DUMMYFUNCTION("GOOGLETRANSLATE(B168,""ja"",""vi"")"),"phần cứng")</f>
        <v>phần cứng</v>
      </c>
      <c r="F168" s="3" t="str">
        <f ca="1">IFERROR(__xludf.DUMMYFUNCTION("GOOGLETRANSLATE(C168,""ja"",""vi"")"),"Đấu giá&gt; cuốn sách, tạp chí&gt; máy tính và internet&gt; phần cứng")</f>
        <v>Đấu giá&gt; cuốn sách, tạp chí&gt; máy tính và internet&gt; phần cứng</v>
      </c>
      <c r="G168" s="229" t="str">
        <f t="shared" ca="1" si="11"/>
        <v>"2084008802" : "phần cứng",</v>
      </c>
      <c r="H168" s="229" t="str">
        <f t="shared" si="12"/>
        <v>&lt;li class="col-md-3"&gt;&lt;a class="text-cut" href="javascript:;"(click)="categoryEvent(2084008802)"&gt;{{"2084008802" | translate}}&lt;/a&gt;&lt;/li&gt;</v>
      </c>
    </row>
    <row r="169" spans="1:8" ht="14.25" customHeight="1">
      <c r="A169" s="2">
        <v>2084008817</v>
      </c>
      <c r="B169" s="2" t="s">
        <v>8133</v>
      </c>
      <c r="C169" s="2" t="s">
        <v>8134</v>
      </c>
      <c r="D169" s="116" t="str">
        <f t="shared" si="15"/>
        <v>0,21600,21700,2084008817</v>
      </c>
      <c r="E169" s="3" t="str">
        <f ca="1">IFERROR(__xludf.DUMMYFUNCTION("GOOGLETRANSLATE(B169,""ja"",""vi"")"),"ngôn ngữ")</f>
        <v>ngôn ngữ</v>
      </c>
      <c r="F169" s="3" t="str">
        <f ca="1">IFERROR(__xludf.DUMMYFUNCTION("GOOGLETRANSLATE(C169,""ja"",""vi"")"),"Đấu giá&gt; cuốn sách, tạp chí&gt; máy tính và internet&gt; Ngôn ngữ")</f>
        <v>Đấu giá&gt; cuốn sách, tạp chí&gt; máy tính và internet&gt; Ngôn ngữ</v>
      </c>
      <c r="G169" s="229" t="str">
        <f t="shared" ca="1" si="11"/>
        <v>"2084008817" : "ngôn ngữ",</v>
      </c>
      <c r="H169" s="229" t="str">
        <f t="shared" si="12"/>
        <v>&lt;li class="col-md-3"&gt;&lt;a class="text-cut" href="javascript:;"(click)="categoryEvent(2084008817)"&gt;{{"2084008817" | translate}}&lt;/a&gt;&lt;/li&gt;</v>
      </c>
    </row>
    <row r="170" spans="1:8" ht="14.25" customHeight="1">
      <c r="A170" s="2">
        <v>21908</v>
      </c>
      <c r="B170" s="2" t="s">
        <v>351</v>
      </c>
      <c r="C170" s="2" t="s">
        <v>8137</v>
      </c>
      <c r="D170" s="116" t="str">
        <f t="shared" si="15"/>
        <v>0,21600,21700,21908</v>
      </c>
      <c r="E170" s="3" t="str">
        <f ca="1">IFERROR(__xludf.DUMMYFUNCTION("GOOGLETRANSLATE(B170,""ja"",""vi"")"),"tạp chí")</f>
        <v>tạp chí</v>
      </c>
      <c r="F170" s="3" t="str">
        <f ca="1">IFERROR(__xludf.DUMMYFUNCTION("GOOGLETRANSLATE(C170,""ja"",""vi"")"),"Đấu giá&gt; cuốn sách, tạp chí&gt; máy tính và Internet&gt; Tạp chí")</f>
        <v>Đấu giá&gt; cuốn sách, tạp chí&gt; máy tính và Internet&gt; Tạp chí</v>
      </c>
      <c r="G170" s="229" t="str">
        <f t="shared" ca="1" si="11"/>
        <v>"21908" : "tạp chí",</v>
      </c>
      <c r="H170" s="229" t="str">
        <f t="shared" si="12"/>
        <v>&lt;li class="col-md-3"&gt;&lt;a class="text-cut" href="javascript:;"(click)="categoryEvent(21908)"&gt;{{"21908" | translate}}&lt;/a&gt;&lt;/li&gt;</v>
      </c>
    </row>
    <row r="171" spans="1:8" ht="14.25" customHeight="1">
      <c r="E171" s="3"/>
      <c r="F171" s="3"/>
      <c r="G171" s="229"/>
      <c r="H171" s="229"/>
    </row>
    <row r="172" spans="1:8" ht="14.25" customHeight="1">
      <c r="E172" s="3"/>
      <c r="F172" s="3"/>
      <c r="G172" s="229"/>
      <c r="H172" s="229"/>
    </row>
    <row r="173" spans="1:8" ht="14.25" customHeight="1">
      <c r="A173" s="253">
        <v>21820</v>
      </c>
      <c r="B173" s="232"/>
      <c r="C173" s="232"/>
      <c r="D173" s="233"/>
      <c r="E173" s="3"/>
      <c r="F173" s="3"/>
      <c r="G173" s="229"/>
      <c r="H173" s="229"/>
    </row>
    <row r="174" spans="1:8" ht="14.25" customHeight="1">
      <c r="A174" s="2">
        <v>2084009013</v>
      </c>
      <c r="B174" s="2" t="s">
        <v>8139</v>
      </c>
      <c r="C174" s="2" t="s">
        <v>8140</v>
      </c>
      <c r="D174" s="116" t="str">
        <f t="shared" ref="D174:D184" si="16">CONCATENATE("0,","21600,21820,",A174)</f>
        <v>0,21600,21820,2084009013</v>
      </c>
      <c r="E174" s="3" t="str">
        <f ca="1">IFERROR(__xludf.DUMMYFUNCTION("GOOGLETRANSLATE(B174,""ja"",""vi"")"),"hóa học")</f>
        <v>hóa học</v>
      </c>
      <c r="F174" s="3" t="str">
        <f ca="1">IFERROR(__xludf.DUMMYFUNCTION("GOOGLETRANSLATE(C174,""ja"",""vi"")"),"Đấu giá&gt; cuốn sách, tạp chí&gt; khoa học tự nhiên và công nghệ&gt; hóa học")</f>
        <v>Đấu giá&gt; cuốn sách, tạp chí&gt; khoa học tự nhiên và công nghệ&gt; hóa học</v>
      </c>
      <c r="G174" s="229" t="str">
        <f t="shared" ca="1" si="11"/>
        <v>"2084009013" : "hóa học",</v>
      </c>
      <c r="H174" s="229" t="str">
        <f t="shared" si="12"/>
        <v>&lt;li class="col-md-3"&gt;&lt;a class="text-cut" href="javascript:;"(click)="categoryEvent(2084009013)"&gt;{{"2084009013" | translate}}&lt;/a&gt;&lt;/li&gt;</v>
      </c>
    </row>
    <row r="175" spans="1:8" ht="14.25" customHeight="1">
      <c r="A175" s="2">
        <v>2084009012</v>
      </c>
      <c r="B175" s="2" t="s">
        <v>8143</v>
      </c>
      <c r="C175" s="2" t="s">
        <v>8144</v>
      </c>
      <c r="D175" s="116" t="str">
        <f t="shared" si="16"/>
        <v>0,21600,21820,2084009012</v>
      </c>
      <c r="E175" s="3" t="str">
        <f ca="1">IFERROR(__xludf.DUMMYFUNCTION("GOOGLETRANSLATE(B175,""ja"",""vi"")"),"khoa học")</f>
        <v>khoa học</v>
      </c>
      <c r="F175" s="3" t="str">
        <f ca="1">IFERROR(__xludf.DUMMYFUNCTION("GOOGLETRANSLATE(C175,""ja"",""vi"")"),"Đấu giá&gt; Sách, tạp chí&gt; khoa học tự nhiên và công nghệ&gt; Khoa học")</f>
        <v>Đấu giá&gt; Sách, tạp chí&gt; khoa học tự nhiên và công nghệ&gt; Khoa học</v>
      </c>
      <c r="G175" s="229" t="str">
        <f t="shared" ca="1" si="11"/>
        <v>"2084009012" : "khoa học",</v>
      </c>
      <c r="H175" s="229" t="str">
        <f t="shared" si="12"/>
        <v>&lt;li class="col-md-3"&gt;&lt;a class="text-cut" href="javascript:;"(click)="categoryEvent(2084009012)"&gt;{{"2084009012" | translate}}&lt;/a&gt;&lt;/li&gt;</v>
      </c>
    </row>
    <row r="176" spans="1:8" ht="14.25" customHeight="1">
      <c r="A176" s="2">
        <v>2084009014</v>
      </c>
      <c r="B176" s="2" t="s">
        <v>8146</v>
      </c>
      <c r="C176" s="2" t="s">
        <v>8147</v>
      </c>
      <c r="D176" s="116" t="str">
        <f t="shared" si="16"/>
        <v>0,21600,21820,2084009014</v>
      </c>
      <c r="E176" s="3" t="str">
        <f ca="1">IFERROR(__xludf.DUMMYFUNCTION("GOOGLETRANSLATE(B176,""ja"",""vi"")"),"môi trường")</f>
        <v>môi trường</v>
      </c>
      <c r="F176" s="3" t="str">
        <f ca="1">IFERROR(__xludf.DUMMYFUNCTION("GOOGLETRANSLATE(C176,""ja"",""vi"")"),"Đấu giá&gt; cuốn sách, tạp chí&gt; khoa học tự nhiên và công nghệ&gt; Môi trường")</f>
        <v>Đấu giá&gt; cuốn sách, tạp chí&gt; khoa học tự nhiên và công nghệ&gt; Môi trường</v>
      </c>
      <c r="G176" s="229" t="str">
        <f t="shared" ca="1" si="11"/>
        <v>"2084009014" : "môi trường",</v>
      </c>
      <c r="H176" s="229" t="str">
        <f t="shared" si="12"/>
        <v>&lt;li class="col-md-3"&gt;&lt;a class="text-cut" href="javascript:;"(click)="categoryEvent(2084009014)"&gt;{{"2084009014" | translate}}&lt;/a&gt;&lt;/li&gt;</v>
      </c>
    </row>
    <row r="177" spans="1:8" ht="14.25" customHeight="1">
      <c r="A177" s="2">
        <v>2084009021</v>
      </c>
      <c r="B177" s="2" t="s">
        <v>8148</v>
      </c>
      <c r="C177" s="2" t="s">
        <v>8149</v>
      </c>
      <c r="D177" s="116" t="str">
        <f t="shared" si="16"/>
        <v>0,21600,21820,2084009021</v>
      </c>
      <c r="E177" s="3" t="str">
        <f ca="1">IFERROR(__xludf.DUMMYFUNCTION("GOOGLETRANSLATE(B177,""ja"",""vi"")"),"kỹ thuật")</f>
        <v>kỹ thuật</v>
      </c>
      <c r="F177" s="3" t="str">
        <f ca="1">IFERROR(__xludf.DUMMYFUNCTION("GOOGLETRANSLATE(C177,""ja"",""vi"")"),"Đấu giá&gt; cuốn sách, tạp chí&gt; khoa học tự nhiên và công nghệ&gt; kỹ thuật")</f>
        <v>Đấu giá&gt; cuốn sách, tạp chí&gt; khoa học tự nhiên và công nghệ&gt; kỹ thuật</v>
      </c>
      <c r="G177" s="229" t="str">
        <f t="shared" ca="1" si="11"/>
        <v>"2084009021" : "kỹ thuật",</v>
      </c>
      <c r="H177" s="229" t="str">
        <f t="shared" si="12"/>
        <v>&lt;li class="col-md-3"&gt;&lt;a class="text-cut" href="javascript:;"(click)="categoryEvent(2084009021)"&gt;{{"2084009021" | translate}}&lt;/a&gt;&lt;/li&gt;</v>
      </c>
    </row>
    <row r="178" spans="1:8" ht="14.25" customHeight="1">
      <c r="A178" s="2">
        <v>2084008153</v>
      </c>
      <c r="B178" s="2" t="s">
        <v>351</v>
      </c>
      <c r="C178" s="2" t="s">
        <v>8151</v>
      </c>
      <c r="D178" s="116" t="str">
        <f t="shared" si="16"/>
        <v>0,21600,21820,2084008153</v>
      </c>
      <c r="E178" s="3" t="str">
        <f ca="1">IFERROR(__xludf.DUMMYFUNCTION("GOOGLETRANSLATE(B178,""ja"",""vi"")"),"tạp chí")</f>
        <v>tạp chí</v>
      </c>
      <c r="F178" s="3" t="str">
        <f ca="1">IFERROR(__xludf.DUMMYFUNCTION("GOOGLETRANSLATE(C178,""ja"",""vi"")"),"Đấu giá&gt; cuốn sách, tạp chí&gt; khoa học tự nhiên và công nghệ&gt; Tạp chí")</f>
        <v>Đấu giá&gt; cuốn sách, tạp chí&gt; khoa học tự nhiên và công nghệ&gt; Tạp chí</v>
      </c>
      <c r="G178" s="229" t="str">
        <f t="shared" ca="1" si="11"/>
        <v>"2084008153" : "tạp chí",</v>
      </c>
      <c r="H178" s="229" t="str">
        <f t="shared" si="12"/>
        <v>&lt;li class="col-md-3"&gt;&lt;a class="text-cut" href="javascript:;"(click)="categoryEvent(2084008153)"&gt;{{"2084008153" | translate}}&lt;/a&gt;&lt;/li&gt;</v>
      </c>
    </row>
    <row r="179" spans="1:8" ht="14.25" customHeight="1">
      <c r="A179" s="2">
        <v>2084009015</v>
      </c>
      <c r="B179" s="2" t="s">
        <v>8152</v>
      </c>
      <c r="C179" s="2" t="s">
        <v>8153</v>
      </c>
      <c r="D179" s="116" t="str">
        <f t="shared" si="16"/>
        <v>0,21600,21820,2084009015</v>
      </c>
      <c r="E179" s="3" t="str">
        <f ca="1">IFERROR(__xludf.DUMMYFUNCTION("GOOGLETRANSLATE(B179,""ja"",""vi"")"),"toán học")</f>
        <v>toán học</v>
      </c>
      <c r="F179" s="3" t="str">
        <f ca="1">IFERROR(__xludf.DUMMYFUNCTION("GOOGLETRANSLATE(C179,""ja"",""vi"")"),"Đấu giá&gt; cuốn sách, tạp chí&gt; khoa học tự nhiên và công nghệ&gt; Toán học")</f>
        <v>Đấu giá&gt; cuốn sách, tạp chí&gt; khoa học tự nhiên và công nghệ&gt; Toán học</v>
      </c>
      <c r="G179" s="229" t="str">
        <f t="shared" ca="1" si="11"/>
        <v>"2084009015" : "toán học",</v>
      </c>
      <c r="H179" s="229" t="str">
        <f t="shared" si="12"/>
        <v>&lt;li class="col-md-3"&gt;&lt;a class="text-cut" href="javascript:;"(click)="categoryEvent(2084009015)"&gt;{{"2084009015" | translate}}&lt;/a&gt;&lt;/li&gt;</v>
      </c>
    </row>
    <row r="180" spans="1:8" ht="14.25" customHeight="1">
      <c r="A180" s="2">
        <v>2084009016</v>
      </c>
      <c r="B180" s="2" t="s">
        <v>8154</v>
      </c>
      <c r="C180" s="2" t="s">
        <v>8155</v>
      </c>
      <c r="D180" s="116" t="str">
        <f t="shared" si="16"/>
        <v>0,21600,21820,2084009016</v>
      </c>
      <c r="E180" s="3" t="str">
        <f ca="1">IFERROR(__xludf.DUMMYFUNCTION("GOOGLETRANSLATE(B180,""ja"",""vi"")"),"sinh học")</f>
        <v>sinh học</v>
      </c>
      <c r="F180" s="3" t="str">
        <f ca="1">IFERROR(__xludf.DUMMYFUNCTION("GOOGLETRANSLATE(C180,""ja"",""vi"")"),"Đấu giá&gt; cuốn sách, tạp chí&gt; khoa học tự nhiên và công nghệ&gt; sinh học")</f>
        <v>Đấu giá&gt; cuốn sách, tạp chí&gt; khoa học tự nhiên và công nghệ&gt; sinh học</v>
      </c>
      <c r="G180" s="229" t="str">
        <f t="shared" ca="1" si="11"/>
        <v>"2084009016" : "sinh học",</v>
      </c>
      <c r="H180" s="229" t="str">
        <f t="shared" si="12"/>
        <v>&lt;li class="col-md-3"&gt;&lt;a class="text-cut" href="javascript:;"(click)="categoryEvent(2084009016)"&gt;{{"2084009016" | translate}}&lt;/a&gt;&lt;/li&gt;</v>
      </c>
    </row>
    <row r="181" spans="1:8" ht="14.25" customHeight="1">
      <c r="A181" s="2">
        <v>2084009017</v>
      </c>
      <c r="B181" s="2" t="s">
        <v>8156</v>
      </c>
      <c r="C181" s="2" t="s">
        <v>8157</v>
      </c>
      <c r="D181" s="116" t="str">
        <f t="shared" si="16"/>
        <v>0,21600,21820,2084009017</v>
      </c>
      <c r="E181" s="3" t="str">
        <f ca="1">IFERROR(__xludf.DUMMYFUNCTION("GOOGLETRANSLATE(B181,""ja"",""vi"")"),"Khoa học Trái đất")</f>
        <v>Khoa học Trái đất</v>
      </c>
      <c r="F181" s="3" t="str">
        <f ca="1">IFERROR(__xludf.DUMMYFUNCTION("GOOGLETRANSLATE(C181,""ja"",""vi"")"),"Đấu giá&gt; cuốn sách, tạp chí&gt; khoa học tự nhiên và công nghệ&gt; Khoa học Trái đất")</f>
        <v>Đấu giá&gt; cuốn sách, tạp chí&gt; khoa học tự nhiên và công nghệ&gt; Khoa học Trái đất</v>
      </c>
      <c r="G181" s="229" t="str">
        <f t="shared" ca="1" si="11"/>
        <v>"2084009017" : "Khoa học Trái đất",</v>
      </c>
      <c r="H181" s="229" t="str">
        <f t="shared" si="12"/>
        <v>&lt;li class="col-md-3"&gt;&lt;a class="text-cut" href="javascript:;"(click)="categoryEvent(2084009017)"&gt;{{"2084009017" | translate}}&lt;/a&gt;&lt;/li&gt;</v>
      </c>
    </row>
    <row r="182" spans="1:8" ht="14.25" customHeight="1">
      <c r="A182" s="2">
        <v>2084009018</v>
      </c>
      <c r="B182" s="2" t="s">
        <v>8160</v>
      </c>
      <c r="C182" s="2" t="s">
        <v>8161</v>
      </c>
      <c r="D182" s="116" t="str">
        <f t="shared" si="16"/>
        <v>0,21600,21820,2084009018</v>
      </c>
      <c r="E182" s="3" t="str">
        <f ca="1">IFERROR(__xludf.DUMMYFUNCTION("GOOGLETRANSLATE(B182,""ja"",""vi"")"),"Thiên văn học, vũ trụ")</f>
        <v>Thiên văn học, vũ trụ</v>
      </c>
      <c r="F182" s="3" t="str">
        <f ca="1">IFERROR(__xludf.DUMMYFUNCTION("GOOGLETRANSLATE(C182,""ja"",""vi"")"),"Đấu giá&gt; cuốn sách, tạp chí&gt; khoa học tự nhiên và công nghệ&gt; Thiên văn học, vũ trụ")</f>
        <v>Đấu giá&gt; cuốn sách, tạp chí&gt; khoa học tự nhiên và công nghệ&gt; Thiên văn học, vũ trụ</v>
      </c>
      <c r="G182" s="229" t="str">
        <f t="shared" ca="1" si="11"/>
        <v>"2084009018" : "Thiên văn học, vũ trụ",</v>
      </c>
      <c r="H182" s="229" t="str">
        <f t="shared" si="12"/>
        <v>&lt;li class="col-md-3"&gt;&lt;a class="text-cut" href="javascript:;"(click)="categoryEvent(2084009018)"&gt;{{"2084009018" | translate}}&lt;/a&gt;&lt;/li&gt;</v>
      </c>
    </row>
    <row r="183" spans="1:8" ht="14.25" customHeight="1">
      <c r="A183" s="2">
        <v>2084009019</v>
      </c>
      <c r="B183" s="2" t="s">
        <v>8162</v>
      </c>
      <c r="C183" s="2" t="s">
        <v>8164</v>
      </c>
      <c r="D183" s="116" t="str">
        <f t="shared" si="16"/>
        <v>0,21600,21820,2084009019</v>
      </c>
      <c r="E183" s="3" t="str">
        <f ca="1">IFERROR(__xludf.DUMMYFUNCTION("GOOGLETRANSLATE(B183,""ja"",""vi"")"),"nông nghiệp")</f>
        <v>nông nghiệp</v>
      </c>
      <c r="F183" s="3" t="str">
        <f ca="1">IFERROR(__xludf.DUMMYFUNCTION("GOOGLETRANSLATE(C183,""ja"",""vi"")"),"Đấu giá&gt; cuốn sách, tạp chí&gt; khoa học tự nhiên và công nghệ&gt; Nông nghiệp")</f>
        <v>Đấu giá&gt; cuốn sách, tạp chí&gt; khoa học tự nhiên và công nghệ&gt; Nông nghiệp</v>
      </c>
      <c r="G183" s="229" t="str">
        <f t="shared" ca="1" si="11"/>
        <v>"2084009019" : "nông nghiệp",</v>
      </c>
      <c r="H183" s="229" t="str">
        <f t="shared" si="12"/>
        <v>&lt;li class="col-md-3"&gt;&lt;a class="text-cut" href="javascript:;"(click)="categoryEvent(2084009019)"&gt;{{"2084009019" | translate}}&lt;/a&gt;&lt;/li&gt;</v>
      </c>
    </row>
    <row r="184" spans="1:8" ht="14.25" customHeight="1">
      <c r="A184" s="2">
        <v>2084009020</v>
      </c>
      <c r="B184" s="2" t="s">
        <v>8167</v>
      </c>
      <c r="C184" s="2" t="s">
        <v>8168</v>
      </c>
      <c r="D184" s="116" t="str">
        <f t="shared" si="16"/>
        <v>0,21600,21820,2084009020</v>
      </c>
      <c r="E184" s="3" t="str">
        <f ca="1">IFERROR(__xludf.DUMMYFUNCTION("GOOGLETRANSLATE(B184,""ja"",""vi"")"),"vật lý")</f>
        <v>vật lý</v>
      </c>
      <c r="F184" s="3" t="str">
        <f ca="1">IFERROR(__xludf.DUMMYFUNCTION("GOOGLETRANSLATE(C184,""ja"",""vi"")"),"Đấu giá&gt; cuốn sách, tạp chí&gt; khoa học tự nhiên và công nghệ&gt; Vật lý")</f>
        <v>Đấu giá&gt; cuốn sách, tạp chí&gt; khoa học tự nhiên và công nghệ&gt; Vật lý</v>
      </c>
      <c r="G184" s="229" t="str">
        <f t="shared" ca="1" si="11"/>
        <v>"2084009020" : "vật lý",</v>
      </c>
      <c r="H184" s="229" t="str">
        <f t="shared" si="12"/>
        <v>&lt;li class="col-md-3"&gt;&lt;a class="text-cut" href="javascript:;"(click)="categoryEvent(2084009020)"&gt;{{"2084009020" | translate}}&lt;/a&gt;&lt;/li&gt;</v>
      </c>
    </row>
    <row r="185" spans="1:8" ht="14.25" customHeight="1">
      <c r="E185" s="3"/>
      <c r="F185" s="3"/>
      <c r="G185" s="229"/>
      <c r="H185" s="229"/>
    </row>
    <row r="186" spans="1:8" ht="14.25" customHeight="1">
      <c r="E186" s="3"/>
      <c r="F186" s="3"/>
      <c r="G186" s="229"/>
      <c r="H186" s="229"/>
    </row>
    <row r="187" spans="1:8" ht="14.25" customHeight="1">
      <c r="A187" s="260">
        <v>2084008989</v>
      </c>
      <c r="B187" s="232"/>
      <c r="C187" s="232"/>
      <c r="D187" s="233"/>
      <c r="E187" s="3"/>
      <c r="F187" s="3"/>
      <c r="G187" s="229"/>
      <c r="H187" s="229"/>
    </row>
    <row r="188" spans="1:8" ht="14.25" customHeight="1">
      <c r="A188" s="2">
        <v>2084009009</v>
      </c>
      <c r="B188" s="2" t="s">
        <v>2523</v>
      </c>
      <c r="C188" s="2" t="s">
        <v>8179</v>
      </c>
      <c r="D188" s="116" t="str">
        <f t="shared" ref="D188:D197" si="17">CONCATENATE("0,","21600,2084008989,",A188)</f>
        <v>0,21600,2084008989,2084009009</v>
      </c>
      <c r="E188" s="3" t="str">
        <f ca="1">IFERROR(__xludf.DUMMYFUNCTION("GOOGLETRANSLATE(B188,""ja"",""vi"")"),"Chế độ ăn uống")</f>
        <v>Chế độ ăn uống</v>
      </c>
      <c r="F188" s="3" t="str">
        <f ca="1">IFERROR(__xludf.DUMMYFUNCTION("GOOGLETRANSLATE(C188,""ja"",""vi"")"),"Đấu giá&gt; cuốn sách, tạp chí&gt; sức khỏe và y học&gt; Chế độ ăn uống")</f>
        <v>Đấu giá&gt; cuốn sách, tạp chí&gt; sức khỏe và y học&gt; Chế độ ăn uống</v>
      </c>
      <c r="G188" s="229" t="str">
        <f t="shared" ca="1" si="11"/>
        <v>"2084009009" : "Chế độ ăn uống",</v>
      </c>
      <c r="H188" s="229" t="str">
        <f t="shared" si="12"/>
        <v>&lt;li class="col-md-3"&gt;&lt;a class="text-cut" href="javascript:;"(click)="categoryEvent(2084009009)"&gt;{{"2084009009" | translate}}&lt;/a&gt;&lt;/li&gt;</v>
      </c>
    </row>
    <row r="189" spans="1:8" ht="14.25" customHeight="1">
      <c r="A189" s="2">
        <v>2084008990</v>
      </c>
      <c r="B189" s="2" t="s">
        <v>8184</v>
      </c>
      <c r="C189" s="2" t="s">
        <v>8185</v>
      </c>
      <c r="D189" s="116" t="str">
        <f t="shared" si="17"/>
        <v>0,21600,2084008989,2084008990</v>
      </c>
      <c r="E189" s="3" t="str">
        <f ca="1">IFERROR(__xludf.DUMMYFUNCTION("GOOGLETRANSLATE(B189,""ja"",""vi"")"),"y học")</f>
        <v>y học</v>
      </c>
      <c r="F189" s="3" t="str">
        <f ca="1">IFERROR(__xludf.DUMMYFUNCTION("GOOGLETRANSLATE(C189,""ja"",""vi"")"),"Đấu giá&gt; cuốn sách, tạp chí&gt; sức khỏe và y&gt; y học")</f>
        <v>Đấu giá&gt; cuốn sách, tạp chí&gt; sức khỏe và y&gt; y học</v>
      </c>
      <c r="G189" s="229" t="str">
        <f t="shared" ca="1" si="11"/>
        <v>"2084008990" : "y học",</v>
      </c>
      <c r="H189" s="229" t="str">
        <f t="shared" si="12"/>
        <v>&lt;li class="col-md-3"&gt;&lt;a class="text-cut" href="javascript:;"(click)="categoryEvent(2084008990)"&gt;{{"2084008990" | translate}}&lt;/a&gt;&lt;/li&gt;</v>
      </c>
    </row>
    <row r="190" spans="1:8" ht="14.25" customHeight="1">
      <c r="A190" s="2">
        <v>2084009000</v>
      </c>
      <c r="B190" s="2" t="s">
        <v>8006</v>
      </c>
      <c r="C190" s="2" t="s">
        <v>8189</v>
      </c>
      <c r="D190" s="116" t="str">
        <f t="shared" si="17"/>
        <v>0,21600,2084008989,2084009000</v>
      </c>
      <c r="E190" s="3" t="str">
        <f ca="1">IFERROR(__xludf.DUMMYFUNCTION("GOOGLETRANSLATE(B190,""ja"",""vi"")"),"Y học gia đình")</f>
        <v>Y học gia đình</v>
      </c>
      <c r="F190" s="3" t="str">
        <f ca="1">IFERROR(__xludf.DUMMYFUNCTION("GOOGLETRANSLATE(C190,""ja"",""vi"")"),"Đấu giá&gt; cuốn sách, tạp chí&gt; sức khỏe và y học&gt; thuốc gia đình")</f>
        <v>Đấu giá&gt; cuốn sách, tạp chí&gt; sức khỏe và y học&gt; thuốc gia đình</v>
      </c>
      <c r="G190" s="229" t="str">
        <f t="shared" ca="1" si="11"/>
        <v>"2084009000" : "Y học gia đình",</v>
      </c>
      <c r="H190" s="229" t="str">
        <f t="shared" si="12"/>
        <v>&lt;li class="col-md-3"&gt;&lt;a class="text-cut" href="javascript:;"(click)="categoryEvent(2084009000)"&gt;{{"2084009000" | translate}}&lt;/a&gt;&lt;/li&gt;</v>
      </c>
    </row>
    <row r="191" spans="1:8" ht="14.25" customHeight="1">
      <c r="A191" s="2">
        <v>2084008998</v>
      </c>
      <c r="B191" s="2" t="s">
        <v>8193</v>
      </c>
      <c r="C191" s="2" t="s">
        <v>8194</v>
      </c>
      <c r="D191" s="116" t="str">
        <f t="shared" si="17"/>
        <v>0,21600,2084008989,2084008998</v>
      </c>
      <c r="E191" s="3" t="str">
        <f ca="1">IFERROR(__xludf.DUMMYFUNCTION("GOOGLETRANSLATE(B191,""ja"",""vi"")"),"khoa học Điều dưỡng")</f>
        <v>khoa học Điều dưỡng</v>
      </c>
      <c r="F191" s="3" t="str">
        <f ca="1">IFERROR(__xludf.DUMMYFUNCTION("GOOGLETRANSLATE(C191,""ja"",""vi"")"),"Đấu giá&gt; cuốn sách, tạp chí&gt; sức khỏe và y học&gt; Điều Dưỡng")</f>
        <v>Đấu giá&gt; cuốn sách, tạp chí&gt; sức khỏe và y học&gt; Điều Dưỡng</v>
      </c>
      <c r="G191" s="229" t="str">
        <f t="shared" ca="1" si="11"/>
        <v>"2084008998" : "khoa học Điều dưỡng",</v>
      </c>
      <c r="H191" s="229" t="str">
        <f t="shared" si="12"/>
        <v>&lt;li class="col-md-3"&gt;&lt;a class="text-cut" href="javascript:;"(click)="categoryEvent(2084008998)"&gt;{{"2084008998" | translate}}&lt;/a&gt;&lt;/li&gt;</v>
      </c>
    </row>
    <row r="192" spans="1:8" ht="14.25" customHeight="1">
      <c r="A192" s="2">
        <v>2084009005</v>
      </c>
      <c r="B192" s="2" t="s">
        <v>8013</v>
      </c>
      <c r="C192" s="2" t="s">
        <v>8198</v>
      </c>
      <c r="D192" s="116" t="str">
        <f t="shared" si="17"/>
        <v>0,21600,2084008989,2084009005</v>
      </c>
      <c r="E192" s="3" t="str">
        <f ca="1">IFERROR(__xludf.DUMMYFUNCTION("GOOGLETRANSLATE(B192,""ja"",""vi"")"),"vệ sinh")</f>
        <v>vệ sinh</v>
      </c>
      <c r="F192" s="3" t="str">
        <f ca="1">IFERROR(__xludf.DUMMYFUNCTION("GOOGLETRANSLATE(C192,""ja"",""vi"")"),"Đấu giá&gt; cuốn sách, tạp chí&gt; sức khỏe và y học&gt; Luật Sức khỏe")</f>
        <v>Đấu giá&gt; cuốn sách, tạp chí&gt; sức khỏe và y học&gt; Luật Sức khỏe</v>
      </c>
      <c r="G192" s="229" t="str">
        <f t="shared" ca="1" si="11"/>
        <v>"2084009005" : "vệ sinh",</v>
      </c>
      <c r="H192" s="229" t="str">
        <f t="shared" si="12"/>
        <v>&lt;li class="col-md-3"&gt;&lt;a class="text-cut" href="javascript:;"(click)="categoryEvent(2084009005)"&gt;{{"2084009005" | translate}}&lt;/a&gt;&lt;/li&gt;</v>
      </c>
    </row>
    <row r="193" spans="1:8" ht="14.25" customHeight="1">
      <c r="A193" s="2">
        <v>2084008126</v>
      </c>
      <c r="B193" s="2" t="s">
        <v>351</v>
      </c>
      <c r="C193" s="2" t="s">
        <v>8203</v>
      </c>
      <c r="D193" s="116" t="str">
        <f t="shared" si="17"/>
        <v>0,21600,2084008989,2084008126</v>
      </c>
      <c r="E193" s="3" t="str">
        <f ca="1">IFERROR(__xludf.DUMMYFUNCTION("GOOGLETRANSLATE(B193,""ja"",""vi"")"),"tạp chí")</f>
        <v>tạp chí</v>
      </c>
      <c r="F193" s="3" t="str">
        <f ca="1">IFERROR(__xludf.DUMMYFUNCTION("GOOGLETRANSLATE(C193,""ja"",""vi"")"),"Đấu giá&gt; cuốn sách, tạp chí&gt; sức khỏe và y học&gt; Tạp chí")</f>
        <v>Đấu giá&gt; cuốn sách, tạp chí&gt; sức khỏe và y học&gt; Tạp chí</v>
      </c>
      <c r="G193" s="229" t="str">
        <f t="shared" ca="1" si="11"/>
        <v>"2084008126" : "tạp chí",</v>
      </c>
      <c r="H193" s="229" t="str">
        <f t="shared" si="12"/>
        <v>&lt;li class="col-md-3"&gt;&lt;a class="text-cut" href="javascript:;"(click)="categoryEvent(2084008126)"&gt;{{"2084008126" | translate}}&lt;/a&gt;&lt;/li&gt;</v>
      </c>
    </row>
    <row r="194" spans="1:8" ht="14.25" customHeight="1">
      <c r="A194" s="2">
        <v>2084009010</v>
      </c>
      <c r="B194" s="2" t="s">
        <v>8025</v>
      </c>
      <c r="C194" s="2" t="s">
        <v>8208</v>
      </c>
      <c r="D194" s="116" t="str">
        <f t="shared" si="17"/>
        <v>0,21600,2084008989,2084009010</v>
      </c>
      <c r="E194" s="3" t="str">
        <f ca="1">IFERROR(__xludf.DUMMYFUNCTION("GOOGLETRANSLATE(B194,""ja"",""vi"")"),"phụ nữ Y học")</f>
        <v>phụ nữ Y học</v>
      </c>
      <c r="F194" s="3" t="str">
        <f ca="1">IFERROR(__xludf.DUMMYFUNCTION("GOOGLETRANSLATE(C194,""ja"",""vi"")"),"Đấu giá&gt; cuốn sách, tạp chí&gt; sức khỏe và y học&gt; Y tế phụ nữ")</f>
        <v>Đấu giá&gt; cuốn sách, tạp chí&gt; sức khỏe và y học&gt; Y tế phụ nữ</v>
      </c>
      <c r="G194" s="229" t="str">
        <f t="shared" ca="1" si="11"/>
        <v>"2084009010" : "phụ nữ Y học",</v>
      </c>
      <c r="H194" s="229" t="str">
        <f t="shared" si="12"/>
        <v>&lt;li class="col-md-3"&gt;&lt;a class="text-cut" href="javascript:;"(click)="categoryEvent(2084009010)"&gt;{{"2084009010" | translate}}&lt;/a&gt;&lt;/li&gt;</v>
      </c>
    </row>
    <row r="195" spans="1:8" ht="14.25" customHeight="1">
      <c r="A195" s="2">
        <v>2084009011</v>
      </c>
      <c r="B195" s="2" t="s">
        <v>8030</v>
      </c>
      <c r="C195" s="2" t="s">
        <v>8212</v>
      </c>
      <c r="D195" s="116" t="str">
        <f t="shared" si="17"/>
        <v>0,21600,2084008989,2084009011</v>
      </c>
      <c r="E195" s="3" t="str">
        <f ca="1">IFERROR(__xludf.DUMMYFUNCTION("GOOGLETRANSLATE(B195,""ja"",""vi"")"),"Mang thai, sinh nở")</f>
        <v>Mang thai, sinh nở</v>
      </c>
      <c r="F195" s="3" t="str">
        <f ca="1">IFERROR(__xludf.DUMMYFUNCTION("GOOGLETRANSLATE(C195,""ja"",""vi"")"),"Đấu giá&gt; cuốn sách, tạp chí&gt; sức khỏe và y học&gt; mang thai, sinh nở")</f>
        <v>Đấu giá&gt; cuốn sách, tạp chí&gt; sức khỏe và y học&gt; mang thai, sinh nở</v>
      </c>
      <c r="G195" s="229" t="str">
        <f t="shared" ref="G195:G258" ca="1" si="18">CONCATENATE(CHAR(34)&amp;"",A195,""&amp;CHAR(34)," : ", CHAR(34)&amp;"",E195,""&amp;CHAR(34),",")</f>
        <v>"2084009011" : "Mang thai, sinh nở",</v>
      </c>
      <c r="H195" s="229" t="str">
        <f t="shared" ref="H195:H258" si="19">CONCATENATE("&lt;li class=",CHAR(34)&amp;"","col-md-3",""&amp;CHAR(34),"&gt;","&lt;a class=",CHAR(34)&amp;"","text-cut",""&amp;CHAR(34)," href=",CHAR(34)&amp;"","javascript:;",""&amp;CHAR(34), "(click)=",CHAR(34)&amp;"","categoryEvent(",A195,")",""&amp;CHAR(34),"&gt;{{",CHAR(34)&amp;"",A195,""&amp;CHAR(34)," | translate}}&lt;/a&gt;&lt;/li&gt;")</f>
        <v>&lt;li class="col-md-3"&gt;&lt;a class="text-cut" href="javascript:;"(click)="categoryEvent(2084009011)"&gt;{{"2084009011" | translate}}&lt;/a&gt;&lt;/li&gt;</v>
      </c>
    </row>
    <row r="196" spans="1:8" ht="14.25" customHeight="1">
      <c r="A196" s="2">
        <v>2084008571</v>
      </c>
      <c r="B196" s="2" t="s">
        <v>8214</v>
      </c>
      <c r="C196" s="2" t="s">
        <v>8215</v>
      </c>
      <c r="D196" s="116" t="str">
        <f t="shared" si="17"/>
        <v>0,21600,2084008989,2084008571</v>
      </c>
      <c r="E196" s="3" t="str">
        <f ca="1">IFERROR(__xludf.DUMMYFUNCTION("GOOGLETRANSLATE(B196,""ja"",""vi"")"),"phúc lợi")</f>
        <v>phúc lợi</v>
      </c>
      <c r="F196" s="3" t="str">
        <f ca="1">IFERROR(__xludf.DUMMYFUNCTION("GOOGLETRANSLATE(C196,""ja"",""vi"")"),"Đấu giá&gt; cuốn sách, tạp chí&gt; sức khỏe và y học&gt; phúc lợi")</f>
        <v>Đấu giá&gt; cuốn sách, tạp chí&gt; sức khỏe và y học&gt; phúc lợi</v>
      </c>
      <c r="G196" s="229" t="str">
        <f t="shared" ca="1" si="18"/>
        <v>"2084008571" : "phúc lợi",</v>
      </c>
      <c r="H196" s="229" t="str">
        <f t="shared" si="19"/>
        <v>&lt;li class="col-md-3"&gt;&lt;a class="text-cut" href="javascript:;"(click)="categoryEvent(2084008571)"&gt;{{"2084008571" | translate}}&lt;/a&gt;&lt;/li&gt;</v>
      </c>
    </row>
    <row r="197" spans="1:8" ht="14.25" customHeight="1">
      <c r="A197" s="2">
        <v>2084008999</v>
      </c>
      <c r="B197" s="2" t="s">
        <v>8220</v>
      </c>
      <c r="C197" s="2" t="s">
        <v>8221</v>
      </c>
      <c r="D197" s="116" t="str">
        <f t="shared" si="17"/>
        <v>0,21600,2084008989,2084008999</v>
      </c>
      <c r="E197" s="3" t="str">
        <f ca="1">IFERROR(__xludf.DUMMYFUNCTION("GOOGLETRANSLATE(B197,""ja"",""vi"")"),"tiệm thuốc tây")</f>
        <v>tiệm thuốc tây</v>
      </c>
      <c r="F197" s="3" t="str">
        <f ca="1">IFERROR(__xludf.DUMMYFUNCTION("GOOGLETRANSLATE(C197,""ja"",""vi"")"),"Đấu giá&gt; cuốn sách, tạp chí&gt; sức khỏe và y học&gt; Dược")</f>
        <v>Đấu giá&gt; cuốn sách, tạp chí&gt; sức khỏe và y học&gt; Dược</v>
      </c>
      <c r="G197" s="229" t="str">
        <f t="shared" ca="1" si="18"/>
        <v>"2084008999" : "tiệm thuốc tây",</v>
      </c>
      <c r="H197" s="229" t="str">
        <f t="shared" si="19"/>
        <v>&lt;li class="col-md-3"&gt;&lt;a class="text-cut" href="javascript:;"(click)="categoryEvent(2084008999)"&gt;{{"2084008999" | translate}}&lt;/a&gt;&lt;/li&gt;</v>
      </c>
    </row>
    <row r="198" spans="1:8" ht="14.25" customHeight="1">
      <c r="E198" s="3"/>
      <c r="F198" s="3"/>
      <c r="G198" s="229"/>
      <c r="H198" s="229"/>
    </row>
    <row r="199" spans="1:8" ht="14.25" customHeight="1">
      <c r="E199" s="3"/>
      <c r="F199" s="3"/>
      <c r="G199" s="229"/>
      <c r="H199" s="229"/>
    </row>
    <row r="200" spans="1:8" ht="14.25" customHeight="1">
      <c r="A200" s="259">
        <v>2084009036</v>
      </c>
      <c r="B200" s="232"/>
      <c r="C200" s="232"/>
      <c r="D200" s="233"/>
      <c r="E200" s="3"/>
      <c r="F200" s="3"/>
      <c r="G200" s="229"/>
      <c r="H200" s="229"/>
    </row>
    <row r="201" spans="1:8" ht="14.25" customHeight="1">
      <c r="A201" s="2">
        <v>2084009104</v>
      </c>
      <c r="B201" s="2" t="s">
        <v>7697</v>
      </c>
      <c r="C201" s="2" t="s">
        <v>8235</v>
      </c>
      <c r="D201" s="116" t="str">
        <f t="shared" ref="D201:D217" si="20">CONCATENATE("0,","21600,2084009036,",A201)</f>
        <v>0,21600,2084009036,2084009104</v>
      </c>
      <c r="E201" s="3" t="str">
        <f ca="1">IFERROR(__xludf.DUMMYFUNCTION("GOOGLETRANSLATE(B201,""ja"",""vi"")"),"Animation")</f>
        <v>Animation</v>
      </c>
      <c r="F201" s="3" t="str">
        <f ca="1">IFERROR(__xludf.DUMMYFUNCTION("GOOGLETRANSLATE(C201,""ja"",""vi"")"),"Đấu giá&gt; Sách, tạp chí&gt; Nghệ thuật &amp; giải trí&gt; Animation")</f>
        <v>Đấu giá&gt; Sách, tạp chí&gt; Nghệ thuật &amp; giải trí&gt; Animation</v>
      </c>
      <c r="G201" s="229" t="str">
        <f t="shared" ca="1" si="18"/>
        <v>"2084009104" : "Animation",</v>
      </c>
      <c r="H201" s="229" t="str">
        <f t="shared" si="19"/>
        <v>&lt;li class="col-md-3"&gt;&lt;a class="text-cut" href="javascript:;"(click)="categoryEvent(2084009104)"&gt;{{"2084009104" | translate}}&lt;/a&gt;&lt;/li&gt;</v>
      </c>
    </row>
    <row r="202" spans="1:8" ht="14.25" customHeight="1">
      <c r="A202" s="2">
        <v>2084009067</v>
      </c>
      <c r="B202" s="2" t="s">
        <v>7084</v>
      </c>
      <c r="C202" s="2" t="s">
        <v>8237</v>
      </c>
      <c r="D202" s="116" t="str">
        <f t="shared" si="20"/>
        <v>0,21600,2084009036,2084009067</v>
      </c>
      <c r="E202" s="3" t="str">
        <f ca="1">IFERROR(__xludf.DUMMYFUNCTION("GOOGLETRANSLATE(B202,""ja"",""vi"")"),"Chiến lược trò chơi")</f>
        <v>Chiến lược trò chơi</v>
      </c>
      <c r="F202" s="3" t="str">
        <f ca="1">IFERROR(__xludf.DUMMYFUNCTION("GOOGLETRANSLATE(C202,""ja"",""vi"")"),"Đấu giá&gt; cuốn sách, tạp chí&gt; nghệ thuật, vui chơi giải trí&gt; cuốn sách chụp trò chơi")</f>
        <v>Đấu giá&gt; cuốn sách, tạp chí&gt; nghệ thuật, vui chơi giải trí&gt; cuốn sách chụp trò chơi</v>
      </c>
      <c r="G202" s="229" t="str">
        <f t="shared" ca="1" si="18"/>
        <v>"2084009067" : "Chiến lược trò chơi",</v>
      </c>
      <c r="H202" s="229" t="str">
        <f t="shared" si="19"/>
        <v>&lt;li class="col-md-3"&gt;&lt;a class="text-cut" href="javascript:;"(click)="categoryEvent(2084009067)"&gt;{{"2084009067" | translate}}&lt;/a&gt;&lt;/li&gt;</v>
      </c>
    </row>
    <row r="203" spans="1:8" ht="14.25" customHeight="1">
      <c r="A203" s="2">
        <v>2084009063</v>
      </c>
      <c r="B203" s="2" t="s">
        <v>8239</v>
      </c>
      <c r="C203" s="2" t="s">
        <v>8241</v>
      </c>
      <c r="D203" s="116" t="str">
        <f t="shared" si="20"/>
        <v>0,21600,2084009036,2084009063</v>
      </c>
      <c r="E203" s="3" t="str">
        <f ca="1">IFERROR(__xludf.DUMMYFUNCTION("GOOGLETRANSLATE(B203,""ja"",""vi"")"),"thiết kế")</f>
        <v>thiết kế</v>
      </c>
      <c r="F203" s="3" t="str">
        <f ca="1">IFERROR(__xludf.DUMMYFUNCTION("GOOGLETRANSLATE(C203,""ja"",""vi"")"),"Đấu giá&gt; Sách, tạp chí&gt; Nghệ thuật &amp; giải trí&gt; Thiết kế")</f>
        <v>Đấu giá&gt; Sách, tạp chí&gt; Nghệ thuật &amp; giải trí&gt; Thiết kế</v>
      </c>
      <c r="G203" s="229" t="str">
        <f t="shared" ca="1" si="18"/>
        <v>"2084009063" : "thiết kế",</v>
      </c>
      <c r="H203" s="229" t="str">
        <f t="shared" si="19"/>
        <v>&lt;li class="col-md-3"&gt;&lt;a class="text-cut" href="javascript:;"(click)="categoryEvent(2084009063)"&gt;{{"2084009063" | translate}}&lt;/a&gt;&lt;/li&gt;</v>
      </c>
    </row>
    <row r="204" spans="1:8" ht="14.25" customHeight="1">
      <c r="A204" s="2">
        <v>2084008867</v>
      </c>
      <c r="B204" s="2" t="s">
        <v>8242</v>
      </c>
      <c r="C204" s="2" t="s">
        <v>8243</v>
      </c>
      <c r="D204" s="116" t="str">
        <f t="shared" si="20"/>
        <v>0,21600,2084009036,2084008867</v>
      </c>
      <c r="E204" s="3" t="str">
        <f ca="1">IFERROR(__xludf.DUMMYFUNCTION("GOOGLETRANSLATE(B204,""ja"",""vi"")"),"Ballet, múa")</f>
        <v>Ballet, múa</v>
      </c>
      <c r="F204" s="3" t="str">
        <f ca="1">IFERROR(__xludf.DUMMYFUNCTION("GOOGLETRANSLATE(C204,""ja"",""vi"")"),"Đấu giá&gt; Sách, tạp chí&gt; Nghệ thuật &amp; giải trí&gt; ballet, khiêu vũ")</f>
        <v>Đấu giá&gt; Sách, tạp chí&gt; Nghệ thuật &amp; giải trí&gt; ballet, khiêu vũ</v>
      </c>
      <c r="G204" s="229" t="str">
        <f t="shared" ca="1" si="18"/>
        <v>"2084008867" : "Ballet, múa",</v>
      </c>
      <c r="H204" s="229" t="str">
        <f t="shared" si="19"/>
        <v>&lt;li class="col-md-3"&gt;&lt;a class="text-cut" href="javascript:;"(click)="categoryEvent(2084008867)"&gt;{{"2084008867" | translate}}&lt;/a&gt;&lt;/li&gt;</v>
      </c>
    </row>
    <row r="205" spans="1:8" ht="14.25" customHeight="1">
      <c r="A205" s="2">
        <v>21784</v>
      </c>
      <c r="B205" s="2" t="s">
        <v>8244</v>
      </c>
      <c r="C205" s="2" t="s">
        <v>8245</v>
      </c>
      <c r="D205" s="116" t="str">
        <f t="shared" si="20"/>
        <v>0,21600,2084009036,21784</v>
      </c>
      <c r="E205" s="3" t="str">
        <f ca="1">IFERROR(__xludf.DUMMYFUNCTION("GOOGLETRANSLATE(B205,""ja"",""vi"")"),"Phim, truyền hình")</f>
        <v>Phim, truyền hình</v>
      </c>
      <c r="F205" s="3" t="str">
        <f ca="1">IFERROR(__xludf.DUMMYFUNCTION("GOOGLETRANSLATE(C205,""ja"",""vi"")"),"Đấu giá&gt; Sách, tạp chí&gt; Nghệ thuật &amp; giải trí&gt; Phim ảnh, truyền hình")</f>
        <v>Đấu giá&gt; Sách, tạp chí&gt; Nghệ thuật &amp; giải trí&gt; Phim ảnh, truyền hình</v>
      </c>
      <c r="G205" s="229" t="str">
        <f t="shared" ca="1" si="18"/>
        <v>"21784" : "Phim, truyền hình",</v>
      </c>
      <c r="H205" s="229" t="str">
        <f t="shared" si="19"/>
        <v>&lt;li class="col-md-3"&gt;&lt;a class="text-cut" href="javascript:;"(click)="categoryEvent(21784)"&gt;{{"21784" | translate}}&lt;/a&gt;&lt;/li&gt;</v>
      </c>
    </row>
    <row r="206" spans="1:8" ht="14.25" customHeight="1">
      <c r="A206" s="2">
        <v>2084009048</v>
      </c>
      <c r="B206" s="2" t="s">
        <v>8249</v>
      </c>
      <c r="C206" s="2" t="s">
        <v>8250</v>
      </c>
      <c r="D206" s="116" t="str">
        <f t="shared" si="20"/>
        <v>0,21600,2084009036,2084009048</v>
      </c>
      <c r="E206" s="3" t="str">
        <f ca="1">IFERROR(__xludf.DUMMYFUNCTION("GOOGLETRANSLATE(B206,""ja"",""vi"")"),"nhà hát")</f>
        <v>nhà hát</v>
      </c>
      <c r="F206" s="3" t="str">
        <f ca="1">IFERROR(__xludf.DUMMYFUNCTION("GOOGLETRANSLATE(C206,""ja"",""vi"")"),"Đấu giá&gt; Sách, tạp chí&gt; Nghệ thuật &amp; giải trí&gt; Nhà hát")</f>
        <v>Đấu giá&gt; Sách, tạp chí&gt; Nghệ thuật &amp; giải trí&gt; Nhà hát</v>
      </c>
      <c r="G206" s="229" t="str">
        <f t="shared" ca="1" si="18"/>
        <v>"2084009048" : "nhà hát",</v>
      </c>
      <c r="H206" s="229" t="str">
        <f t="shared" si="19"/>
        <v>&lt;li class="col-md-3"&gt;&lt;a class="text-cut" href="javascript:;"(click)="categoryEvent(2084009048)"&gt;{{"2084009048" | translate}}&lt;/a&gt;&lt;/li&gt;</v>
      </c>
    </row>
    <row r="207" spans="1:8" ht="14.25" customHeight="1">
      <c r="A207" s="2">
        <v>21788</v>
      </c>
      <c r="B207" s="2" t="s">
        <v>8252</v>
      </c>
      <c r="C207" s="2" t="s">
        <v>8254</v>
      </c>
      <c r="D207" s="116" t="str">
        <f t="shared" si="20"/>
        <v>0,21600,2084009036,21788</v>
      </c>
      <c r="E207" s="3" t="str">
        <f ca="1">IFERROR(__xludf.DUMMYFUNCTION("GOOGLETRANSLATE(B207,""ja"",""vi"")"),"Âm nhạc, điểm số âm nhạc")</f>
        <v>Âm nhạc, điểm số âm nhạc</v>
      </c>
      <c r="F207" s="3" t="str">
        <f ca="1">IFERROR(__xludf.DUMMYFUNCTION("GOOGLETRANSLATE(C207,""ja"",""vi"")"),"Đấu giá&gt; cuốn sách, tạp chí&gt; nghệ thuật, vui chơi giải trí&gt; âm nhạc, điểm số âm nhạc")</f>
        <v>Đấu giá&gt; cuốn sách, tạp chí&gt; nghệ thuật, vui chơi giải trí&gt; âm nhạc, điểm số âm nhạc</v>
      </c>
      <c r="G207" s="229" t="str">
        <f t="shared" ca="1" si="18"/>
        <v>"21788" : "Âm nhạc, điểm số âm nhạc",</v>
      </c>
      <c r="H207" s="229" t="str">
        <f t="shared" si="19"/>
        <v>&lt;li class="col-md-3"&gt;&lt;a class="text-cut" href="javascript:;"(click)="categoryEvent(21788)"&gt;{{"21788" | translate}}&lt;/a&gt;&lt;/li&gt;</v>
      </c>
    </row>
    <row r="208" spans="1:8" ht="14.25" customHeight="1">
      <c r="A208" s="2">
        <v>2084009054</v>
      </c>
      <c r="B208" s="2" t="s">
        <v>5223</v>
      </c>
      <c r="C208" s="2" t="s">
        <v>8256</v>
      </c>
      <c r="D208" s="116" t="str">
        <f t="shared" si="20"/>
        <v>0,21600,2084009036,2084009054</v>
      </c>
      <c r="E208" s="3" t="str">
        <f ca="1">IFERROR(__xludf.DUMMYFUNCTION("GOOGLETRANSLATE(B208,""ja"",""vi"")"),"hình ảnh")</f>
        <v>hình ảnh</v>
      </c>
      <c r="F208" s="3" t="str">
        <f ca="1">IFERROR(__xludf.DUMMYFUNCTION("GOOGLETRANSLATE(C208,""ja"",""vi"")"),"Đấu giá&gt; Sách, tạp chí&gt; Nghệ thuật &amp; giải trí&gt; Tranh")</f>
        <v>Đấu giá&gt; Sách, tạp chí&gt; Nghệ thuật &amp; giải trí&gt; Tranh</v>
      </c>
      <c r="G208" s="229" t="str">
        <f t="shared" ca="1" si="18"/>
        <v>"2084009054" : "hình ảnh",</v>
      </c>
      <c r="H208" s="229" t="str">
        <f t="shared" si="19"/>
        <v>&lt;li class="col-md-3"&gt;&lt;a class="text-cut" href="javascript:;"(click)="categoryEvent(2084009054)"&gt;{{"2084009054" | translate}}&lt;/a&gt;&lt;/li&gt;</v>
      </c>
    </row>
    <row r="209" spans="1:8" ht="14.25" customHeight="1">
      <c r="A209" s="2">
        <v>2084009053</v>
      </c>
      <c r="B209" s="2" t="s">
        <v>8261</v>
      </c>
      <c r="C209" s="2" t="s">
        <v>8262</v>
      </c>
      <c r="D209" s="116" t="str">
        <f t="shared" si="20"/>
        <v>0,21600,2084009036,2084009053</v>
      </c>
      <c r="E209" s="3" t="str">
        <f ca="1">IFERROR(__xludf.DUMMYFUNCTION("GOOGLETRANSLATE(B209,""ja"",""vi"")"),"Nghệ thuật, lịch sử nghệ thuật")</f>
        <v>Nghệ thuật, lịch sử nghệ thuật</v>
      </c>
      <c r="F209" s="3" t="str">
        <f ca="1">IFERROR(__xludf.DUMMYFUNCTION("GOOGLETRANSLATE(C209,""ja"",""vi"")"),"Đấu giá&gt; Sách, tạp chí&gt; Nghệ thuật &amp; giải trí&gt; Nghệ thuật, Lịch sử Nghệ thuật")</f>
        <v>Đấu giá&gt; Sách, tạp chí&gt; Nghệ thuật &amp; giải trí&gt; Nghệ thuật, Lịch sử Nghệ thuật</v>
      </c>
      <c r="G209" s="229" t="str">
        <f t="shared" ca="1" si="18"/>
        <v>"2084009053" : "Nghệ thuật, lịch sử nghệ thuật",</v>
      </c>
      <c r="H209" s="229" t="str">
        <f t="shared" si="19"/>
        <v>&lt;li class="col-md-3"&gt;&lt;a class="text-cut" href="javascript:;"(click)="categoryEvent(2084009053)"&gt;{{"2084009053" | translate}}&lt;/a&gt;&lt;/li&gt;</v>
      </c>
    </row>
    <row r="210" spans="1:8" ht="14.25" customHeight="1">
      <c r="A210" s="2">
        <v>2084009065</v>
      </c>
      <c r="B210" s="2" t="s">
        <v>5245</v>
      </c>
      <c r="C210" s="2" t="s">
        <v>8265</v>
      </c>
      <c r="D210" s="116" t="str">
        <f t="shared" si="20"/>
        <v>0,21600,2084009036,2084009065</v>
      </c>
      <c r="E210" s="3" t="str">
        <f ca="1">IFERROR(__xludf.DUMMYFUNCTION("GOOGLETRANSLATE(B210,""ja"",""vi"")"),"đồ thủ công")</f>
        <v>đồ thủ công</v>
      </c>
      <c r="F210" s="3" t="str">
        <f ca="1">IFERROR(__xludf.DUMMYFUNCTION("GOOGLETRANSLATE(C210,""ja"",""vi"")"),"Đấu giá&gt; Sách, tạp chí&gt; Nghệ thuật &amp; giải trí&gt; Thủ công mỹ nghệ")</f>
        <v>Đấu giá&gt; Sách, tạp chí&gt; Nghệ thuật &amp; giải trí&gt; Thủ công mỹ nghệ</v>
      </c>
      <c r="G210" s="229" t="str">
        <f t="shared" ca="1" si="18"/>
        <v>"2084009065" : "đồ thủ công",</v>
      </c>
      <c r="H210" s="229" t="str">
        <f t="shared" si="19"/>
        <v>&lt;li class="col-md-3"&gt;&lt;a class="text-cut" href="javascript:;"(click)="categoryEvent(2084009065)"&gt;{{"2084009065" | translate}}&lt;/a&gt;&lt;/li&gt;</v>
      </c>
    </row>
    <row r="211" spans="1:8" ht="14.25" customHeight="1">
      <c r="A211" s="2">
        <v>2084009064</v>
      </c>
      <c r="B211" s="2" t="s">
        <v>8266</v>
      </c>
      <c r="C211" s="2" t="s">
        <v>8267</v>
      </c>
      <c r="D211" s="116" t="str">
        <f t="shared" si="20"/>
        <v>0,21600,2084009036,2084009064</v>
      </c>
      <c r="E211" s="3" t="str">
        <f ca="1">IFERROR(__xludf.DUMMYFUNCTION("GOOGLETRANSLATE(B211,""ja"",""vi"")"),"ảnh kỹ thuật")</f>
        <v>ảnh kỹ thuật</v>
      </c>
      <c r="F211" s="3" t="str">
        <f ca="1">IFERROR(__xludf.DUMMYFUNCTION("GOOGLETRANSLATE(C211,""ja"",""vi"")"),"Đấu giá&gt; Sách, tạp chí&gt; Nghệ thuật &amp; giải trí&gt; Ảnh kỹ thuật")</f>
        <v>Đấu giá&gt; Sách, tạp chí&gt; Nghệ thuật &amp; giải trí&gt; Ảnh kỹ thuật</v>
      </c>
      <c r="G211" s="229" t="str">
        <f t="shared" ca="1" si="18"/>
        <v>"2084009064" : "ảnh kỹ thuật",</v>
      </c>
      <c r="H211" s="229" t="str">
        <f t="shared" si="19"/>
        <v>&lt;li class="col-md-3"&gt;&lt;a class="text-cut" href="javascript:;"(click)="categoryEvent(2084009064)"&gt;{{"2084009064" | translate}}&lt;/a&gt;&lt;/li&gt;</v>
      </c>
    </row>
    <row r="212" spans="1:8" ht="14.25" customHeight="1">
      <c r="A212" s="2">
        <v>21604</v>
      </c>
      <c r="B212" s="2" t="s">
        <v>1069</v>
      </c>
      <c r="C212" s="2" t="s">
        <v>8273</v>
      </c>
      <c r="D212" s="116" t="str">
        <f t="shared" si="20"/>
        <v>0,21600,2084009036,21604</v>
      </c>
      <c r="E212" s="3" t="str">
        <f ca="1">IFERROR(__xludf.DUMMYFUNCTION("GOOGLETRANSLATE(B212,""ja"",""vi"")"),"PHOTO ALBUM")</f>
        <v>PHOTO ALBUM</v>
      </c>
      <c r="F212" s="3" t="str">
        <f ca="1">IFERROR(__xludf.DUMMYFUNCTION("GOOGLETRANSLATE(C212,""ja"",""vi"")"),"Đấu giá&gt; Sách, tạp chí&gt; Nghệ thuật &amp; giải trí&gt; Hình ảnh")</f>
        <v>Đấu giá&gt; Sách, tạp chí&gt; Nghệ thuật &amp; giải trí&gt; Hình ảnh</v>
      </c>
      <c r="G212" s="229" t="str">
        <f t="shared" ca="1" si="18"/>
        <v>"21604" : "PHOTO ALBUM",</v>
      </c>
      <c r="H212" s="229" t="str">
        <f t="shared" si="19"/>
        <v>&lt;li class="col-md-3"&gt;&lt;a class="text-cut" href="javascript:;"(click)="categoryEvent(21604)"&gt;{{"21604" | translate}}&lt;/a&gt;&lt;/li&gt;</v>
      </c>
    </row>
    <row r="213" spans="1:8" ht="14.25" customHeight="1">
      <c r="A213" s="2">
        <v>2084009062</v>
      </c>
      <c r="B213" s="2" t="s">
        <v>8278</v>
      </c>
      <c r="C213" s="2" t="s">
        <v>8281</v>
      </c>
      <c r="D213" s="116" t="str">
        <f t="shared" si="20"/>
        <v>0,21600,2084009036,2084009062</v>
      </c>
      <c r="E213" s="3" t="str">
        <f ca="1">IFERROR(__xludf.DUMMYFUNCTION("GOOGLETRANSLATE(B213,""ja"",""vi"")"),"Thư pháp")</f>
        <v>Thư pháp</v>
      </c>
      <c r="F213" s="3" t="str">
        <f ca="1">IFERROR(__xludf.DUMMYFUNCTION("GOOGLETRANSLATE(C213,""ja"",""vi"")"),"Đấu giá&gt; Sách, tạp chí&gt; Nghệ thuật &amp; giải trí&gt; Thư pháp")</f>
        <v>Đấu giá&gt; Sách, tạp chí&gt; Nghệ thuật &amp; giải trí&gt; Thư pháp</v>
      </c>
      <c r="G213" s="229" t="str">
        <f t="shared" ca="1" si="18"/>
        <v>"2084009062" : "Thư pháp",</v>
      </c>
      <c r="H213" s="229" t="str">
        <f t="shared" si="19"/>
        <v>&lt;li class="col-md-3"&gt;&lt;a class="text-cut" href="javascript:;"(click)="categoryEvent(2084009062)"&gt;{{"2084009062" | translate}}&lt;/a&gt;&lt;/li&gt;</v>
      </c>
    </row>
    <row r="214" spans="1:8" ht="14.25" customHeight="1">
      <c r="A214" s="2">
        <v>2084049929</v>
      </c>
      <c r="B214" s="2" t="s">
        <v>8286</v>
      </c>
      <c r="C214" s="2" t="s">
        <v>8287</v>
      </c>
      <c r="D214" s="116" t="str">
        <f t="shared" si="20"/>
        <v>0,21600,2084009036,2084049929</v>
      </c>
      <c r="E214" s="3" t="str">
        <f ca="1">IFERROR(__xludf.DUMMYFUNCTION("GOOGLETRANSLATE(B214,""ja"",""vi"")"),"tinh thần thế giới")</f>
        <v>tinh thần thế giới</v>
      </c>
      <c r="F214" s="3" t="str">
        <f ca="1">IFERROR(__xludf.DUMMYFUNCTION("GOOGLETRANSLATE(C214,""ja"",""vi"")"),"Đấu giá&gt; Sách, tạp chí&gt; Nghệ thuật &amp; giải trí&gt; tinh thần thế giới")</f>
        <v>Đấu giá&gt; Sách, tạp chí&gt; Nghệ thuật &amp; giải trí&gt; tinh thần thế giới</v>
      </c>
      <c r="G214" s="229" t="str">
        <f t="shared" ca="1" si="18"/>
        <v>"2084049929" : "tinh thần thế giới",</v>
      </c>
      <c r="H214" s="229" t="str">
        <f t="shared" si="19"/>
        <v>&lt;li class="col-md-3"&gt;&lt;a class="text-cut" href="javascript:;"(click)="categoryEvent(2084049929)"&gt;{{"2084049929" | translate}}&lt;/a&gt;&lt;/li&gt;</v>
      </c>
    </row>
    <row r="215" spans="1:8" ht="14.25" customHeight="1">
      <c r="A215" s="2">
        <v>2084047045</v>
      </c>
      <c r="B215" s="2" t="s">
        <v>8292</v>
      </c>
      <c r="C215" s="2" t="s">
        <v>8294</v>
      </c>
      <c r="D215" s="116" t="str">
        <f t="shared" si="20"/>
        <v>0,21600,2084009036,2084047045</v>
      </c>
      <c r="E215" s="3" t="str">
        <f ca="1">IFERROR(__xludf.DUMMYFUNCTION("GOOGLETRANSLATE(B215,""ja"",""vi"")"),"nghệ thuật truyền thống, người kể chuyện")</f>
        <v>nghệ thuật truyền thống, người kể chuyện</v>
      </c>
      <c r="F215" s="3" t="str">
        <f ca="1">IFERROR(__xludf.DUMMYFUNCTION("GOOGLETRANSLATE(C215,""ja"",""vi"")"),"Đấu giá&gt; Sách, tạp chí&gt; Nghệ thuật &amp; giải trí&gt; nghệ thuật truyền thống, người kể chuyện")</f>
        <v>Đấu giá&gt; Sách, tạp chí&gt; Nghệ thuật &amp; giải trí&gt; nghệ thuật truyền thống, người kể chuyện</v>
      </c>
      <c r="G215" s="229" t="str">
        <f t="shared" ca="1" si="18"/>
        <v>"2084047045" : "nghệ thuật truyền thống, người kể chuyện",</v>
      </c>
      <c r="H215" s="229" t="str">
        <f t="shared" si="19"/>
        <v>&lt;li class="col-md-3"&gt;&lt;a class="text-cut" href="javascript:;"(click)="categoryEvent(2084047045)"&gt;{{"2084047045" | translate}}&lt;/a&gt;&lt;/li&gt;</v>
      </c>
    </row>
    <row r="216" spans="1:8" ht="14.25" customHeight="1">
      <c r="A216" s="2">
        <v>2084009058</v>
      </c>
      <c r="B216" s="2" t="s">
        <v>8298</v>
      </c>
      <c r="C216" s="2" t="s">
        <v>8299</v>
      </c>
      <c r="D216" s="116" t="str">
        <f t="shared" si="20"/>
        <v>0,21600,2084009036,2084009058</v>
      </c>
      <c r="E216" s="3" t="str">
        <f ca="1">IFERROR(__xludf.DUMMYFUNCTION("GOOGLETRANSLATE(B216,""ja"",""vi"")"),"Printmaking, điêu khắc")</f>
        <v>Printmaking, điêu khắc</v>
      </c>
      <c r="F216" s="3" t="str">
        <f ca="1">IFERROR(__xludf.DUMMYFUNCTION("GOOGLETRANSLATE(C216,""ja"",""vi"")"),"Đấu giá&gt; Sách, tạp chí&gt; Nghệ thuật &amp; giải trí&gt; in, điêu khắc")</f>
        <v>Đấu giá&gt; Sách, tạp chí&gt; Nghệ thuật &amp; giải trí&gt; in, điêu khắc</v>
      </c>
      <c r="G216" s="229" t="str">
        <f t="shared" ca="1" si="18"/>
        <v>"2084009058" : "Printmaking, điêu khắc",</v>
      </c>
      <c r="H216" s="229" t="str">
        <f t="shared" si="19"/>
        <v>&lt;li class="col-md-3"&gt;&lt;a class="text-cut" href="javascript:;"(click)="categoryEvent(2084009058)"&gt;{{"2084009058" | translate}}&lt;/a&gt;&lt;/li&gt;</v>
      </c>
    </row>
    <row r="217" spans="1:8" ht="14.25" customHeight="1">
      <c r="A217" s="2">
        <v>2084315461</v>
      </c>
      <c r="B217" s="2" t="s">
        <v>16</v>
      </c>
      <c r="C217" s="2" t="s">
        <v>8307</v>
      </c>
      <c r="D217" s="116" t="str">
        <f t="shared" si="20"/>
        <v>0,21600,2084009036,2084315461</v>
      </c>
      <c r="E217" s="3" t="str">
        <f ca="1">IFERROR(__xludf.DUMMYFUNCTION("GOOGLETRANSLATE(B217,""ja"",""vi"")"),"nếu không thì")</f>
        <v>nếu không thì</v>
      </c>
      <c r="F217" s="3" t="str">
        <f ca="1">IFERROR(__xludf.DUMMYFUNCTION("GOOGLETRANSLATE(C217,""ja"",""vi"")"),"Đấu giá&gt; Sách, tạp chí&gt; Nghệ thuật &amp; giải trí&gt; Khác")</f>
        <v>Đấu giá&gt; Sách, tạp chí&gt; Nghệ thuật &amp; giải trí&gt; Khác</v>
      </c>
      <c r="G217" s="229" t="str">
        <f t="shared" ca="1" si="18"/>
        <v>"2084315461" : "nếu không thì",</v>
      </c>
      <c r="H217" s="229" t="str">
        <f t="shared" si="19"/>
        <v>&lt;li class="col-md-3"&gt;&lt;a class="text-cut" href="javascript:;"(click)="categoryEvent(2084315461)"&gt;{{"2084315461" | translate}}&lt;/a&gt;&lt;/li&gt;</v>
      </c>
    </row>
    <row r="218" spans="1:8" ht="14.25" customHeight="1">
      <c r="E218" s="3"/>
      <c r="F218" s="3"/>
      <c r="G218" s="229"/>
      <c r="H218" s="229"/>
    </row>
    <row r="219" spans="1:8" ht="14.25" customHeight="1">
      <c r="E219" s="3"/>
      <c r="F219" s="3"/>
      <c r="G219" s="229"/>
      <c r="H219" s="229"/>
    </row>
    <row r="220" spans="1:8" ht="14.25" customHeight="1">
      <c r="A220" s="249">
        <v>2084008755</v>
      </c>
      <c r="B220" s="232"/>
      <c r="C220" s="232"/>
      <c r="D220" s="233"/>
      <c r="E220" s="3"/>
      <c r="F220" s="3"/>
      <c r="G220" s="229"/>
      <c r="H220" s="229"/>
    </row>
    <row r="221" spans="1:8" ht="14.25" customHeight="1">
      <c r="A221" s="83">
        <v>21620</v>
      </c>
      <c r="B221" s="83" t="s">
        <v>8325</v>
      </c>
      <c r="C221" s="83" t="s">
        <v>8327</v>
      </c>
      <c r="D221" s="116" t="str">
        <f t="shared" ref="D221:D224" si="21">CONCATENATE("0,","21600,2084008755,",A221)</f>
        <v>0,21600,2084008755,21620</v>
      </c>
      <c r="E221" s="3" t="str">
        <f ca="1">IFERROR(__xludf.DUMMYFUNCTION("GOOGLETRANSLATE(B221,""ja"",""vi"")"),"kinh doanh")</f>
        <v>kinh doanh</v>
      </c>
      <c r="F221" s="3" t="str">
        <f ca="1">IFERROR(__xludf.DUMMYFUNCTION("GOOGLETRANSLATE(C221,""ja"",""vi"")"),"Đấu giá&gt; cuốn sách, tạp chí&gt; kinh doanh, kinh tế&gt; Kinh doanh")</f>
        <v>Đấu giá&gt; cuốn sách, tạp chí&gt; kinh doanh, kinh tế&gt; Kinh doanh</v>
      </c>
      <c r="G221" s="229" t="str">
        <f t="shared" ca="1" si="18"/>
        <v>"21620" : "kinh doanh",</v>
      </c>
      <c r="H221" s="229" t="str">
        <f t="shared" si="19"/>
        <v>&lt;li class="col-md-3"&gt;&lt;a class="text-cut" href="javascript:;"(click)="categoryEvent(21620)"&gt;{{"21620" | translate}}&lt;/a&gt;&lt;/li&gt;</v>
      </c>
    </row>
    <row r="222" spans="1:8" ht="14.25" customHeight="1">
      <c r="A222" s="83">
        <v>2084008767</v>
      </c>
      <c r="B222" s="83" t="s">
        <v>8335</v>
      </c>
      <c r="C222" s="83" t="s">
        <v>8337</v>
      </c>
      <c r="D222" s="116" t="str">
        <f t="shared" si="21"/>
        <v>0,21600,2084008755,2084008767</v>
      </c>
      <c r="E222" s="3" t="str">
        <f ca="1">IFERROR(__xludf.DUMMYFUNCTION("GOOGLETRANSLATE(B222,""ja"",""vi"")"),"kiểm tra trình độ chuyên môn")</f>
        <v>kiểm tra trình độ chuyên môn</v>
      </c>
      <c r="F222" s="3" t="str">
        <f ca="1">IFERROR(__xludf.DUMMYFUNCTION("GOOGLETRANSLATE(C222,""ja"",""vi"")"),"Đấu giá&gt; cuốn sách, tạp chí&gt; kinh doanh, kinh tế&gt; kiểm tra đủ điều kiện")</f>
        <v>Đấu giá&gt; cuốn sách, tạp chí&gt; kinh doanh, kinh tế&gt; kiểm tra đủ điều kiện</v>
      </c>
      <c r="G222" s="229" t="str">
        <f t="shared" ca="1" si="18"/>
        <v>"2084008767" : "kiểm tra trình độ chuyên môn",</v>
      </c>
      <c r="H222" s="229" t="str">
        <f t="shared" si="19"/>
        <v>&lt;li class="col-md-3"&gt;&lt;a class="text-cut" href="javascript:;"(click)="categoryEvent(2084008767)"&gt;{{"2084008767" | translate}}&lt;/a&gt;&lt;/li&gt;</v>
      </c>
    </row>
    <row r="223" spans="1:8" ht="14.25" customHeight="1">
      <c r="A223" s="83">
        <v>2084008777</v>
      </c>
      <c r="B223" s="83" t="s">
        <v>8341</v>
      </c>
      <c r="C223" s="83" t="s">
        <v>8342</v>
      </c>
      <c r="D223" s="116" t="str">
        <f t="shared" si="21"/>
        <v>0,21600,2084008755,2084008777</v>
      </c>
      <c r="E223" s="3" t="str">
        <f ca="1">IFERROR(__xludf.DUMMYFUNCTION("GOOGLETRANSLATE(B223,""ja"",""vi"")"),"kiểm tra việc làm")</f>
        <v>kiểm tra việc làm</v>
      </c>
      <c r="F223" s="3" t="str">
        <f ca="1">IFERROR(__xludf.DUMMYFUNCTION("GOOGLETRANSLATE(C223,""ja"",""vi"")"),"Đấu giá&gt; cuốn sách, tạp chí&gt; kinh doanh, kinh tế&gt; kiểm tra việc làm")</f>
        <v>Đấu giá&gt; cuốn sách, tạp chí&gt; kinh doanh, kinh tế&gt; kiểm tra việc làm</v>
      </c>
      <c r="G223" s="229" t="str">
        <f t="shared" ca="1" si="18"/>
        <v>"2084008777" : "kiểm tra việc làm",</v>
      </c>
      <c r="H223" s="229" t="str">
        <f t="shared" si="19"/>
        <v>&lt;li class="col-md-3"&gt;&lt;a class="text-cut" href="javascript:;"(click)="categoryEvent(2084008777)"&gt;{{"2084008777" | translate}}&lt;/a&gt;&lt;/li&gt;</v>
      </c>
    </row>
    <row r="224" spans="1:8" ht="14.25" customHeight="1">
      <c r="A224" s="83">
        <v>2084008753</v>
      </c>
      <c r="B224" s="83" t="s">
        <v>8346</v>
      </c>
      <c r="C224" s="83" t="s">
        <v>8347</v>
      </c>
      <c r="D224" s="116" t="str">
        <f t="shared" si="21"/>
        <v>0,21600,2084008755,2084008753</v>
      </c>
      <c r="E224" s="3" t="str">
        <f ca="1">IFERROR(__xludf.DUMMYFUNCTION("GOOGLETRANSLATE(B224,""ja"",""vi"")"),"kinh tế học")</f>
        <v>kinh tế học</v>
      </c>
      <c r="F224" s="3" t="str">
        <f ca="1">IFERROR(__xludf.DUMMYFUNCTION("GOOGLETRANSLATE(C224,""ja"",""vi"")"),"Đấu giá&gt; cuốn sách, tạp chí&gt; kinh doanh, kinh tế&gt; Kinh tế")</f>
        <v>Đấu giá&gt; cuốn sách, tạp chí&gt; kinh doanh, kinh tế&gt; Kinh tế</v>
      </c>
      <c r="G224" s="229" t="str">
        <f t="shared" ca="1" si="18"/>
        <v>"2084008753" : "kinh tế học",</v>
      </c>
      <c r="H224" s="229" t="str">
        <f t="shared" si="19"/>
        <v>&lt;li class="col-md-3"&gt;&lt;a class="text-cut" href="javascript:;"(click)="categoryEvent(2084008753)"&gt;{{"2084008753" | translate}}&lt;/a&gt;&lt;/li&gt;</v>
      </c>
    </row>
    <row r="225" spans="1:8" ht="14.25" customHeight="1">
      <c r="E225" s="3"/>
      <c r="F225" s="3"/>
      <c r="G225" s="229"/>
      <c r="H225" s="229"/>
    </row>
    <row r="226" spans="1:8" ht="14.25" customHeight="1">
      <c r="E226" s="3"/>
      <c r="F226" s="3"/>
      <c r="G226" s="229"/>
      <c r="H226" s="229"/>
    </row>
    <row r="227" spans="1:8" ht="14.25" customHeight="1">
      <c r="A227" s="250">
        <v>2084008565</v>
      </c>
      <c r="B227" s="232"/>
      <c r="C227" s="232"/>
      <c r="D227" s="233"/>
      <c r="E227" s="3"/>
      <c r="F227" s="3"/>
      <c r="G227" s="229"/>
      <c r="H227" s="229"/>
    </row>
    <row r="228" spans="1:8" ht="14.25" customHeight="1">
      <c r="A228" s="2">
        <v>21720</v>
      </c>
      <c r="B228" s="2" t="s">
        <v>8066</v>
      </c>
      <c r="C228" s="2" t="s">
        <v>8360</v>
      </c>
      <c r="D228" s="116" t="str">
        <f t="shared" ref="D228:D242" si="22">CONCATENATE("0,","21600,2084008565,",A228)</f>
        <v>0,21600,2084008565,21720</v>
      </c>
      <c r="E228" s="3" t="str">
        <f ca="1">IFERROR(__xludf.DUMMYFUNCTION("GOOGLETRANSLATE(B228,""ja"",""vi"")"),"nghiên cứu ngôn ngữ")</f>
        <v>nghiên cứu ngôn ngữ</v>
      </c>
      <c r="F228" s="3" t="str">
        <f ca="1">IFERROR(__xludf.DUMMYFUNCTION("GOOGLETRANSLATE(C228,""ja"",""vi"")"),"Đấu giá&gt; cuốn sách, tạp chí&gt; nhân văn, xã hội&gt; Ngôn ngữ")</f>
        <v>Đấu giá&gt; cuốn sách, tạp chí&gt; nhân văn, xã hội&gt; Ngôn ngữ</v>
      </c>
      <c r="G228" s="229" t="str">
        <f t="shared" ca="1" si="18"/>
        <v>"21720" : "nghiên cứu ngôn ngữ",</v>
      </c>
      <c r="H228" s="229" t="str">
        <f t="shared" si="19"/>
        <v>&lt;li class="col-md-3"&gt;&lt;a class="text-cut" href="javascript:;"(click)="categoryEvent(21720)"&gt;{{"21720" | translate}}&lt;/a&gt;&lt;/li&gt;</v>
      </c>
    </row>
    <row r="229" spans="1:8" ht="14.25" customHeight="1">
      <c r="A229" s="2">
        <v>21808</v>
      </c>
      <c r="B229" s="2" t="s">
        <v>8365</v>
      </c>
      <c r="C229" s="2" t="s">
        <v>8367</v>
      </c>
      <c r="D229" s="116" t="str">
        <f t="shared" si="22"/>
        <v>0,21600,2084008565,21808</v>
      </c>
      <c r="E229" s="3" t="str">
        <f ca="1">IFERROR(__xludf.DUMMYFUNCTION("GOOGLETRANSLATE(B229,""ja"",""vi"")"),"tôn giáo")</f>
        <v>tôn giáo</v>
      </c>
      <c r="F229" s="3" t="str">
        <f ca="1">IFERROR(__xludf.DUMMYFUNCTION("GOOGLETRANSLATE(C229,""ja"",""vi"")"),"Đấu giá&gt; cuốn sách, tạp chí&gt; nhân văn, xã hội&gt; tôn giáo")</f>
        <v>Đấu giá&gt; cuốn sách, tạp chí&gt; nhân văn, xã hội&gt; tôn giáo</v>
      </c>
      <c r="G229" s="229" t="str">
        <f t="shared" ca="1" si="18"/>
        <v>"21808" : "tôn giáo",</v>
      </c>
      <c r="H229" s="229" t="str">
        <f t="shared" si="19"/>
        <v>&lt;li class="col-md-3"&gt;&lt;a class="text-cut" href="javascript:;"(click)="categoryEvent(21808)"&gt;{{"21808" | translate}}&lt;/a&gt;&lt;/li&gt;</v>
      </c>
    </row>
    <row r="230" spans="1:8" ht="14.25" customHeight="1">
      <c r="A230" s="2">
        <v>2084008566</v>
      </c>
      <c r="B230" s="2" t="s">
        <v>8370</v>
      </c>
      <c r="C230" s="2" t="s">
        <v>8371</v>
      </c>
      <c r="D230" s="116" t="str">
        <f t="shared" si="22"/>
        <v>0,21600,2084008565,2084008566</v>
      </c>
      <c r="E230" s="3" t="str">
        <f ca="1">IFERROR(__xludf.DUMMYFUNCTION("GOOGLETRANSLATE(B230,""ja"",""vi"")"),"tâm lý học")</f>
        <v>tâm lý học</v>
      </c>
      <c r="F230" s="3" t="str">
        <f ca="1">IFERROR(__xludf.DUMMYFUNCTION("GOOGLETRANSLATE(C230,""ja"",""vi"")"),"Đấu giá&gt; cuốn sách, tạp chí&gt; nhân văn, xã hội&gt; Tâm lý học")</f>
        <v>Đấu giá&gt; cuốn sách, tạp chí&gt; nhân văn, xã hội&gt; Tâm lý học</v>
      </c>
      <c r="G230" s="229" t="str">
        <f t="shared" ca="1" si="18"/>
        <v>"2084008566" : "tâm lý học",</v>
      </c>
      <c r="H230" s="229" t="str">
        <f t="shared" si="19"/>
        <v>&lt;li class="col-md-3"&gt;&lt;a class="text-cut" href="javascript:;"(click)="categoryEvent(2084008566)"&gt;{{"2084008566" | translate}}&lt;/a&gt;&lt;/li&gt;</v>
      </c>
    </row>
    <row r="231" spans="1:8" ht="14.25" customHeight="1">
      <c r="A231" s="2">
        <v>2084008570</v>
      </c>
      <c r="B231" s="2" t="s">
        <v>8375</v>
      </c>
      <c r="C231" s="2" t="s">
        <v>8376</v>
      </c>
      <c r="D231" s="116" t="str">
        <f t="shared" si="22"/>
        <v>0,21600,2084008565,2084008570</v>
      </c>
      <c r="E231" s="3" t="str">
        <f ca="1">IFERROR(__xludf.DUMMYFUNCTION("GOOGLETRANSLATE(B231,""ja"",""vi"")"),"Thư viện, Bảo tàng")</f>
        <v>Thư viện, Bảo tàng</v>
      </c>
      <c r="F231" s="3" t="str">
        <f ca="1">IFERROR(__xludf.DUMMYFUNCTION("GOOGLETRANSLATE(C231,""ja"",""vi"")"),"Đấu giá&gt; cuốn sách, tạp chí&gt; nhân văn, xã hội&gt; Thư viện, Bảo tàng")</f>
        <v>Đấu giá&gt; cuốn sách, tạp chí&gt; nhân văn, xã hội&gt; Thư viện, Bảo tàng</v>
      </c>
      <c r="G231" s="229" t="str">
        <f t="shared" ca="1" si="18"/>
        <v>"2084008570" : "Thư viện, Bảo tàng",</v>
      </c>
      <c r="H231" s="229" t="str">
        <f t="shared" si="19"/>
        <v>&lt;li class="col-md-3"&gt;&lt;a class="text-cut" href="javascript:;"(click)="categoryEvent(2084008570)"&gt;{{"2084008570" | translate}}&lt;/a&gt;&lt;/li&gt;</v>
      </c>
    </row>
    <row r="232" spans="1:8" ht="14.25" customHeight="1">
      <c r="A232" s="2">
        <v>2084008567</v>
      </c>
      <c r="B232" s="2" t="s">
        <v>8378</v>
      </c>
      <c r="C232" s="2" t="s">
        <v>8380</v>
      </c>
      <c r="D232" s="116" t="str">
        <f t="shared" si="22"/>
        <v>0,21600,2084008565,2084008567</v>
      </c>
      <c r="E232" s="3" t="str">
        <f ca="1">IFERROR(__xludf.DUMMYFUNCTION("GOOGLETRANSLATE(B232,""ja"",""vi"")"),"Triết học, tư tưởng")</f>
        <v>Triết học, tư tưởng</v>
      </c>
      <c r="F232" s="3" t="str">
        <f ca="1">IFERROR(__xludf.DUMMYFUNCTION("GOOGLETRANSLATE(C232,""ja"",""vi"")"),"Đấu giá&gt; cuốn sách, tạp chí&gt; nhân văn, xã hội&gt; triết học, tư tưởng")</f>
        <v>Đấu giá&gt; cuốn sách, tạp chí&gt; nhân văn, xã hội&gt; triết học, tư tưởng</v>
      </c>
      <c r="G232" s="229" t="str">
        <f t="shared" ca="1" si="18"/>
        <v>"2084008567" : "Triết học, tư tưởng",</v>
      </c>
      <c r="H232" s="229" t="str">
        <f t="shared" si="19"/>
        <v>&lt;li class="col-md-3"&gt;&lt;a class="text-cut" href="javascript:;"(click)="categoryEvent(2084008567)"&gt;{{"2084008567" | translate}}&lt;/a&gt;&lt;/li&gt;</v>
      </c>
    </row>
    <row r="233" spans="1:8" ht="14.25" customHeight="1">
      <c r="A233" s="2">
        <v>2084008754</v>
      </c>
      <c r="B233" s="2" t="s">
        <v>2343</v>
      </c>
      <c r="C233" s="2" t="s">
        <v>8385</v>
      </c>
      <c r="D233" s="116" t="str">
        <f t="shared" si="22"/>
        <v>0,21600,2084008565,2084008754</v>
      </c>
      <c r="E233" s="3" t="str">
        <f ca="1">IFERROR(__xludf.DUMMYFUNCTION("GOOGLETRANSLATE(B233,""ja"",""vi"")"),"Quản trị kinh doanh")</f>
        <v>Quản trị kinh doanh</v>
      </c>
      <c r="F233" s="3" t="str">
        <f ca="1">IFERROR(__xludf.DUMMYFUNCTION("GOOGLETRANSLATE(C233,""ja"",""vi"")"),"Đấu giá&gt; cuốn sách, tạp chí&gt; nhân văn, xã hội&gt; Quản Trị Kinh Doanh")</f>
        <v>Đấu giá&gt; cuốn sách, tạp chí&gt; nhân văn, xã hội&gt; Quản Trị Kinh Doanh</v>
      </c>
      <c r="G233" s="229" t="str">
        <f t="shared" ca="1" si="18"/>
        <v>"2084008754" : "Quản trị kinh doanh",</v>
      </c>
      <c r="H233" s="229" t="str">
        <f t="shared" si="19"/>
        <v>&lt;li class="col-md-3"&gt;&lt;a class="text-cut" href="javascript:;"(click)="categoryEvent(2084008754)"&gt;{{"2084008754" | translate}}&lt;/a&gt;&lt;/li&gt;</v>
      </c>
    </row>
    <row r="234" spans="1:8" ht="14.25" customHeight="1">
      <c r="A234" s="2">
        <v>2084008753</v>
      </c>
      <c r="B234" s="2" t="s">
        <v>8346</v>
      </c>
      <c r="C234" s="2" t="s">
        <v>8390</v>
      </c>
      <c r="D234" s="116" t="str">
        <f t="shared" si="22"/>
        <v>0,21600,2084008565,2084008753</v>
      </c>
      <c r="E234" s="3" t="str">
        <f ca="1">IFERROR(__xludf.DUMMYFUNCTION("GOOGLETRANSLATE(B234,""ja"",""vi"")"),"kinh tế học")</f>
        <v>kinh tế học</v>
      </c>
      <c r="F234" s="3" t="str">
        <f ca="1">IFERROR(__xludf.DUMMYFUNCTION("GOOGLETRANSLATE(C234,""ja"",""vi"")"),"Đấu giá&gt; cuốn sách, tạp chí&gt; nhân văn, xã hội&gt; Kinh tế")</f>
        <v>Đấu giá&gt; cuốn sách, tạp chí&gt; nhân văn, xã hội&gt; Kinh tế</v>
      </c>
      <c r="G234" s="229" t="str">
        <f t="shared" ca="1" si="18"/>
        <v>"2084008753" : "kinh tế học",</v>
      </c>
      <c r="H234" s="229" t="str">
        <f t="shared" si="19"/>
        <v>&lt;li class="col-md-3"&gt;&lt;a class="text-cut" href="javascript:;"(click)="categoryEvent(2084008753)"&gt;{{"2084008753" | translate}}&lt;/a&gt;&lt;/li&gt;</v>
      </c>
    </row>
    <row r="235" spans="1:8" ht="14.25" customHeight="1">
      <c r="A235" s="2">
        <v>2084047378</v>
      </c>
      <c r="B235" s="2" t="s">
        <v>8395</v>
      </c>
      <c r="C235" s="2" t="s">
        <v>8396</v>
      </c>
      <c r="D235" s="116" t="str">
        <f t="shared" si="22"/>
        <v>0,21600,2084008565,2084047378</v>
      </c>
      <c r="E235" s="3" t="str">
        <f ca="1">IFERROR(__xludf.DUMMYFUNCTION("GOOGLETRANSLATE(B235,""ja"",""vi"")"),"xã hội học")</f>
        <v>xã hội học</v>
      </c>
      <c r="F235" s="3" t="str">
        <f ca="1">IFERROR(__xludf.DUMMYFUNCTION("GOOGLETRANSLATE(C235,""ja"",""vi"")"),"Đấu giá&gt; cuốn sách, tạp chí&gt; nhân văn, xã hội&gt; Xã hội học")</f>
        <v>Đấu giá&gt; cuốn sách, tạp chí&gt; nhân văn, xã hội&gt; Xã hội học</v>
      </c>
      <c r="G235" s="229" t="str">
        <f t="shared" ca="1" si="18"/>
        <v>"2084047378" : "xã hội học",</v>
      </c>
      <c r="H235" s="229" t="str">
        <f t="shared" si="19"/>
        <v>&lt;li class="col-md-3"&gt;&lt;a class="text-cut" href="javascript:;"(click)="categoryEvent(2084047378)"&gt;{{"2084047378" | translate}}&lt;/a&gt;&lt;/li&gt;</v>
      </c>
    </row>
    <row r="236" spans="1:8" ht="14.25" customHeight="1">
      <c r="A236" s="2">
        <v>2084008572</v>
      </c>
      <c r="B236" s="2" t="s">
        <v>8398</v>
      </c>
      <c r="C236" s="2" t="s">
        <v>8400</v>
      </c>
      <c r="D236" s="116" t="str">
        <f t="shared" si="22"/>
        <v>0,21600,2084008565,2084008572</v>
      </c>
      <c r="E236" s="3" t="str">
        <f ca="1">IFERROR(__xludf.DUMMYFUNCTION("GOOGLETRANSLATE(B236,""ja"",""vi"")"),"vấn đề xã hội")</f>
        <v>vấn đề xã hội</v>
      </c>
      <c r="F236" s="3" t="str">
        <f ca="1">IFERROR(__xludf.DUMMYFUNCTION("GOOGLETRANSLATE(C236,""ja"",""vi"")"),"Đấu giá&gt; cuốn sách, tạp chí&gt; nhân văn, xã hội&gt; vấn đề xã hội")</f>
        <v>Đấu giá&gt; cuốn sách, tạp chí&gt; nhân văn, xã hội&gt; vấn đề xã hội</v>
      </c>
      <c r="G236" s="229" t="str">
        <f t="shared" ca="1" si="18"/>
        <v>"2084008572" : "vấn đề xã hội",</v>
      </c>
      <c r="H236" s="229" t="str">
        <f t="shared" si="19"/>
        <v>&lt;li class="col-md-3"&gt;&lt;a class="text-cut" href="javascript:;"(click)="categoryEvent(2084008572)"&gt;{{"2084008572" | translate}}&lt;/a&gt;&lt;/li&gt;</v>
      </c>
    </row>
    <row r="237" spans="1:8" ht="14.25" customHeight="1">
      <c r="A237" s="2">
        <v>2084047377</v>
      </c>
      <c r="B237" s="2" t="s">
        <v>8405</v>
      </c>
      <c r="C237" s="2" t="s">
        <v>8406</v>
      </c>
      <c r="D237" s="116" t="str">
        <f t="shared" si="22"/>
        <v>0,21600,2084008565,2084047377</v>
      </c>
      <c r="E237" s="3" t="str">
        <f ca="1">IFERROR(__xludf.DUMMYFUNCTION("GOOGLETRANSLATE(B237,""ja"",""vi"")"),"chánh sách khoa học")</f>
        <v>chánh sách khoa học</v>
      </c>
      <c r="F237" s="3" t="str">
        <f ca="1">IFERROR(__xludf.DUMMYFUNCTION("GOOGLETRANSLATE(C237,""ja"",""vi"")"),"Đấu giá&gt; cuốn sách, tạp chí&gt; nhân văn, xã hội&gt; Chính trị")</f>
        <v>Đấu giá&gt; cuốn sách, tạp chí&gt; nhân văn, xã hội&gt; Chính trị</v>
      </c>
      <c r="G237" s="229" t="str">
        <f t="shared" ca="1" si="18"/>
        <v>"2084047377" : "chánh sách khoa học",</v>
      </c>
      <c r="H237" s="229" t="str">
        <f t="shared" si="19"/>
        <v>&lt;li class="col-md-3"&gt;&lt;a class="text-cut" href="javascript:;"(click)="categoryEvent(2084047377)"&gt;{{"2084047377" | translate}}&lt;/a&gt;&lt;/li&gt;</v>
      </c>
    </row>
    <row r="238" spans="1:8" ht="14.25" customHeight="1">
      <c r="A238" s="2">
        <v>2084008568</v>
      </c>
      <c r="B238" s="2" t="s">
        <v>8409</v>
      </c>
      <c r="C238" s="2" t="s">
        <v>8411</v>
      </c>
      <c r="D238" s="116" t="str">
        <f t="shared" si="22"/>
        <v>0,21600,2084008565,2084008568</v>
      </c>
      <c r="E238" s="3" t="str">
        <f ca="1">IFERROR(__xludf.DUMMYFUNCTION("GOOGLETRANSLATE(B238,""ja"",""vi"")"),"Địa lý")</f>
        <v>Địa lý</v>
      </c>
      <c r="F238" s="3" t="str">
        <f ca="1">IFERROR(__xludf.DUMMYFUNCTION("GOOGLETRANSLATE(C238,""ja"",""vi"")"),"Đấu giá&gt; cuốn sách, tạp chí&gt; nhân văn, xã hội&gt; Địa lý")</f>
        <v>Đấu giá&gt; cuốn sách, tạp chí&gt; nhân văn, xã hội&gt; Địa lý</v>
      </c>
      <c r="G238" s="229" t="str">
        <f t="shared" ca="1" si="18"/>
        <v>"2084008568" : "Địa lý",</v>
      </c>
      <c r="H238" s="229" t="str">
        <f t="shared" si="19"/>
        <v>&lt;li class="col-md-3"&gt;&lt;a class="text-cut" href="javascript:;"(click)="categoryEvent(2084008568)"&gt;{{"2084008568" | translate}}&lt;/a&gt;&lt;/li&gt;</v>
      </c>
    </row>
    <row r="239" spans="1:8" ht="14.25" customHeight="1">
      <c r="A239" s="2">
        <v>2084008571</v>
      </c>
      <c r="B239" s="2" t="s">
        <v>8214</v>
      </c>
      <c r="C239" s="2" t="s">
        <v>8414</v>
      </c>
      <c r="D239" s="116" t="str">
        <f t="shared" si="22"/>
        <v>0,21600,2084008565,2084008571</v>
      </c>
      <c r="E239" s="3" t="str">
        <f ca="1">IFERROR(__xludf.DUMMYFUNCTION("GOOGLETRANSLATE(B239,""ja"",""vi"")"),"phúc lợi")</f>
        <v>phúc lợi</v>
      </c>
      <c r="F239" s="3" t="str">
        <f ca="1">IFERROR(__xludf.DUMMYFUNCTION("GOOGLETRANSLATE(C239,""ja"",""vi"")"),"Đấu giá&gt; cuốn sách, tạp chí&gt; nhân văn, xã hội&gt; phúc lợi")</f>
        <v>Đấu giá&gt; cuốn sách, tạp chí&gt; nhân văn, xã hội&gt; phúc lợi</v>
      </c>
      <c r="G239" s="229" t="str">
        <f t="shared" ca="1" si="18"/>
        <v>"2084008571" : "phúc lợi",</v>
      </c>
      <c r="H239" s="229" t="str">
        <f t="shared" si="19"/>
        <v>&lt;li class="col-md-3"&gt;&lt;a class="text-cut" href="javascript:;"(click)="categoryEvent(2084008571)"&gt;{{"2084008571" | translate}}&lt;/a&gt;&lt;/li&gt;</v>
      </c>
    </row>
    <row r="240" spans="1:8" ht="14.25" customHeight="1">
      <c r="A240" s="2">
        <v>2084008573</v>
      </c>
      <c r="B240" s="2" t="s">
        <v>8419</v>
      </c>
      <c r="C240" s="2" t="s">
        <v>8420</v>
      </c>
      <c r="D240" s="116" t="str">
        <f t="shared" si="22"/>
        <v>0,21600,2084008565,2084008573</v>
      </c>
      <c r="E240" s="3" t="str">
        <f ca="1">IFERROR(__xludf.DUMMYFUNCTION("GOOGLETRANSLATE(B240,""ja"",""vi"")"),"Văn hóa, dân gian")</f>
        <v>Văn hóa, dân gian</v>
      </c>
      <c r="F240" s="3" t="str">
        <f ca="1">IFERROR(__xludf.DUMMYFUNCTION("GOOGLETRANSLATE(C240,""ja"",""vi"")"),"Đấu giá&gt; cuốn sách, tạp chí&gt; nhân văn, xã hội&gt; văn hóa, dân gian")</f>
        <v>Đấu giá&gt; cuốn sách, tạp chí&gt; nhân văn, xã hội&gt; văn hóa, dân gian</v>
      </c>
      <c r="G240" s="229" t="str">
        <f t="shared" ca="1" si="18"/>
        <v>"2084008573" : "Văn hóa, dân gian",</v>
      </c>
      <c r="H240" s="229" t="str">
        <f t="shared" si="19"/>
        <v>&lt;li class="col-md-3"&gt;&lt;a class="text-cut" href="javascript:;"(click)="categoryEvent(2084008573)"&gt;{{"2084008573" | translate}}&lt;/a&gt;&lt;/li&gt;</v>
      </c>
    </row>
    <row r="241" spans="1:8" ht="14.25" customHeight="1">
      <c r="A241" s="2">
        <v>2084008752</v>
      </c>
      <c r="B241" s="2" t="s">
        <v>8425</v>
      </c>
      <c r="C241" s="2" t="s">
        <v>8426</v>
      </c>
      <c r="D241" s="116" t="str">
        <f t="shared" si="22"/>
        <v>0,21600,2084008565,2084008752</v>
      </c>
      <c r="E241" s="3" t="str">
        <f ca="1">IFERROR(__xludf.DUMMYFUNCTION("GOOGLETRANSLATE(B241,""ja"",""vi"")"),"pháp luật")</f>
        <v>pháp luật</v>
      </c>
      <c r="F241" s="3" t="str">
        <f ca="1">IFERROR(__xludf.DUMMYFUNCTION("GOOGLETRANSLATE(C241,""ja"",""vi"")"),"Đấu giá&gt; cuốn sách, tạp chí&gt; nhân văn, xã hội&gt; pháp luật")</f>
        <v>Đấu giá&gt; cuốn sách, tạp chí&gt; nhân văn, xã hội&gt; pháp luật</v>
      </c>
      <c r="G241" s="229" t="str">
        <f t="shared" ca="1" si="18"/>
        <v>"2084008752" : "pháp luật",</v>
      </c>
      <c r="H241" s="229" t="str">
        <f t="shared" si="19"/>
        <v>&lt;li class="col-md-3"&gt;&lt;a class="text-cut" href="javascript:;"(click)="categoryEvent(2084008752)"&gt;{{"2084008752" | translate}}&lt;/a&gt;&lt;/li&gt;</v>
      </c>
    </row>
    <row r="242" spans="1:8" ht="14.25" customHeight="1">
      <c r="A242" s="2">
        <v>2084008569</v>
      </c>
      <c r="B242" s="2" t="s">
        <v>8430</v>
      </c>
      <c r="C242" s="2" t="s">
        <v>8431</v>
      </c>
      <c r="D242" s="116" t="str">
        <f t="shared" si="22"/>
        <v>0,21600,2084008565,2084008569</v>
      </c>
      <c r="E242" s="3" t="str">
        <f ca="1">IFERROR(__xludf.DUMMYFUNCTION("GOOGLETRANSLATE(B242,""ja"",""vi"")"),"lịch sử")</f>
        <v>lịch sử</v>
      </c>
      <c r="F242" s="3" t="str">
        <f ca="1">IFERROR(__xludf.DUMMYFUNCTION("GOOGLETRANSLATE(C242,""ja"",""vi"")"),"Đấu giá&gt; cuốn sách, tạp chí&gt; nhân văn, xã hội&gt; Lịch sử")</f>
        <v>Đấu giá&gt; cuốn sách, tạp chí&gt; nhân văn, xã hội&gt; Lịch sử</v>
      </c>
      <c r="G242" s="229" t="str">
        <f t="shared" ca="1" si="18"/>
        <v>"2084008569" : "lịch sử",</v>
      </c>
      <c r="H242" s="229" t="str">
        <f t="shared" si="19"/>
        <v>&lt;li class="col-md-3"&gt;&lt;a class="text-cut" href="javascript:;"(click)="categoryEvent(2084008569)"&gt;{{"2084008569" | translate}}&lt;/a&gt;&lt;/li&gt;</v>
      </c>
    </row>
    <row r="243" spans="1:8" ht="14.25" customHeight="1">
      <c r="E243" s="3"/>
      <c r="F243" s="3"/>
      <c r="G243" s="229"/>
      <c r="H243" s="229"/>
    </row>
    <row r="244" spans="1:8" ht="14.25" customHeight="1">
      <c r="E244" s="3"/>
      <c r="F244" s="3"/>
      <c r="G244" s="229"/>
      <c r="H244" s="229"/>
    </row>
    <row r="245" spans="1:8" ht="14.25" customHeight="1">
      <c r="A245" s="251">
        <v>2084263670</v>
      </c>
      <c r="B245" s="232"/>
      <c r="C245" s="232"/>
      <c r="D245" s="233"/>
      <c r="E245" s="3"/>
      <c r="F245" s="3"/>
      <c r="G245" s="229"/>
      <c r="H245" s="229"/>
    </row>
    <row r="246" spans="1:8" ht="14.25" customHeight="1">
      <c r="A246" s="2">
        <v>2084263671</v>
      </c>
      <c r="B246" s="2" t="s">
        <v>8432</v>
      </c>
      <c r="C246" s="2" t="s">
        <v>8433</v>
      </c>
      <c r="D246" s="116" t="str">
        <f t="shared" ref="D246:D248" si="23">CONCATENATE("0,","21600,2084263670,",A246)</f>
        <v>0,21600,2084263670,2084263671</v>
      </c>
      <c r="E246" s="3" t="str">
        <f ca="1">IFERROR(__xludf.DUMMYFUNCTION("GOOGLETRANSLATE(B246,""ja"",""vi"")"),"sách")</f>
        <v>sách</v>
      </c>
      <c r="F246" s="3" t="str">
        <f ca="1">IFERROR(__xludf.DUMMYFUNCTION("GOOGLETRANSLATE(C246,""ja"",""vi"")"),"Đấu giá&gt; Sách, tạp chí&gt; cuốn sách cũ, tài liệu cổ&gt; Sách")</f>
        <v>Đấu giá&gt; Sách, tạp chí&gt; cuốn sách cũ, tài liệu cổ&gt; Sách</v>
      </c>
      <c r="G246" s="229" t="str">
        <f t="shared" ca="1" si="18"/>
        <v>"2084263671" : "sách",</v>
      </c>
      <c r="H246" s="229" t="str">
        <f t="shared" si="19"/>
        <v>&lt;li class="col-md-3"&gt;&lt;a class="text-cut" href="javascript:;"(click)="categoryEvent(2084263671)"&gt;{{"2084263671" | translate}}&lt;/a&gt;&lt;/li&gt;</v>
      </c>
    </row>
    <row r="247" spans="1:8" ht="14.25" customHeight="1">
      <c r="A247" s="2">
        <v>2084263672</v>
      </c>
      <c r="B247" s="2" t="s">
        <v>8437</v>
      </c>
      <c r="C247" s="2" t="s">
        <v>8439</v>
      </c>
      <c r="D247" s="116" t="str">
        <f t="shared" si="23"/>
        <v>0,21600,2084263670,2084263672</v>
      </c>
      <c r="E247" s="3" t="str">
        <f ca="1">IFERROR(__xludf.DUMMYFUNCTION("GOOGLETRANSLATE(B247,""ja"",""vi"")"),"sách")</f>
        <v>sách</v>
      </c>
      <c r="F247" s="3" t="str">
        <f ca="1">IFERROR(__xludf.DUMMYFUNCTION("GOOGLETRANSLATE(C247,""ja"",""vi"")"),"Đấu giá&gt; cuốn sách, tạp chí&gt; cuốn sách cũ, tài liệu cổ&gt; Sách")</f>
        <v>Đấu giá&gt; cuốn sách, tạp chí&gt; cuốn sách cũ, tài liệu cổ&gt; Sách</v>
      </c>
      <c r="G247" s="229" t="str">
        <f t="shared" ca="1" si="18"/>
        <v>"2084263672" : "sách",</v>
      </c>
      <c r="H247" s="229" t="str">
        <f t="shared" si="19"/>
        <v>&lt;li class="col-md-3"&gt;&lt;a class="text-cut" href="javascript:;"(click)="categoryEvent(2084263672)"&gt;{{"2084263672" | translate}}&lt;/a&gt;&lt;/li&gt;</v>
      </c>
    </row>
    <row r="248" spans="1:8" ht="14.25" customHeight="1">
      <c r="A248" s="2">
        <v>2084008931</v>
      </c>
      <c r="B248" s="2" t="s">
        <v>5578</v>
      </c>
      <c r="C248" s="2" t="s">
        <v>8443</v>
      </c>
      <c r="D248" s="116" t="str">
        <f t="shared" si="23"/>
        <v>0,21600,2084263670,2084008931</v>
      </c>
      <c r="E248" s="3" t="str">
        <f ca="1">IFERROR(__xludf.DUMMYFUNCTION("GOOGLETRANSLATE(B248,""ja"",""vi"")"),"bản đồ cũ")</f>
        <v>bản đồ cũ</v>
      </c>
      <c r="F248" s="3" t="str">
        <f ca="1">IFERROR(__xludf.DUMMYFUNCTION("GOOGLETRANSLATE(C248,""ja"",""vi"")"),"Đấu giá&gt; cuốn sách, tạp chí&gt; cuốn sách cũ, tài liệu cổ&gt; bản đồ cũ")</f>
        <v>Đấu giá&gt; cuốn sách, tạp chí&gt; cuốn sách cũ, tài liệu cổ&gt; bản đồ cũ</v>
      </c>
      <c r="G248" s="229" t="str">
        <f t="shared" ca="1" si="18"/>
        <v>"2084008931" : "bản đồ cũ",</v>
      </c>
      <c r="H248" s="229" t="str">
        <f t="shared" si="19"/>
        <v>&lt;li class="col-md-3"&gt;&lt;a class="text-cut" href="javascript:;"(click)="categoryEvent(2084008931)"&gt;{{"2084008931" | translate}}&lt;/a&gt;&lt;/li&gt;</v>
      </c>
    </row>
    <row r="249" spans="1:8" ht="14.25" customHeight="1">
      <c r="E249" s="3"/>
      <c r="F249" s="3"/>
      <c r="G249" s="229"/>
      <c r="H249" s="229" t="str">
        <f t="shared" si="19"/>
        <v>&lt;li class="col-md-3"&gt;&lt;a class="text-cut" href="javascript:;"(click)="categoryEvent()"&gt;{{"" | translate}}&lt;/a&gt;&lt;/li&gt;</v>
      </c>
    </row>
    <row r="250" spans="1:8" ht="14.25" customHeight="1">
      <c r="E250" s="3"/>
      <c r="F250" s="3"/>
      <c r="G250" s="229"/>
      <c r="H250" s="229" t="str">
        <f t="shared" si="19"/>
        <v>&lt;li class="col-md-3"&gt;&lt;a class="text-cut" href="javascript:;"(click)="categoryEvent()"&gt;{{"" | translate}}&lt;/a&gt;&lt;/li&gt;</v>
      </c>
    </row>
    <row r="251" spans="1:8" ht="14.25" customHeight="1">
      <c r="A251" s="255">
        <v>20072</v>
      </c>
      <c r="B251" s="232"/>
      <c r="C251" s="232"/>
      <c r="D251" s="233"/>
      <c r="E251" s="3"/>
      <c r="F251" s="3"/>
      <c r="G251" s="229"/>
      <c r="H251" s="229" t="str">
        <f t="shared" si="19"/>
        <v>&lt;li class="col-md-3"&gt;&lt;a class="text-cut" href="javascript:;"(click)="categoryEvent(20072)"&gt;{{"20072" | translate}}&lt;/a&gt;&lt;/li&gt;</v>
      </c>
    </row>
    <row r="252" spans="1:8" ht="14.25" customHeight="1">
      <c r="A252" s="2">
        <v>2084006158</v>
      </c>
      <c r="B252" s="2" t="s">
        <v>5610</v>
      </c>
      <c r="C252" s="2" t="s">
        <v>8453</v>
      </c>
      <c r="D252" s="116" t="str">
        <f t="shared" ref="D252:D261" si="24">CONCATENATE("0,","20000,20116,20072,",A252)</f>
        <v>0,20000,20116,20072,2084006158</v>
      </c>
      <c r="E252" s="3" t="str">
        <f ca="1">IFERROR(__xludf.DUMMYFUNCTION("GOOGLETRANSLATE(B252,""ja"",""vi"")"),"Truyện tranh, hoạt hình")</f>
        <v>Truyện tranh, hoạt hình</v>
      </c>
      <c r="F252" s="3" t="str">
        <f ca="1">IFERROR(__xludf.DUMMYFUNCTION("GOOGLETRANSLATE(C252,""ja"",""vi"")"),"Đấu giá&gt; cổ, bộ sưu tập&gt; vấn đề in&gt; Lịch&gt; truyện tranh, hoạt hình")</f>
        <v>Đấu giá&gt; cổ, bộ sưu tập&gt; vấn đề in&gt; Lịch&gt; truyện tranh, hoạt hình</v>
      </c>
      <c r="G252" s="229" t="str">
        <f t="shared" ca="1" si="18"/>
        <v>"2084006158" : "Truyện tranh, hoạt hình",</v>
      </c>
      <c r="H252" s="229" t="str">
        <f t="shared" si="19"/>
        <v>&lt;li class="col-md-3"&gt;&lt;a class="text-cut" href="javascript:;"(click)="categoryEvent(2084006158)"&gt;{{"2084006158" | translate}}&lt;/a&gt;&lt;/li&gt;</v>
      </c>
    </row>
    <row r="253" spans="1:8" ht="14.25" customHeight="1">
      <c r="A253" s="2">
        <v>2084006163</v>
      </c>
      <c r="B253" s="2" t="s">
        <v>13</v>
      </c>
      <c r="C253" s="2" t="s">
        <v>8458</v>
      </c>
      <c r="D253" s="116" t="str">
        <f t="shared" si="24"/>
        <v>0,20000,20116,20072,2084006163</v>
      </c>
      <c r="E253" s="3" t="str">
        <f ca="1">IFERROR(__xludf.DUMMYFUNCTION("GOOGLETRANSLATE(B253,""ja"",""vi"")"),"nhạc sĩ")</f>
        <v>nhạc sĩ</v>
      </c>
      <c r="F253" s="3" t="str">
        <f ca="1">IFERROR(__xludf.DUMMYFUNCTION("GOOGLETRANSLATE(C253,""ja"",""vi"")"),"Đấu giá&gt; cổ, bộ sưu tập&gt; in vấn đề&gt; Lịch&gt; nhạc sĩ")</f>
        <v>Đấu giá&gt; cổ, bộ sưu tập&gt; in vấn đề&gt; Lịch&gt; nhạc sĩ</v>
      </c>
      <c r="G253" s="229" t="str">
        <f t="shared" ca="1" si="18"/>
        <v>"2084006163" : "nhạc sĩ",</v>
      </c>
      <c r="H253" s="229" t="str">
        <f t="shared" si="19"/>
        <v>&lt;li class="col-md-3"&gt;&lt;a class="text-cut" href="javascript:;"(click)="categoryEvent(2084006163)"&gt;{{"2084006163" | translate}}&lt;/a&gt;&lt;/li&gt;</v>
      </c>
    </row>
    <row r="254" spans="1:8" ht="14.25" customHeight="1">
      <c r="A254" s="2">
        <v>2084283231</v>
      </c>
      <c r="B254" s="2" t="s">
        <v>5223</v>
      </c>
      <c r="C254" s="2" t="s">
        <v>8463</v>
      </c>
      <c r="D254" s="116" t="str">
        <f t="shared" si="24"/>
        <v>0,20000,20116,20072,2084283231</v>
      </c>
      <c r="E254" s="3" t="str">
        <f ca="1">IFERROR(__xludf.DUMMYFUNCTION("GOOGLETRANSLATE(B254,""ja"",""vi"")"),"hình ảnh")</f>
        <v>hình ảnh</v>
      </c>
      <c r="F254" s="3" t="str">
        <f ca="1">IFERROR(__xludf.DUMMYFUNCTION("GOOGLETRANSLATE(C254,""ja"",""vi"")"),"Đấu giá&gt; cổ, bộ sưu tập&gt; in vấn đề&gt; Lịch&gt; Tranh")</f>
        <v>Đấu giá&gt; cổ, bộ sưu tập&gt; in vấn đề&gt; Lịch&gt; Tranh</v>
      </c>
      <c r="G254" s="229" t="str">
        <f t="shared" ca="1" si="18"/>
        <v>"2084283231" : "hình ảnh",</v>
      </c>
      <c r="H254" s="229" t="str">
        <f t="shared" si="19"/>
        <v>&lt;li class="col-md-3"&gt;&lt;a class="text-cut" href="javascript:;"(click)="categoryEvent(2084283231)"&gt;{{"2084283231" | translate}}&lt;/a&gt;&lt;/li&gt;</v>
      </c>
    </row>
    <row r="255" spans="1:8" ht="14.25" customHeight="1">
      <c r="A255" s="2">
        <v>2084006157</v>
      </c>
      <c r="B255" s="2" t="s">
        <v>819</v>
      </c>
      <c r="C255" s="2" t="s">
        <v>8464</v>
      </c>
      <c r="D255" s="116" t="str">
        <f t="shared" si="24"/>
        <v>0,20000,20116,20072,2084006157</v>
      </c>
      <c r="E255" s="3" t="str">
        <f ca="1">IFERROR(__xludf.DUMMYFUNCTION("GOOGLETRANSLATE(B255,""ja"",""vi"")"),"Giải trí, tài năng")</f>
        <v>Giải trí, tài năng</v>
      </c>
      <c r="F255" s="3" t="str">
        <f ca="1">IFERROR(__xludf.DUMMYFUNCTION("GOOGLETRANSLATE(C255,""ja"",""vi"")"),"Đấu giá&gt; cổ, bộ sưu tập&gt; vấn đề in&gt; Lịch&gt; giải trí, tài năng")</f>
        <v>Đấu giá&gt; cổ, bộ sưu tập&gt; vấn đề in&gt; Lịch&gt; giải trí, tài năng</v>
      </c>
      <c r="G255" s="229" t="str">
        <f t="shared" ca="1" si="18"/>
        <v>"2084006157" : "Giải trí, tài năng",</v>
      </c>
      <c r="H255" s="229" t="str">
        <f t="shared" si="19"/>
        <v>&lt;li class="col-md-3"&gt;&lt;a class="text-cut" href="javascript:;"(click)="categoryEvent(2084006157)"&gt;{{"2084006157" | translate}}&lt;/a&gt;&lt;/li&gt;</v>
      </c>
    </row>
    <row r="256" spans="1:8" ht="14.25" customHeight="1">
      <c r="A256" s="2">
        <v>2084007962</v>
      </c>
      <c r="B256" s="2" t="s">
        <v>6333</v>
      </c>
      <c r="C256" s="2" t="s">
        <v>8467</v>
      </c>
      <c r="D256" s="116" t="str">
        <f t="shared" si="24"/>
        <v>0,20000,20116,20072,2084007962</v>
      </c>
      <c r="E256" s="3" t="str">
        <f ca="1">IFERROR(__xludf.DUMMYFUNCTION("GOOGLETRANSLATE(B256,""ja"",""vi"")"),"phi cơ")</f>
        <v>phi cơ</v>
      </c>
      <c r="F256" s="3" t="str">
        <f ca="1">IFERROR(__xludf.DUMMYFUNCTION("GOOGLETRANSLATE(C256,""ja"",""vi"")"),"Đấu giá&gt; cổ, bộ sưu tập&gt; vấn đề in&gt; Lịch&gt; máy bay")</f>
        <v>Đấu giá&gt; cổ, bộ sưu tập&gt; vấn đề in&gt; Lịch&gt; máy bay</v>
      </c>
      <c r="G256" s="229" t="str">
        <f t="shared" ca="1" si="18"/>
        <v>"2084007962" : "phi cơ",</v>
      </c>
      <c r="H256" s="229" t="str">
        <f t="shared" si="19"/>
        <v>&lt;li class="col-md-3"&gt;&lt;a class="text-cut" href="javascript:;"(click)="categoryEvent(2084007962)"&gt;{{"2084007962" | translate}}&lt;/a&gt;&lt;/li&gt;</v>
      </c>
    </row>
    <row r="257" spans="1:8" ht="14.25" customHeight="1">
      <c r="A257" s="2">
        <v>2084007702</v>
      </c>
      <c r="B257" s="2" t="s">
        <v>1546</v>
      </c>
      <c r="C257" s="2" t="s">
        <v>8472</v>
      </c>
      <c r="D257" s="116" t="str">
        <f t="shared" si="24"/>
        <v>0,20000,20116,20072,2084007702</v>
      </c>
      <c r="E257" s="3" t="str">
        <f ca="1">IFERROR(__xludf.DUMMYFUNCTION("GOOGLETRANSLATE(B257,""ja"",""vi"")"),"đường sắt")</f>
        <v>đường sắt</v>
      </c>
      <c r="F257" s="3" t="str">
        <f ca="1">IFERROR(__xludf.DUMMYFUNCTION("GOOGLETRANSLATE(C257,""ja"",""vi"")"),"Đấu giá&gt; cổ, bộ sưu tập&gt; vấn đề in&gt; Lịch&gt; đường sắt")</f>
        <v>Đấu giá&gt; cổ, bộ sưu tập&gt; vấn đề in&gt; Lịch&gt; đường sắt</v>
      </c>
      <c r="G257" s="229" t="str">
        <f t="shared" ca="1" si="18"/>
        <v>"2084007702" : "đường sắt",</v>
      </c>
      <c r="H257" s="229" t="str">
        <f t="shared" si="19"/>
        <v>&lt;li class="col-md-3"&gt;&lt;a class="text-cut" href="javascript:;"(click)="categoryEvent(2084007702)"&gt;{{"2084007702" | translate}}&lt;/a&gt;&lt;/li&gt;</v>
      </c>
    </row>
    <row r="258" spans="1:8" ht="14.25" customHeight="1">
      <c r="A258" s="2">
        <v>2084047856</v>
      </c>
      <c r="B258" s="2" t="s">
        <v>6357</v>
      </c>
      <c r="C258" s="2" t="s">
        <v>8476</v>
      </c>
      <c r="D258" s="116" t="str">
        <f t="shared" si="24"/>
        <v>0,20000,20116,20072,2084047856</v>
      </c>
      <c r="E258" s="3" t="str">
        <f ca="1">IFERROR(__xludf.DUMMYFUNCTION("GOOGLETRANSLATE(B258,""ja"",""vi"")"),"động vật")</f>
        <v>động vật</v>
      </c>
      <c r="F258" s="3" t="str">
        <f ca="1">IFERROR(__xludf.DUMMYFUNCTION("GOOGLETRANSLATE(C258,""ja"",""vi"")"),"Đấu giá&gt; cổ, bộ sưu tập&gt; vấn đề in&gt; Lịch&gt; động vật")</f>
        <v>Đấu giá&gt; cổ, bộ sưu tập&gt; vấn đề in&gt; Lịch&gt; động vật</v>
      </c>
      <c r="G258" s="229" t="str">
        <f t="shared" ca="1" si="18"/>
        <v>"2084047856" : "động vật",</v>
      </c>
      <c r="H258" s="229" t="str">
        <f t="shared" si="19"/>
        <v>&lt;li class="col-md-3"&gt;&lt;a class="text-cut" href="javascript:;"(click)="categoryEvent(2084047856)"&gt;{{"2084047856" | translate}}&lt;/a&gt;&lt;/li&gt;</v>
      </c>
    </row>
    <row r="259" spans="1:8" ht="14.25" customHeight="1">
      <c r="A259" s="2">
        <v>2084049983</v>
      </c>
      <c r="B259" s="2" t="s">
        <v>6363</v>
      </c>
      <c r="C259" s="2" t="s">
        <v>8479</v>
      </c>
      <c r="D259" s="116" t="str">
        <f t="shared" si="24"/>
        <v>0,20000,20116,20072,2084049983</v>
      </c>
      <c r="E259" s="3" t="str">
        <f ca="1">IFERROR(__xludf.DUMMYFUNCTION("GOOGLETRANSLATE(B259,""ja"",""vi"")"),"phong cảnh")</f>
        <v>phong cảnh</v>
      </c>
      <c r="F259" s="3" t="str">
        <f ca="1">IFERROR(__xludf.DUMMYFUNCTION("GOOGLETRANSLATE(C259,""ja"",""vi"")"),"Đấu giá&gt; cổ, bộ sưu tập&gt; vấn đề in&gt; Lịch&gt; cảnh quan")</f>
        <v>Đấu giá&gt; cổ, bộ sưu tập&gt; vấn đề in&gt; Lịch&gt; cảnh quan</v>
      </c>
      <c r="G259" s="229" t="str">
        <f t="shared" ref="G259:G261" ca="1" si="25">CONCATENATE(CHAR(34)&amp;"",A259,""&amp;CHAR(34)," : ", CHAR(34)&amp;"",E259,""&amp;CHAR(34),",")</f>
        <v>"2084049983" : "phong cảnh",</v>
      </c>
      <c r="H259" s="229" t="str">
        <f t="shared" ref="H259:H261" si="26">CONCATENATE("&lt;li class=",CHAR(34)&amp;"","col-md-3",""&amp;CHAR(34),"&gt;","&lt;a class=",CHAR(34)&amp;"","text-cut",""&amp;CHAR(34)," href=",CHAR(34)&amp;"","javascript:;",""&amp;CHAR(34), "(click)=",CHAR(34)&amp;"","categoryEvent(",A259,")",""&amp;CHAR(34),"&gt;{{",CHAR(34)&amp;"",A259,""&amp;CHAR(34)," | translate}}&lt;/a&gt;&lt;/li&gt;")</f>
        <v>&lt;li class="col-md-3"&gt;&lt;a class="text-cut" href="javascript:;"(click)="categoryEvent(2084049983)"&gt;{{"2084049983" | translate}}&lt;/a&gt;&lt;/li&gt;</v>
      </c>
    </row>
    <row r="260" spans="1:8" ht="14.25" customHeight="1">
      <c r="A260" s="2">
        <v>2084063473</v>
      </c>
      <c r="B260" s="2" t="s">
        <v>2024</v>
      </c>
      <c r="C260" s="2" t="s">
        <v>8483</v>
      </c>
      <c r="D260" s="116" t="str">
        <f t="shared" si="24"/>
        <v>0,20000,20116,20072,2084063473</v>
      </c>
      <c r="E260" s="3" t="str">
        <f ca="1">IFERROR(__xludf.DUMMYFUNCTION("GOOGLETRANSLATE(B260,""ja"",""vi"")"),"bàn Lịch")</f>
        <v>bàn Lịch</v>
      </c>
      <c r="F260" s="3" t="str">
        <f ca="1">IFERROR(__xludf.DUMMYFUNCTION("GOOGLETRANSLATE(C260,""ja"",""vi"")"),"Đấu giá&gt; cổ, bộ sưu tập&gt; vấn đề in&gt; Lịch&gt; Lịch bàn")</f>
        <v>Đấu giá&gt; cổ, bộ sưu tập&gt; vấn đề in&gt; Lịch&gt; Lịch bàn</v>
      </c>
      <c r="G260" s="229" t="str">
        <f t="shared" ca="1" si="25"/>
        <v>"2084063473" : "bàn Lịch",</v>
      </c>
      <c r="H260" s="229" t="str">
        <f t="shared" si="26"/>
        <v>&lt;li class="col-md-3"&gt;&lt;a class="text-cut" href="javascript:;"(click)="categoryEvent(2084063473)"&gt;{{"2084063473" | translate}}&lt;/a&gt;&lt;/li&gt;</v>
      </c>
    </row>
    <row r="261" spans="1:8" ht="14.25" customHeight="1">
      <c r="A261" s="2">
        <v>2084006159</v>
      </c>
      <c r="B261" s="2" t="s">
        <v>16</v>
      </c>
      <c r="C261" s="2" t="s">
        <v>8487</v>
      </c>
      <c r="D261" s="116" t="str">
        <f t="shared" si="24"/>
        <v>0,20000,20116,20072,2084006159</v>
      </c>
      <c r="E261" s="3" t="str">
        <f ca="1">IFERROR(__xludf.DUMMYFUNCTION("GOOGLETRANSLATE(B261,""ja"",""vi"")"),"nếu không thì")</f>
        <v>nếu không thì</v>
      </c>
      <c r="F261" s="3" t="str">
        <f ca="1">IFERROR(__xludf.DUMMYFUNCTION("GOOGLETRANSLATE(C261,""ja"",""vi"")"),"Đấu giá&gt; cổ, bộ sưu tập&gt; vấn đề in&gt; Lịch&gt; Khác")</f>
        <v>Đấu giá&gt; cổ, bộ sưu tập&gt; vấn đề in&gt; Lịch&gt; Khác</v>
      </c>
      <c r="G261" s="229" t="str">
        <f t="shared" ca="1" si="25"/>
        <v>"2084006159" : "nếu không thì",</v>
      </c>
      <c r="H261" s="229" t="str">
        <f t="shared" si="26"/>
        <v>&lt;li class="col-md-3"&gt;&lt;a class="text-cut" href="javascript:;"(click)="categoryEvent(2084006159)"&gt;{{"2084006159" | translate}}&lt;/a&gt;&lt;/li&gt;</v>
      </c>
    </row>
    <row r="262" spans="1:8" ht="14.25" customHeight="1"/>
    <row r="263" spans="1:8" ht="14.25" customHeight="1"/>
    <row r="264" spans="1:8" ht="14.25" customHeight="1"/>
    <row r="265" spans="1:8" ht="14.25" customHeight="1"/>
    <row r="266" spans="1:8" ht="14.25" customHeight="1"/>
    <row r="267" spans="1:8" ht="14.25" customHeight="1"/>
    <row r="268" spans="1:8" ht="14.25" customHeight="1"/>
    <row r="269" spans="1:8" ht="14.25" customHeight="1"/>
    <row r="270" spans="1:8" ht="14.25" customHeight="1"/>
    <row r="271" spans="1:8" ht="14.25" customHeight="1"/>
    <row r="272" spans="1:8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23:D23"/>
    <mergeCell ref="A200:D200"/>
    <mergeCell ref="A187:D187"/>
    <mergeCell ref="A151:D151"/>
    <mergeCell ref="A160:D160"/>
    <mergeCell ref="A173:D173"/>
    <mergeCell ref="A37:D37"/>
    <mergeCell ref="A53:D53"/>
    <mergeCell ref="A73:D73"/>
    <mergeCell ref="A85:D85"/>
    <mergeCell ref="A95:D95"/>
    <mergeCell ref="A220:D220"/>
    <mergeCell ref="A227:D227"/>
    <mergeCell ref="A245:D245"/>
    <mergeCell ref="A251:D251"/>
    <mergeCell ref="A121:D121"/>
    <mergeCell ref="A140:D140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2" sqref="G2"/>
    </sheetView>
  </sheetViews>
  <sheetFormatPr defaultColWidth="12.59765625" defaultRowHeight="15" customHeight="1"/>
  <cols>
    <col min="1" max="1" width="13" customWidth="1"/>
    <col min="2" max="2" width="12.3984375" customWidth="1"/>
    <col min="3" max="3" width="12.796875" customWidth="1"/>
    <col min="4" max="4" width="14.69921875" customWidth="1"/>
    <col min="5" max="5" width="9.69921875" customWidth="1"/>
    <col min="6" max="6" width="28.3984375" customWidth="1"/>
    <col min="7" max="7" width="34.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2084047071</v>
      </c>
      <c r="B2" s="2" t="s">
        <v>279</v>
      </c>
      <c r="C2" s="2" t="s">
        <v>281</v>
      </c>
      <c r="D2" s="2" t="s">
        <v>282</v>
      </c>
      <c r="E2" s="3" t="str">
        <f ca="1">IFERROR(__xludf.DUMMYFUNCTION("GOOGLETRANSLATE(B2,""ja"",""vi"")"),"Người, theo nhóm")</f>
        <v>Người, theo nhóm</v>
      </c>
      <c r="F2" s="3" t="str">
        <f ca="1">IFERROR(__xludf.DUMMYFUNCTION("GOOGLETRANSLATE(C2,""ja"",""vi"")"),"Đấu giá&gt; hàng Talent&gt; người, theo nhóm")</f>
        <v>Đấu giá&gt; hàng Talent&gt; người, theo nhóm</v>
      </c>
      <c r="G2" s="229" t="str">
        <f t="shared" ref="G2:G65" ca="1" si="0">CONCATENATE(CHAR(34)&amp;"",A2,""&amp;CHAR(34)," : ", CHAR(34)&amp;"",E2,""&amp;CHAR(34),",")</f>
        <v>"2084047071" : "Người, theo nhóm",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href="javascript:;"(click)="categoryEvent(2084047071)"&gt;{{"2084047071" | translate}}&lt;/a&gt;&lt;/li&gt;</v>
      </c>
    </row>
    <row r="3" spans="1:8" ht="14.25" customHeight="1">
      <c r="A3" s="4">
        <v>2084047082</v>
      </c>
      <c r="B3" s="4" t="s">
        <v>283</v>
      </c>
      <c r="C3" s="4" t="s">
        <v>284</v>
      </c>
      <c r="D3" s="4" t="s">
        <v>287</v>
      </c>
      <c r="E3" s="3" t="str">
        <f ca="1">IFERROR(__xludf.DUMMYFUNCTION("GOOGLETRANSLATE(B3,""ja"",""vi"")"),"uchiwa")</f>
        <v>uchiwa</v>
      </c>
      <c r="F3" s="3" t="str">
        <f ca="1">IFERROR(__xludf.DUMMYFUNCTION("GOOGLETRANSLATE(C3,""ja"",""vi"")"),"Đấu giá&gt; hàng Talent&gt; quạt")</f>
        <v>Đấu giá&gt; hàng Talent&gt; quạt</v>
      </c>
      <c r="G3" s="229" t="str">
        <f t="shared" ca="1" si="0"/>
        <v>"2084047082" : "uchiwa",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href="javascript:;"(click)="categoryEvent(2084047082)"&gt;{{"2084047082" | translate}}&lt;/a&gt;&lt;/li&gt;</v>
      </c>
    </row>
    <row r="4" spans="1:8" ht="14.25" customHeight="1">
      <c r="A4" s="5">
        <v>2084046976</v>
      </c>
      <c r="B4" s="5" t="s">
        <v>291</v>
      </c>
      <c r="C4" s="5" t="s">
        <v>292</v>
      </c>
      <c r="D4" s="5" t="s">
        <v>293</v>
      </c>
      <c r="E4" s="3" t="str">
        <f ca="1">IFERROR(__xludf.DUMMYFUNCTION("GOOGLETRANSLATE(B4,""ja"",""vi"")"),"idol DVD")</f>
        <v>idol DVD</v>
      </c>
      <c r="F4" s="3" t="str">
        <f ca="1">IFERROR(__xludf.DUMMYFUNCTION("GOOGLETRANSLATE(C4,""ja"",""vi"")"),"Đấu giá&gt; hàng Talent&gt; Thần tượng DVD")</f>
        <v>Đấu giá&gt; hàng Talent&gt; Thần tượng DVD</v>
      </c>
      <c r="G4" s="229" t="str">
        <f t="shared" ca="1" si="0"/>
        <v>"2084046976" : "idol DVD",</v>
      </c>
      <c r="H4" s="229" t="str">
        <f t="shared" si="1"/>
        <v>&lt;li class="col-md-3"&gt;&lt;a class="text-cut" href="javascript:;"(click)="categoryEvent(2084046976)"&gt;{{"2084046976" | translate}}&lt;/a&gt;&lt;/li&gt;</v>
      </c>
    </row>
    <row r="5" spans="1:8" ht="14.25" customHeight="1">
      <c r="A5" s="8">
        <v>2084046984</v>
      </c>
      <c r="B5" s="8" t="s">
        <v>297</v>
      </c>
      <c r="C5" s="8" t="s">
        <v>298</v>
      </c>
      <c r="D5" s="8" t="s">
        <v>299</v>
      </c>
      <c r="E5" s="3" t="str">
        <f ca="1">IFERROR(__xludf.DUMMYFUNCTION("GOOGLETRANSLATE(B5,""ja"",""vi"")"),"thần tượng phim")</f>
        <v>thần tượng phim</v>
      </c>
      <c r="F5" s="3" t="str">
        <f ca="1">IFERROR(__xludf.DUMMYFUNCTION("GOOGLETRANSLATE(C5,""ja"",""vi"")"),"Đấu giá&gt; hàng Talent&gt; Video idol")</f>
        <v>Đấu giá&gt; hàng Talent&gt; Video idol</v>
      </c>
      <c r="G5" s="229" t="str">
        <f t="shared" ca="1" si="0"/>
        <v>"2084046984" : "thần tượng phim",</v>
      </c>
      <c r="H5" s="229" t="str">
        <f t="shared" si="1"/>
        <v>&lt;li class="col-md-3"&gt;&lt;a class="text-cut" href="javascript:;"(click)="categoryEvent(2084046984)"&gt;{{"2084046984" | translate}}&lt;/a&gt;&lt;/li&gt;</v>
      </c>
    </row>
    <row r="6" spans="1:8" ht="14.25" customHeight="1">
      <c r="A6" s="6">
        <v>2084006157</v>
      </c>
      <c r="B6" s="6" t="s">
        <v>303</v>
      </c>
      <c r="C6" s="6" t="s">
        <v>304</v>
      </c>
      <c r="D6" s="6" t="s">
        <v>305</v>
      </c>
      <c r="E6" s="3" t="str">
        <f ca="1">IFERROR(__xludf.DUMMYFUNCTION("GOOGLETRANSLATE(B6,""ja"",""vi"")"),"lịch")</f>
        <v>lịch</v>
      </c>
      <c r="F6" s="3" t="str">
        <f ca="1">IFERROR(__xludf.DUMMYFUNCTION("GOOGLETRANSLATE(C6,""ja"",""vi"")"),"Đấu giá&gt; hàng Talent&gt; Lịch")</f>
        <v>Đấu giá&gt; hàng Talent&gt; Lịch</v>
      </c>
      <c r="G6" s="229" t="str">
        <f t="shared" ca="1" si="0"/>
        <v>"2084006157" : "lịch",</v>
      </c>
      <c r="H6" s="229" t="str">
        <f t="shared" si="1"/>
        <v>&lt;li class="col-md-3"&gt;&lt;a class="text-cut" href="javascript:;"(click)="categoryEvent(2084006157)"&gt;{{"2084006157" | translate}}&lt;/a&gt;&lt;/li&gt;</v>
      </c>
    </row>
    <row r="7" spans="1:8" ht="14.25" customHeight="1">
      <c r="A7" s="9">
        <v>2084037536</v>
      </c>
      <c r="B7" s="9" t="s">
        <v>306</v>
      </c>
      <c r="C7" s="9" t="s">
        <v>307</v>
      </c>
      <c r="D7" s="9" t="s">
        <v>308</v>
      </c>
      <c r="E7" s="3" t="str">
        <f ca="1">IFERROR(__xludf.DUMMYFUNCTION("GOOGLETRANSLATE(B7,""ja"",""vi"")"),"key Chains")</f>
        <v>key Chains</v>
      </c>
      <c r="F7" s="3" t="str">
        <f ca="1">IFERROR(__xludf.DUMMYFUNCTION("GOOGLETRANSLATE(C7,""ja"",""vi"")"),"Đấu giá&gt; hàng Talent&gt; Keychain")</f>
        <v>Đấu giá&gt; hàng Talent&gt; Keychain</v>
      </c>
      <c r="G7" s="229" t="str">
        <f t="shared" ca="1" si="0"/>
        <v>"2084037536" : "key Chains",</v>
      </c>
      <c r="H7" s="229" t="str">
        <f t="shared" si="1"/>
        <v>&lt;li class="col-md-3"&gt;&lt;a class="text-cut" href="javascript:;"(click)="categoryEvent(2084037536)"&gt;{{"2084037536" | translate}}&lt;/a&gt;&lt;/li&gt;</v>
      </c>
    </row>
    <row r="8" spans="1:8" ht="14.25" customHeight="1">
      <c r="A8" s="7">
        <v>2084309464</v>
      </c>
      <c r="B8" s="7" t="s">
        <v>310</v>
      </c>
      <c r="C8" s="7" t="s">
        <v>311</v>
      </c>
      <c r="D8" s="7" t="s">
        <v>314</v>
      </c>
      <c r="E8" s="3" t="str">
        <f ca="1">IFERROR(__xludf.DUMMYFUNCTION("GOOGLETRANSLATE(B8,""ja"",""vi"")"),"rõ ràng file")</f>
        <v>rõ ràng file</v>
      </c>
      <c r="F8" s="3" t="str">
        <f ca="1">IFERROR(__xludf.DUMMYFUNCTION("GOOGLETRANSLATE(C8,""ja"",""vi"")"),"Đấu giá&gt; hàng Talent&gt; Xóa file")</f>
        <v>Đấu giá&gt; hàng Talent&gt; Xóa file</v>
      </c>
      <c r="G8" s="229" t="str">
        <f t="shared" ca="1" si="0"/>
        <v>"2084309464" : "rõ ràng file",</v>
      </c>
      <c r="H8" s="229" t="str">
        <f t="shared" si="1"/>
        <v>&lt;li class="col-md-3"&gt;&lt;a class="text-cut" href="javascript:;"(click)="categoryEvent(2084309464)"&gt;{{"2084309464" | translate}}&lt;/a&gt;&lt;/li&gt;</v>
      </c>
    </row>
    <row r="9" spans="1:8" ht="14.25" customHeight="1">
      <c r="A9" s="41">
        <v>2084040530</v>
      </c>
      <c r="B9" s="41" t="s">
        <v>324</v>
      </c>
      <c r="C9" s="41" t="s">
        <v>326</v>
      </c>
      <c r="D9" s="41" t="s">
        <v>328</v>
      </c>
      <c r="E9" s="3" t="str">
        <f ca="1">IFERROR(__xludf.DUMMYFUNCTION("GOOGLETRANSLATE(B9,""ja"",""vi"")"),"Điện thoại di Strap")</f>
        <v>Điện thoại di Strap</v>
      </c>
      <c r="F9" s="3" t="str">
        <f ca="1">IFERROR(__xludf.DUMMYFUNCTION("GOOGLETRANSLATE(C9,""ja"",""vi"")"),"Đấu giá&gt; hàng Talent&gt; Dây đeo điện thoại di động")</f>
        <v>Đấu giá&gt; hàng Talent&gt; Dây đeo điện thoại di động</v>
      </c>
      <c r="G9" s="229" t="str">
        <f t="shared" ca="1" si="0"/>
        <v>"2084040530" : "Điện thoại di Strap",</v>
      </c>
      <c r="H9" s="229" t="str">
        <f t="shared" si="1"/>
        <v>&lt;li class="col-md-3"&gt;&lt;a class="text-cut" href="javascript:;"(click)="categoryEvent(2084040530)"&gt;{{"2084040530" | translate}}&lt;/a&gt;&lt;/li&gt;</v>
      </c>
    </row>
    <row r="10" spans="1:8" ht="14.25" customHeight="1">
      <c r="A10" s="16">
        <v>2084006160</v>
      </c>
      <c r="B10" s="16" t="s">
        <v>331</v>
      </c>
      <c r="C10" s="16" t="s">
        <v>333</v>
      </c>
      <c r="D10" s="16" t="s">
        <v>334</v>
      </c>
      <c r="E10" s="3" t="str">
        <f ca="1">IFERROR(__xludf.DUMMYFUNCTION("GOOGLETRANSLATE(B10,""ja"",""vi"")"),"cắt giảm")</f>
        <v>cắt giảm</v>
      </c>
      <c r="F10" s="3" t="str">
        <f ca="1">IFERROR(__xludf.DUMMYFUNCTION("GOOGLETRANSLATE(C10,""ja"",""vi"")"),"Đấu giá&gt; hàng Talent&gt; cut-out")</f>
        <v>Đấu giá&gt; hàng Talent&gt; cut-out</v>
      </c>
      <c r="G10" s="229" t="str">
        <f t="shared" ca="1" si="0"/>
        <v>"2084006160" : "cắt giảm",</v>
      </c>
      <c r="H10" s="229" t="str">
        <f t="shared" si="1"/>
        <v>&lt;li class="col-md-3"&gt;&lt;a class="text-cut" href="javascript:;"(click)="categoryEvent(2084006160)"&gt;{{"2084006160" | translate}}&lt;/a&gt;&lt;/li&gt;</v>
      </c>
    </row>
    <row r="11" spans="1:8" ht="14.25" customHeight="1">
      <c r="A11" s="43">
        <v>2084047075</v>
      </c>
      <c r="B11" s="43" t="s">
        <v>339</v>
      </c>
      <c r="C11" s="43" t="s">
        <v>340</v>
      </c>
      <c r="D11" s="43" t="s">
        <v>341</v>
      </c>
      <c r="E11" s="3" t="str">
        <f ca="1">IFERROR(__xludf.DUMMYFUNCTION("GOOGLETRANSLATE(B11,""ja"",""vi"")"),"dấu")</f>
        <v>dấu</v>
      </c>
      <c r="F11" s="3" t="str">
        <f ca="1">IFERROR(__xludf.DUMMYFUNCTION("GOOGLETRANSLATE(C11,""ja"",""vi"")"),"Đấu giá&gt; hàng Talent&gt; dấu")</f>
        <v>Đấu giá&gt; hàng Talent&gt; dấu</v>
      </c>
      <c r="G11" s="229" t="str">
        <f t="shared" ca="1" si="0"/>
        <v>"2084047075" : "dấu",</v>
      </c>
      <c r="H11" s="229" t="str">
        <f t="shared" si="1"/>
        <v>&lt;li class="col-md-3"&gt;&lt;a class="text-cut" href="javascript:;"(click)="categoryEvent(2084047075)"&gt;{{"2084047075" | translate}}&lt;/a&gt;&lt;/li&gt;</v>
      </c>
    </row>
    <row r="12" spans="1:8" ht="14.25" customHeight="1">
      <c r="A12" s="45">
        <v>2084047076</v>
      </c>
      <c r="B12" s="45" t="s">
        <v>329</v>
      </c>
      <c r="C12" s="45" t="s">
        <v>345</v>
      </c>
      <c r="D12" s="45" t="s">
        <v>346</v>
      </c>
      <c r="E12" s="3" t="str">
        <f ca="1">IFERROR(__xludf.DUMMYFUNCTION("GOOGLETRANSLATE(B12,""ja"",""vi"")"),"keo")</f>
        <v>keo</v>
      </c>
      <c r="F12" s="3" t="str">
        <f ca="1">IFERROR(__xludf.DUMMYFUNCTION("GOOGLETRANSLATE(C12,""ja"",""vi"")"),"Đấu giá&gt; hàng Talent&gt; sticker")</f>
        <v>Đấu giá&gt; hàng Talent&gt; sticker</v>
      </c>
      <c r="G12" s="229" t="str">
        <f t="shared" ca="1" si="0"/>
        <v>"2084047076" : "keo",</v>
      </c>
      <c r="H12" s="229" t="str">
        <f t="shared" si="1"/>
        <v>&lt;li class="col-md-3"&gt;&lt;a class="text-cut" href="javascript:;"(click)="categoryEvent(2084047076)"&gt;{{"2084047076" | translate}}&lt;/a&gt;&lt;/li&gt;</v>
      </c>
    </row>
    <row r="13" spans="1:8" ht="14.25" customHeight="1">
      <c r="A13" s="48">
        <v>2084008066</v>
      </c>
      <c r="B13" s="48" t="s">
        <v>351</v>
      </c>
      <c r="C13" s="48" t="s">
        <v>352</v>
      </c>
      <c r="D13" s="48" t="s">
        <v>354</v>
      </c>
      <c r="E13" s="3" t="str">
        <f ca="1">IFERROR(__xludf.DUMMYFUNCTION("GOOGLETRANSLATE(B13,""ja"",""vi"")"),"tạp chí")</f>
        <v>tạp chí</v>
      </c>
      <c r="F13" s="3" t="str">
        <f ca="1">IFERROR(__xludf.DUMMYFUNCTION("GOOGLETRANSLATE(C13,""ja"",""vi"")"),"Đấu giá&gt; hàng Talent&gt; Tạp chí")</f>
        <v>Đấu giá&gt; hàng Talent&gt; Tạp chí</v>
      </c>
      <c r="G13" s="229" t="str">
        <f t="shared" ca="1" si="0"/>
        <v>"2084008066" : "tạp chí",</v>
      </c>
      <c r="H13" s="229" t="str">
        <f t="shared" si="1"/>
        <v>&lt;li class="col-md-3"&gt;&lt;a class="text-cut" href="javascript:;"(click)="categoryEvent(2084008066)"&gt;{{"2084008066" | translate}}&lt;/a&gt;&lt;/li&gt;</v>
      </c>
    </row>
    <row r="14" spans="1:8" ht="14.25" customHeight="1">
      <c r="A14" s="50">
        <v>2084047081</v>
      </c>
      <c r="B14" s="50" t="s">
        <v>355</v>
      </c>
      <c r="C14" s="50" t="s">
        <v>356</v>
      </c>
      <c r="D14" s="50" t="s">
        <v>358</v>
      </c>
      <c r="E14" s="3" t="str">
        <f ca="1">IFERROR(__xludf.DUMMYFUNCTION("GOOGLETRANSLATE(B14,""ja"",""vi"")"),"ảnh")</f>
        <v>ảnh</v>
      </c>
      <c r="F14" s="3" t="str">
        <f ca="1">IFERROR(__xludf.DUMMYFUNCTION("GOOGLETRANSLATE(C14,""ja"",""vi"")"),"Đấu giá&gt; hàng Talent&gt; Ảnh")</f>
        <v>Đấu giá&gt; hàng Talent&gt; Ảnh</v>
      </c>
      <c r="G14" s="229" t="str">
        <f t="shared" ca="1" si="0"/>
        <v>"2084047081" : "ảnh",</v>
      </c>
      <c r="H14" s="229" t="str">
        <f t="shared" si="1"/>
        <v>&lt;li class="col-md-3"&gt;&lt;a class="text-cut" href="javascript:;"(click)="categoryEvent(2084047081)"&gt;{{"2084047081" | translate}}&lt;/a&gt;&lt;/li&gt;</v>
      </c>
    </row>
    <row r="15" spans="1:8" ht="14.25" customHeight="1">
      <c r="A15" s="53">
        <v>2084309463</v>
      </c>
      <c r="B15" s="53" t="s">
        <v>363</v>
      </c>
      <c r="C15" s="53" t="s">
        <v>365</v>
      </c>
      <c r="D15" s="53" t="s">
        <v>367</v>
      </c>
      <c r="E15" s="3" t="str">
        <f ca="1">IFERROR(__xludf.DUMMYFUNCTION("GOOGLETRANSLATE(B15,""ja"",""vi"")"),"T-shirts, áo sơ mi")</f>
        <v>T-shirts, áo sơ mi</v>
      </c>
      <c r="F15" s="3" t="str">
        <f ca="1">IFERROR(__xludf.DUMMYFUNCTION("GOOGLETRANSLATE(C15,""ja"",""vi"")"),"Đấu giá&gt; hàng Talent&gt; T-shirt, áo sơ mi")</f>
        <v>Đấu giá&gt; hàng Talent&gt; T-shirt, áo sơ mi</v>
      </c>
      <c r="G15" s="229" t="str">
        <f t="shared" ca="1" si="0"/>
        <v>"2084309463" : "T-shirts, áo sơ mi",</v>
      </c>
      <c r="H15" s="229" t="str">
        <f t="shared" si="1"/>
        <v>&lt;li class="col-md-3"&gt;&lt;a class="text-cut" href="javascript:;"(click)="categoryEvent(2084309463)"&gt;{{"2084309463" | translate}}&lt;/a&gt;&lt;/li&gt;</v>
      </c>
    </row>
    <row r="16" spans="1:8" ht="14.25" customHeight="1">
      <c r="A16" s="56">
        <v>2084009038</v>
      </c>
      <c r="B16" s="56" t="s">
        <v>371</v>
      </c>
      <c r="C16" s="56" t="s">
        <v>372</v>
      </c>
      <c r="D16" s="56" t="s">
        <v>373</v>
      </c>
      <c r="E16" s="3" t="str">
        <f ca="1">IFERROR(__xludf.DUMMYFUNCTION("GOOGLETRANSLATE(B16,""ja"",""vi"")"),"Talent này")</f>
        <v>Talent này</v>
      </c>
      <c r="F16" s="3" t="str">
        <f ca="1">IFERROR(__xludf.DUMMYFUNCTION("GOOGLETRANSLATE(C16,""ja"",""vi"")"),"Đấu giá&gt; hàng Talent&gt; cuốn sách tài năng")</f>
        <v>Đấu giá&gt; hàng Talent&gt; cuốn sách tài năng</v>
      </c>
      <c r="G16" s="229" t="str">
        <f t="shared" ca="1" si="0"/>
        <v>"2084009038" : "Talent này",</v>
      </c>
      <c r="H16" s="229" t="str">
        <f t="shared" si="1"/>
        <v>&lt;li class="col-md-3"&gt;&lt;a class="text-cut" href="javascript:;"(click)="categoryEvent(2084009038)"&gt;{{"2084009038" | translate}}&lt;/a&gt;&lt;/li&gt;</v>
      </c>
    </row>
    <row r="17" spans="1:8" ht="14.25" customHeight="1">
      <c r="A17" s="59">
        <v>22748</v>
      </c>
      <c r="B17" s="59" t="s">
        <v>378</v>
      </c>
      <c r="C17" s="59" t="s">
        <v>379</v>
      </c>
      <c r="D17" s="59" t="s">
        <v>385</v>
      </c>
      <c r="E17" s="3" t="str">
        <f ca="1">IFERROR(__xludf.DUMMYFUNCTION("GOOGLETRANSLATE(B17,""ja"",""vi"")"),"vé")</f>
        <v>vé</v>
      </c>
      <c r="F17" s="3" t="str">
        <f ca="1">IFERROR(__xludf.DUMMYFUNCTION("GOOGLETRANSLATE(C17,""ja"",""vi"")"),"Đấu giá&gt; hàng Talent&gt; Vé")</f>
        <v>Đấu giá&gt; hàng Talent&gt; Vé</v>
      </c>
      <c r="G17" s="229" t="str">
        <f t="shared" ca="1" si="0"/>
        <v>"22748" : "vé",</v>
      </c>
      <c r="H17" s="229" t="str">
        <f t="shared" si="1"/>
        <v>&lt;li class="col-md-3"&gt;&lt;a class="text-cut" href="javascript:;"(click)="categoryEvent(22748)"&gt;{{"22748" | translate}}&lt;/a&gt;&lt;/li&gt;</v>
      </c>
    </row>
    <row r="18" spans="1:8" ht="14.25" customHeight="1">
      <c r="A18" s="63">
        <v>2084005109</v>
      </c>
      <c r="B18" s="63" t="s">
        <v>389</v>
      </c>
      <c r="C18" s="63" t="s">
        <v>390</v>
      </c>
      <c r="D18" s="63" t="s">
        <v>391</v>
      </c>
      <c r="E18" s="3" t="str">
        <f ca="1">IFERROR(__xludf.DUMMYFUNCTION("GOOGLETRANSLATE(B18,""ja"",""vi"")"),"thẻ điện thoại")</f>
        <v>thẻ điện thoại</v>
      </c>
      <c r="F18" s="3" t="str">
        <f ca="1">IFERROR(__xludf.DUMMYFUNCTION("GOOGLETRANSLATE(C18,""ja"",""vi"")"),"Đấu giá&gt; hàng Talent&gt; Thẻ điện thoại")</f>
        <v>Đấu giá&gt; hàng Talent&gt; Thẻ điện thoại</v>
      </c>
      <c r="G18" s="229" t="str">
        <f t="shared" ca="1" si="0"/>
        <v>"2084005109" : "thẻ điện thoại",</v>
      </c>
      <c r="H18" s="229" t="str">
        <f t="shared" si="1"/>
        <v>&lt;li class="col-md-3"&gt;&lt;a class="text-cut" href="javascript:;"(click)="categoryEvent(2084005109)"&gt;{{"2084005109" | translate}}&lt;/a&gt;&lt;/li&gt;</v>
      </c>
    </row>
    <row r="19" spans="1:8" ht="14.25" customHeight="1">
      <c r="A19" s="66">
        <v>2084006042</v>
      </c>
      <c r="B19" s="66" t="s">
        <v>396</v>
      </c>
      <c r="C19" s="66" t="s">
        <v>397</v>
      </c>
      <c r="D19" s="66" t="s">
        <v>398</v>
      </c>
      <c r="E19" s="3" t="str">
        <f ca="1">IFERROR(__xludf.DUMMYFUNCTION("GOOGLETRANSLATE(B19,""ja"",""vi"")"),"thẻ giao dịch")</f>
        <v>thẻ giao dịch</v>
      </c>
      <c r="F19" s="3" t="str">
        <f ca="1">IFERROR(__xludf.DUMMYFUNCTION("GOOGLETRANSLATE(C19,""ja"",""vi"")"),"Đấu giá&gt; hàng Talent&gt; Trading Cards")</f>
        <v>Đấu giá&gt; hàng Talent&gt; Trading Cards</v>
      </c>
      <c r="G19" s="229" t="str">
        <f t="shared" ca="1" si="0"/>
        <v>"2084006042" : "thẻ giao dịch",</v>
      </c>
      <c r="H19" s="229" t="str">
        <f t="shared" si="1"/>
        <v>&lt;li class="col-md-3"&gt;&lt;a class="text-cut" href="javascript:;"(click)="categoryEvent(2084006042)"&gt;{{"2084006042" | translate}}&lt;/a&gt;&lt;/li&gt;</v>
      </c>
    </row>
    <row r="20" spans="1:8" ht="14.25" customHeight="1">
      <c r="A20" s="69">
        <v>2084046717</v>
      </c>
      <c r="B20" s="69" t="s">
        <v>402</v>
      </c>
      <c r="C20" s="69" t="s">
        <v>403</v>
      </c>
      <c r="D20" s="69" t="s">
        <v>404</v>
      </c>
      <c r="E20" s="3" t="str">
        <f ca="1">IFERROR(__xludf.DUMMYFUNCTION("GOOGLETRANSLATE(B20,""ja"",""vi"")"),"Kuokado")</f>
        <v>Kuokado</v>
      </c>
      <c r="F20" s="3" t="str">
        <f ca="1">IFERROR(__xludf.DUMMYFUNCTION("GOOGLETRANSLATE(C20,""ja"",""vi"")"),"Đấu giá&gt; hàng Talent&gt; Kuokado")</f>
        <v>Đấu giá&gt; hàng Talent&gt; Kuokado</v>
      </c>
      <c r="G20" s="229" t="str">
        <f t="shared" ca="1" si="0"/>
        <v>"2084046717" : "Kuokado",</v>
      </c>
      <c r="H20" s="229" t="str">
        <f t="shared" si="1"/>
        <v>&lt;li class="col-md-3"&gt;&lt;a class="text-cut" href="javascript:;"(click)="categoryEvent(2084046717)"&gt;{{"2084046717" | translate}}&lt;/a&gt;&lt;/li&gt;</v>
      </c>
    </row>
    <row r="21" spans="1:8" ht="14.25" customHeight="1">
      <c r="A21" s="72">
        <v>2084047091</v>
      </c>
      <c r="B21" s="72" t="s">
        <v>408</v>
      </c>
      <c r="C21" s="72" t="s">
        <v>409</v>
      </c>
      <c r="D21" s="72" t="s">
        <v>411</v>
      </c>
      <c r="E21" s="3" t="str">
        <f ca="1">IFERROR(__xludf.DUMMYFUNCTION("GOOGLETRANSLATE(B21,""ja"",""vi"")"),"Fan club bản tin")</f>
        <v>Fan club bản tin</v>
      </c>
      <c r="F21" s="3" t="str">
        <f ca="1">IFERROR(__xludf.DUMMYFUNCTION("GOOGLETRANSLATE(C21,""ja"",""vi"")"),"Đấu giá&gt; hàng Talent&gt; fan club bản tin")</f>
        <v>Đấu giá&gt; hàng Talent&gt; fan club bản tin</v>
      </c>
      <c r="G21" s="229" t="str">
        <f t="shared" ca="1" si="0"/>
        <v>"2084047091" : "Fan club bản tin",</v>
      </c>
      <c r="H21" s="229" t="str">
        <f t="shared" si="1"/>
        <v>&lt;li class="col-md-3"&gt;&lt;a class="text-cut" href="javascript:;"(click)="categoryEvent(2084047091)"&gt;{{"2084047091" | translate}}&lt;/a&gt;&lt;/li&gt;</v>
      </c>
    </row>
    <row r="22" spans="1:8" ht="14.25" customHeight="1">
      <c r="A22" s="75">
        <v>2084309465</v>
      </c>
      <c r="B22" s="75" t="s">
        <v>417</v>
      </c>
      <c r="C22" s="75" t="s">
        <v>418</v>
      </c>
      <c r="D22" s="75" t="s">
        <v>419</v>
      </c>
      <c r="E22" s="3" t="str">
        <f ca="1">IFERROR(__xludf.DUMMYFUNCTION("GOOGLETRANSLATE(B22,""ja"",""vi"")"),"tóc")</f>
        <v>tóc</v>
      </c>
      <c r="F22" s="3" t="str">
        <f ca="1">IFERROR(__xludf.DUMMYFUNCTION("GOOGLETRANSLATE(C22,""ja"",""vi"")"),"Đấu giá&gt; hàng Talent&gt; tóc")</f>
        <v>Đấu giá&gt; hàng Talent&gt; tóc</v>
      </c>
      <c r="G22" s="229" t="str">
        <f t="shared" ca="1" si="0"/>
        <v>"2084309465" : "tóc",</v>
      </c>
      <c r="H22" s="229" t="str">
        <f t="shared" si="1"/>
        <v>&lt;li class="col-md-3"&gt;&lt;a class="text-cut" href="javascript:;"(click)="categoryEvent(2084309465)"&gt;{{"2084309465" | translate}}&lt;/a&gt;&lt;/li&gt;</v>
      </c>
    </row>
    <row r="23" spans="1:8" ht="14.25" customHeight="1">
      <c r="A23" s="76">
        <v>2084309466</v>
      </c>
      <c r="B23" s="76" t="s">
        <v>422</v>
      </c>
      <c r="C23" s="76" t="s">
        <v>423</v>
      </c>
      <c r="D23" s="76" t="s">
        <v>424</v>
      </c>
      <c r="E23" s="3" t="str">
        <f ca="1">IFERROR(__xludf.DUMMYFUNCTION("GOOGLETRANSLATE(B23,""ja"",""vi"")"),"Penlight, ánh sáng buổi hòa nhạc")</f>
        <v>Penlight, ánh sáng buổi hòa nhạc</v>
      </c>
      <c r="F23" s="3" t="str">
        <f ca="1">IFERROR(__xludf.DUMMYFUNCTION("GOOGLETRANSLATE(C23,""ja"",""vi"")"),"Đấu giá&gt; hàng Talent&gt; ánh sáng bút, ánh sáng buổi hòa nhạc")</f>
        <v>Đấu giá&gt; hàng Talent&gt; ánh sáng bút, ánh sáng buổi hòa nhạc</v>
      </c>
      <c r="G23" s="229" t="str">
        <f t="shared" ca="1" si="0"/>
        <v>"2084309466" : "Penlight, ánh sáng buổi hòa nhạc",</v>
      </c>
      <c r="H23" s="229" t="str">
        <f t="shared" si="1"/>
        <v>&lt;li class="col-md-3"&gt;&lt;a class="text-cut" href="javascript:;"(click)="categoryEvent(2084309466)"&gt;{{"2084309466" | translate}}&lt;/a&gt;&lt;/li&gt;</v>
      </c>
    </row>
    <row r="24" spans="1:8" ht="14.25" customHeight="1">
      <c r="A24" s="78">
        <v>2084006183</v>
      </c>
      <c r="B24" s="78" t="s">
        <v>427</v>
      </c>
      <c r="C24" s="78" t="s">
        <v>428</v>
      </c>
      <c r="D24" s="78" t="s">
        <v>429</v>
      </c>
      <c r="E24" s="3" t="str">
        <f ca="1">IFERROR(__xludf.DUMMYFUNCTION("GOOGLETRANSLATE(B24,""ja"",""vi"")"),"poster")</f>
        <v>poster</v>
      </c>
      <c r="F24" s="3" t="str">
        <f ca="1">IFERROR(__xludf.DUMMYFUNCTION("GOOGLETRANSLATE(C24,""ja"",""vi"")"),"Đấu giá&gt; hàng Talent&gt; áp phích")</f>
        <v>Đấu giá&gt; hàng Talent&gt; áp phích</v>
      </c>
      <c r="G24" s="229" t="str">
        <f t="shared" ca="1" si="0"/>
        <v>"2084006183" : "poster",</v>
      </c>
      <c r="H24" s="229" t="str">
        <f t="shared" si="1"/>
        <v>&lt;li class="col-md-3"&gt;&lt;a class="text-cut" href="javascript:;"(click)="categoryEvent(2084006183)"&gt;{{"2084006183" | translate}}&lt;/a&gt;&lt;/li&gt;</v>
      </c>
    </row>
    <row r="25" spans="1:8" ht="14.25" customHeight="1">
      <c r="A25" s="77">
        <v>2084047088</v>
      </c>
      <c r="B25" s="77" t="s">
        <v>432</v>
      </c>
      <c r="C25" s="77" t="s">
        <v>433</v>
      </c>
      <c r="D25" s="77" t="s">
        <v>434</v>
      </c>
      <c r="E25" s="3" t="str">
        <f ca="1">IFERROR(__xludf.DUMMYFUNCTION("GOOGLETRANSLATE(B25,""ja"",""vi"")"),"pop")</f>
        <v>pop</v>
      </c>
      <c r="F25" s="3" t="str">
        <f ca="1">IFERROR(__xludf.DUMMYFUNCTION("GOOGLETRANSLATE(C25,""ja"",""vi"")"),"Đấu giá&gt; hàng Talent&gt; Pop")</f>
        <v>Đấu giá&gt; hàng Talent&gt; Pop</v>
      </c>
      <c r="G25" s="229" t="str">
        <f t="shared" ca="1" si="0"/>
        <v>"2084047088" : "pop",</v>
      </c>
      <c r="H25" s="229" t="str">
        <f t="shared" si="1"/>
        <v>&lt;li class="col-md-3"&gt;&lt;a class="text-cut" href="javascript:;"(click)="categoryEvent(2084047088)"&gt;{{"2084047088" | translate}}&lt;/a&gt;&lt;/li&gt;</v>
      </c>
    </row>
    <row r="26" spans="1:8" ht="14.25" customHeight="1">
      <c r="A26" s="65">
        <v>22396</v>
      </c>
      <c r="B26" s="65" t="s">
        <v>437</v>
      </c>
      <c r="C26" s="65" t="s">
        <v>438</v>
      </c>
      <c r="D26" s="65" t="s">
        <v>439</v>
      </c>
      <c r="E26" s="3" t="str">
        <f ca="1">IFERROR(__xludf.DUMMYFUNCTION("GOOGLETRANSLATE(B26,""ja"",""vi"")"),"Hàng nhạc sĩ")</f>
        <v>Hàng nhạc sĩ</v>
      </c>
      <c r="F26" s="3" t="str">
        <f ca="1">IFERROR(__xludf.DUMMYFUNCTION("GOOGLETRANSLATE(C26,""ja"",""vi"")"),"Đấu giá&gt; hàng Talent&gt; nhạc sĩ hàng")</f>
        <v>Đấu giá&gt; hàng Talent&gt; nhạc sĩ hàng</v>
      </c>
      <c r="G26" s="229" t="str">
        <f t="shared" ca="1" si="0"/>
        <v>"22396" : "Hàng nhạc sĩ",</v>
      </c>
      <c r="H26" s="229" t="str">
        <f t="shared" si="1"/>
        <v>&lt;li class="col-md-3"&gt;&lt;a class="text-cut" href="javascript:;"(click)="categoryEvent(22396)"&gt;{{"22396" | translate}}&lt;/a&gt;&lt;/li&gt;</v>
      </c>
    </row>
    <row r="27" spans="1:8" ht="14.25" customHeight="1">
      <c r="A27" s="80">
        <v>2084047089</v>
      </c>
      <c r="B27" s="80" t="s">
        <v>16</v>
      </c>
      <c r="C27" s="80" t="s">
        <v>443</v>
      </c>
      <c r="D27" s="80" t="s">
        <v>445</v>
      </c>
      <c r="E27" s="3" t="str">
        <f ca="1">IFERROR(__xludf.DUMMYFUNCTION("GOOGLETRANSLATE(B27,""ja"",""vi"")"),"nếu không thì")</f>
        <v>nếu không thì</v>
      </c>
      <c r="F27" s="3" t="str">
        <f ca="1">IFERROR(__xludf.DUMMYFUNCTION("GOOGLETRANSLATE(C27,""ja"",""vi"")"),"Đấu giá&gt; hàng Talent&gt; Khác")</f>
        <v>Đấu giá&gt; hàng Talent&gt; Khác</v>
      </c>
      <c r="G27" s="229" t="str">
        <f t="shared" ca="1" si="0"/>
        <v>"2084047089" : "nếu không thì",</v>
      </c>
      <c r="H27" s="229" t="str">
        <f t="shared" si="1"/>
        <v>&lt;li class="col-md-3"&gt;&lt;a class="text-cut" href="javascript:;"(click)="categoryEvent(2084047089)"&gt;{{"2084047089" | translate}}&lt;/a&gt;&lt;/li&gt;</v>
      </c>
    </row>
    <row r="28" spans="1:8" ht="14.25" customHeight="1">
      <c r="E28" s="3"/>
      <c r="F28" s="3"/>
      <c r="G28" s="229"/>
      <c r="H28" s="229"/>
    </row>
    <row r="29" spans="1:8" ht="14.25" customHeight="1">
      <c r="A29" s="231">
        <v>2084047071</v>
      </c>
      <c r="B29" s="232"/>
      <c r="C29" s="232"/>
      <c r="D29" s="233"/>
      <c r="E29" s="3"/>
      <c r="F29" s="3"/>
      <c r="G29" s="229"/>
      <c r="H29" s="229"/>
    </row>
    <row r="30" spans="1:8" ht="14.25" customHeight="1">
      <c r="A30" s="2">
        <v>2084024931</v>
      </c>
      <c r="B30" s="2" t="s">
        <v>13</v>
      </c>
      <c r="C30" s="2" t="s">
        <v>449</v>
      </c>
      <c r="D30" s="2" t="s">
        <v>450</v>
      </c>
      <c r="E30" s="3" t="str">
        <f ca="1">IFERROR(__xludf.DUMMYFUNCTION("GOOGLETRANSLATE(B30,""ja"",""vi"")"),"nhạc sĩ")</f>
        <v>nhạc sĩ</v>
      </c>
      <c r="F30" s="3" t="str">
        <f ca="1">IFERROR(__xludf.DUMMYFUNCTION("GOOGLETRANSLATE(C30,""ja"",""vi"")"),"Đấu giá&gt; hàng Talent&gt; người, theo nhóm&gt; nhạc sĩ")</f>
        <v>Đấu giá&gt; hàng Talent&gt; người, theo nhóm&gt; nhạc sĩ</v>
      </c>
      <c r="G30" s="229" t="str">
        <f t="shared" ca="1" si="0"/>
        <v>"2084024931" : "nhạc sĩ",</v>
      </c>
      <c r="H30" s="229" t="str">
        <f t="shared" si="1"/>
        <v>&lt;li class="col-md-3"&gt;&lt;a class="text-cut" href="javascript:;"(click)="categoryEvent(2084024931)"&gt;{{"2084024931" | translate}}&lt;/a&gt;&lt;/li&gt;</v>
      </c>
    </row>
    <row r="31" spans="1:8" ht="14.25" customHeight="1">
      <c r="A31" s="2">
        <v>2084032595</v>
      </c>
      <c r="B31" s="2" t="s">
        <v>451</v>
      </c>
      <c r="C31" s="2" t="s">
        <v>454</v>
      </c>
      <c r="D31" s="2" t="s">
        <v>456</v>
      </c>
      <c r="E31" s="3" t="str">
        <f ca="1">IFERROR(__xludf.DUMMYFUNCTION("GOOGLETRANSLATE(B31,""ja"",""vi"")"),"tài năng nữ")</f>
        <v>tài năng nữ</v>
      </c>
      <c r="F31" s="3" t="str">
        <f ca="1">IFERROR(__xludf.DUMMYFUNCTION("GOOGLETRANSLATE(C31,""ja"",""vi"")"),"Đấu giá&gt; hàng Talent&gt; người, bởi các nhóm&gt; tài năng nữ")</f>
        <v>Đấu giá&gt; hàng Talent&gt; người, bởi các nhóm&gt; tài năng nữ</v>
      </c>
      <c r="G31" s="229" t="str">
        <f t="shared" ca="1" si="0"/>
        <v>"2084032595" : "tài năng nữ",</v>
      </c>
      <c r="H31" s="229" t="str">
        <f t="shared" si="1"/>
        <v>&lt;li class="col-md-3"&gt;&lt;a class="text-cut" href="javascript:;"(click)="categoryEvent(2084032595)"&gt;{{"2084032595" | translate}}&lt;/a&gt;&lt;/li&gt;</v>
      </c>
    </row>
    <row r="32" spans="1:8" ht="14.25" customHeight="1">
      <c r="A32" s="2">
        <v>2084033347</v>
      </c>
      <c r="B32" s="2" t="s">
        <v>460</v>
      </c>
      <c r="C32" s="2" t="s">
        <v>463</v>
      </c>
      <c r="D32" s="2" t="s">
        <v>464</v>
      </c>
      <c r="E32" s="3" t="str">
        <f ca="1">IFERROR(__xludf.DUMMYFUNCTION("GOOGLETRANSLATE(B32,""ja"",""vi"")"),"Nam Talent")</f>
        <v>Nam Talent</v>
      </c>
      <c r="F32" s="3" t="str">
        <f ca="1">IFERROR(__xludf.DUMMYFUNCTION("GOOGLETRANSLATE(C32,""ja"",""vi"")"),"Đấu giá&gt; hàng Talent&gt; người, theo nhóm&gt; Nam Talent")</f>
        <v>Đấu giá&gt; hàng Talent&gt; người, theo nhóm&gt; Nam Talent</v>
      </c>
      <c r="G32" s="229" t="str">
        <f t="shared" ca="1" si="0"/>
        <v>"2084033347" : "Nam Talent",</v>
      </c>
      <c r="H32" s="229" t="str">
        <f t="shared" si="1"/>
        <v>&lt;li class="col-md-3"&gt;&lt;a class="text-cut" href="javascript:;"(click)="categoryEvent(2084033347)"&gt;{{"2084033347" | translate}}&lt;/a&gt;&lt;/li&gt;</v>
      </c>
    </row>
    <row r="33" spans="1:8" ht="14.25" customHeight="1">
      <c r="E33" s="3"/>
      <c r="F33" s="3"/>
      <c r="G33" s="229"/>
      <c r="H33" s="229"/>
    </row>
    <row r="34" spans="1:8" ht="14.25" customHeight="1">
      <c r="A34" s="240">
        <v>2084046976</v>
      </c>
      <c r="B34" s="232"/>
      <c r="C34" s="232"/>
      <c r="D34" s="233"/>
      <c r="E34" s="3"/>
      <c r="F34" s="3"/>
      <c r="G34" s="229"/>
      <c r="H34" s="229"/>
    </row>
    <row r="35" spans="1:8" ht="14.25" customHeight="1">
      <c r="A35" s="2">
        <v>2084057161</v>
      </c>
      <c r="B35" s="2" t="s">
        <v>480</v>
      </c>
      <c r="C35" s="2" t="s">
        <v>481</v>
      </c>
      <c r="D35" s="2" t="s">
        <v>482</v>
      </c>
      <c r="E35" s="3" t="str">
        <f ca="1">IFERROR(__xludf.DUMMYFUNCTION("GOOGLETRANSLATE(B35,""ja"",""vi"")"),"phụ nữ nhàn rỗi")</f>
        <v>phụ nữ nhàn rỗi</v>
      </c>
      <c r="F35" s="3" t="str">
        <f ca="1">IFERROR(__xludf.DUMMYFUNCTION("GOOGLETRANSLATE(C35,""ja"",""vi"")"),"Đấu giá&gt; phim, video&gt; DVD&gt; thần tượng&gt; người phụ nữ thần tượng")</f>
        <v>Đấu giá&gt; phim, video&gt; DVD&gt; thần tượng&gt; người phụ nữ thần tượng</v>
      </c>
      <c r="G35" s="229" t="str">
        <f t="shared" ca="1" si="0"/>
        <v>"2084057161" : "phụ nữ nhàn rỗi",</v>
      </c>
      <c r="H35" s="229" t="str">
        <f t="shared" si="1"/>
        <v>&lt;li class="col-md-3"&gt;&lt;a class="text-cut" href="javascript:;"(click)="categoryEvent(2084057161)"&gt;{{"2084057161" | translate}}&lt;/a&gt;&lt;/li&gt;</v>
      </c>
    </row>
    <row r="36" spans="1:8" ht="14.25" customHeight="1">
      <c r="A36" s="2">
        <v>2084057160</v>
      </c>
      <c r="B36" s="2" t="s">
        <v>490</v>
      </c>
      <c r="C36" s="2" t="s">
        <v>494</v>
      </c>
      <c r="D36" s="2" t="s">
        <v>497</v>
      </c>
      <c r="E36" s="3" t="str">
        <f ca="1">IFERROR(__xludf.DUMMYFUNCTION("GOOGLETRANSLATE(B36,""ja"",""vi"")"),"thần tượng nam")</f>
        <v>thần tượng nam</v>
      </c>
      <c r="F36" s="3" t="str">
        <f ca="1">IFERROR(__xludf.DUMMYFUNCTION("GOOGLETRANSLATE(C36,""ja"",""vi"")"),"Đấu giá&gt; phim, video&gt; DVD&gt; thần tượng&gt; thần tượng nam")</f>
        <v>Đấu giá&gt; phim, video&gt; DVD&gt; thần tượng&gt; thần tượng nam</v>
      </c>
      <c r="G36" s="229" t="str">
        <f t="shared" ca="1" si="0"/>
        <v>"2084057160" : "thần tượng nam",</v>
      </c>
      <c r="H36" s="229" t="str">
        <f t="shared" si="1"/>
        <v>&lt;li class="col-md-3"&gt;&lt;a class="text-cut" href="javascript:;"(click)="categoryEvent(2084057160)"&gt;{{"2084057160" | translate}}&lt;/a&gt;&lt;/li&gt;</v>
      </c>
    </row>
    <row r="37" spans="1:8" ht="14.25" customHeight="1">
      <c r="E37" s="3"/>
      <c r="F37" s="3"/>
      <c r="G37" s="229"/>
      <c r="H37" s="229"/>
    </row>
    <row r="38" spans="1:8" ht="14.25" customHeight="1">
      <c r="A38" s="237">
        <v>2084046984</v>
      </c>
      <c r="B38" s="232"/>
      <c r="C38" s="232"/>
      <c r="D38" s="233"/>
      <c r="E38" s="3"/>
      <c r="F38" s="3"/>
      <c r="G38" s="229"/>
      <c r="H38" s="229"/>
    </row>
    <row r="39" spans="1:8" ht="14.25" customHeight="1">
      <c r="A39" s="83">
        <v>2084216636</v>
      </c>
      <c r="B39" s="83" t="s">
        <v>480</v>
      </c>
      <c r="C39" s="83" t="s">
        <v>538</v>
      </c>
      <c r="D39" s="83" t="s">
        <v>539</v>
      </c>
      <c r="E39" s="3" t="str">
        <f ca="1">IFERROR(__xludf.DUMMYFUNCTION("GOOGLETRANSLATE(B39,""ja"",""vi"")"),"phụ nữ nhàn rỗi")</f>
        <v>phụ nữ nhàn rỗi</v>
      </c>
      <c r="F39" s="3" t="str">
        <f ca="1">IFERROR(__xludf.DUMMYFUNCTION("GOOGLETRANSLATE(C39,""ja"",""vi"")"),"Đấu giá&gt; phim, video&gt; băng video&gt; thần tượng&gt; người phụ nữ thần tượng")</f>
        <v>Đấu giá&gt; phim, video&gt; băng video&gt; thần tượng&gt; người phụ nữ thần tượng</v>
      </c>
      <c r="G39" s="229" t="str">
        <f t="shared" ca="1" si="0"/>
        <v>"2084216636" : "phụ nữ nhàn rỗi",</v>
      </c>
      <c r="H39" s="229" t="str">
        <f t="shared" si="1"/>
        <v>&lt;li class="col-md-3"&gt;&lt;a class="text-cut" href="javascript:;"(click)="categoryEvent(2084216636)"&gt;{{"2084216636" | translate}}&lt;/a&gt;&lt;/li&gt;</v>
      </c>
    </row>
    <row r="40" spans="1:8" ht="14.25" customHeight="1">
      <c r="A40" s="83">
        <v>2084216637</v>
      </c>
      <c r="B40" s="83" t="s">
        <v>490</v>
      </c>
      <c r="C40" s="83" t="s">
        <v>547</v>
      </c>
      <c r="D40" s="83" t="s">
        <v>549</v>
      </c>
      <c r="E40" s="3" t="str">
        <f ca="1">IFERROR(__xludf.DUMMYFUNCTION("GOOGLETRANSLATE(B40,""ja"",""vi"")"),"thần tượng nam")</f>
        <v>thần tượng nam</v>
      </c>
      <c r="F40" s="3" t="str">
        <f ca="1">IFERROR(__xludf.DUMMYFUNCTION("GOOGLETRANSLATE(C40,""ja"",""vi"")"),"Đấu giá&gt; phim, video&gt; băng video&gt; thần tượng&gt; thần tượng nam")</f>
        <v>Đấu giá&gt; phim, video&gt; băng video&gt; thần tượng&gt; thần tượng nam</v>
      </c>
      <c r="G40" s="229" t="str">
        <f t="shared" ca="1" si="0"/>
        <v>"2084216637" : "thần tượng nam",</v>
      </c>
      <c r="H40" s="229" t="str">
        <f t="shared" si="1"/>
        <v>&lt;li class="col-md-3"&gt;&lt;a class="text-cut" href="javascript:;"(click)="categoryEvent(2084216637)"&gt;{{"2084216637" | translate}}&lt;/a&gt;&lt;/li&gt;</v>
      </c>
    </row>
    <row r="41" spans="1:8" ht="14.25" customHeight="1">
      <c r="E41" s="3"/>
      <c r="F41" s="3"/>
      <c r="G41" s="229"/>
      <c r="H41" s="229"/>
    </row>
    <row r="42" spans="1:8" ht="14.25" customHeight="1">
      <c r="A42" s="264">
        <v>2084008066</v>
      </c>
      <c r="B42" s="232"/>
      <c r="C42" s="232"/>
      <c r="D42" s="233"/>
      <c r="E42" s="3"/>
      <c r="F42" s="3"/>
      <c r="G42" s="229"/>
      <c r="H42" s="229"/>
    </row>
    <row r="43" spans="1:8" ht="14.25" customHeight="1">
      <c r="A43" s="2">
        <v>2084034022</v>
      </c>
      <c r="B43" s="2" t="s">
        <v>574</v>
      </c>
      <c r="C43" s="2" t="s">
        <v>576</v>
      </c>
      <c r="D43" s="2" t="s">
        <v>578</v>
      </c>
      <c r="E43" s="3" t="str">
        <f ca="1">IFERROR(__xludf.DUMMYFUNCTION("GOOGLETRANSLATE(B43,""ja"",""vi"")"),"BOMB!")</f>
        <v>BOMB!</v>
      </c>
      <c r="F43" s="3" t="str">
        <f ca="1">IFERROR(__xludf.DUMMYFUNCTION("GOOGLETRANSLATE(C43,""ja"",""vi"")"),"Đấu giá&gt; cuốn sách, tạp chí&gt; Tạp chí&gt; nghệ thuật, vui chơi giải trí&gt; thần tượng, giải trí&gt; BOMB!")</f>
        <v>Đấu giá&gt; cuốn sách, tạp chí&gt; Tạp chí&gt; nghệ thuật, vui chơi giải trí&gt; thần tượng, giải trí&gt; BOMB!</v>
      </c>
      <c r="G43" s="229" t="str">
        <f t="shared" ca="1" si="0"/>
        <v>"2084034022" : "BOMB!",</v>
      </c>
      <c r="H43" s="229" t="str">
        <f t="shared" si="1"/>
        <v>&lt;li class="col-md-3"&gt;&lt;a class="text-cut" href="javascript:;"(click)="categoryEvent(2084034022)"&gt;{{"2084034022" | translate}}&lt;/a&gt;&lt;/li&gt;</v>
      </c>
    </row>
    <row r="44" spans="1:8" ht="14.25" customHeight="1">
      <c r="A44" s="2">
        <v>2084040626</v>
      </c>
      <c r="B44" s="2" t="s">
        <v>583</v>
      </c>
      <c r="C44" s="2" t="s">
        <v>585</v>
      </c>
      <c r="D44" s="2" t="s">
        <v>586</v>
      </c>
      <c r="E44" s="3" t="str">
        <f ca="1">IFERROR(__xludf.DUMMYFUNCTION("GOOGLETRANSLATE(B44,""ja"",""vi"")"),"Dunk")</f>
        <v>Dunk</v>
      </c>
      <c r="F44" s="3" t="str">
        <f ca="1">IFERROR(__xludf.DUMMYFUNCTION("GOOGLETRANSLATE(C44,""ja"",""vi"")"),"Đấu giá&gt; cuốn sách, tạp chí&gt; Tạp chí&gt; nghệ thuật, vui chơi giải trí&gt; thần tượng, giải trí&gt; Dunk")</f>
        <v>Đấu giá&gt; cuốn sách, tạp chí&gt; Tạp chí&gt; nghệ thuật, vui chơi giải trí&gt; thần tượng, giải trí&gt; Dunk</v>
      </c>
      <c r="G44" s="229" t="str">
        <f t="shared" ca="1" si="0"/>
        <v>"2084040626" : "Dunk",</v>
      </c>
      <c r="H44" s="229" t="str">
        <f t="shared" si="1"/>
        <v>&lt;li class="col-md-3"&gt;&lt;a class="text-cut" href="javascript:;"(click)="categoryEvent(2084040626)"&gt;{{"2084040626" | translate}}&lt;/a&gt;&lt;/li&gt;</v>
      </c>
    </row>
    <row r="45" spans="1:8" ht="14.25" customHeight="1">
      <c r="A45" s="2">
        <v>2084034030</v>
      </c>
      <c r="B45" s="2" t="s">
        <v>589</v>
      </c>
      <c r="C45" s="2" t="s">
        <v>591</v>
      </c>
      <c r="D45" s="2" t="s">
        <v>592</v>
      </c>
      <c r="E45" s="3" t="str">
        <f ca="1">IFERROR(__xludf.DUMMYFUNCTION("GOOGLETRANSLATE(B45,""ja"",""vi"")"),"Duet")</f>
        <v>Duet</v>
      </c>
      <c r="F45" s="3" t="str">
        <f ca="1">IFERROR(__xludf.DUMMYFUNCTION("GOOGLETRANSLATE(C45,""ja"",""vi"")"),"Đấu giá&gt; cuốn sách, tạp chí&gt; Tạp chí&gt; nghệ thuật, vui chơi giải trí&gt; thần tượng, giải trí&gt; Duet")</f>
        <v>Đấu giá&gt; cuốn sách, tạp chí&gt; Tạp chí&gt; nghệ thuật, vui chơi giải trí&gt; thần tượng, giải trí&gt; Duet</v>
      </c>
      <c r="G45" s="229" t="str">
        <f t="shared" ca="1" si="0"/>
        <v>"2084034030" : "Duet",</v>
      </c>
      <c r="H45" s="229" t="str">
        <f t="shared" si="1"/>
        <v>&lt;li class="col-md-3"&gt;&lt;a class="text-cut" href="javascript:;"(click)="categoryEvent(2084034030)"&gt;{{"2084034030" | translate}}&lt;/a&gt;&lt;/li&gt;</v>
      </c>
    </row>
    <row r="46" spans="1:8" ht="14.25" customHeight="1">
      <c r="A46" s="2">
        <v>2084034004</v>
      </c>
      <c r="B46" s="2" t="s">
        <v>598</v>
      </c>
      <c r="C46" s="2" t="s">
        <v>601</v>
      </c>
      <c r="D46" s="2" t="s">
        <v>603</v>
      </c>
      <c r="E46" s="3" t="str">
        <f ca="1">IFERROR(__xludf.DUMMYFUNCTION("GOOGLETRANSLATE(B46,""ja"",""vi"")"),"cô gái Pop")</f>
        <v>cô gái Pop</v>
      </c>
      <c r="F46" s="3" t="str">
        <f ca="1">IFERROR(__xludf.DUMMYFUNCTION("GOOGLETRANSLATE(C46,""ja"",""vi"")"),"Đấu giá&gt; cuốn sách, tạp chí&gt; Tạp chí&gt; nghệ thuật, vui chơi giải trí&gt; thần tượng, giải trí&gt; cô gái Pop")</f>
        <v>Đấu giá&gt; cuốn sách, tạp chí&gt; Tạp chí&gt; nghệ thuật, vui chơi giải trí&gt; thần tượng, giải trí&gt; cô gái Pop</v>
      </c>
      <c r="G46" s="229" t="str">
        <f t="shared" ca="1" si="0"/>
        <v>"2084034004" : "cô gái Pop",</v>
      </c>
      <c r="H46" s="229" t="str">
        <f t="shared" si="1"/>
        <v>&lt;li class="col-md-3"&gt;&lt;a class="text-cut" href="javascript:;"(click)="categoryEvent(2084034004)"&gt;{{"2084034004" | translate}}&lt;/a&gt;&lt;/li&gt;</v>
      </c>
    </row>
    <row r="47" spans="1:8" ht="14.25" customHeight="1">
      <c r="A47" s="2">
        <v>2084034005</v>
      </c>
      <c r="B47" s="2" t="s">
        <v>613</v>
      </c>
      <c r="C47" s="2" t="s">
        <v>614</v>
      </c>
      <c r="D47" s="2" t="s">
        <v>616</v>
      </c>
      <c r="E47" s="3" t="str">
        <f ca="1">IFERROR(__xludf.DUMMYFUNCTION("GOOGLETRANSLATE(B47,""ja"",""vi"")"),"cô gái Hits")</f>
        <v>cô gái Hits</v>
      </c>
      <c r="F47" s="3" t="str">
        <f ca="1">IFERROR(__xludf.DUMMYFUNCTION("GOOGLETRANSLATE(C47,""ja"",""vi"")"),"Đấu giá&gt; cuốn sách, tạp chí&gt; Tạp chí&gt; nghệ thuật, vui chơi giải trí&gt; thần tượng, người nổi tiếng&gt; cô gái Hits")</f>
        <v>Đấu giá&gt; cuốn sách, tạp chí&gt; Tạp chí&gt; nghệ thuật, vui chơi giải trí&gt; thần tượng, người nổi tiếng&gt; cô gái Hits</v>
      </c>
      <c r="G47" s="229" t="str">
        <f t="shared" ca="1" si="0"/>
        <v>"2084034005" : "cô gái Hits",</v>
      </c>
      <c r="H47" s="229" t="str">
        <f t="shared" si="1"/>
        <v>&lt;li class="col-md-3"&gt;&lt;a class="text-cut" href="javascript:;"(click)="categoryEvent(2084034005)"&gt;{{"2084034005" | translate}}&lt;/a&gt;&lt;/li&gt;</v>
      </c>
    </row>
    <row r="48" spans="1:8" ht="14.25" customHeight="1">
      <c r="A48" s="2">
        <v>2084034035</v>
      </c>
      <c r="B48" s="2" t="s">
        <v>626</v>
      </c>
      <c r="C48" s="2" t="s">
        <v>628</v>
      </c>
      <c r="D48" s="2" t="s">
        <v>636</v>
      </c>
      <c r="E48" s="3" t="str">
        <f ca="1">IFERROR(__xludf.DUMMYFUNCTION("GOOGLETRANSLATE(B48,""ja"",""vi"")"),"JUNON")</f>
        <v>JUNON</v>
      </c>
      <c r="F48" s="3" t="str">
        <f ca="1">IFERROR(__xludf.DUMMYFUNCTION("GOOGLETRANSLATE(C48,""ja"",""vi"")"),"Đấu giá&gt; cuốn sách, tạp chí&gt; Tạp chí&gt; nghệ thuật, vui chơi giải trí&gt; thần tượng, giải trí&gt; JUNON")</f>
        <v>Đấu giá&gt; cuốn sách, tạp chí&gt; Tạp chí&gt; nghệ thuật, vui chơi giải trí&gt; thần tượng, giải trí&gt; JUNON</v>
      </c>
      <c r="G48" s="229" t="str">
        <f t="shared" ca="1" si="0"/>
        <v>"2084034035" : "JUNON",</v>
      </c>
      <c r="H48" s="229" t="str">
        <f t="shared" si="1"/>
        <v>&lt;li class="col-md-3"&gt;&lt;a class="text-cut" href="javascript:;"(click)="categoryEvent(2084034035)"&gt;{{"2084034035" | translate}}&lt;/a&gt;&lt;/li&gt;</v>
      </c>
    </row>
    <row r="49" spans="1:8" ht="14.25" customHeight="1">
      <c r="A49" s="2">
        <v>2084034025</v>
      </c>
      <c r="B49" s="2" t="s">
        <v>643</v>
      </c>
      <c r="C49" s="2" t="s">
        <v>644</v>
      </c>
      <c r="D49" s="2" t="s">
        <v>645</v>
      </c>
      <c r="E49" s="3" t="str">
        <f ca="1">IFERROR(__xludf.DUMMYFUNCTION("GOOGLETRANSLATE(B49,""ja"",""vi"")"),"Kindai")</f>
        <v>Kindai</v>
      </c>
      <c r="F49" s="3" t="str">
        <f ca="1">IFERROR(__xludf.DUMMYFUNCTION("GOOGLETRANSLATE(C49,""ja"",""vi"")"),"Đấu giá&gt; cuốn sách, tạp chí&gt; Tạp chí&gt; nghệ thuật, vui chơi giải trí&gt; thần tượng, giải trí&gt; Kindai")</f>
        <v>Đấu giá&gt; cuốn sách, tạp chí&gt; Tạp chí&gt; nghệ thuật, vui chơi giải trí&gt; thần tượng, giải trí&gt; Kindai</v>
      </c>
      <c r="G49" s="229" t="str">
        <f t="shared" ca="1" si="0"/>
        <v>"2084034025" : "Kindai",</v>
      </c>
      <c r="H49" s="229" t="str">
        <f t="shared" si="1"/>
        <v>&lt;li class="col-md-3"&gt;&lt;a class="text-cut" href="javascript:;"(click)="categoryEvent(2084034025)"&gt;{{"2084034025" | translate}}&lt;/a&gt;&lt;/li&gt;</v>
      </c>
    </row>
    <row r="50" spans="1:8" ht="14.25" customHeight="1">
      <c r="A50" s="2">
        <v>2084034027</v>
      </c>
      <c r="B50" s="2" t="s">
        <v>654</v>
      </c>
      <c r="C50" s="2" t="s">
        <v>655</v>
      </c>
      <c r="D50" s="2" t="s">
        <v>656</v>
      </c>
      <c r="E50" s="3" t="str">
        <f ca="1">IFERROR(__xludf.DUMMYFUNCTION("GOOGLETRANSLATE(B50,""ja"",""vi"")"),"MOMOCO")</f>
        <v>MOMOCO</v>
      </c>
      <c r="F50" s="3" t="str">
        <f ca="1">IFERROR(__xludf.DUMMYFUNCTION("GOOGLETRANSLATE(C50,""ja"",""vi"")"),"Đấu giá&gt; cuốn sách, tạp chí&gt; Tạp chí&gt; nghệ thuật, vui chơi giải trí&gt; thần tượng, giải trí&gt; MOMOCO")</f>
        <v>Đấu giá&gt; cuốn sách, tạp chí&gt; Tạp chí&gt; nghệ thuật, vui chơi giải trí&gt; thần tượng, giải trí&gt; MOMOCO</v>
      </c>
      <c r="G50" s="229" t="str">
        <f t="shared" ca="1" si="0"/>
        <v>"2084034027" : "MOMOCO",</v>
      </c>
      <c r="H50" s="229" t="str">
        <f t="shared" si="1"/>
        <v>&lt;li class="col-md-3"&gt;&lt;a class="text-cut" href="javascript:;"(click)="categoryEvent(2084034027)"&gt;{{"2084034027" | translate}}&lt;/a&gt;&lt;/li&gt;</v>
      </c>
    </row>
    <row r="51" spans="1:8" ht="14.25" customHeight="1">
      <c r="A51" s="2">
        <v>2084034028</v>
      </c>
      <c r="B51" s="2" t="s">
        <v>660</v>
      </c>
      <c r="C51" s="2" t="s">
        <v>663</v>
      </c>
      <c r="D51" s="2" t="s">
        <v>665</v>
      </c>
      <c r="E51" s="3" t="str">
        <f ca="1">IFERROR(__xludf.DUMMYFUNCTION("GOOGLETRANSLATE(B51,""ja"",""vi"")"),"vẻ đàn ông")</f>
        <v>vẻ đàn ông</v>
      </c>
      <c r="F51" s="3" t="str">
        <f ca="1">IFERROR(__xludf.DUMMYFUNCTION("GOOGLETRANSLATE(C51,""ja"",""vi"")"),"Đấu giá&gt; cuốn sách, tạp chí&gt; Tạp chí&gt; nghệ thuật, vui chơi giải trí&gt; thần tượng, giải trí&gt; vẻ đàn ông")</f>
        <v>Đấu giá&gt; cuốn sách, tạp chí&gt; Tạp chí&gt; nghệ thuật, vui chơi giải trí&gt; thần tượng, giải trí&gt; vẻ đàn ông</v>
      </c>
      <c r="G51" s="229" t="str">
        <f t="shared" ca="1" si="0"/>
        <v>"2084034028" : "vẻ đàn ông",</v>
      </c>
      <c r="H51" s="229" t="str">
        <f t="shared" si="1"/>
        <v>&lt;li class="col-md-3"&gt;&lt;a class="text-cut" href="javascript:;"(click)="categoryEvent(2084034028)"&gt;{{"2084034028" | translate}}&lt;/a&gt;&lt;/li&gt;</v>
      </c>
    </row>
    <row r="52" spans="1:8" ht="14.25" customHeight="1">
      <c r="A52" s="2">
        <v>2084034023</v>
      </c>
      <c r="B52" s="2" t="s">
        <v>672</v>
      </c>
      <c r="C52" s="2" t="s">
        <v>673</v>
      </c>
      <c r="D52" s="2" t="s">
        <v>675</v>
      </c>
      <c r="E52" s="3" t="str">
        <f ca="1">IFERROR(__xludf.DUMMYFUNCTION("GOOGLETRANSLATE(B52,""ja"",""vi"")"),"KHOAI")</f>
        <v>KHOAI</v>
      </c>
      <c r="F52" s="3" t="str">
        <f ca="1">IFERROR(__xludf.DUMMYFUNCTION("GOOGLETRANSLATE(C52,""ja"",""vi"")"),"Đấu giá&gt; cuốn sách, tạp chí&gt; Tạp chí&gt; nghệ thuật, vui chơi giải trí&gt; thần tượng, giải trí&gt; KHOAI")</f>
        <v>Đấu giá&gt; cuốn sách, tạp chí&gt; Tạp chí&gt; nghệ thuật, vui chơi giải trí&gt; thần tượng, giải trí&gt; KHOAI</v>
      </c>
      <c r="G52" s="229" t="str">
        <f t="shared" ca="1" si="0"/>
        <v>"2084034023" : "KHOAI",</v>
      </c>
      <c r="H52" s="229" t="str">
        <f t="shared" si="1"/>
        <v>&lt;li class="col-md-3"&gt;&lt;a class="text-cut" href="javascript:;"(click)="categoryEvent(2084034023)"&gt;{{"2084034023" | translate}}&lt;/a&gt;&lt;/li&gt;</v>
      </c>
    </row>
    <row r="53" spans="1:8" ht="14.25" customHeight="1">
      <c r="A53" s="2">
        <v>2084034029</v>
      </c>
      <c r="B53" s="2" t="s">
        <v>683</v>
      </c>
      <c r="C53" s="2" t="s">
        <v>684</v>
      </c>
      <c r="D53" s="2" t="s">
        <v>685</v>
      </c>
      <c r="E53" s="3" t="str">
        <f ca="1">IFERROR(__xludf.DUMMYFUNCTION("GOOGLETRANSLATE(B53,""ja"",""vi"")"),"WinkUp")</f>
        <v>WinkUp</v>
      </c>
      <c r="F53" s="3" t="str">
        <f ca="1">IFERROR(__xludf.DUMMYFUNCTION("GOOGLETRANSLATE(C53,""ja"",""vi"")"),"Đấu giá&gt; cuốn sách, tạp chí&gt; Tạp chí&gt; nghệ thuật, vui chơi giải trí&gt; thần tượng, giải trí&gt; WinkUp")</f>
        <v>Đấu giá&gt; cuốn sách, tạp chí&gt; Tạp chí&gt; nghệ thuật, vui chơi giải trí&gt; thần tượng, giải trí&gt; WinkUp</v>
      </c>
      <c r="G53" s="229" t="str">
        <f t="shared" ca="1" si="0"/>
        <v>"2084034029" : "WinkUp",</v>
      </c>
      <c r="H53" s="229" t="str">
        <f t="shared" si="1"/>
        <v>&lt;li class="col-md-3"&gt;&lt;a class="text-cut" href="javascript:;"(click)="categoryEvent(2084034029)"&gt;{{"2084034029" | translate}}&lt;/a&gt;&lt;/li&gt;</v>
      </c>
    </row>
    <row r="54" spans="1:8" ht="14.25" customHeight="1">
      <c r="A54" s="2">
        <v>2084040625</v>
      </c>
      <c r="B54" s="2" t="s">
        <v>689</v>
      </c>
      <c r="C54" s="2" t="s">
        <v>690</v>
      </c>
      <c r="D54" s="2" t="s">
        <v>693</v>
      </c>
      <c r="E54" s="3" t="str">
        <f ca="1">IFERROR(__xludf.DUMMYFUNCTION("GOOGLETRANSLATE(B54,""ja"",""vi"")"),"Apputuboi")</f>
        <v>Apputuboi</v>
      </c>
      <c r="F54" s="3" t="str">
        <f ca="1">IFERROR(__xludf.DUMMYFUNCTION("GOOGLETRANSLATE(C54,""ja"",""vi"")"),"Đấu giá&gt; cuốn sách, tạp chí&gt; Tạp chí&gt; nghệ thuật, vui chơi giải trí&gt; thần tượng, giải trí&gt; Apputuboi")</f>
        <v>Đấu giá&gt; cuốn sách, tạp chí&gt; Tạp chí&gt; nghệ thuật, vui chơi giải trí&gt; thần tượng, giải trí&gt; Apputuboi</v>
      </c>
      <c r="G54" s="229" t="str">
        <f t="shared" ca="1" si="0"/>
        <v>"2084040625" : "Apputuboi",</v>
      </c>
      <c r="H54" s="229" t="str">
        <f t="shared" si="1"/>
        <v>&lt;li class="col-md-3"&gt;&lt;a class="text-cut" href="javascript:;"(click)="categoryEvent(2084040625)"&gt;{{"2084040625" | translate}}&lt;/a&gt;&lt;/li&gt;</v>
      </c>
    </row>
    <row r="55" spans="1:8" ht="14.25" customHeight="1">
      <c r="A55" s="2">
        <v>2084045052</v>
      </c>
      <c r="B55" s="2" t="s">
        <v>694</v>
      </c>
      <c r="C55" s="2" t="s">
        <v>695</v>
      </c>
      <c r="D55" s="2" t="s">
        <v>696</v>
      </c>
      <c r="E55" s="3" t="str">
        <f ca="1">IFERROR(__xludf.DUMMYFUNCTION("GOOGLETRANSLATE(B55,""ja"",""vi"")"),"Popolo")</f>
        <v>Popolo</v>
      </c>
      <c r="F55" s="3" t="str">
        <f ca="1">IFERROR(__xludf.DUMMYFUNCTION("GOOGLETRANSLATE(C55,""ja"",""vi"")"),"Đấu giá&gt; cuốn sách, tạp chí&gt; Tạp chí&gt; nghệ thuật, vui chơi giải trí&gt; thần tượng, giải trí&gt; del Popolo")</f>
        <v>Đấu giá&gt; cuốn sách, tạp chí&gt; Tạp chí&gt; nghệ thuật, vui chơi giải trí&gt; thần tượng, giải trí&gt; del Popolo</v>
      </c>
      <c r="G55" s="229" t="str">
        <f t="shared" ca="1" si="0"/>
        <v>"2084045052" : "Popolo",</v>
      </c>
      <c r="H55" s="229" t="str">
        <f t="shared" si="1"/>
        <v>&lt;li class="col-md-3"&gt;&lt;a class="text-cut" href="javascript:;"(click)="categoryEvent(2084045052)"&gt;{{"2084045052" | translate}}&lt;/a&gt;&lt;/li&gt;</v>
      </c>
    </row>
    <row r="56" spans="1:8" ht="14.25" customHeight="1">
      <c r="A56" s="2">
        <v>2084034031</v>
      </c>
      <c r="B56" s="2" t="s">
        <v>703</v>
      </c>
      <c r="C56" s="2" t="s">
        <v>708</v>
      </c>
      <c r="D56" s="2" t="s">
        <v>709</v>
      </c>
      <c r="E56" s="3" t="str">
        <f ca="1">IFERROR(__xludf.DUMMYFUNCTION("GOOGLETRANSLATE(B56,""ja"",""vi"")"),"hàng tháng Kadokawa")</f>
        <v>hàng tháng Kadokawa</v>
      </c>
      <c r="F56" s="3" t="str">
        <f ca="1">IFERROR(__xludf.DUMMYFUNCTION("GOOGLETRANSLATE(C56,""ja"",""vi"")"),"Đấu giá&gt; cuốn sách, tạp chí&gt; tạp chí&gt; nghệ thuật, giải trí&gt; thần tượng, giải trí&gt; Hàng tháng Kadokawa")</f>
        <v>Đấu giá&gt; cuốn sách, tạp chí&gt; tạp chí&gt; nghệ thuật, giải trí&gt; thần tượng, giải trí&gt; Hàng tháng Kadokawa</v>
      </c>
      <c r="G56" s="229" t="str">
        <f t="shared" ca="1" si="0"/>
        <v>"2084034031" : "hàng tháng Kadokawa",</v>
      </c>
      <c r="H56" s="229" t="str">
        <f t="shared" si="1"/>
        <v>&lt;li class="col-md-3"&gt;&lt;a class="text-cut" href="javascript:;"(click)="categoryEvent(2084034031)"&gt;{{"2084034031" | translate}}&lt;/a&gt;&lt;/li&gt;</v>
      </c>
    </row>
    <row r="57" spans="1:8" ht="14.25" customHeight="1">
      <c r="A57" s="2">
        <v>2084034024</v>
      </c>
      <c r="B57" s="2" t="s">
        <v>715</v>
      </c>
      <c r="C57" s="2" t="s">
        <v>716</v>
      </c>
      <c r="D57" s="2" t="s">
        <v>718</v>
      </c>
      <c r="E57" s="3" t="str">
        <f ca="1">IFERROR(__xludf.DUMMYFUNCTION("GOOGLETRANSLATE(B57,""ja"",""vi"")"),"bài hát nổi tiếng hàng tháng")</f>
        <v>bài hát nổi tiếng hàng tháng</v>
      </c>
      <c r="F57" s="3" t="str">
        <f ca="1">IFERROR(__xludf.DUMMYFUNCTION("GOOGLETRANSLATE(C57,""ja"",""vi"")"),"Đấu giá&gt; cuốn sách, tạp chí&gt; Tạp chí&gt; nghệ thuật, vui chơi giải trí&gt; thần tượng, giải trí&gt; bài hát nổi tiếng hàng tháng")</f>
        <v>Đấu giá&gt; cuốn sách, tạp chí&gt; Tạp chí&gt; nghệ thuật, vui chơi giải trí&gt; thần tượng, giải trí&gt; bài hát nổi tiếng hàng tháng</v>
      </c>
      <c r="G57" s="229" t="str">
        <f t="shared" ca="1" si="0"/>
        <v>"2084034024" : "bài hát nổi tiếng hàng tháng",</v>
      </c>
      <c r="H57" s="229" t="str">
        <f t="shared" si="1"/>
        <v>&lt;li class="col-md-3"&gt;&lt;a class="text-cut" href="javascript:;"(click)="categoryEvent(2084034024)"&gt;{{"2084034024" | translate}}&lt;/a&gt;&lt;/li&gt;</v>
      </c>
    </row>
    <row r="58" spans="1:8" ht="14.25" customHeight="1">
      <c r="A58" s="2">
        <v>2084045051</v>
      </c>
      <c r="B58" s="2" t="s">
        <v>726</v>
      </c>
      <c r="C58" s="2" t="s">
        <v>727</v>
      </c>
      <c r="D58" s="2" t="s">
        <v>728</v>
      </c>
      <c r="E58" s="3" t="str">
        <f ca="1">IFERROR(__xludf.DUMMYFUNCTION("GOOGLETRANSLATE(B58,""ja"",""vi"")"),"tầm thường")</f>
        <v>tầm thường</v>
      </c>
      <c r="F58" s="3" t="str">
        <f ca="1">IFERROR(__xludf.DUMMYFUNCTION("GOOGLETRANSLATE(C58,""ja"",""vi"")"),"Đấu giá&gt; cuốn sách, tạp chí&gt; Tạp chí&gt; nghệ thuật, vui chơi giải trí&gt; thần tượng, giải trí&gt; tầm thường")</f>
        <v>Đấu giá&gt; cuốn sách, tạp chí&gt; Tạp chí&gt; nghệ thuật, vui chơi giải trí&gt; thần tượng, giải trí&gt; tầm thường</v>
      </c>
      <c r="G58" s="229" t="str">
        <f t="shared" ca="1" si="0"/>
        <v>"2084045051" : "tầm thường",</v>
      </c>
      <c r="H58" s="229" t="str">
        <f t="shared" si="1"/>
        <v>&lt;li class="col-md-3"&gt;&lt;a class="text-cut" href="javascript:;"(click)="categoryEvent(2084045051)"&gt;{{"2084045051" | translate}}&lt;/a&gt;&lt;/li&gt;</v>
      </c>
    </row>
    <row r="59" spans="1:8" ht="14.25" customHeight="1">
      <c r="A59" s="2">
        <v>2084034026</v>
      </c>
      <c r="B59" s="2" t="s">
        <v>735</v>
      </c>
      <c r="C59" s="2" t="s">
        <v>740</v>
      </c>
      <c r="D59" s="2" t="s">
        <v>741</v>
      </c>
      <c r="E59" s="3" t="str">
        <f ca="1">IFERROR(__xludf.DUMMYFUNCTION("GOOGLETRANSLATE(B59,""ja"",""vi"")"),"Myojo, Myojo")</f>
        <v>Myojo, Myojo</v>
      </c>
      <c r="F59" s="3" t="str">
        <f ca="1">IFERROR(__xludf.DUMMYFUNCTION("GOOGLETRANSLATE(C59,""ja"",""vi"")"),"Đấu giá&gt; cuốn sách, tạp chí&gt; Tạp chí&gt; nghệ thuật, vui chơi giải trí&gt; thần tượng, giải trí&gt; sao sáng, Myojo")</f>
        <v>Đấu giá&gt; cuốn sách, tạp chí&gt; Tạp chí&gt; nghệ thuật, vui chơi giải trí&gt; thần tượng, giải trí&gt; sao sáng, Myojo</v>
      </c>
      <c r="G59" s="229" t="str">
        <f t="shared" ca="1" si="0"/>
        <v>"2084034026" : "Myojo, Myojo",</v>
      </c>
      <c r="H59" s="229" t="str">
        <f t="shared" si="1"/>
        <v>&lt;li class="col-md-3"&gt;&lt;a class="text-cut" href="javascript:;"(click)="categoryEvent(2084034026)"&gt;{{"2084034026" | translate}}&lt;/a&gt;&lt;/li&gt;</v>
      </c>
    </row>
    <row r="60" spans="1:8" ht="14.25" customHeight="1">
      <c r="A60" s="2">
        <v>2084034075</v>
      </c>
      <c r="B60" s="2" t="s">
        <v>16</v>
      </c>
      <c r="C60" s="2" t="s">
        <v>747</v>
      </c>
      <c r="D60" s="2" t="s">
        <v>750</v>
      </c>
      <c r="E60" s="3" t="str">
        <f ca="1">IFERROR(__xludf.DUMMYFUNCTION("GOOGLETRANSLATE(B60,""ja"",""vi"")"),"nếu không thì")</f>
        <v>nếu không thì</v>
      </c>
      <c r="F60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60" s="229" t="str">
        <f t="shared" ca="1" si="0"/>
        <v>"2084034075" : "nếu không thì",</v>
      </c>
      <c r="H60" s="229" t="str">
        <f t="shared" si="1"/>
        <v>&lt;li class="col-md-3"&gt;&lt;a class="text-cut" href="javascript:;"(click)="categoryEvent(2084034075)"&gt;{{"2084034075" | translate}}&lt;/a&gt;&lt;/li&gt;</v>
      </c>
    </row>
    <row r="61" spans="1:8" ht="14.25" customHeight="1">
      <c r="E61" s="3"/>
      <c r="F61" s="3"/>
      <c r="G61" s="229"/>
      <c r="H61" s="229"/>
    </row>
    <row r="62" spans="1:8" ht="14.25" customHeight="1">
      <c r="A62" s="250">
        <v>2084009038</v>
      </c>
      <c r="B62" s="232"/>
      <c r="C62" s="232"/>
      <c r="D62" s="233"/>
      <c r="E62" s="3"/>
      <c r="F62" s="3"/>
      <c r="G62" s="229"/>
      <c r="H62" s="229"/>
    </row>
    <row r="63" spans="1:8" ht="14.25" customHeight="1">
      <c r="A63" s="2">
        <v>2084009040</v>
      </c>
      <c r="B63" s="2" t="s">
        <v>760</v>
      </c>
      <c r="C63" s="2" t="s">
        <v>762</v>
      </c>
      <c r="D63" s="2" t="s">
        <v>764</v>
      </c>
      <c r="E63" s="3" t="str">
        <f ca="1">IFERROR(__xludf.DUMMYFUNCTION("GOOGLETRANSLATE(B63,""ja"",""vi"")"),"diễn viên hài này")</f>
        <v>diễn viên hài này</v>
      </c>
      <c r="F63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63" s="229" t="str">
        <f t="shared" ca="1" si="0"/>
        <v>"2084009040" : "diễn viên hài này",</v>
      </c>
      <c r="H63" s="229" t="str">
        <f t="shared" si="1"/>
        <v>&lt;li class="col-md-3"&gt;&lt;a class="text-cut" href="javascript:;"(click)="categoryEvent(2084009040)"&gt;{{"2084009040" | translate}}&lt;/a&gt;&lt;/li&gt;</v>
      </c>
    </row>
    <row r="64" spans="1:8" ht="14.25" customHeight="1">
      <c r="A64" s="2">
        <v>2084009110</v>
      </c>
      <c r="B64" s="2" t="s">
        <v>765</v>
      </c>
      <c r="C64" s="2" t="s">
        <v>767</v>
      </c>
      <c r="D64" s="2" t="s">
        <v>769</v>
      </c>
      <c r="E64" s="3" t="str">
        <f ca="1">IFERROR(__xludf.DUMMYFUNCTION("GOOGLETRANSLATE(B64,""ja"",""vi"")"),"nhạc sĩ này")</f>
        <v>nhạc sĩ này</v>
      </c>
      <c r="F64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64" s="229" t="str">
        <f t="shared" ca="1" si="0"/>
        <v>"2084009110" : "nhạc sĩ này",</v>
      </c>
      <c r="H64" s="229" t="str">
        <f t="shared" si="1"/>
        <v>&lt;li class="col-md-3"&gt;&lt;a class="text-cut" href="javascript:;"(click)="categoryEvent(2084009110)"&gt;{{"2084009110" | translate}}&lt;/a&gt;&lt;/li&gt;</v>
      </c>
    </row>
    <row r="65" spans="1:8" ht="14.25" customHeight="1">
      <c r="A65" s="2">
        <v>2084009039</v>
      </c>
      <c r="B65" s="2" t="s">
        <v>774</v>
      </c>
      <c r="C65" s="2" t="s">
        <v>775</v>
      </c>
      <c r="D65" s="2" t="s">
        <v>777</v>
      </c>
      <c r="E65" s="3" t="str">
        <f ca="1">IFERROR(__xludf.DUMMYFUNCTION("GOOGLETRANSLATE(B65,""ja"",""vi"")"),"Giải trí, cuốn sách tài năng")</f>
        <v>Giải trí, cuốn sách tài năng</v>
      </c>
      <c r="F65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65" s="229" t="str">
        <f t="shared" ca="1" si="0"/>
        <v>"2084009039" : "Giải trí, cuốn sách tài năng",</v>
      </c>
      <c r="H65" s="229" t="str">
        <f t="shared" si="1"/>
        <v>&lt;li class="col-md-3"&gt;&lt;a class="text-cut" href="javascript:;"(click)="categoryEvent(2084009039)"&gt;{{"2084009039" | translate}}&lt;/a&gt;&lt;/li&gt;</v>
      </c>
    </row>
    <row r="66" spans="1:8" ht="14.25" customHeight="1">
      <c r="A66" s="2">
        <v>2084008066</v>
      </c>
      <c r="B66" s="2" t="s">
        <v>351</v>
      </c>
      <c r="C66" s="2" t="s">
        <v>786</v>
      </c>
      <c r="D66" s="2" t="s">
        <v>787</v>
      </c>
      <c r="E66" s="3" t="str">
        <f ca="1">IFERROR(__xludf.DUMMYFUNCTION("GOOGLETRANSLATE(B66,""ja"",""vi"")"),"tạp chí")</f>
        <v>tạp chí</v>
      </c>
      <c r="F66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66" s="229" t="str">
        <f t="shared" ref="G66:G107" ca="1" si="2">CONCATENATE(CHAR(34)&amp;"",A66,""&amp;CHAR(34)," : ", CHAR(34)&amp;"",E66,""&amp;CHAR(34),",")</f>
        <v>"2084008066" : "tạp chí",</v>
      </c>
      <c r="H66" s="229" t="str">
        <f t="shared" si="1"/>
        <v>&lt;li class="col-md-3"&gt;&lt;a class="text-cut" href="javascript:;"(click)="categoryEvent(2084008066)"&gt;{{"2084008066" | translate}}&lt;/a&gt;&lt;/li&gt;</v>
      </c>
    </row>
    <row r="67" spans="1:8" ht="14.25" customHeight="1">
      <c r="A67" s="2">
        <v>2084009041</v>
      </c>
      <c r="B67" s="2" t="s">
        <v>16</v>
      </c>
      <c r="C67" s="2" t="s">
        <v>794</v>
      </c>
      <c r="D67" s="2" t="s">
        <v>795</v>
      </c>
      <c r="E67" s="3" t="str">
        <f ca="1">IFERROR(__xludf.DUMMYFUNCTION("GOOGLETRANSLATE(B67,""ja"",""vi"")"),"nếu không thì")</f>
        <v>nếu không thì</v>
      </c>
      <c r="F67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67" s="229" t="str">
        <f t="shared" ca="1" si="2"/>
        <v>"2084009041" : "nếu không thì",</v>
      </c>
      <c r="H67" s="229" t="str">
        <f t="shared" ref="H67:H107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href="javascript:;"(click)="categoryEvent(2084009041)"&gt;{{"2084009041" | translate}}&lt;/a&gt;&lt;/li&gt;</v>
      </c>
    </row>
    <row r="68" spans="1:8" ht="14.25" customHeight="1">
      <c r="E68" s="3"/>
      <c r="F68" s="3"/>
      <c r="G68" s="229"/>
      <c r="H68" s="229"/>
    </row>
    <row r="69" spans="1:8" ht="14.25" customHeight="1">
      <c r="A69" s="251">
        <v>22748</v>
      </c>
      <c r="B69" s="232"/>
      <c r="C69" s="232"/>
      <c r="D69" s="233"/>
      <c r="E69" s="3"/>
      <c r="F69" s="3"/>
      <c r="G69" s="229"/>
      <c r="H69" s="229"/>
    </row>
    <row r="70" spans="1:8" ht="14.25" customHeight="1">
      <c r="A70" s="2">
        <v>50060</v>
      </c>
      <c r="B70" s="2" t="s">
        <v>150</v>
      </c>
      <c r="C70" s="2" t="s">
        <v>803</v>
      </c>
      <c r="D70" s="2" t="s">
        <v>804</v>
      </c>
      <c r="E70" s="3" t="str">
        <f ca="1">IFERROR(__xludf.DUMMYFUNCTION("GOOGLETRANSLATE(B70,""ja"",""vi"")"),"nhạc")</f>
        <v>nhạc</v>
      </c>
      <c r="F70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0" s="229" t="str">
        <f t="shared" ca="1" si="2"/>
        <v>"50060" : "nhạc",</v>
      </c>
      <c r="H70" s="229" t="str">
        <f t="shared" si="3"/>
        <v>&lt;li class="col-md-3"&gt;&lt;a class="text-cut" href="javascript:;"(click)="categoryEvent(50060)"&gt;{{"50060" | translate}}&lt;/a&gt;&lt;/li&gt;</v>
      </c>
    </row>
    <row r="71" spans="1:8" ht="14.25" customHeight="1">
      <c r="A71" s="2">
        <v>2084044328</v>
      </c>
      <c r="B71" s="2" t="s">
        <v>811</v>
      </c>
      <c r="C71" s="2" t="s">
        <v>813</v>
      </c>
      <c r="D71" s="2" t="s">
        <v>815</v>
      </c>
      <c r="E71" s="3" t="str">
        <f ca="1">IFERROR(__xludf.DUMMYFUNCTION("GOOGLETRANSLATE(B71,""ja"",""vi"")"),"Nghệ thuật biểu diễn")</f>
        <v>Nghệ thuật biểu diễn</v>
      </c>
      <c r="F71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1" s="229" t="str">
        <f t="shared" ca="1" si="2"/>
        <v>"2084044328" : "Nghệ thuật biểu diễn",</v>
      </c>
      <c r="H71" s="229" t="str">
        <f t="shared" si="3"/>
        <v>&lt;li class="col-md-3"&gt;&lt;a class="text-cut" href="javascript:;"(click)="categoryEvent(2084044328)"&gt;{{"2084044328" | translate}}&lt;/a&gt;&lt;/li&gt;</v>
      </c>
    </row>
    <row r="72" spans="1:8" ht="14.25" customHeight="1">
      <c r="A72" s="2">
        <v>25430</v>
      </c>
      <c r="B72" s="2" t="s">
        <v>262</v>
      </c>
      <c r="C72" s="2" t="s">
        <v>821</v>
      </c>
      <c r="D72" s="2" t="s">
        <v>823</v>
      </c>
      <c r="E72" s="3" t="str">
        <f ca="1">IFERROR(__xludf.DUMMYFUNCTION("GOOGLETRANSLATE(B72,""ja"",""vi"")"),"thể thao")</f>
        <v>thể thao</v>
      </c>
      <c r="F72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2" s="229" t="str">
        <f t="shared" ca="1" si="2"/>
        <v>"25430" : "thể thao",</v>
      </c>
      <c r="H72" s="229" t="str">
        <f t="shared" si="3"/>
        <v>&lt;li class="col-md-3"&gt;&lt;a class="text-cut" href="javascript:;"(click)="categoryEvent(25430)"&gt;{{"25430" | translate}}&lt;/a&gt;&lt;/li&gt;</v>
      </c>
    </row>
    <row r="73" spans="1:8" ht="14.25" customHeight="1">
      <c r="A73" s="2">
        <v>2084044329</v>
      </c>
      <c r="B73" s="2" t="s">
        <v>829</v>
      </c>
      <c r="C73" s="2" t="s">
        <v>831</v>
      </c>
      <c r="D73" s="2" t="s">
        <v>834</v>
      </c>
      <c r="E73" s="3" t="str">
        <f ca="1">IFERROR(__xludf.DUMMYFUNCTION("GOOGLETRANSLATE(B73,""ja"",""vi"")"),"sự kiện")</f>
        <v>sự kiện</v>
      </c>
      <c r="F73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3" s="229" t="str">
        <f t="shared" ca="1" si="2"/>
        <v>"2084044329" : "sự kiện",</v>
      </c>
      <c r="H73" s="229" t="str">
        <f t="shared" si="3"/>
        <v>&lt;li class="col-md-3"&gt;&lt;a class="text-cut" href="javascript:;"(click)="categoryEvent(2084044329)"&gt;{{"2084044329" | translate}}&lt;/a&gt;&lt;/li&gt;</v>
      </c>
    </row>
    <row r="74" spans="1:8" ht="14.25" customHeight="1">
      <c r="A74" s="2">
        <v>2084039789</v>
      </c>
      <c r="B74" s="2" t="s">
        <v>837</v>
      </c>
      <c r="C74" s="2" t="s">
        <v>840</v>
      </c>
      <c r="D74" s="2" t="s">
        <v>843</v>
      </c>
      <c r="E74" s="3" t="str">
        <f ca="1">IFERROR(__xludf.DUMMYFUNCTION("GOOGLETRANSLATE(B74,""ja"",""vi"")"),"phim")</f>
        <v>phim</v>
      </c>
      <c r="F74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4" s="229" t="str">
        <f t="shared" ca="1" si="2"/>
        <v>"2084039789" : "phim",</v>
      </c>
      <c r="H74" s="229" t="str">
        <f t="shared" si="3"/>
        <v>&lt;li class="col-md-3"&gt;&lt;a class="text-cut" href="javascript:;"(click)="categoryEvent(2084039789)"&gt;{{"2084039789" | translate}}&lt;/a&gt;&lt;/li&gt;</v>
      </c>
    </row>
    <row r="75" spans="1:8" ht="14.25" customHeight="1">
      <c r="A75" s="2">
        <v>22828</v>
      </c>
      <c r="B75" s="2" t="s">
        <v>16</v>
      </c>
      <c r="C75" s="2" t="s">
        <v>849</v>
      </c>
      <c r="D75" s="2" t="s">
        <v>852</v>
      </c>
      <c r="E75" s="3" t="str">
        <f ca="1">IFERROR(__xludf.DUMMYFUNCTION("GOOGLETRANSLATE(B75,""ja"",""vi"")"),"nếu không thì")</f>
        <v>nếu không thì</v>
      </c>
      <c r="F75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5" s="229" t="str">
        <f t="shared" ca="1" si="2"/>
        <v>"22828" : "nếu không thì",</v>
      </c>
      <c r="H75" s="229" t="str">
        <f t="shared" si="3"/>
        <v>&lt;li class="col-md-3"&gt;&lt;a class="text-cut" href="javascript:;"(click)="categoryEvent(22828)"&gt;{{"22828" | translate}}&lt;/a&gt;&lt;/li&gt;</v>
      </c>
    </row>
    <row r="76" spans="1:8" ht="14.25" customHeight="1">
      <c r="E76" s="3"/>
      <c r="F76" s="3"/>
      <c r="G76" s="229"/>
      <c r="H76" s="229"/>
    </row>
    <row r="77" spans="1:8" ht="14.25" customHeight="1">
      <c r="A77" s="255">
        <v>2084005109</v>
      </c>
      <c r="B77" s="232"/>
      <c r="C77" s="232"/>
      <c r="D77" s="233"/>
      <c r="E77" s="3"/>
      <c r="F77" s="3"/>
      <c r="G77" s="229"/>
      <c r="H77" s="229"/>
    </row>
    <row r="78" spans="1:8" ht="14.25" customHeight="1">
      <c r="A78" s="2">
        <v>2084005112</v>
      </c>
      <c r="B78" s="2" t="s">
        <v>864</v>
      </c>
      <c r="C78" s="2" t="s">
        <v>865</v>
      </c>
      <c r="D78" s="2" t="s">
        <v>866</v>
      </c>
      <c r="E78" s="3" t="str">
        <f ca="1">IFERROR(__xludf.DUMMYFUNCTION("GOOGLETRANSLATE(B78,""ja"",""vi"")"),"nhóm")</f>
        <v>nhóm</v>
      </c>
      <c r="F78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8" s="229" t="str">
        <f t="shared" ca="1" si="2"/>
        <v>"2084005112" : "nhóm",</v>
      </c>
      <c r="H78" s="229" t="str">
        <f t="shared" si="3"/>
        <v>&lt;li class="col-md-3"&gt;&lt;a class="text-cut" href="javascript:;"(click)="categoryEvent(2084005112)"&gt;{{"2084005112" | translate}}&lt;/a&gt;&lt;/li&gt;</v>
      </c>
    </row>
    <row r="79" spans="1:8" ht="14.25" customHeight="1">
      <c r="A79" s="2">
        <v>2084005111</v>
      </c>
      <c r="B79" s="2" t="s">
        <v>451</v>
      </c>
      <c r="C79" s="2" t="s">
        <v>873</v>
      </c>
      <c r="D79" s="2" t="s">
        <v>875</v>
      </c>
      <c r="E79" s="3" t="str">
        <f ca="1">IFERROR(__xludf.DUMMYFUNCTION("GOOGLETRANSLATE(B79,""ja"",""vi"")"),"tài năng nữ")</f>
        <v>tài năng nữ</v>
      </c>
      <c r="F79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79" s="229" t="str">
        <f t="shared" ca="1" si="2"/>
        <v>"2084005111" : "tài năng nữ",</v>
      </c>
      <c r="H79" s="229" t="str">
        <f t="shared" si="3"/>
        <v>&lt;li class="col-md-3"&gt;&lt;a class="text-cut" href="javascript:;"(click)="categoryEvent(2084005111)"&gt;{{"2084005111" | translate}}&lt;/a&gt;&lt;/li&gt;</v>
      </c>
    </row>
    <row r="80" spans="1:8" ht="14.25" customHeight="1">
      <c r="A80" s="2">
        <v>2084005110</v>
      </c>
      <c r="B80" s="2" t="s">
        <v>460</v>
      </c>
      <c r="C80" s="2" t="s">
        <v>884</v>
      </c>
      <c r="D80" s="2" t="s">
        <v>885</v>
      </c>
      <c r="E80" s="3" t="str">
        <f ca="1">IFERROR(__xludf.DUMMYFUNCTION("GOOGLETRANSLATE(B80,""ja"",""vi"")"),"Nam Talent")</f>
        <v>Nam Talent</v>
      </c>
      <c r="F80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80" s="229" t="str">
        <f t="shared" ca="1" si="2"/>
        <v>"2084005110" : "Nam Talent",</v>
      </c>
      <c r="H80" s="229" t="str">
        <f t="shared" si="3"/>
        <v>&lt;li class="col-md-3"&gt;&lt;a class="text-cut" href="javascript:;"(click)="categoryEvent(2084005110)"&gt;{{"2084005110" | translate}}&lt;/a&gt;&lt;/li&gt;</v>
      </c>
    </row>
    <row r="81" spans="1:8" ht="14.25" customHeight="1">
      <c r="E81" s="3"/>
      <c r="F81" s="3"/>
      <c r="G81" s="229"/>
      <c r="H81" s="229"/>
    </row>
    <row r="82" spans="1:8" ht="14.25" customHeight="1">
      <c r="A82" s="262">
        <v>2084006042</v>
      </c>
      <c r="B82" s="232"/>
      <c r="C82" s="232"/>
      <c r="D82" s="233"/>
      <c r="E82" s="3"/>
      <c r="F82" s="3"/>
      <c r="G82" s="229"/>
      <c r="H82" s="229"/>
    </row>
    <row r="83" spans="1:8" ht="14.25" customHeight="1">
      <c r="A83" s="2">
        <v>2084033790</v>
      </c>
      <c r="B83" s="2" t="s">
        <v>451</v>
      </c>
      <c r="C83" s="2" t="s">
        <v>900</v>
      </c>
      <c r="D83" s="2" t="s">
        <v>902</v>
      </c>
      <c r="E83" s="3" t="str">
        <f ca="1">IFERROR(__xludf.DUMMYFUNCTION("GOOGLETRANSLATE(B83,""ja"",""vi"")"),"tài năng nữ")</f>
        <v>tài năng nữ</v>
      </c>
      <c r="F83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83" s="229" t="str">
        <f t="shared" ca="1" si="2"/>
        <v>"2084033790" : "tài năng nữ",</v>
      </c>
      <c r="H83" s="229" t="str">
        <f t="shared" si="3"/>
        <v>&lt;li class="col-md-3"&gt;&lt;a class="text-cut" href="javascript:;"(click)="categoryEvent(2084033790)"&gt;{{"2084033790" | translate}}&lt;/a&gt;&lt;/li&gt;</v>
      </c>
    </row>
    <row r="84" spans="1:8" ht="14.25" customHeight="1">
      <c r="A84" s="2">
        <v>2084033821</v>
      </c>
      <c r="B84" s="2" t="s">
        <v>460</v>
      </c>
      <c r="C84" s="2" t="s">
        <v>907</v>
      </c>
      <c r="D84" s="2" t="s">
        <v>909</v>
      </c>
      <c r="E84" s="3" t="str">
        <f ca="1">IFERROR(__xludf.DUMMYFUNCTION("GOOGLETRANSLATE(B84,""ja"",""vi"")"),"Nam Talent")</f>
        <v>Nam Talent</v>
      </c>
      <c r="F84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84" s="229" t="str">
        <f t="shared" ca="1" si="2"/>
        <v>"2084033821" : "Nam Talent",</v>
      </c>
      <c r="H84" s="229" t="str">
        <f t="shared" si="3"/>
        <v>&lt;li class="col-md-3"&gt;&lt;a class="text-cut" href="javascript:;"(click)="categoryEvent(2084033821)"&gt;{{"2084033821" | translate}}&lt;/a&gt;&lt;/li&gt;</v>
      </c>
    </row>
    <row r="85" spans="1:8" ht="14.25" customHeight="1">
      <c r="E85" s="3"/>
      <c r="F85" s="3"/>
      <c r="G85" s="229"/>
      <c r="H85" s="229"/>
    </row>
    <row r="86" spans="1:8" ht="23.4" customHeight="1">
      <c r="A86" s="263">
        <v>2084006183</v>
      </c>
      <c r="B86" s="232"/>
      <c r="C86" s="232"/>
      <c r="D86" s="233"/>
      <c r="E86" s="3"/>
      <c r="F86" s="3"/>
      <c r="G86" s="229"/>
      <c r="H86" s="229"/>
    </row>
    <row r="87" spans="1:8" ht="14.25" customHeight="1">
      <c r="A87" s="84">
        <v>2084040546</v>
      </c>
      <c r="B87" s="2" t="s">
        <v>451</v>
      </c>
      <c r="C87" s="2" t="s">
        <v>935</v>
      </c>
      <c r="D87" s="2" t="s">
        <v>936</v>
      </c>
      <c r="E87" s="3" t="str">
        <f ca="1">IFERROR(__xludf.DUMMYFUNCTION("GOOGLETRANSLATE(B87,""ja"",""vi"")"),"tài năng nữ")</f>
        <v>tài năng nữ</v>
      </c>
      <c r="F87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87" s="229" t="str">
        <f t="shared" ca="1" si="2"/>
        <v>"2084040546" : "tài năng nữ",</v>
      </c>
      <c r="H87" s="229" t="str">
        <f t="shared" si="3"/>
        <v>&lt;li class="col-md-3"&gt;&lt;a class="text-cut" href="javascript:;"(click)="categoryEvent(2084040546)"&gt;{{"2084040546" | translate}}&lt;/a&gt;&lt;/li&gt;</v>
      </c>
    </row>
    <row r="88" spans="1:8" ht="14.25" customHeight="1">
      <c r="A88" s="84">
        <v>2084040545</v>
      </c>
      <c r="B88" s="2" t="s">
        <v>460</v>
      </c>
      <c r="C88" s="2" t="s">
        <v>942</v>
      </c>
      <c r="D88" s="2" t="s">
        <v>943</v>
      </c>
      <c r="E88" s="3" t="str">
        <f ca="1">IFERROR(__xludf.DUMMYFUNCTION("GOOGLETRANSLATE(B88,""ja"",""vi"")"),"Nam Talent")</f>
        <v>Nam Talent</v>
      </c>
      <c r="F88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88" s="229" t="str">
        <f t="shared" ca="1" si="2"/>
        <v>"2084040545" : "Nam Talent",</v>
      </c>
      <c r="H88" s="229" t="str">
        <f t="shared" si="3"/>
        <v>&lt;li class="col-md-3"&gt;&lt;a class="text-cut" href="javascript:;"(click)="categoryEvent(2084040545)"&gt;{{"2084040545" | translate}}&lt;/a&gt;&lt;/li&gt;</v>
      </c>
    </row>
    <row r="89" spans="1:8" ht="14.25" customHeight="1">
      <c r="E89" s="3"/>
      <c r="F89" s="3"/>
      <c r="G89" s="229"/>
      <c r="H89" s="229"/>
    </row>
    <row r="90" spans="1:8" ht="24" customHeight="1">
      <c r="A90" s="244">
        <v>22396</v>
      </c>
      <c r="B90" s="232"/>
      <c r="C90" s="232"/>
      <c r="D90" s="233"/>
      <c r="E90" s="3"/>
      <c r="F90" s="3"/>
      <c r="G90" s="229"/>
      <c r="H90" s="229"/>
    </row>
    <row r="91" spans="1:8" ht="14.25" customHeight="1">
      <c r="A91" s="2">
        <v>2084049663</v>
      </c>
      <c r="B91" s="2" t="s">
        <v>969</v>
      </c>
      <c r="C91" s="2" t="s">
        <v>972</v>
      </c>
      <c r="D91" s="2" t="s">
        <v>973</v>
      </c>
      <c r="E91" s="3" t="str">
        <f ca="1">IFERROR(__xludf.DUMMYFUNCTION("GOOGLETRANSLATE(B91,""ja"",""vi"")"),"Một T-shirt")</f>
        <v>Một T-shirt</v>
      </c>
      <c r="F91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1" s="229" t="str">
        <f t="shared" ca="1" si="2"/>
        <v>"2084049663" : "Một T-shirt",</v>
      </c>
      <c r="H91" s="229" t="str">
        <f t="shared" si="3"/>
        <v>&lt;li class="col-md-3"&gt;&lt;a class="text-cut" href="javascript:;"(click)="categoryEvent(2084049663)"&gt;{{"2084049663" | translate}}&lt;/a&gt;&lt;/li&gt;</v>
      </c>
    </row>
    <row r="92" spans="1:8" ht="14.25" customHeight="1">
      <c r="A92" s="2">
        <v>2084047084</v>
      </c>
      <c r="B92" s="2" t="s">
        <v>283</v>
      </c>
      <c r="C92" s="2" t="s">
        <v>978</v>
      </c>
      <c r="D92" s="2" t="s">
        <v>979</v>
      </c>
      <c r="E92" s="3" t="str">
        <f ca="1">IFERROR(__xludf.DUMMYFUNCTION("GOOGLETRANSLATE(B92,""ja"",""vi"")"),"uchiwa")</f>
        <v>uchiwa</v>
      </c>
      <c r="F92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2" s="229" t="str">
        <f t="shared" ca="1" si="2"/>
        <v>"2084047084" : "uchiwa",</v>
      </c>
      <c r="H92" s="229" t="str">
        <f t="shared" si="3"/>
        <v>&lt;li class="col-md-3"&gt;&lt;a class="text-cut" href="javascript:;"(click)="categoryEvent(2084047084)"&gt;{{"2084047084" | translate}}&lt;/a&gt;&lt;/li&gt;</v>
      </c>
    </row>
    <row r="93" spans="1:8" ht="14.25" customHeight="1">
      <c r="A93" s="2">
        <v>2084006163</v>
      </c>
      <c r="B93" s="2" t="s">
        <v>303</v>
      </c>
      <c r="C93" s="2" t="s">
        <v>985</v>
      </c>
      <c r="D93" s="2" t="s">
        <v>986</v>
      </c>
      <c r="E93" s="3" t="str">
        <f ca="1">IFERROR(__xludf.DUMMYFUNCTION("GOOGLETRANSLATE(B93,""ja"",""vi"")"),"lịch")</f>
        <v>lịch</v>
      </c>
      <c r="F93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3" s="229" t="str">
        <f t="shared" ca="1" si="2"/>
        <v>"2084006163" : "lịch",</v>
      </c>
      <c r="H93" s="229" t="str">
        <f t="shared" si="3"/>
        <v>&lt;li class="col-md-3"&gt;&lt;a class="text-cut" href="javascript:;"(click)="categoryEvent(2084006163)"&gt;{{"2084006163" | translate}}&lt;/a&gt;&lt;/li&gt;</v>
      </c>
    </row>
    <row r="94" spans="1:8" ht="14.25" customHeight="1">
      <c r="A94" s="2">
        <v>2084005082</v>
      </c>
      <c r="B94" s="2" t="s">
        <v>339</v>
      </c>
      <c r="C94" s="2" t="s">
        <v>993</v>
      </c>
      <c r="D94" s="2" t="s">
        <v>995</v>
      </c>
      <c r="E94" s="3" t="str">
        <f ca="1">IFERROR(__xludf.DUMMYFUNCTION("GOOGLETRANSLATE(B94,""ja"",""vi"")"),"dấu")</f>
        <v>dấu</v>
      </c>
      <c r="F94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4" s="229" t="str">
        <f t="shared" ca="1" si="2"/>
        <v>"2084005082" : "dấu",</v>
      </c>
      <c r="H94" s="229" t="str">
        <f t="shared" si="3"/>
        <v>&lt;li class="col-md-3"&gt;&lt;a class="text-cut" href="javascript:;"(click)="categoryEvent(2084005082)"&gt;{{"2084005082" | translate}}&lt;/a&gt;&lt;/li&gt;</v>
      </c>
    </row>
    <row r="95" spans="1:8" ht="14.25" customHeight="1">
      <c r="A95" s="2">
        <v>42206</v>
      </c>
      <c r="B95" s="2" t="s">
        <v>329</v>
      </c>
      <c r="C95" s="2" t="s">
        <v>997</v>
      </c>
      <c r="D95" s="2" t="s">
        <v>1000</v>
      </c>
      <c r="E95" s="3" t="str">
        <f ca="1">IFERROR(__xludf.DUMMYFUNCTION("GOOGLETRANSLATE(B95,""ja"",""vi"")"),"keo")</f>
        <v>keo</v>
      </c>
      <c r="F95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5" s="229" t="str">
        <f t="shared" ca="1" si="2"/>
        <v>"42206" : "keo",</v>
      </c>
      <c r="H95" s="229" t="str">
        <f t="shared" si="3"/>
        <v>&lt;li class="col-md-3"&gt;&lt;a class="text-cut" href="javascript:;"(click)="categoryEvent(42206)"&gt;{{"42206" | translate}}&lt;/a&gt;&lt;/li&gt;</v>
      </c>
    </row>
    <row r="96" spans="1:8" ht="14.25" customHeight="1">
      <c r="A96" s="2">
        <v>2084006177</v>
      </c>
      <c r="B96" s="2" t="s">
        <v>1005</v>
      </c>
      <c r="C96" s="2" t="s">
        <v>1006</v>
      </c>
      <c r="D96" s="2" t="s">
        <v>1007</v>
      </c>
      <c r="E96" s="3" t="str">
        <f ca="1">IFERROR(__xludf.DUMMYFUNCTION("GOOGLETRANSLATE(B96,""ja"",""vi"")"),"tờ rơi")</f>
        <v>tờ rơi</v>
      </c>
      <c r="F96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6" s="229" t="str">
        <f t="shared" ca="1" si="2"/>
        <v>"2084006177" : "tờ rơi",</v>
      </c>
      <c r="H96" s="229" t="str">
        <f t="shared" si="3"/>
        <v>&lt;li class="col-md-3"&gt;&lt;a class="text-cut" href="javascript:;"(click)="categoryEvent(2084006177)"&gt;{{"2084006177" | translate}}&lt;/a&gt;&lt;/li&gt;</v>
      </c>
    </row>
    <row r="97" spans="1:8" ht="14.25" customHeight="1">
      <c r="A97" s="2">
        <v>2084005105</v>
      </c>
      <c r="B97" s="2" t="s">
        <v>389</v>
      </c>
      <c r="C97" s="2" t="s">
        <v>1011</v>
      </c>
      <c r="D97" s="2" t="s">
        <v>1014</v>
      </c>
      <c r="E97" s="3" t="str">
        <f ca="1">IFERROR(__xludf.DUMMYFUNCTION("GOOGLETRANSLATE(B97,""ja"",""vi"")"),"thẻ điện thoại")</f>
        <v>thẻ điện thoại</v>
      </c>
      <c r="F97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7" s="229" t="str">
        <f t="shared" ca="1" si="2"/>
        <v>"2084005105" : "thẻ điện thoại",</v>
      </c>
      <c r="H97" s="229" t="str">
        <f t="shared" si="3"/>
        <v>&lt;li class="col-md-3"&gt;&lt;a class="text-cut" href="javascript:;"(click)="categoryEvent(2084005105)"&gt;{{"2084005105" | translate}}&lt;/a&gt;&lt;/li&gt;</v>
      </c>
    </row>
    <row r="98" spans="1:8" ht="14.25" customHeight="1">
      <c r="A98" s="2">
        <v>2084047078</v>
      </c>
      <c r="B98" s="2" t="s">
        <v>1016</v>
      </c>
      <c r="C98" s="2" t="s">
        <v>1017</v>
      </c>
      <c r="D98" s="2" t="s">
        <v>1018</v>
      </c>
      <c r="E98" s="3" t="str">
        <f ca="1">IFERROR(__xludf.DUMMYFUNCTION("GOOGLETRANSLATE(B98,""ja"",""vi"")"),"Brochure")</f>
        <v>Brochure</v>
      </c>
      <c r="F98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8" s="229" t="str">
        <f t="shared" ca="1" si="2"/>
        <v>"2084047078" : "Brochure",</v>
      </c>
      <c r="H98" s="229" t="str">
        <f t="shared" si="3"/>
        <v>&lt;li class="col-md-3"&gt;&lt;a class="text-cut" href="javascript:;"(click)="categoryEvent(2084047078)"&gt;{{"2084047078" | translate}}&lt;/a&gt;&lt;/li&gt;</v>
      </c>
    </row>
    <row r="99" spans="1:8" ht="14.25" customHeight="1">
      <c r="A99" s="2">
        <v>2084047090</v>
      </c>
      <c r="B99" s="2" t="s">
        <v>408</v>
      </c>
      <c r="C99" s="2" t="s">
        <v>1025</v>
      </c>
      <c r="D99" s="2" t="s">
        <v>1026</v>
      </c>
      <c r="E99" s="3" t="str">
        <f ca="1">IFERROR(__xludf.DUMMYFUNCTION("GOOGLETRANSLATE(B99,""ja"",""vi"")"),"Fan club bản tin")</f>
        <v>Fan club bản tin</v>
      </c>
      <c r="F99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99" s="229" t="str">
        <f t="shared" ca="1" si="2"/>
        <v>"2084047090" : "Fan club bản tin",</v>
      </c>
      <c r="H99" s="229" t="str">
        <f t="shared" si="3"/>
        <v>&lt;li class="col-md-3"&gt;&lt;a class="text-cut" href="javascript:;"(click)="categoryEvent(2084047090)"&gt;{{"2084047090" | translate}}&lt;/a&gt;&lt;/li&gt;</v>
      </c>
    </row>
    <row r="100" spans="1:8" ht="14.25" customHeight="1">
      <c r="A100" s="2">
        <v>2084005085</v>
      </c>
      <c r="B100" s="2" t="s">
        <v>427</v>
      </c>
      <c r="C100" s="2" t="s">
        <v>1033</v>
      </c>
      <c r="D100" s="2" t="s">
        <v>1034</v>
      </c>
      <c r="E100" s="3" t="str">
        <f ca="1">IFERROR(__xludf.DUMMYFUNCTION("GOOGLETRANSLATE(B100,""ja"",""vi"")"),"poster")</f>
        <v>poster</v>
      </c>
      <c r="F100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0" s="229" t="str">
        <f t="shared" ca="1" si="2"/>
        <v>"2084005085" : "poster",</v>
      </c>
      <c r="H100" s="229" t="str">
        <f t="shared" si="3"/>
        <v>&lt;li class="col-md-3"&gt;&lt;a class="text-cut" href="javascript:;"(click)="categoryEvent(2084005085)"&gt;{{"2084005085" | translate}}&lt;/a&gt;&lt;/li&gt;</v>
      </c>
    </row>
    <row r="101" spans="1:8" ht="14.25" customHeight="1">
      <c r="A101" s="2">
        <v>2084047087</v>
      </c>
      <c r="B101" s="2" t="s">
        <v>432</v>
      </c>
      <c r="C101" s="2" t="s">
        <v>1039</v>
      </c>
      <c r="D101" s="2" t="s">
        <v>1041</v>
      </c>
      <c r="E101" s="3" t="str">
        <f ca="1">IFERROR(__xludf.DUMMYFUNCTION("GOOGLETRANSLATE(B101,""ja"",""vi"")"),"pop")</f>
        <v>pop</v>
      </c>
      <c r="F101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1" s="229" t="str">
        <f t="shared" ca="1" si="2"/>
        <v>"2084047087" : "pop",</v>
      </c>
      <c r="H101" s="229" t="str">
        <f t="shared" si="3"/>
        <v>&lt;li class="col-md-3"&gt;&lt;a class="text-cut" href="javascript:;"(click)="categoryEvent(2084047087)"&gt;{{"2084047087" | translate}}&lt;/a&gt;&lt;/li&gt;</v>
      </c>
    </row>
    <row r="102" spans="1:8" ht="14.25" customHeight="1">
      <c r="A102" s="2">
        <v>2084024931</v>
      </c>
      <c r="B102" s="2" t="s">
        <v>1043</v>
      </c>
      <c r="C102" s="2" t="s">
        <v>1045</v>
      </c>
      <c r="D102" s="2" t="s">
        <v>1046</v>
      </c>
      <c r="E102" s="3" t="str">
        <f ca="1">IFERROR(__xludf.DUMMYFUNCTION("GOOGLETRANSLATE(B102,""ja"",""vi"")"),"bởi nhạc sĩ")</f>
        <v>bởi nhạc sĩ</v>
      </c>
      <c r="F102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2" s="229" t="str">
        <f t="shared" ca="1" si="2"/>
        <v>"2084024931" : "bởi nhạc sĩ",</v>
      </c>
      <c r="H102" s="229" t="str">
        <f t="shared" si="3"/>
        <v>&lt;li class="col-md-3"&gt;&lt;a class="text-cut" href="javascript:;"(click)="categoryEvent(2084024931)"&gt;{{"2084024931" | translate}}&lt;/a&gt;&lt;/li&gt;</v>
      </c>
    </row>
    <row r="103" spans="1:8" ht="14.25" customHeight="1">
      <c r="A103" s="2">
        <v>2084040530</v>
      </c>
      <c r="B103" s="2" t="s">
        <v>324</v>
      </c>
      <c r="C103" s="2" t="s">
        <v>1053</v>
      </c>
      <c r="D103" s="2" t="s">
        <v>1055</v>
      </c>
      <c r="E103" s="3" t="str">
        <f ca="1">IFERROR(__xludf.DUMMYFUNCTION("GOOGLETRANSLATE(B103,""ja"",""vi"")"),"Điện thoại di Strap")</f>
        <v>Điện thoại di Strap</v>
      </c>
      <c r="F103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3" s="229" t="str">
        <f t="shared" ca="1" si="2"/>
        <v>"2084040530" : "Điện thoại di Strap",</v>
      </c>
      <c r="H103" s="229" t="str">
        <f t="shared" si="3"/>
        <v>&lt;li class="col-md-3"&gt;&lt;a class="text-cut" href="javascript:;"(click)="categoryEvent(2084040530)"&gt;{{"2084040530" | translate}}&lt;/a&gt;&lt;/li&gt;</v>
      </c>
    </row>
    <row r="104" spans="1:8" ht="14.25" customHeight="1">
      <c r="A104" s="2">
        <v>2084047080</v>
      </c>
      <c r="B104" s="2" t="s">
        <v>355</v>
      </c>
      <c r="C104" s="2" t="s">
        <v>1063</v>
      </c>
      <c r="D104" s="2" t="s">
        <v>1064</v>
      </c>
      <c r="E104" s="3" t="str">
        <f ca="1">IFERROR(__xludf.DUMMYFUNCTION("GOOGLETRANSLATE(B104,""ja"",""vi"")"),"ảnh")</f>
        <v>ảnh</v>
      </c>
      <c r="F104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4" s="229" t="str">
        <f t="shared" ca="1" si="2"/>
        <v>"2084047080" : "ảnh",</v>
      </c>
      <c r="H104" s="229" t="str">
        <f t="shared" si="3"/>
        <v>&lt;li class="col-md-3"&gt;&lt;a class="text-cut" href="javascript:;"(click)="categoryEvent(2084047080)"&gt;{{"2084047080" | translate}}&lt;/a&gt;&lt;/li&gt;</v>
      </c>
    </row>
    <row r="105" spans="1:8" ht="14.25" customHeight="1">
      <c r="A105" s="2">
        <v>2084006192</v>
      </c>
      <c r="B105" s="2" t="s">
        <v>1069</v>
      </c>
      <c r="C105" s="2" t="s">
        <v>1071</v>
      </c>
      <c r="D105" s="2" t="s">
        <v>1072</v>
      </c>
      <c r="E105" s="3" t="str">
        <f ca="1">IFERROR(__xludf.DUMMYFUNCTION("GOOGLETRANSLATE(B105,""ja"",""vi"")"),"PHOTO ALBUM")</f>
        <v>PHOTO ALBUM</v>
      </c>
      <c r="F105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5" s="229" t="str">
        <f t="shared" ca="1" si="2"/>
        <v>"2084006192" : "PHOTO ALBUM",</v>
      </c>
      <c r="H105" s="229" t="str">
        <f t="shared" si="3"/>
        <v>&lt;li class="col-md-3"&gt;&lt;a class="text-cut" href="javascript:;"(click)="categoryEvent(2084006192)"&gt;{{"2084006192" | translate}}&lt;/a&gt;&lt;/li&gt;</v>
      </c>
    </row>
    <row r="106" spans="1:8" ht="14.25" customHeight="1">
      <c r="A106" s="2">
        <v>2084006164</v>
      </c>
      <c r="B106" s="2" t="s">
        <v>331</v>
      </c>
      <c r="C106" s="2" t="s">
        <v>1075</v>
      </c>
      <c r="D106" s="2" t="s">
        <v>1076</v>
      </c>
      <c r="E106" s="3" t="str">
        <f ca="1">IFERROR(__xludf.DUMMYFUNCTION("GOOGLETRANSLATE(B106,""ja"",""vi"")"),"cắt giảm")</f>
        <v>cắt giảm</v>
      </c>
      <c r="F106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6" s="229" t="str">
        <f t="shared" ca="1" si="2"/>
        <v>"2084006164" : "cắt giảm",</v>
      </c>
      <c r="H106" s="229" t="str">
        <f t="shared" si="3"/>
        <v>&lt;li class="col-md-3"&gt;&lt;a class="text-cut" href="javascript:;"(click)="categoryEvent(2084006164)"&gt;{{"2084006164" | translate}}&lt;/a&gt;&lt;/li&gt;</v>
      </c>
    </row>
    <row r="107" spans="1:8" ht="14.25" customHeight="1">
      <c r="A107" s="2">
        <v>2084005353</v>
      </c>
      <c r="B107" s="2" t="s">
        <v>16</v>
      </c>
      <c r="C107" s="2" t="s">
        <v>1079</v>
      </c>
      <c r="D107" s="2" t="s">
        <v>1080</v>
      </c>
      <c r="E107" s="3" t="str">
        <f ca="1">IFERROR(__xludf.DUMMYFUNCTION("GOOGLETRANSLATE(B107,""ja"",""vi"")"),"nếu không thì")</f>
        <v>nếu không thì</v>
      </c>
      <c r="F107" s="3" t="str">
        <f ca="1">IFERROR(__xludf.DUMMYFUNCTION("GOOGLETRANSLATE(C60,""ja"",""vi"")"),"Đấu giá&gt; cuốn sách, tạp chí&gt; Tạp chí&gt; nghệ thuật, vui chơi giải trí&gt; thần tượng, giải trí&gt; Khác")</f>
        <v>Đấu giá&gt; cuốn sách, tạp chí&gt; Tạp chí&gt; nghệ thuật, vui chơi giải trí&gt; thần tượng, giải trí&gt; Khác</v>
      </c>
      <c r="G107" s="229" t="str">
        <f t="shared" ca="1" si="2"/>
        <v>"2084005353" : "nếu không thì",</v>
      </c>
      <c r="H107" s="229" t="str">
        <f t="shared" si="3"/>
        <v>&lt;li class="col-md-3"&gt;&lt;a class="text-cut" href="javascript:;"(click)="categoryEvent(2084005353)"&gt;{{"2084005353" | translate}}&lt;/a&gt;&lt;/li&gt;</v>
      </c>
    </row>
    <row r="108" spans="1:8" ht="14.25" customHeight="1"/>
    <row r="109" spans="1:8" ht="14.25" customHeight="1"/>
    <row r="110" spans="1:8" ht="14.25" customHeight="1"/>
    <row r="111" spans="1:8" ht="14.25" customHeight="1"/>
    <row r="112" spans="1:8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82:D82"/>
    <mergeCell ref="A86:D86"/>
    <mergeCell ref="A90:D90"/>
    <mergeCell ref="A29:D29"/>
    <mergeCell ref="A42:D42"/>
    <mergeCell ref="A34:D34"/>
    <mergeCell ref="A38:D38"/>
    <mergeCell ref="A77:D77"/>
    <mergeCell ref="A62:D62"/>
    <mergeCell ref="A69:D69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9.3984375" customWidth="1"/>
    <col min="2" max="2" width="12.3984375" customWidth="1"/>
    <col min="3" max="3" width="27.69921875" customWidth="1"/>
    <col min="4" max="4" width="18.69921875" customWidth="1"/>
    <col min="5" max="5" width="13.3984375" customWidth="1"/>
    <col min="6" max="6" width="45.09765625" customWidth="1"/>
    <col min="7" max="7" width="29.89843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2084042546</v>
      </c>
      <c r="B2" s="2" t="s">
        <v>457</v>
      </c>
      <c r="C2" s="2" t="s">
        <v>458</v>
      </c>
      <c r="D2" s="2" t="s">
        <v>459</v>
      </c>
      <c r="E2" s="3" t="str">
        <f ca="1">IFERROR(__xludf.DUMMYFUNCTION("GOOGLETRANSLATE(B2,""ja"",""vi"")"),"Tã, vật tư vệ sinh")</f>
        <v>Tã, vật tư vệ sinh</v>
      </c>
      <c r="F2" s="3" t="str">
        <f ca="1">IFERROR(__xludf.DUMMYFUNCTION("GOOGLETRANSLATE(C2,""ja"",""vi"")"),"Đấu giá&gt; Baby Sản phẩm&gt; tã, vật tư vệ sinh")</f>
        <v>Đấu giá&gt; Baby Sản phẩm&gt; tã, vật tư vệ sinh</v>
      </c>
      <c r="G2" s="229" t="str">
        <f t="shared" ref="G2:G49" ca="1" si="0">CONCATENATE(CHAR(34)&amp;"",A2,""&amp;CHAR(34)," : ", CHAR(34)&amp;"",E2,""&amp;CHAR(34),",")</f>
        <v>"2084042546" : "Tã, vật tư vệ sinh",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href="javascript:;"(click)="categoryEvent(2084042546)"&gt;{{"2084042546" | translate}}&lt;/a&gt;&lt;/li&gt;</v>
      </c>
    </row>
    <row r="3" spans="1:8" ht="14.25" customHeight="1">
      <c r="A3" s="4">
        <v>2084007247</v>
      </c>
      <c r="B3" s="4" t="s">
        <v>465</v>
      </c>
      <c r="C3" s="4" t="s">
        <v>466</v>
      </c>
      <c r="D3" s="4" t="s">
        <v>467</v>
      </c>
      <c r="E3" s="3" t="str">
        <f ca="1">IFERROR(__xludf.DUMMYFUNCTION("GOOGLETRANSLATE(B3,""ja"",""vi"")"),"Một món đồ chơi")</f>
        <v>Một món đồ chơi</v>
      </c>
      <c r="F3" s="3" t="str">
        <f ca="1">IFERROR(__xludf.DUMMYFUNCTION("GOOGLETRANSLATE(C3,""ja"",""vi"")"),"Đấu giá&gt; Baby Sản phẩm&gt; Đồ chơi")</f>
        <v>Đấu giá&gt; Baby Sản phẩm&gt; Đồ chơi</v>
      </c>
      <c r="G3" s="229" t="str">
        <f t="shared" ca="1" si="0"/>
        <v>"2084007247" : "Một món đồ chơi",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href="javascript:;"(click)="categoryEvent(2084007247)"&gt;{{"2084007247" | translate}}&lt;/a&gt;&lt;/li&gt;</v>
      </c>
    </row>
    <row r="4" spans="1:8" ht="14.25" customHeight="1">
      <c r="A4" s="5">
        <v>2084008387</v>
      </c>
      <c r="B4" s="5" t="s">
        <v>468</v>
      </c>
      <c r="C4" s="5" t="s">
        <v>469</v>
      </c>
      <c r="D4" s="5" t="s">
        <v>470</v>
      </c>
      <c r="E4" s="3" t="str">
        <f ca="1">IFERROR(__xludf.DUMMYFUNCTION("GOOGLETRANSLATE(B4,""ja"",""vi"")"),"hàng hóa an toàn")</f>
        <v>hàng hóa an toàn</v>
      </c>
      <c r="F4" s="3" t="str">
        <f ca="1">IFERROR(__xludf.DUMMYFUNCTION("GOOGLETRANSLATE(C4,""ja"",""vi"")"),"Đấu giá&gt; Baby Sản phẩm&gt; Hàng hóa an toàn")</f>
        <v>Đấu giá&gt; Baby Sản phẩm&gt; Hàng hóa an toàn</v>
      </c>
      <c r="G4" s="229" t="str">
        <f t="shared" ca="1" si="0"/>
        <v>"2084008387" : "hàng hóa an toàn",</v>
      </c>
      <c r="H4" s="229" t="str">
        <f t="shared" si="1"/>
        <v>&lt;li class="col-md-3"&gt;&lt;a class="text-cut" href="javascript:;"(click)="categoryEvent(2084008387)"&gt;{{"2084008387" | translate}}&lt;/a&gt;&lt;/li&gt;</v>
      </c>
    </row>
    <row r="5" spans="1:8" ht="14.25" customHeight="1">
      <c r="A5" s="8">
        <v>2084008379</v>
      </c>
      <c r="B5" s="8" t="s">
        <v>471</v>
      </c>
      <c r="C5" s="8" t="s">
        <v>472</v>
      </c>
      <c r="D5" s="8" t="s">
        <v>473</v>
      </c>
      <c r="E5" s="3" t="str">
        <f ca="1">IFERROR(__xludf.DUMMYFUNCTION("GOOGLETRANSLATE(B5,""ja"",""vi"")"),"Xe buýt, vật tư tắm")</f>
        <v>Xe buýt, vật tư tắm</v>
      </c>
      <c r="F5" s="3" t="str">
        <f ca="1">IFERROR(__xludf.DUMMYFUNCTION("GOOGLETRANSLATE(C5,""ja"",""vi"")"),"Đấu giá&gt; hàng bé&gt; xe buýt, vật tư tắm")</f>
        <v>Đấu giá&gt; hàng bé&gt; xe buýt, vật tư tắm</v>
      </c>
      <c r="G5" s="229" t="str">
        <f t="shared" ca="1" si="0"/>
        <v>"2084008379" : "Xe buýt, vật tư tắm",</v>
      </c>
      <c r="H5" s="229" t="str">
        <f t="shared" si="1"/>
        <v>&lt;li class="col-md-3"&gt;&lt;a class="text-cut" href="javascript:;"(click)="categoryEvent(2084008379)"&gt;{{"2084008379" | translate}}&lt;/a&gt;&lt;/li&gt;</v>
      </c>
    </row>
    <row r="6" spans="1:8" ht="14.25" customHeight="1">
      <c r="A6" s="6">
        <v>2084008393</v>
      </c>
      <c r="B6" s="6" t="s">
        <v>475</v>
      </c>
      <c r="C6" s="6" t="s">
        <v>477</v>
      </c>
      <c r="D6" s="6" t="s">
        <v>479</v>
      </c>
      <c r="E6" s="3" t="str">
        <f ca="1">IFERROR(__xludf.DUMMYFUNCTION("GOOGLETRANSLATE(B6,""ja"",""vi"")"),"nội thất cho trẻ")</f>
        <v>nội thất cho trẻ</v>
      </c>
      <c r="F6" s="3" t="str">
        <f ca="1">IFERROR(__xludf.DUMMYFUNCTION("GOOGLETRANSLATE(C6,""ja"",""vi"")"),"Đấu giá&gt; Baby Sản phẩm&gt; Baby Đồ")</f>
        <v>Đấu giá&gt; Baby Sản phẩm&gt; Baby Đồ</v>
      </c>
      <c r="G6" s="229" t="str">
        <f t="shared" ca="1" si="0"/>
        <v>"2084008393" : "nội thất cho trẻ",</v>
      </c>
      <c r="H6" s="229" t="str">
        <f t="shared" si="1"/>
        <v>&lt;li class="col-md-3"&gt;&lt;a class="text-cut" href="javascript:;"(click)="categoryEvent(2084008393)"&gt;{{"2084008393" | translate}}&lt;/a&gt;&lt;/li&gt;</v>
      </c>
    </row>
    <row r="7" spans="1:8" ht="14.25" customHeight="1">
      <c r="A7" s="9">
        <v>24210</v>
      </c>
      <c r="B7" s="9" t="s">
        <v>484</v>
      </c>
      <c r="C7" s="9" t="s">
        <v>486</v>
      </c>
      <c r="D7" s="9" t="s">
        <v>488</v>
      </c>
      <c r="E7" s="3" t="str">
        <f ca="1">IFERROR(__xludf.DUMMYFUNCTION("GOOGLETRANSLATE(B7,""ja"",""vi"")"),"Quần áo, Mang thai sản")</f>
        <v>Quần áo, Mang thai sản</v>
      </c>
      <c r="F7" s="3" t="str">
        <f ca="1">IFERROR(__xludf.DUMMYFUNCTION("GOOGLETRANSLATE(C7,""ja"",""vi"")"),"Đấu giá&gt; Baby Sản phẩm&gt; Quần áo Baby, Mang thai sản")</f>
        <v>Đấu giá&gt; Baby Sản phẩm&gt; Quần áo Baby, Mang thai sản</v>
      </c>
      <c r="G7" s="229" t="str">
        <f t="shared" ca="1" si="0"/>
        <v>"24210" : "Quần áo, Mang thai sản",</v>
      </c>
      <c r="H7" s="229" t="str">
        <f t="shared" si="1"/>
        <v>&lt;li class="col-md-3"&gt;&lt;a class="text-cut" href="javascript:;"(click)="categoryEvent(24210)"&gt;{{"24210" | translate}}&lt;/a&gt;&lt;/li&gt;</v>
      </c>
    </row>
    <row r="8" spans="1:8" ht="14.25" customHeight="1">
      <c r="A8" s="7">
        <v>2084006356</v>
      </c>
      <c r="B8" s="7" t="s">
        <v>489</v>
      </c>
      <c r="C8" s="7" t="s">
        <v>492</v>
      </c>
      <c r="D8" s="7" t="s">
        <v>495</v>
      </c>
      <c r="E8" s="3" t="str">
        <f ca="1">IFERROR(__xludf.DUMMYFUNCTION("GOOGLETRANSLATE(B8,""ja"",""vi"")"),"Giường ngủ cho bé")</f>
        <v>Giường ngủ cho bé</v>
      </c>
      <c r="F8" s="3" t="str">
        <f ca="1">IFERROR(__xludf.DUMMYFUNCTION("GOOGLETRANSLATE(C8,""ja"",""vi"")"),"Đấu giá&gt; Baby Sản phẩm&gt; giường cho bé")</f>
        <v>Đấu giá&gt; Baby Sản phẩm&gt; giường cho bé</v>
      </c>
      <c r="G8" s="229" t="str">
        <f t="shared" ca="1" si="0"/>
        <v>"2084006356" : "Giường ngủ cho bé",</v>
      </c>
      <c r="H8" s="229" t="str">
        <f t="shared" si="1"/>
        <v>&lt;li class="col-md-3"&gt;&lt;a class="text-cut" href="javascript:;"(click)="categoryEvent(2084006356)"&gt;{{"2084006356" | translate}}&lt;/a&gt;&lt;/li&gt;</v>
      </c>
    </row>
    <row r="9" spans="1:8" ht="14.25" customHeight="1">
      <c r="A9" s="41">
        <v>2084042548</v>
      </c>
      <c r="B9" s="41" t="s">
        <v>498</v>
      </c>
      <c r="C9" s="41" t="s">
        <v>499</v>
      </c>
      <c r="D9" s="41" t="s">
        <v>501</v>
      </c>
      <c r="E9" s="3" t="str">
        <f ca="1">IFERROR(__xludf.DUMMYFUNCTION("GOOGLETRANSLATE(B9,""ja"",""vi"")"),"Đi ra ngoài, nguồn cung cấp phong trào")</f>
        <v>Đi ra ngoài, nguồn cung cấp phong trào</v>
      </c>
      <c r="F9" s="3" t="str">
        <f ca="1">IFERROR(__xludf.DUMMYFUNCTION("GOOGLETRANSLATE(C9,""ja"",""vi"")"),"Đấu giá&gt; hàng bé&gt; đi ra ngoài, nguồn cung cấp phong trào")</f>
        <v>Đấu giá&gt; hàng bé&gt; đi ra ngoài, nguồn cung cấp phong trào</v>
      </c>
      <c r="G9" s="229" t="str">
        <f t="shared" ca="1" si="0"/>
        <v>"2084042548" : "Đi ra ngoài, nguồn cung cấp phong trào",</v>
      </c>
      <c r="H9" s="229" t="str">
        <f t="shared" si="1"/>
        <v>&lt;li class="col-md-3"&gt;&lt;a class="text-cut" href="javascript:;"(click)="categoryEvent(2084042548)"&gt;{{"2084042548" | translate}}&lt;/a&gt;&lt;/li&gt;</v>
      </c>
    </row>
    <row r="10" spans="1:8" ht="14.25" customHeight="1">
      <c r="A10" s="16">
        <v>2084216344</v>
      </c>
      <c r="B10" s="16" t="s">
        <v>504</v>
      </c>
      <c r="C10" s="16" t="s">
        <v>505</v>
      </c>
      <c r="D10" s="16" t="s">
        <v>507</v>
      </c>
      <c r="E10" s="3" t="str">
        <f ca="1">IFERROR(__xludf.DUMMYFUNCTION("GOOGLETRANSLATE(B10,""ja"",""vi"")"),"Sự kiện, kỷ vật")</f>
        <v>Sự kiện, kỷ vật</v>
      </c>
      <c r="F10" s="3" t="str">
        <f ca="1">IFERROR(__xludf.DUMMYFUNCTION("GOOGLETRANSLATE(C10,""ja"",""vi"")"),"Đấu giá&gt; Baby Sản phẩm&gt; Sự kiện, kỷ vật")</f>
        <v>Đấu giá&gt; Baby Sản phẩm&gt; Sự kiện, kỷ vật</v>
      </c>
      <c r="G10" s="229" t="str">
        <f t="shared" ca="1" si="0"/>
        <v>"2084216344" : "Sự kiện, kỷ vật",</v>
      </c>
      <c r="H10" s="229" t="str">
        <f t="shared" si="1"/>
        <v>&lt;li class="col-md-3"&gt;&lt;a class="text-cut" href="javascript:;"(click)="categoryEvent(2084216344)"&gt;{{"2084216344" | translate}}&lt;/a&gt;&lt;/li&gt;</v>
      </c>
    </row>
    <row r="11" spans="1:8" ht="14.25" customHeight="1">
      <c r="A11" s="43">
        <v>21624</v>
      </c>
      <c r="B11" s="43" t="s">
        <v>510</v>
      </c>
      <c r="C11" s="43" t="s">
        <v>511</v>
      </c>
      <c r="D11" s="43" t="s">
        <v>515</v>
      </c>
      <c r="E11" s="3" t="str">
        <f ca="1">IFERROR(__xludf.DUMMYFUNCTION("GOOGLETRANSLATE(B11,""ja"",""vi"")"),"sách, truyện tranh cho trẻ em")</f>
        <v>sách, truyện tranh cho trẻ em</v>
      </c>
      <c r="F11" s="3" t="str">
        <f ca="1">IFERROR(__xludf.DUMMYFUNCTION("GOOGLETRANSLATE(C11,""ja"",""vi"")"),"Đấu giá&gt; Baby Sản phẩm&gt; sách thiếu nhi, truyện tranh")</f>
        <v>Đấu giá&gt; Baby Sản phẩm&gt; sách thiếu nhi, truyện tranh</v>
      </c>
      <c r="G11" s="229" t="str">
        <f t="shared" ca="1" si="0"/>
        <v>"21624" : "sách, truyện tranh cho trẻ em",</v>
      </c>
      <c r="H11" s="229" t="str">
        <f t="shared" si="1"/>
        <v>&lt;li class="col-md-3"&gt;&lt;a class="text-cut" href="javascript:;"(click)="categoryEvent(21624)"&gt;{{"21624" | translate}}&lt;/a&gt;&lt;/li&gt;</v>
      </c>
    </row>
    <row r="12" spans="1:8" ht="14.25" customHeight="1">
      <c r="A12" s="45">
        <v>2084042550</v>
      </c>
      <c r="B12" s="45" t="s">
        <v>519</v>
      </c>
      <c r="C12" s="45" t="s">
        <v>520</v>
      </c>
      <c r="D12" s="45" t="s">
        <v>521</v>
      </c>
      <c r="E12" s="3" t="str">
        <f ca="1">IFERROR(__xludf.DUMMYFUNCTION("GOOGLETRANSLATE(B12,""ja"",""vi"")"),"Điều dưỡng, cung cấp bữa ăn")</f>
        <v>Điều dưỡng, cung cấp bữa ăn</v>
      </c>
      <c r="F12" s="3" t="str">
        <f ca="1">IFERROR(__xludf.DUMMYFUNCTION("GOOGLETRANSLATE(C12,""ja"",""vi"")"),"Đấu giá&gt; hàng bé&gt; dưỡng, nguồn cung cấp bữa ăn")</f>
        <v>Đấu giá&gt; hàng bé&gt; dưỡng, nguồn cung cấp bữa ăn</v>
      </c>
      <c r="G12" s="229" t="str">
        <f t="shared" ca="1" si="0"/>
        <v>"2084042550" : "Điều dưỡng, cung cấp bữa ăn",</v>
      </c>
      <c r="H12" s="229" t="str">
        <f t="shared" si="1"/>
        <v>&lt;li class="col-md-3"&gt;&lt;a class="text-cut" href="javascript:;"(click)="categoryEvent(2084042550)"&gt;{{"2084042550" | translate}}&lt;/a&gt;&lt;/li&gt;</v>
      </c>
    </row>
    <row r="13" spans="1:8" ht="14.25" customHeight="1">
      <c r="A13" s="48">
        <v>2084240631</v>
      </c>
      <c r="B13" s="48" t="s">
        <v>523</v>
      </c>
      <c r="C13" s="48" t="s">
        <v>526</v>
      </c>
      <c r="D13" s="48" t="s">
        <v>527</v>
      </c>
      <c r="E13" s="3" t="str">
        <f ca="1">IFERROR(__xludf.DUMMYFUNCTION("GOOGLETRANSLATE(B13,""ja"",""vi"")"),"làm bằng tay")</f>
        <v>làm bằng tay</v>
      </c>
      <c r="F13" s="3" t="str">
        <f ca="1">IFERROR(__xludf.DUMMYFUNCTION("GOOGLETRANSLATE(C13,""ja"",""vi"")"),"Đấu giá&gt; Baby Sản phẩm&gt; handmade")</f>
        <v>Đấu giá&gt; Baby Sản phẩm&gt; handmade</v>
      </c>
      <c r="G13" s="229" t="str">
        <f t="shared" ca="1" si="0"/>
        <v>"2084240631" : "làm bằng tay",</v>
      </c>
      <c r="H13" s="229" t="str">
        <f t="shared" si="1"/>
        <v>&lt;li class="col-md-3"&gt;&lt;a class="text-cut" href="javascript:;"(click)="categoryEvent(2084240631)"&gt;{{"2084240631" | translate}}&lt;/a&gt;&lt;/li&gt;</v>
      </c>
    </row>
    <row r="14" spans="1:8" ht="14.25" customHeight="1">
      <c r="A14" s="50">
        <v>2084307799</v>
      </c>
      <c r="B14" s="50" t="s">
        <v>530</v>
      </c>
      <c r="C14" s="50" t="s">
        <v>532</v>
      </c>
      <c r="D14" s="50" t="s">
        <v>533</v>
      </c>
      <c r="E14" s="3" t="str">
        <f ca="1">IFERROR(__xludf.DUMMYFUNCTION("GOOGLETRANSLATE(B14,""ja"",""vi"")"),"Bé cho thuê thiết bị")</f>
        <v>Bé cho thuê thiết bị</v>
      </c>
      <c r="F14" s="3" t="str">
        <f ca="1">IFERROR(__xludf.DUMMYFUNCTION("GOOGLETRANSLATE(C14,""ja"",""vi"")"),"Đấu giá&gt; Baby Sản phẩm&gt; cho thuê thiết bị bé")</f>
        <v>Đấu giá&gt; Baby Sản phẩm&gt; cho thuê thiết bị bé</v>
      </c>
      <c r="G14" s="229" t="str">
        <f t="shared" ca="1" si="0"/>
        <v>"2084307799" : "Bé cho thuê thiết bị",</v>
      </c>
      <c r="H14" s="229" t="str">
        <f t="shared" si="1"/>
        <v>&lt;li class="col-md-3"&gt;&lt;a class="text-cut" href="javascript:;"(click)="categoryEvent(2084307799)"&gt;{{"2084307799" | translate}}&lt;/a&gt;&lt;/li&gt;</v>
      </c>
    </row>
    <row r="15" spans="1:8" ht="14.25" customHeight="1">
      <c r="A15" s="53">
        <v>24226</v>
      </c>
      <c r="B15" s="53" t="s">
        <v>16</v>
      </c>
      <c r="C15" s="53" t="s">
        <v>535</v>
      </c>
      <c r="D15" s="53" t="s">
        <v>537</v>
      </c>
      <c r="E15" s="3" t="str">
        <f ca="1">IFERROR(__xludf.DUMMYFUNCTION("GOOGLETRANSLATE(B15,""ja"",""vi"")"),"nếu không thì")</f>
        <v>nếu không thì</v>
      </c>
      <c r="F15" s="3" t="str">
        <f ca="1">IFERROR(__xludf.DUMMYFUNCTION("GOOGLETRANSLATE(C15,""ja"",""vi"")"),"Đấu giá&gt; Baby Sản phẩm&gt; Khác")</f>
        <v>Đấu giá&gt; Baby Sản phẩm&gt; Khác</v>
      </c>
      <c r="G15" s="229" t="str">
        <f t="shared" ca="1" si="0"/>
        <v>"24226" : "nếu không thì",</v>
      </c>
      <c r="H15" s="229" t="str">
        <f t="shared" si="1"/>
        <v>&lt;li class="col-md-3"&gt;&lt;a class="text-cut" href="javascript:;"(click)="categoryEvent(24226)"&gt;{{"24226" | translate}}&lt;/a&gt;&lt;/li&gt;</v>
      </c>
    </row>
    <row r="16" spans="1:8" ht="14.25" customHeight="1">
      <c r="E16" s="3"/>
      <c r="F16" s="3"/>
      <c r="G16" s="229"/>
      <c r="H16" s="229"/>
    </row>
    <row r="17" spans="1:8" ht="14.25" customHeight="1">
      <c r="A17" s="231">
        <v>2084042546</v>
      </c>
      <c r="B17" s="232"/>
      <c r="C17" s="232"/>
      <c r="D17" s="233"/>
      <c r="E17" s="3"/>
      <c r="F17" s="3"/>
      <c r="G17" s="229"/>
      <c r="H17" s="229"/>
    </row>
    <row r="18" spans="1:8" ht="14.25" customHeight="1">
      <c r="A18" s="2">
        <v>2084008377</v>
      </c>
      <c r="B18" s="2" t="s">
        <v>543</v>
      </c>
      <c r="C18" s="2" t="s">
        <v>545</v>
      </c>
      <c r="D18" s="2" t="s">
        <v>546</v>
      </c>
      <c r="E18" s="3" t="str">
        <f ca="1">IFERROR(__xludf.DUMMYFUNCTION("GOOGLETRANSLATE(B18,""ja"",""vi"")"),"Tã")</f>
        <v>Tã</v>
      </c>
      <c r="F18" s="3" t="str">
        <f ca="1">IFERROR(__xludf.DUMMYFUNCTION("GOOGLETRANSLATE(C18,""ja"",""vi"")"),"Đấu giá&gt; Baby Sản phẩm&gt; tã, vật tư vệ sinh&gt; tã")</f>
        <v>Đấu giá&gt; Baby Sản phẩm&gt; tã, vật tư vệ sinh&gt; tã</v>
      </c>
      <c r="G18" s="229" t="str">
        <f t="shared" ca="1" si="0"/>
        <v>"2084008377" : "Tã",</v>
      </c>
      <c r="H18" s="229" t="str">
        <f t="shared" si="1"/>
        <v>&lt;li class="col-md-3"&gt;&lt;a class="text-cut" href="javascript:;"(click)="categoryEvent(2084008377)"&gt;{{"2084008377" | translate}}&lt;/a&gt;&lt;/li&gt;</v>
      </c>
    </row>
    <row r="19" spans="1:8" ht="14.25" customHeight="1">
      <c r="A19" s="2">
        <v>2084023868</v>
      </c>
      <c r="B19" s="2" t="s">
        <v>550</v>
      </c>
      <c r="C19" s="2" t="s">
        <v>552</v>
      </c>
      <c r="D19" s="2" t="s">
        <v>554</v>
      </c>
      <c r="E19" s="3" t="str">
        <f ca="1">IFERROR(__xludf.DUMMYFUNCTION("GOOGLETRANSLATE(B19,""ja"",""vi"")"),"bìa tã")</f>
        <v>bìa tã</v>
      </c>
      <c r="F19" s="3" t="str">
        <f ca="1">IFERROR(__xludf.DUMMYFUNCTION("GOOGLETRANSLATE(C19,""ja"",""vi"")"),"Đấu giá&gt; Baby Sản phẩm&gt; tã, vật tư vệ sinh&gt; bìa tã")</f>
        <v>Đấu giá&gt; Baby Sản phẩm&gt; tã, vật tư vệ sinh&gt; bìa tã</v>
      </c>
      <c r="G19" s="229" t="str">
        <f t="shared" ca="1" si="0"/>
        <v>"2084023868" : "bìa tã",</v>
      </c>
      <c r="H19" s="229" t="str">
        <f t="shared" si="1"/>
        <v>&lt;li class="col-md-3"&gt;&lt;a class="text-cut" href="javascript:;"(click)="categoryEvent(2084023868)"&gt;{{"2084023868" | translate}}&lt;/a&gt;&lt;/li&gt;</v>
      </c>
    </row>
    <row r="20" spans="1:8" ht="14.25" customHeight="1">
      <c r="A20" s="2">
        <v>2084217931</v>
      </c>
      <c r="B20" s="2" t="s">
        <v>558</v>
      </c>
      <c r="C20" s="2" t="s">
        <v>559</v>
      </c>
      <c r="D20" s="2" t="s">
        <v>560</v>
      </c>
      <c r="E20" s="3" t="str">
        <f ca="1">IFERROR(__xludf.DUMMYFUNCTION("GOOGLETRANSLATE(B20,""ja"",""vi"")"),"tã thùng rác")</f>
        <v>tã thùng rác</v>
      </c>
      <c r="F20" s="3" t="str">
        <f ca="1">IFERROR(__xludf.DUMMYFUNCTION("GOOGLETRANSLATE(C20,""ja"",""vi"")"),"Đấu giá&gt; Baby Sản phẩm&gt; tã, vật tư thùng rác nhà vệ sinh&gt; tã")</f>
        <v>Đấu giá&gt; Baby Sản phẩm&gt; tã, vật tư thùng rác nhà vệ sinh&gt; tã</v>
      </c>
      <c r="G20" s="229" t="str">
        <f t="shared" ca="1" si="0"/>
        <v>"2084217931" : "tã thùng rác",</v>
      </c>
      <c r="H20" s="229" t="str">
        <f t="shared" si="1"/>
        <v>&lt;li class="col-md-3"&gt;&lt;a class="text-cut" href="javascript:;"(click)="categoryEvent(2084217931)"&gt;{{"2084217931" | translate}}&lt;/a&gt;&lt;/li&gt;</v>
      </c>
    </row>
    <row r="21" spans="1:8" ht="14.25" customHeight="1">
      <c r="A21" s="2">
        <v>2084008376</v>
      </c>
      <c r="B21" s="2" t="s">
        <v>565</v>
      </c>
      <c r="C21" s="2" t="s">
        <v>568</v>
      </c>
      <c r="D21" s="2" t="s">
        <v>569</v>
      </c>
      <c r="E21" s="3" t="str">
        <f ca="1">IFERROR(__xludf.DUMMYFUNCTION("GOOGLETRANSLATE(B21,""ja"",""vi"")"),"nhỏ mọn")</f>
        <v>nhỏ mọn</v>
      </c>
      <c r="F21" s="3" t="str">
        <f ca="1">IFERROR(__xludf.DUMMYFUNCTION("GOOGLETRANSLATE(C21,""ja"",""vi"")"),"Đấu giá&gt; Baby Sản phẩm&gt; tã, vật tư vệ sinh&gt; bô")</f>
        <v>Đấu giá&gt; Baby Sản phẩm&gt; tã, vật tư vệ sinh&gt; bô</v>
      </c>
      <c r="G21" s="229" t="str">
        <f t="shared" ca="1" si="0"/>
        <v>"2084008376" : "nhỏ mọn",</v>
      </c>
      <c r="H21" s="229" t="str">
        <f t="shared" si="1"/>
        <v>&lt;li class="col-md-3"&gt;&lt;a class="text-cut" href="javascript:;"(click)="categoryEvent(2084008376)"&gt;{{"2084008376" | translate}}&lt;/a&gt;&lt;/li&gt;</v>
      </c>
    </row>
    <row r="22" spans="1:8" ht="14.25" customHeight="1">
      <c r="A22" s="2">
        <v>2084193557</v>
      </c>
      <c r="B22" s="2" t="s">
        <v>573</v>
      </c>
      <c r="C22" s="2" t="s">
        <v>575</v>
      </c>
      <c r="D22" s="2" t="s">
        <v>577</v>
      </c>
      <c r="E22" s="3" t="str">
        <f ca="1">IFERROR(__xludf.DUMMYFUNCTION("GOOGLETRANSLATE(B22,""ja"",""vi"")"),"ass lau")</f>
        <v>ass lau</v>
      </c>
      <c r="F22" s="3" t="str">
        <f ca="1">IFERROR(__xludf.DUMMYFUNCTION("GOOGLETRANSLATE(C22,""ja"",""vi"")"),"Đấu giá&gt; Baby Sản phẩm&gt; tã, vật tư vệ sinh&gt; ass lau")</f>
        <v>Đấu giá&gt; Baby Sản phẩm&gt; tã, vật tư vệ sinh&gt; ass lau</v>
      </c>
      <c r="G22" s="229" t="str">
        <f t="shared" ca="1" si="0"/>
        <v>"2084193557" : "ass lau",</v>
      </c>
      <c r="H22" s="229" t="str">
        <f t="shared" si="1"/>
        <v>&lt;li class="col-md-3"&gt;&lt;a class="text-cut" href="javascript:;"(click)="categoryEvent(2084193557)"&gt;{{"2084193557" | translate}}&lt;/a&gt;&lt;/li&gt;</v>
      </c>
    </row>
    <row r="23" spans="1:8" ht="14.25" customHeight="1">
      <c r="A23" s="2">
        <v>2084050472</v>
      </c>
      <c r="B23" s="2" t="s">
        <v>581</v>
      </c>
      <c r="C23" s="2" t="s">
        <v>582</v>
      </c>
      <c r="D23" s="2" t="s">
        <v>584</v>
      </c>
      <c r="E23" s="3" t="str">
        <f ca="1">IFERROR(__xludf.DUMMYFUNCTION("GOOGLETRANSLATE(B23,""ja"",""vi"")"),"quần đào tạo")</f>
        <v>quần đào tạo</v>
      </c>
      <c r="F23" s="3" t="str">
        <f ca="1">IFERROR(__xludf.DUMMYFUNCTION("GOOGLETRANSLATE(C23,""ja"",""vi"")"),"Đấu giá&gt; Baby Sản phẩm&gt; tã, vật tư vệ sinh&gt; quần đào tạo")</f>
        <v>Đấu giá&gt; Baby Sản phẩm&gt; tã, vật tư vệ sinh&gt; quần đào tạo</v>
      </c>
      <c r="G23" s="229" t="str">
        <f t="shared" ca="1" si="0"/>
        <v>"2084050472" : "quần đào tạo",</v>
      </c>
      <c r="H23" s="229" t="str">
        <f t="shared" si="1"/>
        <v>&lt;li class="col-md-3"&gt;&lt;a class="text-cut" href="javascript:;"(click)="categoryEvent(2084050472)"&gt;{{"2084050472" | translate}}&lt;/a&gt;&lt;/li&gt;</v>
      </c>
    </row>
    <row r="24" spans="1:8" ht="14.25" customHeight="1">
      <c r="A24" s="2">
        <v>2084042547</v>
      </c>
      <c r="B24" s="2" t="s">
        <v>16</v>
      </c>
      <c r="C24" s="2" t="s">
        <v>587</v>
      </c>
      <c r="D24" s="2" t="s">
        <v>588</v>
      </c>
      <c r="E24" s="3" t="str">
        <f ca="1">IFERROR(__xludf.DUMMYFUNCTION("GOOGLETRANSLATE(B24,""ja"",""vi"")"),"nếu không thì")</f>
        <v>nếu không thì</v>
      </c>
      <c r="F24" s="3" t="str">
        <f ca="1">IFERROR(__xludf.DUMMYFUNCTION("GOOGLETRANSLATE(C24,""ja"",""vi"")"),"Đấu giá&gt; Baby Sản phẩm&gt; tã, vật tư vệ sinh&gt; Khác")</f>
        <v>Đấu giá&gt; Baby Sản phẩm&gt; tã, vật tư vệ sinh&gt; Khác</v>
      </c>
      <c r="G24" s="229" t="str">
        <f t="shared" ca="1" si="0"/>
        <v>"2084042547" : "nếu không thì",</v>
      </c>
      <c r="H24" s="229" t="str">
        <f t="shared" si="1"/>
        <v>&lt;li class="col-md-3"&gt;&lt;a class="text-cut" href="javascript:;"(click)="categoryEvent(2084042547)"&gt;{{"2084042547" | translate}}&lt;/a&gt;&lt;/li&gt;</v>
      </c>
    </row>
    <row r="25" spans="1:8" ht="14.25" customHeight="1">
      <c r="E25" s="3"/>
      <c r="F25" s="3"/>
      <c r="G25" s="229"/>
      <c r="H25" s="229"/>
    </row>
    <row r="26" spans="1:8" ht="14.25" customHeight="1">
      <c r="A26" s="239">
        <v>2084007247</v>
      </c>
      <c r="B26" s="232"/>
      <c r="C26" s="232"/>
      <c r="D26" s="233"/>
      <c r="E26" s="3"/>
      <c r="F26" s="3"/>
      <c r="G26" s="229"/>
      <c r="H26" s="229"/>
    </row>
    <row r="27" spans="1:8" ht="14.25" customHeight="1">
      <c r="A27" s="2">
        <v>2084024150</v>
      </c>
      <c r="B27" s="2" t="s">
        <v>595</v>
      </c>
      <c r="C27" s="2" t="s">
        <v>596</v>
      </c>
      <c r="D27" s="2" t="s">
        <v>597</v>
      </c>
      <c r="E27" s="3" t="str">
        <f ca="1">IFERROR(__xludf.DUMMYFUNCTION("GOOGLETRANSLATE(B27,""ja"",""vi"")"),"đồ chơi Ofuro")</f>
        <v>đồ chơi Ofuro</v>
      </c>
      <c r="F27" s="3" t="str">
        <f ca="1">IFERROR(__xludf.DUMMYFUNCTION("GOOGLETRANSLATE(C27,""ja"",""vi"")"),"Đấu giá&gt; đồ chơi, trò chơi&gt; để bé&gt; Ofuro đồ chơi")</f>
        <v>Đấu giá&gt; đồ chơi, trò chơi&gt; để bé&gt; Ofuro đồ chơi</v>
      </c>
      <c r="G27" s="229" t="str">
        <f t="shared" ca="1" si="0"/>
        <v>"2084024150" : "đồ chơi Ofuro",</v>
      </c>
      <c r="H27" s="229" t="str">
        <f t="shared" si="1"/>
        <v>&lt;li class="col-md-3"&gt;&lt;a class="text-cut" href="javascript:;"(click)="categoryEvent(2084024150)"&gt;{{"2084024150" | translate}}&lt;/a&gt;&lt;/li&gt;</v>
      </c>
    </row>
    <row r="28" spans="1:8" ht="14.25" customHeight="1">
      <c r="A28" s="2">
        <v>2084024147</v>
      </c>
      <c r="B28" s="2" t="s">
        <v>604</v>
      </c>
      <c r="C28" s="2" t="s">
        <v>605</v>
      </c>
      <c r="D28" s="2" t="s">
        <v>606</v>
      </c>
      <c r="E28" s="3" t="str">
        <f ca="1">IFERROR(__xludf.DUMMYFUNCTION("GOOGLETRANSLATE(B28,""ja"",""vi"")"),"Clattering")</f>
        <v>Clattering</v>
      </c>
      <c r="F28" s="3" t="str">
        <f ca="1">IFERROR(__xludf.DUMMYFUNCTION("GOOGLETRANSLATE(C28,""ja"",""vi"")"),"Đấu giá&gt; Đồ chơi, trò chơi&gt; Baby&gt; rattle")</f>
        <v>Đấu giá&gt; Đồ chơi, trò chơi&gt; Baby&gt; rattle</v>
      </c>
      <c r="G28" s="229" t="str">
        <f t="shared" ca="1" si="0"/>
        <v>"2084024147" : "Clattering",</v>
      </c>
      <c r="H28" s="229" t="str">
        <f t="shared" si="1"/>
        <v>&lt;li class="col-md-3"&gt;&lt;a class="text-cut" href="javascript:;"(click)="categoryEvent(2084024147)"&gt;{{"2084024147" | translate}}&lt;/a&gt;&lt;/li&gt;</v>
      </c>
    </row>
    <row r="29" spans="1:8" ht="14.25" customHeight="1">
      <c r="A29" s="2">
        <v>2084024161</v>
      </c>
      <c r="B29" s="2" t="s">
        <v>607</v>
      </c>
      <c r="C29" s="2" t="s">
        <v>608</v>
      </c>
      <c r="D29" s="2" t="s">
        <v>609</v>
      </c>
      <c r="E29" s="3" t="str">
        <f ca="1">IFERROR(__xludf.DUMMYFUNCTION("GOOGLETRANSLATE(B29,""ja"",""vi"")"),"Music Box Mary")</f>
        <v>Music Box Mary</v>
      </c>
      <c r="F29" s="3" t="str">
        <f ca="1">IFERROR(__xludf.DUMMYFUNCTION("GOOGLETRANSLATE(C29,""ja"",""vi"")"),"Đấu giá&gt; đồ chơi, trò chơi&gt; cho bé&gt; Music Box Chúc mừng")</f>
        <v>Đấu giá&gt; đồ chơi, trò chơi&gt; cho bé&gt; Music Box Chúc mừng</v>
      </c>
      <c r="G29" s="229" t="str">
        <f t="shared" ca="1" si="0"/>
        <v>"2084024161" : "Music Box Mary",</v>
      </c>
      <c r="H29" s="229" t="str">
        <f t="shared" si="1"/>
        <v>&lt;li class="col-md-3"&gt;&lt;a class="text-cut" href="javascript:;"(click)="categoryEvent(2084024161)"&gt;{{"2084024161" | translate}}&lt;/a&gt;&lt;/li&gt;</v>
      </c>
    </row>
    <row r="30" spans="1:8" ht="14.25" customHeight="1">
      <c r="A30" s="2">
        <v>2084024163</v>
      </c>
      <c r="B30" s="2" t="s">
        <v>615</v>
      </c>
      <c r="C30" s="2" t="s">
        <v>617</v>
      </c>
      <c r="D30" s="2" t="s">
        <v>618</v>
      </c>
      <c r="E30" s="3" t="str">
        <f ca="1">IFERROR(__xludf.DUMMYFUNCTION("GOOGLETRANSLATE(B30,""ja"",""vi"")"),"Bebijimu")</f>
        <v>Bebijimu</v>
      </c>
      <c r="F30" s="3" t="str">
        <f ca="1">IFERROR(__xludf.DUMMYFUNCTION("GOOGLETRANSLATE(C30,""ja"",""vi"")"),"Đấu giá&gt; Đồ chơi, trò chơi&gt; Baby&gt; Bebijimu")</f>
        <v>Đấu giá&gt; Đồ chơi, trò chơi&gt; Baby&gt; Bebijimu</v>
      </c>
      <c r="G30" s="229" t="str">
        <f t="shared" ca="1" si="0"/>
        <v>"2084024163" : "Bebijimu",</v>
      </c>
      <c r="H30" s="229" t="str">
        <f t="shared" si="1"/>
        <v>&lt;li class="col-md-3"&gt;&lt;a class="text-cut" href="javascript:;"(click)="categoryEvent(2084024163)"&gt;{{"2084024163" | translate}}&lt;/a&gt;&lt;/li&gt;</v>
      </c>
    </row>
    <row r="31" spans="1:8" ht="14.25" customHeight="1">
      <c r="A31" s="2">
        <v>2084024162</v>
      </c>
      <c r="B31" s="2" t="s">
        <v>622</v>
      </c>
      <c r="C31" s="2" t="s">
        <v>623</v>
      </c>
      <c r="D31" s="2" t="s">
        <v>624</v>
      </c>
      <c r="E31" s="3" t="str">
        <f ca="1">IFERROR(__xludf.DUMMYFUNCTION("GOOGLETRANSLATE(B31,""ja"",""vi"")"),"Xe cút kít, rattling")</f>
        <v>Xe cút kít, rattling</v>
      </c>
      <c r="F31" s="3" t="str">
        <f ca="1">IFERROR(__xludf.DUMMYFUNCTION("GOOGLETRANSLATE(C31,""ja"",""vi"")"),"Đấu giá&gt; đồ chơi, trò chơi&gt; cho bé&gt; xe cút kít, rattling")</f>
        <v>Đấu giá&gt; đồ chơi, trò chơi&gt; cho bé&gt; xe cút kít, rattling</v>
      </c>
      <c r="G31" s="229" t="str">
        <f t="shared" ca="1" si="0"/>
        <v>"2084024162" : "Xe cút kít, rattling",</v>
      </c>
      <c r="H31" s="229" t="str">
        <f t="shared" si="1"/>
        <v>&lt;li class="col-md-3"&gt;&lt;a class="text-cut" href="javascript:;"(click)="categoryEvent(2084024162)"&gt;{{"2084024162" | translate}}&lt;/a&gt;&lt;/li&gt;</v>
      </c>
    </row>
    <row r="32" spans="1:8" ht="14.25" customHeight="1">
      <c r="A32" s="2">
        <v>2084047980</v>
      </c>
      <c r="B32" s="2" t="s">
        <v>630</v>
      </c>
      <c r="C32" s="2" t="s">
        <v>632</v>
      </c>
      <c r="D32" s="2" t="s">
        <v>634</v>
      </c>
      <c r="E32" s="3" t="str">
        <f ca="1">IFERROR(__xludf.DUMMYFUNCTION("GOOGLETRANSLATE(B32,""ja"",""vi"")"),"đồ chơi cưỡi")</f>
        <v>đồ chơi cưỡi</v>
      </c>
      <c r="F32" s="3" t="str">
        <f ca="1">IFERROR(__xludf.DUMMYFUNCTION("GOOGLETRANSLATE(C32,""ja"",""vi"")"),"Đấu giá&gt; Đồ chơi, trò chơi&gt; Baby&gt; đồ chơi cưỡi")</f>
        <v>Đấu giá&gt; Đồ chơi, trò chơi&gt; Baby&gt; đồ chơi cưỡi</v>
      </c>
      <c r="G32" s="229" t="str">
        <f t="shared" ca="1" si="0"/>
        <v>"2084047980" : "đồ chơi cưỡi",</v>
      </c>
      <c r="H32" s="229" t="str">
        <f t="shared" si="1"/>
        <v>&lt;li class="col-md-3"&gt;&lt;a class="text-cut" href="javascript:;"(click)="categoryEvent(2084047980)"&gt;{{"2084047980" | translate}}&lt;/a&gt;&lt;/li&gt;</v>
      </c>
    </row>
    <row r="33" spans="1:8" ht="14.25" customHeight="1">
      <c r="A33" s="2">
        <v>2084024146</v>
      </c>
      <c r="B33" s="2" t="s">
        <v>637</v>
      </c>
      <c r="C33" s="2" t="s">
        <v>639</v>
      </c>
      <c r="D33" s="2" t="s">
        <v>641</v>
      </c>
      <c r="E33" s="3" t="str">
        <f ca="1">IFERROR(__xludf.DUMMYFUNCTION("GOOGLETRANSLATE(B33,""ja"",""vi"")"),"đồ chơi giáo dục")</f>
        <v>đồ chơi giáo dục</v>
      </c>
      <c r="F33" s="3" t="str">
        <f ca="1">IFERROR(__xludf.DUMMYFUNCTION("GOOGLETRANSLATE(C33,""ja"",""vi"")"),"Đấu giá&gt; Đồ chơi, trò chơi&gt; Baby&gt; đồ chơi giáo dục")</f>
        <v>Đấu giá&gt; Đồ chơi, trò chơi&gt; Baby&gt; đồ chơi giáo dục</v>
      </c>
      <c r="G33" s="229" t="str">
        <f t="shared" ca="1" si="0"/>
        <v>"2084024146" : "đồ chơi giáo dục",</v>
      </c>
      <c r="H33" s="229" t="str">
        <f t="shared" si="1"/>
        <v>&lt;li class="col-md-3"&gt;&lt;a class="text-cut" href="javascript:;"(click)="categoryEvent(2084024146)"&gt;{{"2084024146" | translate}}&lt;/a&gt;&lt;/li&gt;</v>
      </c>
    </row>
    <row r="34" spans="1:8" ht="14.25" customHeight="1">
      <c r="A34" s="2">
        <v>2084047374</v>
      </c>
      <c r="B34" s="2" t="s">
        <v>16</v>
      </c>
      <c r="C34" s="2" t="s">
        <v>647</v>
      </c>
      <c r="D34" s="2" t="s">
        <v>649</v>
      </c>
      <c r="E34" s="3" t="str">
        <f ca="1">IFERROR(__xludf.DUMMYFUNCTION("GOOGLETRANSLATE(B34,""ja"",""vi"")"),"nếu không thì")</f>
        <v>nếu không thì</v>
      </c>
      <c r="F34" s="3" t="str">
        <f ca="1">IFERROR(__xludf.DUMMYFUNCTION("GOOGLETRANSLATE(C34,""ja"",""vi"")"),"Đấu giá&gt; Đồ chơi, trò chơi&gt; Baby&gt; Khác")</f>
        <v>Đấu giá&gt; Đồ chơi, trò chơi&gt; Baby&gt; Khác</v>
      </c>
      <c r="G34" s="229" t="str">
        <f t="shared" ca="1" si="0"/>
        <v>"2084047374" : "nếu không thì",</v>
      </c>
      <c r="H34" s="229" t="str">
        <f t="shared" si="1"/>
        <v>&lt;li class="col-md-3"&gt;&lt;a class="text-cut" href="javascript:;"(click)="categoryEvent(2084047374)"&gt;{{"2084047374" | translate}}&lt;/a&gt;&lt;/li&gt;</v>
      </c>
    </row>
    <row r="35" spans="1:8" ht="14.25" customHeight="1">
      <c r="E35" s="3"/>
      <c r="F35" s="3"/>
      <c r="G35" s="229"/>
      <c r="H35" s="229"/>
    </row>
    <row r="36" spans="1:8" ht="14.25" customHeight="1">
      <c r="A36" s="240">
        <v>2084008387</v>
      </c>
      <c r="B36" s="232"/>
      <c r="C36" s="232"/>
      <c r="D36" s="233"/>
      <c r="E36" s="3"/>
      <c r="F36" s="3"/>
      <c r="G36" s="229"/>
      <c r="H36" s="229"/>
    </row>
    <row r="37" spans="1:8" ht="14.25" customHeight="1">
      <c r="A37" s="2">
        <v>2084005814</v>
      </c>
      <c r="B37" s="2" t="s">
        <v>657</v>
      </c>
      <c r="C37" s="2" t="s">
        <v>658</v>
      </c>
      <c r="D37" s="2" t="s">
        <v>659</v>
      </c>
      <c r="E37" s="3" t="str">
        <f ca="1">IFERROR(__xludf.DUMMYFUNCTION("GOOGLETRANSLATE(B37,""ja"",""vi"")"),"ghế trẻ em")</f>
        <v>ghế trẻ em</v>
      </c>
      <c r="F37" s="3" t="str">
        <f ca="1">IFERROR(__xludf.DUMMYFUNCTION("GOOGLETRANSLATE(C37,""ja"",""vi"")"),"Đấu giá&gt; Baby Sản phẩm&gt; An toàn Hàng&gt; ghế trẻ em")</f>
        <v>Đấu giá&gt; Baby Sản phẩm&gt; An toàn Hàng&gt; ghế trẻ em</v>
      </c>
      <c r="G37" s="229" t="str">
        <f t="shared" ca="1" si="0"/>
        <v>"2084005814" : "ghế trẻ em",</v>
      </c>
      <c r="H37" s="229" t="str">
        <f t="shared" si="1"/>
        <v>&lt;li class="col-md-3"&gt;&lt;a class="text-cut" href="javascript:;"(click)="categoryEvent(2084005814)"&gt;{{"2084005814" | translate}}&lt;/a&gt;&lt;/li&gt;</v>
      </c>
    </row>
    <row r="38" spans="1:8" ht="14.25" customHeight="1">
      <c r="A38" s="2">
        <v>2084047108</v>
      </c>
      <c r="B38" s="2" t="s">
        <v>661</v>
      </c>
      <c r="C38" s="2" t="s">
        <v>662</v>
      </c>
      <c r="D38" s="2" t="s">
        <v>664</v>
      </c>
      <c r="E38" s="3" t="str">
        <f ca="1">IFERROR(__xludf.DUMMYFUNCTION("GOOGLETRANSLATE(B38,""ja"",""vi"")"),"ghế bé")</f>
        <v>ghế bé</v>
      </c>
      <c r="F38" s="3" t="str">
        <f ca="1">IFERROR(__xludf.DUMMYFUNCTION("GOOGLETRANSLATE(C38,""ja"",""vi"")"),"Đấu giá&gt; Baby Sản phẩm&gt; An toàn Hàng&gt; ghế bé")</f>
        <v>Đấu giá&gt; Baby Sản phẩm&gt; An toàn Hàng&gt; ghế bé</v>
      </c>
      <c r="G38" s="229" t="str">
        <f t="shared" ca="1" si="0"/>
        <v>"2084047108" : "ghế bé",</v>
      </c>
      <c r="H38" s="229" t="str">
        <f t="shared" si="1"/>
        <v>&lt;li class="col-md-3"&gt;&lt;a class="text-cut" href="javascript:;"(click)="categoryEvent(2084047108)"&gt;{{"2084047108" | translate}}&lt;/a&gt;&lt;/li&gt;</v>
      </c>
    </row>
    <row r="39" spans="1:8" ht="14.25" customHeight="1">
      <c r="A39" s="2">
        <v>2084008388</v>
      </c>
      <c r="B39" s="2" t="s">
        <v>666</v>
      </c>
      <c r="C39" s="2" t="s">
        <v>667</v>
      </c>
      <c r="D39" s="2" t="s">
        <v>668</v>
      </c>
      <c r="E39" s="3" t="str">
        <f ca="1">IFERROR(__xludf.DUMMYFUNCTION("GOOGLETRANSLATE(B39,""ja"",""vi"")"),"bé hàng rào")</f>
        <v>bé hàng rào</v>
      </c>
      <c r="F39" s="3" t="str">
        <f ca="1">IFERROR(__xludf.DUMMYFUNCTION("GOOGLETRANSLATE(C39,""ja"",""vi"")"),"Đấu giá&gt; Baby Sản phẩm&gt; hàng hóa an toàn&gt; hàng rào bé")</f>
        <v>Đấu giá&gt; Baby Sản phẩm&gt; hàng hóa an toàn&gt; hàng rào bé</v>
      </c>
      <c r="G39" s="229" t="str">
        <f t="shared" ca="1" si="0"/>
        <v>"2084008388" : "bé hàng rào",</v>
      </c>
      <c r="H39" s="229" t="str">
        <f t="shared" si="1"/>
        <v>&lt;li class="col-md-3"&gt;&lt;a class="text-cut" href="javascript:;"(click)="categoryEvent(2084008388)"&gt;{{"2084008388" | translate}}&lt;/a&gt;&lt;/li&gt;</v>
      </c>
    </row>
    <row r="40" spans="1:8" ht="14.25" customHeight="1">
      <c r="A40" s="2">
        <v>2084008389</v>
      </c>
      <c r="B40" s="2" t="s">
        <v>674</v>
      </c>
      <c r="C40" s="2" t="s">
        <v>676</v>
      </c>
      <c r="D40" s="2" t="s">
        <v>677</v>
      </c>
      <c r="E40" s="3" t="str">
        <f ca="1">IFERROR(__xludf.DUMMYFUNCTION("GOOGLETRANSLATE(B40,""ja"",""vi"")"),"Khóa")</f>
        <v>Khóa</v>
      </c>
      <c r="F40" s="3" t="str">
        <f ca="1">IFERROR(__xludf.DUMMYFUNCTION("GOOGLETRANSLATE(C40,""ja"",""vi"")"),"Đấu giá&gt; Baby Sản phẩm&gt; Hàng Safety&gt; Rock")</f>
        <v>Đấu giá&gt; Baby Sản phẩm&gt; Hàng Safety&gt; Rock</v>
      </c>
      <c r="G40" s="229" t="str">
        <f t="shared" ca="1" si="0"/>
        <v>"2084008389" : "Khóa",</v>
      </c>
      <c r="H40" s="229" t="str">
        <f t="shared" si="1"/>
        <v>&lt;li class="col-md-3"&gt;&lt;a class="text-cut" href="javascript:;"(click)="categoryEvent(2084008389)"&gt;{{"2084008389" | translate}}&lt;/a&gt;&lt;/li&gt;</v>
      </c>
    </row>
    <row r="41" spans="1:8" ht="14.25" customHeight="1">
      <c r="A41" s="2">
        <v>2084211411</v>
      </c>
      <c r="B41" s="2" t="s">
        <v>680</v>
      </c>
      <c r="C41" s="2" t="s">
        <v>681</v>
      </c>
      <c r="D41" s="2" t="s">
        <v>682</v>
      </c>
      <c r="E41" s="3" t="str">
        <f ca="1">IFERROR(__xludf.DUMMYFUNCTION("GOOGLETRANSLATE(B41,""ja"",""vi"")"),"màn hình bằng giọng nói")</f>
        <v>màn hình bằng giọng nói</v>
      </c>
      <c r="F41" s="3" t="str">
        <f ca="1">IFERROR(__xludf.DUMMYFUNCTION("GOOGLETRANSLATE(C41,""ja"",""vi"")"),"Đấu giá&gt; Baby Sản phẩm&gt; Hàng Safety&gt; màn hình âm thanh")</f>
        <v>Đấu giá&gt; Baby Sản phẩm&gt; Hàng Safety&gt; màn hình âm thanh</v>
      </c>
      <c r="G41" s="229" t="str">
        <f t="shared" ca="1" si="0"/>
        <v>"2084211411" : "màn hình bằng giọng nói",</v>
      </c>
      <c r="H41" s="229" t="str">
        <f t="shared" si="1"/>
        <v>&lt;li class="col-md-3"&gt;&lt;a class="text-cut" href="javascript:;"(click)="categoryEvent(2084211411)"&gt;{{"2084211411" | translate}}&lt;/a&gt;&lt;/li&gt;</v>
      </c>
    </row>
    <row r="42" spans="1:8" ht="14.25" customHeight="1">
      <c r="A42" s="2">
        <v>2084055708</v>
      </c>
      <c r="B42" s="2" t="s">
        <v>686</v>
      </c>
      <c r="C42" s="2" t="s">
        <v>687</v>
      </c>
      <c r="D42" s="2" t="s">
        <v>688</v>
      </c>
      <c r="E42" s="3" t="str">
        <f ca="1">IFERROR(__xludf.DUMMYFUNCTION("GOOGLETRANSLATE(B42,""ja"",""vi"")"),"báo động an ninh di động")</f>
        <v>báo động an ninh di động</v>
      </c>
      <c r="F42" s="3" t="str">
        <f ca="1">IFERROR(__xludf.DUMMYFUNCTION("GOOGLETRANSLATE(C42,""ja"",""vi"")"),"Đấu giá&gt; Sản phẩm Baby&gt; Hàng Safety&gt; báo động chống trộm di động")</f>
        <v>Đấu giá&gt; Sản phẩm Baby&gt; Hàng Safety&gt; báo động chống trộm di động</v>
      </c>
      <c r="G42" s="229" t="str">
        <f t="shared" ca="1" si="0"/>
        <v>"2084055708" : "báo động an ninh di động",</v>
      </c>
      <c r="H42" s="229" t="str">
        <f t="shared" si="1"/>
        <v>&lt;li class="col-md-3"&gt;&lt;a class="text-cut" href="javascript:;"(click)="categoryEvent(2084055708)"&gt;{{"2084055708" | translate}}&lt;/a&gt;&lt;/li&gt;</v>
      </c>
    </row>
    <row r="43" spans="1:8" ht="14.25" customHeight="1">
      <c r="A43" s="2">
        <v>2084008390</v>
      </c>
      <c r="B43" s="2" t="s">
        <v>16</v>
      </c>
      <c r="C43" s="2" t="s">
        <v>691</v>
      </c>
      <c r="D43" s="2" t="s">
        <v>692</v>
      </c>
      <c r="E43" s="3" t="str">
        <f ca="1">IFERROR(__xludf.DUMMYFUNCTION("GOOGLETRANSLATE(B43,""ja"",""vi"")"),"nếu không thì")</f>
        <v>nếu không thì</v>
      </c>
      <c r="F43" s="3" t="str">
        <f ca="1">IFERROR(__xludf.DUMMYFUNCTION("GOOGLETRANSLATE(C43,""ja"",""vi"")"),"Đấu giá&gt; Baby Sản phẩm&gt; An toàn Hàng&gt; Khác")</f>
        <v>Đấu giá&gt; Baby Sản phẩm&gt; An toàn Hàng&gt; Khác</v>
      </c>
      <c r="G43" s="229" t="str">
        <f t="shared" ca="1" si="0"/>
        <v>"2084008390" : "nếu không thì",</v>
      </c>
      <c r="H43" s="229" t="str">
        <f t="shared" si="1"/>
        <v>&lt;li class="col-md-3"&gt;&lt;a class="text-cut" href="javascript:;"(click)="categoryEvent(2084008390)"&gt;{{"2084008390" | translate}}&lt;/a&gt;&lt;/li&gt;</v>
      </c>
    </row>
    <row r="44" spans="1:8" ht="14.25" customHeight="1">
      <c r="E44" s="3"/>
      <c r="F44" s="3"/>
      <c r="G44" s="229"/>
      <c r="H44" s="229"/>
    </row>
    <row r="45" spans="1:8" ht="14.25" customHeight="1">
      <c r="A45" s="237">
        <v>2084008379</v>
      </c>
      <c r="B45" s="232"/>
      <c r="C45" s="232"/>
      <c r="D45" s="233"/>
      <c r="E45" s="3"/>
      <c r="F45" s="3"/>
      <c r="G45" s="229"/>
      <c r="H45" s="229"/>
    </row>
    <row r="46" spans="1:8" ht="14.25" customHeight="1">
      <c r="A46" s="2">
        <v>2084008384</v>
      </c>
      <c r="B46" s="2" t="s">
        <v>698</v>
      </c>
      <c r="C46" s="2" t="s">
        <v>700</v>
      </c>
      <c r="D46" s="2" t="s">
        <v>701</v>
      </c>
      <c r="E46" s="3" t="str">
        <f ca="1">IFERROR(__xludf.DUMMYFUNCTION("GOOGLETRANSLATE(B46,""ja"",""vi"")"),"bọt biển")</f>
        <v>bọt biển</v>
      </c>
      <c r="F46" s="3" t="str">
        <f ca="1">IFERROR(__xludf.DUMMYFUNCTION("GOOGLETRANSLATE(C46,""ja"",""vi"")"),"Đấu giá&gt; hàng bé&gt; xe buýt, vật tư tắm&gt; xốp")</f>
        <v>Đấu giá&gt; hàng bé&gt; xe buýt, vật tư tắm&gt; xốp</v>
      </c>
      <c r="G46" s="229" t="str">
        <f t="shared" ca="1" si="0"/>
        <v>"2084008384" : "bọt biển",</v>
      </c>
      <c r="H46" s="229" t="str">
        <f t="shared" si="1"/>
        <v>&lt;li class="col-md-3"&gt;&lt;a class="text-cut" href="javascript:;"(click)="categoryEvent(2084008384)"&gt;{{"2084008384" | translate}}&lt;/a&gt;&lt;/li&gt;</v>
      </c>
    </row>
    <row r="47" spans="1:8" ht="14.25" customHeight="1">
      <c r="A47" s="2">
        <v>2084211412</v>
      </c>
      <c r="B47" s="2" t="s">
        <v>702</v>
      </c>
      <c r="C47" s="2" t="s">
        <v>704</v>
      </c>
      <c r="D47" s="2" t="s">
        <v>706</v>
      </c>
      <c r="E47" s="3" t="str">
        <f ca="1">IFERROR(__xludf.DUMMYFUNCTION("GOOGLETRANSLATE(B47,""ja"",""vi"")"),"ghế xe buýt")</f>
        <v>ghế xe buýt</v>
      </c>
      <c r="F47" s="3" t="str">
        <f ca="1">IFERROR(__xludf.DUMMYFUNCTION("GOOGLETRANSLATE(C47,""ja"",""vi"")"),"Đấu giá&gt; hàng bé&gt; xe buýt, vật tư tắm&gt; Ghế xe buýt")</f>
        <v>Đấu giá&gt; hàng bé&gt; xe buýt, vật tư tắm&gt; Ghế xe buýt</v>
      </c>
      <c r="G47" s="229" t="str">
        <f t="shared" ca="1" si="0"/>
        <v>"2084211412" : "ghế xe buýt",</v>
      </c>
      <c r="H47" s="229" t="str">
        <f t="shared" si="1"/>
        <v>&lt;li class="col-md-3"&gt;&lt;a class="text-cut" href="javascript:;"(click)="categoryEvent(2084211412)"&gt;{{"2084211412" | translate}}&lt;/a&gt;&lt;/li&gt;</v>
      </c>
    </row>
    <row r="48" spans="1:8" ht="14.25" customHeight="1">
      <c r="A48" s="2">
        <v>2084008381</v>
      </c>
      <c r="B48" s="2" t="s">
        <v>710</v>
      </c>
      <c r="C48" s="2" t="s">
        <v>712</v>
      </c>
      <c r="D48" s="2" t="s">
        <v>714</v>
      </c>
      <c r="E48" s="3" t="str">
        <f ca="1">IFERROR(__xludf.DUMMYFUNCTION("GOOGLETRANSLATE(B48,""ja"",""vi"")"),"baby Shampoo")</f>
        <v>baby Shampoo</v>
      </c>
      <c r="F48" s="3" t="str">
        <f ca="1">IFERROR(__xludf.DUMMYFUNCTION("GOOGLETRANSLATE(C48,""ja"",""vi"")"),"Đấu giá&gt; Baby Sản phẩm&gt; xe buýt, có một nguồn cung cấp phòng tắm&gt; dầu gội baby")</f>
        <v>Đấu giá&gt; Baby Sản phẩm&gt; xe buýt, có một nguồn cung cấp phòng tắm&gt; dầu gội baby</v>
      </c>
      <c r="G48" s="229" t="str">
        <f t="shared" ca="1" si="0"/>
        <v>"2084008381" : "baby Shampoo",</v>
      </c>
      <c r="H48" s="229" t="str">
        <f t="shared" si="1"/>
        <v>&lt;li class="col-md-3"&gt;&lt;a class="text-cut" href="javascript:;"(click)="categoryEvent(2084008381)"&gt;{{"2084008381" | translate}}&lt;/a&gt;&lt;/li&gt;</v>
      </c>
    </row>
    <row r="49" spans="1:8" ht="14.25" customHeight="1">
      <c r="A49" s="2">
        <v>2084008382</v>
      </c>
      <c r="B49" s="2" t="s">
        <v>717</v>
      </c>
      <c r="C49" s="2" t="s">
        <v>719</v>
      </c>
      <c r="D49" s="2" t="s">
        <v>720</v>
      </c>
      <c r="E49" s="3" t="str">
        <f ca="1">IFERROR(__xludf.DUMMYFUNCTION("GOOGLETRANSLATE(B49,""ja"",""vi"")"),"Xà phòng bé")</f>
        <v>Xà phòng bé</v>
      </c>
      <c r="F49" s="3" t="str">
        <f ca="1">IFERROR(__xludf.DUMMYFUNCTION("GOOGLETRANSLATE(C49,""ja"",""vi"")"),"Đấu giá&gt; hàng bé&gt; xe buýt, vật tư tắm&gt; xà phòng bé")</f>
        <v>Đấu giá&gt; hàng bé&gt; xe buýt, vật tư tắm&gt; xà phòng bé</v>
      </c>
      <c r="G49" s="229" t="str">
        <f t="shared" ca="1" si="0"/>
        <v>"2084008382" : "Xà phòng bé",</v>
      </c>
      <c r="H49" s="229" t="str">
        <f t="shared" si="1"/>
        <v>&lt;li class="col-md-3"&gt;&lt;a class="text-cut" href="javascript:;"(click)="categoryEvent(2084008382)"&gt;{{"2084008382" | translate}}&lt;/a&gt;&lt;/li&gt;</v>
      </c>
    </row>
    <row r="50" spans="1:8" ht="14.25" customHeight="1">
      <c r="A50" s="2">
        <v>2084008380</v>
      </c>
      <c r="B50" s="2" t="s">
        <v>722</v>
      </c>
      <c r="C50" s="2" t="s">
        <v>724</v>
      </c>
      <c r="D50" s="2" t="s">
        <v>725</v>
      </c>
      <c r="E50" s="3" t="str">
        <f ca="1">IFERROR(__xludf.DUMMYFUNCTION("GOOGLETRANSLATE(B50,""ja"",""vi"")"),"tắm bé")</f>
        <v>tắm bé</v>
      </c>
      <c r="F50" s="3" t="str">
        <f ca="1">IFERROR(__xludf.DUMMYFUNCTION("GOOGLETRANSLATE(C50,""ja"",""vi"")"),"Đấu giá&gt; hàng bé&gt; xe buýt, vật tư tắm&gt; tắm bé")</f>
        <v>Đấu giá&gt; hàng bé&gt; xe buýt, vật tư tắm&gt; tắm bé</v>
      </c>
      <c r="G50" s="229" t="str">
        <f ca="1">CONCATENATE(CHAR(34)&amp;"",A50,""&amp;CHAR(34)," : ", CHAR(34)&amp;"",E50,""&amp;CHAR(34),",")</f>
        <v>"2084008380" : "tắm bé",</v>
      </c>
      <c r="H50" s="229" t="str">
        <f t="shared" si="1"/>
        <v>&lt;li class="col-md-3"&gt;&lt;a class="text-cut" href="javascript:;"(click)="categoryEvent(2084008380)"&gt;{{"2084008380" | translate}}&lt;/a&gt;&lt;/li&gt;</v>
      </c>
    </row>
    <row r="51" spans="1:8" ht="14.25" customHeight="1">
      <c r="A51" s="2">
        <v>2084008385</v>
      </c>
      <c r="B51" s="2" t="s">
        <v>729</v>
      </c>
      <c r="C51" s="2" t="s">
        <v>730</v>
      </c>
      <c r="D51" s="2" t="s">
        <v>732</v>
      </c>
      <c r="E51" s="3" t="str">
        <f ca="1">IFERROR(__xludf.DUMMYFUNCTION("GOOGLETRANSLATE(B51,""ja"",""vi"")"),"bột trẻ em")</f>
        <v>bột trẻ em</v>
      </c>
      <c r="F51" s="3" t="str">
        <f ca="1">IFERROR(__xludf.DUMMYFUNCTION("GOOGLETRANSLATE(C51,""ja"",""vi"")"),"Đấu giá&gt; hàng bé&gt; xe buýt, vật tư tắm&gt; bột bé")</f>
        <v>Đấu giá&gt; hàng bé&gt; xe buýt, vật tư tắm&gt; bột bé</v>
      </c>
      <c r="G51" s="229" t="str">
        <f t="shared" ref="G51:G112" ca="1" si="2">CONCATENATE(CHAR(34)&amp;"",A51,""&amp;CHAR(34)," : ", CHAR(34)&amp;"",E51,""&amp;CHAR(34),",")</f>
        <v>"2084008385" : "bột trẻ em",</v>
      </c>
      <c r="H51" s="229" t="str">
        <f t="shared" si="1"/>
        <v>&lt;li class="col-md-3"&gt;&lt;a class="text-cut" href="javascript:;"(click)="categoryEvent(2084008385)"&gt;{{"2084008385" | translate}}&lt;/a&gt;&lt;/li&gt;</v>
      </c>
    </row>
    <row r="52" spans="1:8" ht="14.25" customHeight="1">
      <c r="A52" s="2">
        <v>2084006326</v>
      </c>
      <c r="B52" s="2" t="s">
        <v>734</v>
      </c>
      <c r="C52" s="2" t="s">
        <v>736</v>
      </c>
      <c r="D52" s="2" t="s">
        <v>739</v>
      </c>
      <c r="E52" s="3" t="str">
        <f ca="1">IFERROR(__xludf.DUMMYFUNCTION("GOOGLETRANSLATE(B52,""ja"",""vi"")"),"Khăn cho bé")</f>
        <v>Khăn cho bé</v>
      </c>
      <c r="F52" s="3" t="str">
        <f ca="1">IFERROR(__xludf.DUMMYFUNCTION("GOOGLETRANSLATE(C52,""ja"",""vi"")"),"Đấu giá&gt; hàng bé&gt; xe buýt, vật tư tắm&gt; Khăn cho bé")</f>
        <v>Đấu giá&gt; hàng bé&gt; xe buýt, vật tư tắm&gt; Khăn cho bé</v>
      </c>
      <c r="G52" s="229" t="str">
        <f t="shared" ca="1" si="2"/>
        <v>"2084006326" : "Khăn cho bé",</v>
      </c>
      <c r="H52" s="229" t="str">
        <f t="shared" si="1"/>
        <v>&lt;li class="col-md-3"&gt;&lt;a class="text-cut" href="javascript:;"(click)="categoryEvent(2084006326)"&gt;{{"2084006326" | translate}}&lt;/a&gt;&lt;/li&gt;</v>
      </c>
    </row>
    <row r="53" spans="1:8" ht="14.25" customHeight="1">
      <c r="A53" s="2">
        <v>2084008383</v>
      </c>
      <c r="B53" s="2" t="s">
        <v>744</v>
      </c>
      <c r="C53" s="2" t="s">
        <v>745</v>
      </c>
      <c r="D53" s="2" t="s">
        <v>746</v>
      </c>
      <c r="E53" s="3" t="str">
        <f ca="1">IFERROR(__xludf.DUMMYFUNCTION("GOOGLETRANSLATE(B53,""ja"",""vi"")"),"đo nhiệt độ nước nóng")</f>
        <v>đo nhiệt độ nước nóng</v>
      </c>
      <c r="F53" s="3" t="str">
        <f ca="1">IFERROR(__xludf.DUMMYFUNCTION("GOOGLETRANSLATE(C53,""ja"",""vi"")"),"Đấu giá&gt; hàng bé&gt; xe buýt, vật tư tắm&gt; đo nhiệt độ nước nóng")</f>
        <v>Đấu giá&gt; hàng bé&gt; xe buýt, vật tư tắm&gt; đo nhiệt độ nước nóng</v>
      </c>
      <c r="G53" s="229" t="str">
        <f t="shared" ca="1" si="2"/>
        <v>"2084008383" : "đo nhiệt độ nước nóng",</v>
      </c>
      <c r="H53" s="229" t="str">
        <f t="shared" si="1"/>
        <v>&lt;li class="col-md-3"&gt;&lt;a class="text-cut" href="javascript:;"(click)="categoryEvent(2084008383)"&gt;{{"2084008383" | translate}}&lt;/a&gt;&lt;/li&gt;</v>
      </c>
    </row>
    <row r="54" spans="1:8" ht="14.25" customHeight="1">
      <c r="A54" s="2">
        <v>2084008386</v>
      </c>
      <c r="B54" s="2" t="s">
        <v>16</v>
      </c>
      <c r="C54" s="2" t="s">
        <v>753</v>
      </c>
      <c r="D54" s="2" t="s">
        <v>755</v>
      </c>
      <c r="E54" s="3" t="str">
        <f ca="1">IFERROR(__xludf.DUMMYFUNCTION("GOOGLETRANSLATE(B54,""ja"",""vi"")"),"nếu không thì")</f>
        <v>nếu không thì</v>
      </c>
      <c r="F54" s="3" t="str">
        <f ca="1">IFERROR(__xludf.DUMMYFUNCTION("GOOGLETRANSLATE(C54,""ja"",""vi"")"),"Đấu giá&gt; hàng bé&gt; xe buýt, tắm nguồn cung cấp&gt; Khác")</f>
        <v>Đấu giá&gt; hàng bé&gt; xe buýt, tắm nguồn cung cấp&gt; Khác</v>
      </c>
      <c r="G54" s="229" t="str">
        <f t="shared" ca="1" si="2"/>
        <v>"2084008386" : "nếu không thì",</v>
      </c>
      <c r="H54" s="229" t="str">
        <f t="shared" si="1"/>
        <v>&lt;li class="col-md-3"&gt;&lt;a class="text-cut" href="javascript:;"(click)="categoryEvent(2084008386)"&gt;{{"2084008386" | translate}}&lt;/a&gt;&lt;/li&gt;</v>
      </c>
    </row>
    <row r="55" spans="1:8" ht="14.25" customHeight="1">
      <c r="E55" s="3"/>
      <c r="F55" s="3"/>
      <c r="G55" s="229"/>
      <c r="H55" s="229"/>
    </row>
    <row r="56" spans="1:8" ht="14.25" customHeight="1">
      <c r="A56" s="241">
        <v>2084008393</v>
      </c>
      <c r="B56" s="232"/>
      <c r="C56" s="232"/>
      <c r="D56" s="233"/>
      <c r="E56" s="3"/>
      <c r="F56" s="3"/>
      <c r="G56" s="229"/>
      <c r="H56" s="229"/>
    </row>
    <row r="57" spans="1:8" ht="14.25" customHeight="1">
      <c r="A57" s="2">
        <v>2084008394</v>
      </c>
      <c r="B57" s="2" t="s">
        <v>759</v>
      </c>
      <c r="C57" s="2" t="s">
        <v>761</v>
      </c>
      <c r="D57" s="2" t="s">
        <v>763</v>
      </c>
      <c r="E57" s="3" t="str">
        <f ca="1">IFERROR(__xludf.DUMMYFUNCTION("GOOGLETRANSLATE(B57,""ja"",""vi"")"),"Ngực của ngăn kéo")</f>
        <v>Ngực của ngăn kéo</v>
      </c>
      <c r="F57" s="3" t="str">
        <f ca="1">IFERROR(__xludf.DUMMYFUNCTION("GOOGLETRANSLATE(C57,""ja"",""vi"")"),"Đấu giá&gt; Baby Sản phẩm&gt; Baby Đồ đạc&gt; ngực của ngăn kéo")</f>
        <v>Đấu giá&gt; Baby Sản phẩm&gt; Baby Đồ đạc&gt; ngực của ngăn kéo</v>
      </c>
      <c r="G57" s="229" t="str">
        <f t="shared" ca="1" si="2"/>
        <v>"2084008394" : "Ngực của ngăn kéo",</v>
      </c>
      <c r="H57" s="229" t="str">
        <f t="shared" si="1"/>
        <v>&lt;li class="col-md-3"&gt;&lt;a class="text-cut" href="javascript:;"(click)="categoryEvent(2084008394)"&gt;{{"2084008394" | translate}}&lt;/a&gt;&lt;/li&gt;</v>
      </c>
    </row>
    <row r="58" spans="1:8" ht="14.25" customHeight="1">
      <c r="A58" s="2">
        <v>2084008395</v>
      </c>
      <c r="B58" s="2" t="s">
        <v>766</v>
      </c>
      <c r="C58" s="2" t="s">
        <v>768</v>
      </c>
      <c r="D58" s="2" t="s">
        <v>771</v>
      </c>
      <c r="E58" s="3" t="str">
        <f ca="1">IFERROR(__xludf.DUMMYFUNCTION("GOOGLETRANSLATE(B58,""ja"",""vi"")"),"các ghế")</f>
        <v>các ghế</v>
      </c>
      <c r="F58" s="3" t="str">
        <f ca="1">IFERROR(__xludf.DUMMYFUNCTION("GOOGLETRANSLATE(C58,""ja"",""vi"")"),"Đấu giá&gt; Baby Sản phẩm&gt; đồ nội thất trẻ em&gt; ghế")</f>
        <v>Đấu giá&gt; Baby Sản phẩm&gt; đồ nội thất trẻ em&gt; ghế</v>
      </c>
      <c r="G58" s="229" t="str">
        <f t="shared" ca="1" si="2"/>
        <v>"2084008395" : "các ghế",</v>
      </c>
      <c r="H58" s="229" t="str">
        <f t="shared" si="1"/>
        <v>&lt;li class="col-md-3"&gt;&lt;a class="text-cut" href="javascript:;"(click)="categoryEvent(2084008395)"&gt;{{"2084008395" | translate}}&lt;/a&gt;&lt;/li&gt;</v>
      </c>
    </row>
    <row r="59" spans="1:8" ht="14.25" customHeight="1">
      <c r="A59" s="2">
        <v>24218</v>
      </c>
      <c r="B59" s="2" t="s">
        <v>780</v>
      </c>
      <c r="C59" s="2" t="s">
        <v>781</v>
      </c>
      <c r="D59" s="2" t="s">
        <v>782</v>
      </c>
      <c r="E59" s="3" t="str">
        <f ca="1">IFERROR(__xludf.DUMMYFUNCTION("GOOGLETRANSLATE(B59,""ja"",""vi"")"),"giường")</f>
        <v>giường</v>
      </c>
      <c r="F59" s="3" t="str">
        <f ca="1">IFERROR(__xludf.DUMMYFUNCTION("GOOGLETRANSLATE(C59,""ja"",""vi"")"),"Đấu giá&gt; Baby Sản phẩm&gt; Baby Đồ đạc&gt; Giường")</f>
        <v>Đấu giá&gt; Baby Sản phẩm&gt; Baby Đồ đạc&gt; Giường</v>
      </c>
      <c r="G59" s="229" t="str">
        <f t="shared" ca="1" si="2"/>
        <v>"24218" : "giường",</v>
      </c>
      <c r="H59" s="229" t="str">
        <f t="shared" si="1"/>
        <v>&lt;li class="col-md-3"&gt;&lt;a class="text-cut" href="javascript:;"(click)="categoryEvent(24218)"&gt;{{"24218" | translate}}&lt;/a&gt;&lt;/li&gt;</v>
      </c>
    </row>
    <row r="60" spans="1:8" ht="14.25" customHeight="1">
      <c r="A60" s="2">
        <v>2084214855</v>
      </c>
      <c r="B60" s="2" t="s">
        <v>789</v>
      </c>
      <c r="C60" s="2" t="s">
        <v>791</v>
      </c>
      <c r="D60" s="2" t="s">
        <v>793</v>
      </c>
      <c r="E60" s="3" t="str">
        <f ca="1">IFERROR(__xludf.DUMMYFUNCTION("GOOGLETRANSLATE(B60,""ja"",""vi"")"),"Bàn làm việc, bàn")</f>
        <v>Bàn làm việc, bàn</v>
      </c>
      <c r="F60" s="3" t="str">
        <f ca="1">IFERROR(__xludf.DUMMYFUNCTION("GOOGLETRANSLATE(C60,""ja"",""vi"")"),"Đấu giá&gt; Baby Sản phẩm&gt; đồ nội thất trẻ em&gt; bàn, bảng")</f>
        <v>Đấu giá&gt; Baby Sản phẩm&gt; đồ nội thất trẻ em&gt; bàn, bảng</v>
      </c>
      <c r="G60" s="229" t="str">
        <f t="shared" ca="1" si="2"/>
        <v>"2084214855" : "Bàn làm việc, bàn",</v>
      </c>
      <c r="H60" s="229" t="str">
        <f t="shared" si="1"/>
        <v>&lt;li class="col-md-3"&gt;&lt;a class="text-cut" href="javascript:;"(click)="categoryEvent(2084214855)"&gt;{{"2084214855" | translate}}&lt;/a&gt;&lt;/li&gt;</v>
      </c>
    </row>
    <row r="61" spans="1:8" ht="14.25" customHeight="1">
      <c r="A61" s="2">
        <v>2084008396</v>
      </c>
      <c r="B61" s="2" t="s">
        <v>16</v>
      </c>
      <c r="C61" s="2" t="s">
        <v>799</v>
      </c>
      <c r="D61" s="2" t="s">
        <v>800</v>
      </c>
      <c r="E61" s="3" t="str">
        <f ca="1">IFERROR(__xludf.DUMMYFUNCTION("GOOGLETRANSLATE(B61,""ja"",""vi"")"),"nếu không thì")</f>
        <v>nếu không thì</v>
      </c>
      <c r="F61" s="3" t="str">
        <f ca="1">IFERROR(__xludf.DUMMYFUNCTION("GOOGLETRANSLATE(C61,""ja"",""vi"")"),"Đấu giá&gt; Baby Sản phẩm&gt; Baby Đồ đạc&gt; Khác")</f>
        <v>Đấu giá&gt; Baby Sản phẩm&gt; Baby Đồ đạc&gt; Khác</v>
      </c>
      <c r="G61" s="229" t="str">
        <f t="shared" ca="1" si="2"/>
        <v>"2084008396" : "nếu không thì",</v>
      </c>
      <c r="H61" s="229" t="str">
        <f t="shared" si="1"/>
        <v>&lt;li class="col-md-3"&gt;&lt;a class="text-cut" href="javascript:;"(click)="categoryEvent(2084008396)"&gt;{{"2084008396" | translate}}&lt;/a&gt;&lt;/li&gt;</v>
      </c>
    </row>
    <row r="62" spans="1:8" ht="14.25" customHeight="1">
      <c r="E62" s="3"/>
      <c r="F62" s="3"/>
      <c r="G62" s="229"/>
      <c r="H62" s="229"/>
    </row>
    <row r="63" spans="1:8" ht="14.25" customHeight="1">
      <c r="A63" s="242">
        <v>24210</v>
      </c>
      <c r="B63" s="232"/>
      <c r="C63" s="232"/>
      <c r="D63" s="233"/>
      <c r="E63" s="3"/>
      <c r="F63" s="3"/>
      <c r="G63" s="229"/>
      <c r="H63" s="229"/>
    </row>
    <row r="64" spans="1:8" ht="14.25" customHeight="1">
      <c r="A64" s="2">
        <v>2084313345</v>
      </c>
      <c r="B64" s="2" t="s">
        <v>808</v>
      </c>
      <c r="C64" s="2" t="s">
        <v>809</v>
      </c>
      <c r="D64" s="2" t="s">
        <v>810</v>
      </c>
      <c r="E64" s="3" t="str">
        <f ca="1">IFERROR(__xludf.DUMMYFUNCTION("GOOGLETRANSLATE(B64,""ja"",""vi"")"),"Thiết lập, Lots Bán buôn")</f>
        <v>Thiết lập, Lots Bán buôn</v>
      </c>
      <c r="F64" s="3" t="str">
        <f ca="1">IFERROR(__xludf.DUMMYFUNCTION("GOOGLETRANSLATE(C64,""ja"",""vi"")"),"Đấu giá&gt; Thời trang&gt; Kids, Baby thời trang&gt; quần áo trẻ em&gt; bộ, Lots Bán buôn")</f>
        <v>Đấu giá&gt; Thời trang&gt; Kids, Baby thời trang&gt; quần áo trẻ em&gt; bộ, Lots Bán buôn</v>
      </c>
      <c r="G64" s="229" t="str">
        <f t="shared" ca="1" si="2"/>
        <v>"2084313345" : "Thiết lập, Lots Bán buôn",</v>
      </c>
      <c r="H64" s="229" t="str">
        <f t="shared" si="1"/>
        <v>&lt;li class="col-md-3"&gt;&lt;a class="text-cut" href="javascript:;"(click)="categoryEvent(2084313345)"&gt;{{"2084313345" | translate}}&lt;/a&gt;&lt;/li&gt;</v>
      </c>
    </row>
    <row r="65" spans="1:8" ht="14.25" customHeight="1">
      <c r="A65" s="2">
        <v>2084023868</v>
      </c>
      <c r="B65" s="2" t="s">
        <v>550</v>
      </c>
      <c r="C65" s="2" t="s">
        <v>817</v>
      </c>
      <c r="D65" s="2" t="s">
        <v>818</v>
      </c>
      <c r="E65" s="3" t="str">
        <f ca="1">IFERROR(__xludf.DUMMYFUNCTION("GOOGLETRANSLATE(B65,""ja"",""vi"")"),"bìa tã")</f>
        <v>bìa tã</v>
      </c>
      <c r="F65" s="3" t="str">
        <f ca="1">IFERROR(__xludf.DUMMYFUNCTION("GOOGLETRANSLATE(C65,""ja"",""vi"")"),"Đấu giá&gt; Thời trang&gt; Kids, Baby thời trang&gt; quần áo trẻ em&gt; bìa tã")</f>
        <v>Đấu giá&gt; Thời trang&gt; Kids, Baby thời trang&gt; quần áo trẻ em&gt; bìa tã</v>
      </c>
      <c r="G65" s="229" t="str">
        <f t="shared" ca="1" si="2"/>
        <v>"2084023868" : "bìa tã",</v>
      </c>
      <c r="H65" s="229" t="str">
        <f t="shared" si="1"/>
        <v>&lt;li class="col-md-3"&gt;&lt;a class="text-cut" href="javascript:;"(click)="categoryEvent(2084023868)"&gt;{{"2084023868" | translate}}&lt;/a&gt;&lt;/li&gt;</v>
      </c>
    </row>
    <row r="66" spans="1:8" ht="14.25" customHeight="1">
      <c r="A66" s="2">
        <v>2084023849</v>
      </c>
      <c r="B66" s="2" t="s">
        <v>824</v>
      </c>
      <c r="C66" s="2" t="s">
        <v>825</v>
      </c>
      <c r="D66" s="2" t="s">
        <v>826</v>
      </c>
      <c r="E66" s="3" t="str">
        <f ca="1">IFERROR(__xludf.DUMMYFUNCTION("GOOGLETRANSLATE(B66,""ja"",""vi"")"),"Afghanistan")</f>
        <v>Afghanistan</v>
      </c>
      <c r="F66" s="3" t="str">
        <f ca="1">IFERROR(__xludf.DUMMYFUNCTION("GOOGLETRANSLATE(C66,""ja"",""vi"")"),"Đấu giá&gt; Thời trang&gt; Kids, Baby thời trang&gt; quần áo trẻ em&gt; Afghanistan")</f>
        <v>Đấu giá&gt; Thời trang&gt; Kids, Baby thời trang&gt; quần áo trẻ em&gt; Afghanistan</v>
      </c>
      <c r="G66" s="229" t="str">
        <f t="shared" ca="1" si="2"/>
        <v>"2084023849" : "Afghanistan",</v>
      </c>
      <c r="H66" s="229" t="str">
        <f t="shared" si="1"/>
        <v>&lt;li class="col-md-3"&gt;&lt;a class="text-cut" href="javascript:;"(click)="categoryEvent(2084023849)"&gt;{{"2084023849" | translate}}&lt;/a&gt;&lt;/li&gt;</v>
      </c>
    </row>
    <row r="67" spans="1:8" ht="14.25" customHeight="1">
      <c r="A67" s="2">
        <v>2084007276</v>
      </c>
      <c r="B67" s="2" t="s">
        <v>832</v>
      </c>
      <c r="C67" s="2" t="s">
        <v>833</v>
      </c>
      <c r="D67" s="2" t="s">
        <v>835</v>
      </c>
      <c r="E67" s="3" t="str">
        <f ca="1">IFERROR(__xludf.DUMMYFUNCTION("GOOGLETRANSLATE(B67,""ja"",""vi"")"),"Mang nội")</f>
        <v>Mang nội</v>
      </c>
      <c r="F67" s="3" t="str">
        <f ca="1">IFERROR(__xludf.DUMMYFUNCTION("GOOGLETRANSLATE(C67,""ja"",""vi"")"),"Đấu giá&gt; Thời trang&gt; Kids, Baby thời trang&gt; quần áo trẻ em&gt; mặc bên trong")</f>
        <v>Đấu giá&gt; Thời trang&gt; Kids, Baby thời trang&gt; quần áo trẻ em&gt; mặc bên trong</v>
      </c>
      <c r="G67" s="229" t="str">
        <f t="shared" ca="1" si="2"/>
        <v>"2084007276" : "Mang nội",</v>
      </c>
      <c r="H67" s="229" t="str">
        <f t="shared" ref="H67:H125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href="javascript:;"(click)="categoryEvent(2084007276)"&gt;{{"2084007276" | translate}}&lt;/a&gt;&lt;/li&gt;</v>
      </c>
    </row>
    <row r="68" spans="1:8" ht="14.25" customHeight="1">
      <c r="A68" s="2">
        <v>2084007272</v>
      </c>
      <c r="B68" s="2" t="s">
        <v>839</v>
      </c>
      <c r="C68" s="2" t="s">
        <v>842</v>
      </c>
      <c r="D68" s="2" t="s">
        <v>844</v>
      </c>
      <c r="E68" s="3" t="str">
        <f ca="1">IFERROR(__xludf.DUMMYFUNCTION("GOOGLETRANSLATE(B68,""ja"",""vi"")"),"Yếm, tie")</f>
        <v>Yếm, tie</v>
      </c>
      <c r="F68" s="3" t="str">
        <f ca="1">IFERROR(__xludf.DUMMYFUNCTION("GOOGLETRANSLATE(C68,""ja"",""vi"")"),"Đấu giá&gt; Thời trang&gt; Kids, Baby thời trang&gt; quần áo trẻ em&gt; yếm, tie")</f>
        <v>Đấu giá&gt; Thời trang&gt; Kids, Baby thời trang&gt; quần áo trẻ em&gt; yếm, tie</v>
      </c>
      <c r="G68" s="229" t="str">
        <f t="shared" ca="1" si="2"/>
        <v>"2084007272" : "Yếm, tie",</v>
      </c>
      <c r="H68" s="229" t="str">
        <f t="shared" si="3"/>
        <v>&lt;li class="col-md-3"&gt;&lt;a class="text-cut" href="javascript:;"(click)="categoryEvent(2084007272)"&gt;{{"2084007272" | translate}}&lt;/a&gt;&lt;/li&gt;</v>
      </c>
    </row>
    <row r="69" spans="1:8" ht="14.25" customHeight="1">
      <c r="A69" s="2">
        <v>2084007275</v>
      </c>
      <c r="B69" s="2" t="s">
        <v>845</v>
      </c>
      <c r="C69" s="2" t="s">
        <v>846</v>
      </c>
      <c r="D69" s="2" t="s">
        <v>848</v>
      </c>
      <c r="E69" s="3" t="str">
        <f ca="1">IFERROR(__xludf.DUMMYFUNCTION("GOOGLETRANSLATE(B69,""ja"",""vi"")"),"Áo khoác, nhảy")</f>
        <v>Áo khoác, nhảy</v>
      </c>
      <c r="F69" s="3" t="str">
        <f ca="1">IFERROR(__xludf.DUMMYFUNCTION("GOOGLETRANSLATE(C69,""ja"",""vi"")"),"Đấu giá&gt; Thời trang&gt; Kids, Baby thời trang&gt; quần áo trẻ em&gt; áo, nhảy")</f>
        <v>Đấu giá&gt; Thời trang&gt; Kids, Baby thời trang&gt; quần áo trẻ em&gt; áo, nhảy</v>
      </c>
      <c r="G69" s="229" t="str">
        <f t="shared" ca="1" si="2"/>
        <v>"2084007275" : "Áo khoác, nhảy",</v>
      </c>
      <c r="H69" s="229" t="str">
        <f t="shared" si="3"/>
        <v>&lt;li class="col-md-3"&gt;&lt;a class="text-cut" href="javascript:;"(click)="categoryEvent(2084007275)"&gt;{{"2084007275" | translate}}&lt;/a&gt;&lt;/li&gt;</v>
      </c>
    </row>
    <row r="70" spans="1:8" ht="14.25" customHeight="1">
      <c r="A70" s="2">
        <v>2084007274</v>
      </c>
      <c r="B70" s="2" t="s">
        <v>853</v>
      </c>
      <c r="C70" s="2" t="s">
        <v>854</v>
      </c>
      <c r="D70" s="2" t="s">
        <v>855</v>
      </c>
      <c r="E70" s="3" t="str">
        <f ca="1">IFERROR(__xludf.DUMMYFUNCTION("GOOGLETRANSLATE(B70,""ja"",""vi"")"),"Suit, thiết lập")</f>
        <v>Suit, thiết lập</v>
      </c>
      <c r="F70" s="3" t="str">
        <f ca="1">IFERROR(__xludf.DUMMYFUNCTION("GOOGLETRANSLATE(C70,""ja"",""vi"")"),"Đấu giá&gt; Thời trang&gt; Kids, Baby thời trang&gt; quần áo trẻ em&gt; phù hợp, cài đặt")</f>
        <v>Đấu giá&gt; Thời trang&gt; Kids, Baby thời trang&gt; quần áo trẻ em&gt; phù hợp, cài đặt</v>
      </c>
      <c r="G70" s="229" t="str">
        <f t="shared" ca="1" si="2"/>
        <v>"2084007274" : "Suit, thiết lập",</v>
      </c>
      <c r="H70" s="229" t="str">
        <f t="shared" si="3"/>
        <v>&lt;li class="col-md-3"&gt;&lt;a class="text-cut" href="javascript:;"(click)="categoryEvent(2084007274)"&gt;{{"2084007274" | translate}}&lt;/a&gt;&lt;/li&gt;</v>
      </c>
    </row>
    <row r="71" spans="1:8" ht="14.25" customHeight="1">
      <c r="A71" s="2">
        <v>2084007259</v>
      </c>
      <c r="B71" s="2" t="s">
        <v>858</v>
      </c>
      <c r="C71" s="2" t="s">
        <v>859</v>
      </c>
      <c r="D71" s="2" t="s">
        <v>860</v>
      </c>
      <c r="E71" s="3" t="str">
        <f ca="1">IFERROR(__xludf.DUMMYFUNCTION("GOOGLETRANSLATE(B71,""ja"",""vi"")"),"tops")</f>
        <v>tops</v>
      </c>
      <c r="F71" s="3" t="str">
        <f ca="1">IFERROR(__xludf.DUMMYFUNCTION("GOOGLETRANSLATE(C71,""ja"",""vi"")"),"Đấu giá&gt; Thời trang&gt; Kids, Baby Thời trang&gt; Quần áo&gt; Tops")</f>
        <v>Đấu giá&gt; Thời trang&gt; Kids, Baby Thời trang&gt; Quần áo&gt; Tops</v>
      </c>
      <c r="G71" s="229" t="str">
        <f t="shared" ca="1" si="2"/>
        <v>"2084007259" : "tops",</v>
      </c>
      <c r="H71" s="229" t="str">
        <f t="shared" si="3"/>
        <v>&lt;li class="col-md-3"&gt;&lt;a class="text-cut" href="javascript:;"(click)="categoryEvent(2084007259)"&gt;{{"2084007259" | translate}}&lt;/a&gt;&lt;/li&gt;</v>
      </c>
    </row>
    <row r="72" spans="1:8" ht="14.25" customHeight="1">
      <c r="A72" s="2">
        <v>2084052820</v>
      </c>
      <c r="B72" s="2" t="s">
        <v>861</v>
      </c>
      <c r="C72" s="2" t="s">
        <v>862</v>
      </c>
      <c r="D72" s="2" t="s">
        <v>863</v>
      </c>
      <c r="E72" s="3" t="str">
        <f ca="1">IFERROR(__xludf.DUMMYFUNCTION("GOOGLETRANSLATE(B72,""ja"",""vi"")"),"qụa khoan")</f>
        <v>qụa khoan</v>
      </c>
      <c r="F72" s="3" t="str">
        <f ca="1">IFERROR(__xludf.DUMMYFUNCTION("GOOGLETRANSLATE(C72,""ja"",""vi"")"),"Đấu giá xe&gt; Thời trang&gt; Kids, Baby trang&gt; quần áo trẻ em&gt; parka")</f>
        <v>Đấu giá xe&gt; Thời trang&gt; Kids, Baby trang&gt; quần áo trẻ em&gt; parka</v>
      </c>
      <c r="G72" s="229" t="str">
        <f t="shared" ca="1" si="2"/>
        <v>"2084052820" : "qụa khoan",</v>
      </c>
      <c r="H72" s="229" t="str">
        <f t="shared" si="3"/>
        <v>&lt;li class="col-md-3"&gt;&lt;a class="text-cut" href="javascript:;"(click)="categoryEvent(2084052820)"&gt;{{"2084052820" | translate}}&lt;/a&gt;&lt;/li&gt;</v>
      </c>
    </row>
    <row r="73" spans="1:8" ht="14.25" customHeight="1">
      <c r="A73" s="2">
        <v>2084007277</v>
      </c>
      <c r="B73" s="2" t="s">
        <v>867</v>
      </c>
      <c r="C73" s="2" t="s">
        <v>868</v>
      </c>
      <c r="D73" s="2" t="s">
        <v>869</v>
      </c>
      <c r="E73" s="3" t="str">
        <f ca="1">IFERROR(__xludf.DUMMYFUNCTION("GOOGLETRANSLATE(B73,""ja"",""vi"")"),"áo ngủ")</f>
        <v>áo ngủ</v>
      </c>
      <c r="F73" s="3" t="str">
        <f ca="1">IFERROR(__xludf.DUMMYFUNCTION("GOOGLETRANSLATE(C73,""ja"",""vi"")"),"Đấu giá&gt; Thời trang&gt; Kids, Baby thời trang&gt; quần áo trẻ em&gt; đồ ngủ")</f>
        <v>Đấu giá&gt; Thời trang&gt; Kids, Baby thời trang&gt; quần áo trẻ em&gt; đồ ngủ</v>
      </c>
      <c r="G73" s="229" t="str">
        <f t="shared" ca="1" si="2"/>
        <v>"2084007277" : "áo ngủ",</v>
      </c>
      <c r="H73" s="229" t="str">
        <f t="shared" si="3"/>
        <v>&lt;li class="col-md-3"&gt;&lt;a class="text-cut" href="javascript:;"(click)="categoryEvent(2084007277)"&gt;{{"2084007277" | translate}}&lt;/a&gt;&lt;/li&gt;</v>
      </c>
    </row>
    <row r="74" spans="1:8" ht="14.25" customHeight="1">
      <c r="A74" s="2">
        <v>2084007317</v>
      </c>
      <c r="B74" s="2" t="s">
        <v>874</v>
      </c>
      <c r="C74" s="2" t="s">
        <v>876</v>
      </c>
      <c r="D74" s="2" t="s">
        <v>877</v>
      </c>
      <c r="E74" s="3" t="str">
        <f ca="1">IFERROR(__xludf.DUMMYFUNCTION("GOOGLETRANSLATE(B74,""ja"",""vi"")"),"Formal")</f>
        <v>Formal</v>
      </c>
      <c r="F74" s="3" t="str">
        <f ca="1">IFERROR(__xludf.DUMMYFUNCTION("GOOGLETRANSLATE(C74,""ja"",""vi"")"),"Đấu giá&gt; Thời trang&gt; Kids, Baby thời trang&gt; quần áo trẻ em&gt; chính thức")</f>
        <v>Đấu giá&gt; Thời trang&gt; Kids, Baby thời trang&gt; quần áo trẻ em&gt; chính thức</v>
      </c>
      <c r="G74" s="229" t="str">
        <f t="shared" ca="1" si="2"/>
        <v>"2084007317" : "Formal",</v>
      </c>
      <c r="H74" s="229" t="str">
        <f t="shared" si="3"/>
        <v>&lt;li class="col-md-3"&gt;&lt;a class="text-cut" href="javascript:;"(click)="categoryEvent(2084007317)"&gt;{{"2084007317" | translate}}&lt;/a&gt;&lt;/li&gt;</v>
      </c>
    </row>
    <row r="75" spans="1:8" ht="14.25" customHeight="1">
      <c r="A75" s="2">
        <v>2084007265</v>
      </c>
      <c r="B75" s="2" t="s">
        <v>881</v>
      </c>
      <c r="C75" s="2" t="s">
        <v>882</v>
      </c>
      <c r="D75" s="2" t="s">
        <v>883</v>
      </c>
      <c r="E75" s="3" t="str">
        <f ca="1">IFERROR(__xludf.DUMMYFUNCTION("GOOGLETRANSLATE(B75,""ja"",""vi"")"),"đáy")</f>
        <v>đáy</v>
      </c>
      <c r="F75" s="3" t="str">
        <f ca="1">IFERROR(__xludf.DUMMYFUNCTION("GOOGLETRANSLATE(C75,""ja"",""vi"")"),"Đấu giá&gt; Thời trang&gt; Kids, Baby thời trang&gt; quần áo trẻ em&gt; Bottoms")</f>
        <v>Đấu giá&gt; Thời trang&gt; Kids, Baby thời trang&gt; quần áo trẻ em&gt; Bottoms</v>
      </c>
      <c r="G75" s="229" t="str">
        <f t="shared" ca="1" si="2"/>
        <v>"2084007265" : "đáy",</v>
      </c>
      <c r="H75" s="229" t="str">
        <f t="shared" si="3"/>
        <v>&lt;li class="col-md-3"&gt;&lt;a class="text-cut" href="javascript:;"(click)="categoryEvent(2084007265)"&gt;{{"2084007265" | translate}}&lt;/a&gt;&lt;/li&gt;</v>
      </c>
    </row>
    <row r="76" spans="1:8" ht="14.25" customHeight="1">
      <c r="A76" s="2">
        <v>2084007271</v>
      </c>
      <c r="B76" s="2" t="s">
        <v>886</v>
      </c>
      <c r="C76" s="2" t="s">
        <v>887</v>
      </c>
      <c r="D76" s="2" t="s">
        <v>889</v>
      </c>
      <c r="E76" s="3" t="str">
        <f ca="1">IFERROR(__xludf.DUMMYFUNCTION("GOOGLETRANSLATE(B76,""ja"",""vi"")"),"One piece")</f>
        <v>One piece</v>
      </c>
      <c r="F76" s="3" t="str">
        <f ca="1">IFERROR(__xludf.DUMMYFUNCTION("GOOGLETRANSLATE(C76,""ja"",""vi"")"),"Đấu giá&gt; Thời trang&gt; Kids, Baby Thời trang&gt; Baby Quần áo&gt; One Piece")</f>
        <v>Đấu giá&gt; Thời trang&gt; Kids, Baby Thời trang&gt; Baby Quần áo&gt; One Piece</v>
      </c>
      <c r="G76" s="229" t="str">
        <f t="shared" ca="1" si="2"/>
        <v>"2084007271" : "One piece",</v>
      </c>
      <c r="H76" s="229" t="str">
        <f t="shared" si="3"/>
        <v>&lt;li class="col-md-3"&gt;&lt;a class="text-cut" href="javascript:;"(click)="categoryEvent(2084007271)"&gt;{{"2084007271" | translate}}&lt;/a&gt;&lt;/li&gt;</v>
      </c>
    </row>
    <row r="77" spans="1:8" ht="14.25" customHeight="1">
      <c r="A77" s="2">
        <v>2084051666</v>
      </c>
      <c r="B77" s="2" t="s">
        <v>892</v>
      </c>
      <c r="C77" s="2" t="s">
        <v>893</v>
      </c>
      <c r="D77" s="2" t="s">
        <v>894</v>
      </c>
      <c r="E77" s="3" t="str">
        <f ca="1">IFERROR(__xludf.DUMMYFUNCTION("GOOGLETRANSLATE(B77,""ja"",""vi"")"),"Jinbei")</f>
        <v>Jinbei</v>
      </c>
      <c r="F77" s="3" t="str">
        <f ca="1">IFERROR(__xludf.DUMMYFUNCTION("GOOGLETRANSLATE(C77,""ja"",""vi"")"),"Đấu giá&gt; Thời trang&gt; Kids, Baby thời trang&gt; quần áo trẻ em&gt; Jinbei")</f>
        <v>Đấu giá&gt; Thời trang&gt; Kids, Baby thời trang&gt; quần áo trẻ em&gt; Jinbei</v>
      </c>
      <c r="G77" s="229" t="str">
        <f t="shared" ca="1" si="2"/>
        <v>"2084051666" : "Jinbei",</v>
      </c>
      <c r="H77" s="229" t="str">
        <f t="shared" si="3"/>
        <v>&lt;li class="col-md-3"&gt;&lt;a class="text-cut" href="javascript:;"(click)="categoryEvent(2084051666)"&gt;{{"2084051666" | translate}}&lt;/a&gt;&lt;/li&gt;</v>
      </c>
    </row>
    <row r="78" spans="1:8" ht="14.25" customHeight="1">
      <c r="A78" s="2">
        <v>2084051665</v>
      </c>
      <c r="B78" s="2" t="s">
        <v>898</v>
      </c>
      <c r="C78" s="2" t="s">
        <v>899</v>
      </c>
      <c r="D78" s="2" t="s">
        <v>901</v>
      </c>
      <c r="E78" s="3" t="str">
        <f ca="1">IFERROR(__xludf.DUMMYFUNCTION("GOOGLETRANSLATE(B78,""ja"",""vi"")"),"yukata")</f>
        <v>yukata</v>
      </c>
      <c r="F78" s="3" t="str">
        <f ca="1">IFERROR(__xludf.DUMMYFUNCTION("GOOGLETRANSLATE(C78,""ja"",""vi"")"),"Đấu giá&gt; Thời trang&gt; Kids, Baby thời trang&gt; quần áo trẻ em&gt; yukata")</f>
        <v>Đấu giá&gt; Thời trang&gt; Kids, Baby thời trang&gt; quần áo trẻ em&gt; yukata</v>
      </c>
      <c r="G78" s="229" t="str">
        <f t="shared" ca="1" si="2"/>
        <v>"2084051665" : "yukata",</v>
      </c>
      <c r="H78" s="229" t="str">
        <f t="shared" si="3"/>
        <v>&lt;li class="col-md-3"&gt;&lt;a class="text-cut" href="javascript:;"(click)="categoryEvent(2084051665)"&gt;{{"2084051665" | translate}}&lt;/a&gt;&lt;/li&gt;</v>
      </c>
    </row>
    <row r="79" spans="1:8" ht="14.25" customHeight="1">
      <c r="A79" s="2">
        <v>2084005310</v>
      </c>
      <c r="B79" s="2" t="s">
        <v>906</v>
      </c>
      <c r="C79" s="2" t="s">
        <v>908</v>
      </c>
      <c r="D79" s="2" t="s">
        <v>911</v>
      </c>
      <c r="E79" s="3" t="str">
        <f ca="1">IFERROR(__xludf.DUMMYFUNCTION("GOOGLETRANSLATE(B79,""ja"",""vi"")"),"giày bé")</f>
        <v>giày bé</v>
      </c>
      <c r="F79" s="3" t="str">
        <f ca="1">IFERROR(__xludf.DUMMYFUNCTION("GOOGLETRANSLATE(C79,""ja"",""vi"")"),"Đấu giá&gt; Thời trang&gt; Kids, Baby Thời trang&gt; Baby Quần áo&gt; giày bé")</f>
        <v>Đấu giá&gt; Thời trang&gt; Kids, Baby Thời trang&gt; Baby Quần áo&gt; giày bé</v>
      </c>
      <c r="G79" s="229" t="str">
        <f t="shared" ca="1" si="2"/>
        <v>"2084005310" : "giày bé",</v>
      </c>
      <c r="H79" s="229" t="str">
        <f t="shared" si="3"/>
        <v>&lt;li class="col-md-3"&gt;&lt;a class="text-cut" href="javascript:;"(click)="categoryEvent(2084005310)"&gt;{{"2084005310" | translate}}&lt;/a&gt;&lt;/li&gt;</v>
      </c>
    </row>
    <row r="80" spans="1:8" ht="14.25" customHeight="1">
      <c r="A80" s="2">
        <v>2084051832</v>
      </c>
      <c r="B80" s="2" t="s">
        <v>548</v>
      </c>
      <c r="C80" s="2" t="s">
        <v>915</v>
      </c>
      <c r="D80" s="2" t="s">
        <v>917</v>
      </c>
      <c r="E80" s="3" t="str">
        <f ca="1">IFERROR(__xludf.DUMMYFUNCTION("GOOGLETRANSLATE(B80,""ja"",""vi"")"),"áo bơi liền mảnh")</f>
        <v>áo bơi liền mảnh</v>
      </c>
      <c r="F80" s="3" t="str">
        <f ca="1">IFERROR(__xludf.DUMMYFUNCTION("GOOGLETRANSLATE(C80,""ja"",""vi"")"),"Đấu giá&gt; Thời trang&gt; Kids, Baby thời trang&gt; quần áo trẻ em&gt; áo tắm")</f>
        <v>Đấu giá&gt; Thời trang&gt; Kids, Baby thời trang&gt; quần áo trẻ em&gt; áo tắm</v>
      </c>
      <c r="G80" s="229" t="str">
        <f t="shared" ca="1" si="2"/>
        <v>"2084051832" : "áo bơi liền mảnh",</v>
      </c>
      <c r="H80" s="229" t="str">
        <f t="shared" si="3"/>
        <v>&lt;li class="col-md-3"&gt;&lt;a class="text-cut" href="javascript:;"(click)="categoryEvent(2084051832)"&gt;{{"2084051832" | translate}}&lt;/a&gt;&lt;/li&gt;</v>
      </c>
    </row>
    <row r="81" spans="1:8" ht="14.25" customHeight="1">
      <c r="A81" s="2">
        <v>2084240602</v>
      </c>
      <c r="B81" s="2" t="s">
        <v>523</v>
      </c>
      <c r="C81" s="2" t="s">
        <v>919</v>
      </c>
      <c r="D81" s="2" t="s">
        <v>920</v>
      </c>
      <c r="E81" s="3" t="str">
        <f ca="1">IFERROR(__xludf.DUMMYFUNCTION("GOOGLETRANSLATE(B81,""ja"",""vi"")"),"làm bằng tay")</f>
        <v>làm bằng tay</v>
      </c>
      <c r="F81" s="3" t="str">
        <f ca="1">IFERROR(__xludf.DUMMYFUNCTION("GOOGLETRANSLATE(C81,""ja"",""vi"")"),"Đấu giá&gt; Thời trang&gt; Kids, Baby thời trang&gt; quần áo trẻ em&gt; handmade")</f>
        <v>Đấu giá&gt; Thời trang&gt; Kids, Baby thời trang&gt; quần áo trẻ em&gt; handmade</v>
      </c>
      <c r="G81" s="229" t="str">
        <f t="shared" ca="1" si="2"/>
        <v>"2084240602" : "làm bằng tay",</v>
      </c>
      <c r="H81" s="229" t="str">
        <f t="shared" si="3"/>
        <v>&lt;li class="col-md-3"&gt;&lt;a class="text-cut" href="javascript:;"(click)="categoryEvent(2084240602)"&gt;{{"2084240602" | translate}}&lt;/a&gt;&lt;/li&gt;</v>
      </c>
    </row>
    <row r="82" spans="1:8" ht="14.25" customHeight="1">
      <c r="A82" s="2">
        <v>24202</v>
      </c>
      <c r="B82" s="2" t="s">
        <v>347</v>
      </c>
      <c r="C82" s="2" t="s">
        <v>924</v>
      </c>
      <c r="D82" s="2" t="s">
        <v>925</v>
      </c>
      <c r="E82" s="3" t="str">
        <f ca="1">IFERROR(__xludf.DUMMYFUNCTION("GOOGLETRANSLATE(B82,""ja"",""vi"")"),"nguồn cung cấp con")</f>
        <v>nguồn cung cấp con</v>
      </c>
      <c r="F82" s="3" t="str">
        <f ca="1">IFERROR(__xludf.DUMMYFUNCTION("GOOGLETRANSLATE(C82,""ja"",""vi"")"),"Đấu giá&gt; Thời trang&gt; Kids, Baby Thời trang&gt; Quần áo Baby&gt; Sản phẩm Baby")</f>
        <v>Đấu giá&gt; Thời trang&gt; Kids, Baby Thời trang&gt; Quần áo Baby&gt; Sản phẩm Baby</v>
      </c>
      <c r="G82" s="229" t="str">
        <f t="shared" ca="1" si="2"/>
        <v>"24202" : "nguồn cung cấp con",</v>
      </c>
      <c r="H82" s="229" t="str">
        <f t="shared" si="3"/>
        <v>&lt;li class="col-md-3"&gt;&lt;a class="text-cut" href="javascript:;"(click)="categoryEvent(24202)"&gt;{{"24202" | translate}}&lt;/a&gt;&lt;/li&gt;</v>
      </c>
    </row>
    <row r="83" spans="1:8" ht="14.25" customHeight="1">
      <c r="A83" s="2">
        <v>2084006309</v>
      </c>
      <c r="B83" s="2" t="s">
        <v>929</v>
      </c>
      <c r="C83" s="2" t="s">
        <v>930</v>
      </c>
      <c r="D83" s="2" t="s">
        <v>931</v>
      </c>
      <c r="E83" s="3" t="str">
        <f ca="1">IFERROR(__xludf.DUMMYFUNCTION("GOOGLETRANSLATE(B83,""ja"",""vi"")"),"Áo đầm bầu")</f>
        <v>Áo đầm bầu</v>
      </c>
      <c r="F83" s="3" t="str">
        <f ca="1">IFERROR(__xludf.DUMMYFUNCTION("GOOGLETRANSLATE(C83,""ja"",""vi"")"),"Đấu giá&gt; Thời trang&gt; Kids, Baby Thời trang&gt; Baby Quần áo&gt; Áo đầm bầu")</f>
        <v>Đấu giá&gt; Thời trang&gt; Kids, Baby Thời trang&gt; Baby Quần áo&gt; Áo đầm bầu</v>
      </c>
      <c r="G83" s="229" t="str">
        <f t="shared" ca="1" si="2"/>
        <v>"2084006309" : "Áo đầm bầu",</v>
      </c>
      <c r="H83" s="229" t="str">
        <f t="shared" si="3"/>
        <v>&lt;li class="col-md-3"&gt;&lt;a class="text-cut" href="javascript:;"(click)="categoryEvent(2084006309)"&gt;{{"2084006309" | translate}}&lt;/a&gt;&lt;/li&gt;</v>
      </c>
    </row>
    <row r="84" spans="1:8" ht="14.25" customHeight="1">
      <c r="A84" s="2">
        <v>2084005312</v>
      </c>
      <c r="B84" s="2" t="s">
        <v>16</v>
      </c>
      <c r="C84" s="2" t="s">
        <v>937</v>
      </c>
      <c r="D84" s="2" t="s">
        <v>939</v>
      </c>
      <c r="E84" s="3" t="str">
        <f ca="1">IFERROR(__xludf.DUMMYFUNCTION("GOOGLETRANSLATE(B84,""ja"",""vi"")"),"nếu không thì")</f>
        <v>nếu không thì</v>
      </c>
      <c r="F84" s="3" t="str">
        <f ca="1">IFERROR(__xludf.DUMMYFUNCTION("GOOGLETRANSLATE(C84,""ja"",""vi"")"),"Đấu giá&gt; Thời trang&gt; Kids, Baby Thời trang&gt; Quần áo&gt; Khác")</f>
        <v>Đấu giá&gt; Thời trang&gt; Kids, Baby Thời trang&gt; Quần áo&gt; Khác</v>
      </c>
      <c r="G84" s="229" t="str">
        <f t="shared" ca="1" si="2"/>
        <v>"2084005312" : "nếu không thì",</v>
      </c>
      <c r="H84" s="229" t="str">
        <f t="shared" si="3"/>
        <v>&lt;li class="col-md-3"&gt;&lt;a class="text-cut" href="javascript:;"(click)="categoryEvent(2084005312)"&gt;{{"2084005312" | translate}}&lt;/a&gt;&lt;/li&gt;</v>
      </c>
    </row>
    <row r="85" spans="1:8" ht="14.25" customHeight="1">
      <c r="E85" s="3"/>
      <c r="F85" s="3"/>
      <c r="G85" s="229"/>
      <c r="H85" s="229"/>
    </row>
    <row r="86" spans="1:8" ht="14.25" customHeight="1">
      <c r="A86" s="238">
        <v>2084006356</v>
      </c>
      <c r="B86" s="232"/>
      <c r="C86" s="232"/>
      <c r="D86" s="233"/>
      <c r="E86" s="3"/>
      <c r="F86" s="3"/>
      <c r="G86" s="229"/>
      <c r="H86" s="229"/>
    </row>
    <row r="87" spans="1:8" ht="14.25" customHeight="1">
      <c r="A87" s="2">
        <v>2084023849</v>
      </c>
      <c r="B87" s="2" t="s">
        <v>953</v>
      </c>
      <c r="C87" s="2" t="s">
        <v>954</v>
      </c>
      <c r="D87" s="2" t="s">
        <v>955</v>
      </c>
      <c r="E87" s="3" t="str">
        <f ca="1">IFERROR(__xludf.DUMMYFUNCTION("GOOGLETRANSLATE(B87,""ja"",""vi"")"),"Afghanistan, quấn")</f>
        <v>Afghanistan, quấn</v>
      </c>
      <c r="F87" s="3" t="str">
        <f ca="1">IFERROR(__xludf.DUMMYFUNCTION("GOOGLETRANSLATE(C87,""ja"",""vi"")"),"Đấu giá&gt; nhà, nội thất&gt; đồ gia dụng&gt; giường&gt; cho bé&gt; Afghanistan, quấn")</f>
        <v>Đấu giá&gt; nhà, nội thất&gt; đồ gia dụng&gt; giường&gt; cho bé&gt; Afghanistan, quấn</v>
      </c>
      <c r="G87" s="229" t="str">
        <f t="shared" ca="1" si="2"/>
        <v>"2084023849" : "Afghanistan, quấn",</v>
      </c>
      <c r="H87" s="229" t="str">
        <f t="shared" si="3"/>
        <v>&lt;li class="col-md-3"&gt;&lt;a class="text-cut" href="javascript:;"(click)="categoryEvent(2084023849)"&gt;{{"2084023849" | translate}}&lt;/a&gt;&lt;/li&gt;</v>
      </c>
    </row>
    <row r="88" spans="1:8" ht="14.25" customHeight="1">
      <c r="A88" s="2">
        <v>2084006368</v>
      </c>
      <c r="B88" s="2" t="s">
        <v>959</v>
      </c>
      <c r="C88" s="2" t="s">
        <v>961</v>
      </c>
      <c r="D88" s="2" t="s">
        <v>963</v>
      </c>
      <c r="E88" s="3" t="str">
        <f ca="1">IFERROR(__xludf.DUMMYFUNCTION("GOOGLETRANSLATE(B88,""ja"",""vi"")"),"Sheets, bìa")</f>
        <v>Sheets, bìa</v>
      </c>
      <c r="F88" s="3" t="str">
        <f ca="1">IFERROR(__xludf.DUMMYFUNCTION("GOOGLETRANSLATE(C88,""ja"",""vi"")"),"Đấu giá&gt; nhà, nội thất&gt; đồ gia dụng&gt; giường&gt; cho bé&gt; tấm, bìa")</f>
        <v>Đấu giá&gt; nhà, nội thất&gt; đồ gia dụng&gt; giường&gt; cho bé&gt; tấm, bìa</v>
      </c>
      <c r="G88" s="229" t="str">
        <f t="shared" ca="1" si="2"/>
        <v>"2084006368" : "Sheets, bìa",</v>
      </c>
      <c r="H88" s="229" t="str">
        <f t="shared" si="3"/>
        <v>&lt;li class="col-md-3"&gt;&lt;a class="text-cut" href="javascript:;"(click)="categoryEvent(2084006368)"&gt;{{"2084006368" | translate}}&lt;/a&gt;&lt;/li&gt;</v>
      </c>
    </row>
    <row r="89" spans="1:8" ht="14.25" customHeight="1">
      <c r="A89" s="2">
        <v>2084006370</v>
      </c>
      <c r="B89" s="2" t="s">
        <v>966</v>
      </c>
      <c r="C89" s="2" t="s">
        <v>967</v>
      </c>
      <c r="D89" s="2" t="s">
        <v>970</v>
      </c>
      <c r="E89" s="3" t="str">
        <f ca="1">IFERROR(__xludf.DUMMYFUNCTION("GOOGLETRANSLATE(B89,""ja"",""vi"")"),"khăn tắm")</f>
        <v>khăn tắm</v>
      </c>
      <c r="F89" s="3" t="str">
        <f ca="1">IFERROR(__xludf.DUMMYFUNCTION("GOOGLETRANSLATE(C89,""ja"",""vi"")"),"Đấu giá&gt; nhà, nội thất&gt; đồ gia dụng&gt; giường&gt; cho bé&gt; khăn")</f>
        <v>Đấu giá&gt; nhà, nội thất&gt; đồ gia dụng&gt; giường&gt; cho bé&gt; khăn</v>
      </c>
      <c r="G89" s="229" t="str">
        <f t="shared" ca="1" si="2"/>
        <v>"2084006370" : "khăn tắm",</v>
      </c>
      <c r="H89" s="229" t="str">
        <f t="shared" si="3"/>
        <v>&lt;li class="col-md-3"&gt;&lt;a class="text-cut" href="javascript:;"(click)="categoryEvent(2084006370)"&gt;{{"2084006370" | translate}}&lt;/a&gt;&lt;/li&gt;</v>
      </c>
    </row>
    <row r="90" spans="1:8" ht="14.25" customHeight="1">
      <c r="A90" s="2">
        <v>2084006367</v>
      </c>
      <c r="B90" s="2" t="s">
        <v>974</v>
      </c>
      <c r="C90" s="2" t="s">
        <v>975</v>
      </c>
      <c r="D90" s="2" t="s">
        <v>976</v>
      </c>
      <c r="E90" s="3" t="str">
        <f ca="1">IFERROR(__xludf.DUMMYFUNCTION("GOOGLETRANSLATE(B90,""ja"",""vi"")"),"futon")</f>
        <v>futon</v>
      </c>
      <c r="F90" s="3" t="str">
        <f ca="1">IFERROR(__xludf.DUMMYFUNCTION("GOOGLETRANSLATE(C90,""ja"",""vi"")"),"Đấu giá&gt; nhà, nội thất&gt; đồ gia dụng&gt; giường&gt; cho bé&gt; futon")</f>
        <v>Đấu giá&gt; nhà, nội thất&gt; đồ gia dụng&gt; giường&gt; cho bé&gt; futon</v>
      </c>
      <c r="G90" s="229" t="str">
        <f t="shared" ca="1" si="2"/>
        <v>"2084006367" : "futon",</v>
      </c>
      <c r="H90" s="229" t="str">
        <f t="shared" si="3"/>
        <v>&lt;li class="col-md-3"&gt;&lt;a class="text-cut" href="javascript:;"(click)="categoryEvent(2084006367)"&gt;{{"2084006367" | translate}}&lt;/a&gt;&lt;/li&gt;</v>
      </c>
    </row>
    <row r="91" spans="1:8" ht="14.25" customHeight="1">
      <c r="A91" s="2">
        <v>2084006371</v>
      </c>
      <c r="B91" s="2" t="s">
        <v>980</v>
      </c>
      <c r="C91" s="2" t="s">
        <v>982</v>
      </c>
      <c r="D91" s="2" t="s">
        <v>984</v>
      </c>
      <c r="E91" s="3" t="str">
        <f ca="1">IFERROR(__xludf.DUMMYFUNCTION("GOOGLETRANSLATE(B91,""ja"",""vi"")"),"cái gối")</f>
        <v>cái gối</v>
      </c>
      <c r="F91" s="3" t="str">
        <f ca="1">IFERROR(__xludf.DUMMYFUNCTION("GOOGLETRANSLATE(C91,""ja"",""vi"")"),"Đấu giá&gt; nhà, nội thất&gt; đồ gia dụng&gt; giường&gt; cho bé&gt; gối")</f>
        <v>Đấu giá&gt; nhà, nội thất&gt; đồ gia dụng&gt; giường&gt; cho bé&gt; gối</v>
      </c>
      <c r="G91" s="229" t="str">
        <f t="shared" ca="1" si="2"/>
        <v>"2084006371" : "cái gối",</v>
      </c>
      <c r="H91" s="229" t="str">
        <f t="shared" si="3"/>
        <v>&lt;li class="col-md-3"&gt;&lt;a class="text-cut" href="javascript:;"(click)="categoryEvent(2084006371)"&gt;{{"2084006371" | translate}}&lt;/a&gt;&lt;/li&gt;</v>
      </c>
    </row>
    <row r="92" spans="1:8" ht="14.25" customHeight="1">
      <c r="A92" s="2">
        <v>2084006369</v>
      </c>
      <c r="B92" s="2" t="s">
        <v>987</v>
      </c>
      <c r="C92" s="2" t="s">
        <v>988</v>
      </c>
      <c r="D92" s="2" t="s">
        <v>989</v>
      </c>
      <c r="E92" s="3" t="str">
        <f ca="1">IFERROR(__xludf.DUMMYFUNCTION("GOOGLETRANSLATE(B92,""ja"",""vi"")"),"chăn")</f>
        <v>chăn</v>
      </c>
      <c r="F92" s="3" t="str">
        <f ca="1">IFERROR(__xludf.DUMMYFUNCTION("GOOGLETRANSLATE(C92,""ja"",""vi"")"),"Đấu giá&gt; nhà, nội thất&gt; đồ gia dụng&gt; giường&gt; cho bé&gt; chăn")</f>
        <v>Đấu giá&gt; nhà, nội thất&gt; đồ gia dụng&gt; giường&gt; cho bé&gt; chăn</v>
      </c>
      <c r="G92" s="229" t="str">
        <f t="shared" ca="1" si="2"/>
        <v>"2084006369" : "chăn",</v>
      </c>
      <c r="H92" s="229" t="str">
        <f t="shared" si="3"/>
        <v>&lt;li class="col-md-3"&gt;&lt;a class="text-cut" href="javascript:;"(click)="categoryEvent(2084006369)"&gt;{{"2084006369" | translate}}&lt;/a&gt;&lt;/li&gt;</v>
      </c>
    </row>
    <row r="93" spans="1:8" ht="14.25" customHeight="1">
      <c r="A93" s="2">
        <v>2084006372</v>
      </c>
      <c r="B93" s="2" t="s">
        <v>16</v>
      </c>
      <c r="C93" s="2" t="s">
        <v>994</v>
      </c>
      <c r="D93" s="2" t="s">
        <v>996</v>
      </c>
      <c r="E93" s="3" t="str">
        <f ca="1">IFERROR(__xludf.DUMMYFUNCTION("GOOGLETRANSLATE(B93,""ja"",""vi"")"),"nếu không thì")</f>
        <v>nếu không thì</v>
      </c>
      <c r="F93" s="3" t="str">
        <f ca="1">IFERROR(__xludf.DUMMYFUNCTION("GOOGLETRANSLATE(C93,""ja"",""vi"")"),"Đấu giá&gt; nhà, nội thất&gt; đồ gia dụng&gt; giường&gt; cho bé&gt; Khác")</f>
        <v>Đấu giá&gt; nhà, nội thất&gt; đồ gia dụng&gt; giường&gt; cho bé&gt; Khác</v>
      </c>
      <c r="G93" s="229" t="str">
        <f t="shared" ca="1" si="2"/>
        <v>"2084006372" : "nếu không thì",</v>
      </c>
      <c r="H93" s="229" t="str">
        <f t="shared" si="3"/>
        <v>&lt;li class="col-md-3"&gt;&lt;a class="text-cut" href="javascript:;"(click)="categoryEvent(2084006372)"&gt;{{"2084006372" | translate}}&lt;/a&gt;&lt;/li&gt;</v>
      </c>
    </row>
    <row r="94" spans="1:8" ht="14.25" customHeight="1">
      <c r="E94" s="3"/>
      <c r="F94" s="3"/>
      <c r="G94" s="229"/>
      <c r="H94" s="229"/>
    </row>
    <row r="95" spans="1:8" ht="14.25" customHeight="1">
      <c r="A95" s="256">
        <v>2084042548</v>
      </c>
      <c r="B95" s="232"/>
      <c r="C95" s="232"/>
      <c r="D95" s="233"/>
      <c r="E95" s="3"/>
      <c r="F95" s="3"/>
      <c r="G95" s="229"/>
      <c r="H95" s="229"/>
    </row>
    <row r="96" spans="1:8" ht="14.25" customHeight="1">
      <c r="A96" s="2">
        <v>2084008378</v>
      </c>
      <c r="B96" s="2" t="s">
        <v>1008</v>
      </c>
      <c r="C96" s="2" t="s">
        <v>1010</v>
      </c>
      <c r="D96" s="2" t="s">
        <v>1013</v>
      </c>
      <c r="E96" s="3" t="str">
        <f ca="1">IFERROR(__xludf.DUMMYFUNCTION("GOOGLETRANSLATE(B96,""ja"",""vi"")"),"Sling, cõng đi chuỗi")</f>
        <v>Sling, cõng đi chuỗi</v>
      </c>
      <c r="F96" s="3" t="str">
        <f ca="1">IFERROR(__xludf.DUMMYFUNCTION("GOOGLETRANSLATE(C96,""ja"",""vi"")"),"Đấu giá&gt; hàng bé&gt; đi chơi, vật tư phong trào&gt; baby sling, cõng đi chuỗi")</f>
        <v>Đấu giá&gt; hàng bé&gt; đi chơi, vật tư phong trào&gt; baby sling, cõng đi chuỗi</v>
      </c>
      <c r="G96" s="229" t="str">
        <f t="shared" ca="1" si="2"/>
        <v>"2084008378" : "Sling, cõng đi chuỗi",</v>
      </c>
      <c r="H96" s="229" t="str">
        <f t="shared" si="3"/>
        <v>&lt;li class="col-md-3"&gt;&lt;a class="text-cut" href="javascript:;"(click)="categoryEvent(2084008378)"&gt;{{"2084008378" | translate}}&lt;/a&gt;&lt;/li&gt;</v>
      </c>
    </row>
    <row r="97" spans="1:8" ht="14.25" customHeight="1">
      <c r="A97" s="2">
        <v>24222</v>
      </c>
      <c r="B97" s="2" t="s">
        <v>1019</v>
      </c>
      <c r="C97" s="2" t="s">
        <v>1021</v>
      </c>
      <c r="D97" s="2" t="s">
        <v>1023</v>
      </c>
      <c r="E97" s="3" t="str">
        <f ca="1">IFERROR(__xludf.DUMMYFUNCTION("GOOGLETRANSLATE(B97,""ja"",""vi"")"),"đẩy")</f>
        <v>đẩy</v>
      </c>
      <c r="F97" s="3" t="str">
        <f ca="1">IFERROR(__xludf.DUMMYFUNCTION("GOOGLETRANSLATE(C97,""ja"",""vi"")"),"Đấu giá&gt; hàng bé&gt; đi ra ngoài, nguồn cung cấp phong trào&gt; xe đẩy")</f>
        <v>Đấu giá&gt; hàng bé&gt; đi ra ngoài, nguồn cung cấp phong trào&gt; xe đẩy</v>
      </c>
      <c r="G97" s="229" t="str">
        <f t="shared" ca="1" si="2"/>
        <v>"24222" : "đẩy",</v>
      </c>
      <c r="H97" s="229" t="str">
        <f t="shared" si="3"/>
        <v>&lt;li class="col-md-3"&gt;&lt;a class="text-cut" href="javascript:;"(click)="categoryEvent(24222)"&gt;{{"24222" | translate}}&lt;/a&gt;&lt;/li&gt;</v>
      </c>
    </row>
    <row r="98" spans="1:8" ht="14.25" customHeight="1">
      <c r="A98" s="2">
        <v>2084008372</v>
      </c>
      <c r="B98" s="2" t="s">
        <v>1028</v>
      </c>
      <c r="C98" s="2" t="s">
        <v>1030</v>
      </c>
      <c r="D98" s="2" t="s">
        <v>1031</v>
      </c>
      <c r="E98" s="3" t="str">
        <f ca="1">IFERROR(__xludf.DUMMYFUNCTION("GOOGLETRANSLATE(B98,""ja"",""vi"")"),"Baby carry, Kuhan")</f>
        <v>Baby carry, Kuhan</v>
      </c>
      <c r="F98" s="3" t="str">
        <f ca="1">IFERROR(__xludf.DUMMYFUNCTION("GOOGLETRANSLATE(C98,""ja"",""vi"")"),"Đấu giá&gt; hàng bé&gt; đi ra ngoài, nguồn cung cấp phong trào&gt; Baby carry, Kuhan")</f>
        <v>Đấu giá&gt; hàng bé&gt; đi ra ngoài, nguồn cung cấp phong trào&gt; Baby carry, Kuhan</v>
      </c>
      <c r="G98" s="229" t="str">
        <f t="shared" ca="1" si="2"/>
        <v>"2084008372" : "Baby carry, Kuhan",</v>
      </c>
      <c r="H98" s="229" t="str">
        <f t="shared" si="3"/>
        <v>&lt;li class="col-md-3"&gt;&lt;a class="text-cut" href="javascript:;"(click)="categoryEvent(2084008372)"&gt;{{"2084008372" | translate}}&lt;/a&gt;&lt;/li&gt;</v>
      </c>
    </row>
    <row r="99" spans="1:8" ht="14.25" customHeight="1">
      <c r="A99" s="2">
        <v>2084008373</v>
      </c>
      <c r="B99" s="2" t="s">
        <v>1036</v>
      </c>
      <c r="C99" s="2" t="s">
        <v>1038</v>
      </c>
      <c r="D99" s="2" t="s">
        <v>1042</v>
      </c>
      <c r="E99" s="3" t="str">
        <f ca="1">IFERROR(__xludf.DUMMYFUNCTION("GOOGLETRANSLATE(B99,""ja"",""vi"")"),"baby giá")</f>
        <v>baby giá</v>
      </c>
      <c r="F99" s="3" t="str">
        <f ca="1">IFERROR(__xludf.DUMMYFUNCTION("GOOGLETRANSLATE(C99,""ja"",""vi"")"),"Đấu giá&gt; hàng bé&gt; đi ra ngoài, nguồn cung cấp phong trào&gt; Baby giá")</f>
        <v>Đấu giá&gt; hàng bé&gt; đi ra ngoài, nguồn cung cấp phong trào&gt; Baby giá</v>
      </c>
      <c r="G99" s="229" t="str">
        <f t="shared" ca="1" si="2"/>
        <v>"2084008373" : "baby giá",</v>
      </c>
      <c r="H99" s="229" t="str">
        <f t="shared" si="3"/>
        <v>&lt;li class="col-md-3"&gt;&lt;a class="text-cut" href="javascript:;"(click)="categoryEvent(2084008373)"&gt;{{"2084008373" | translate}}&lt;/a&gt;&lt;/li&gt;</v>
      </c>
    </row>
    <row r="100" spans="1:8" ht="14.25" customHeight="1">
      <c r="A100" s="2">
        <v>2084047405</v>
      </c>
      <c r="B100" s="2" t="s">
        <v>1049</v>
      </c>
      <c r="C100" s="2" t="s">
        <v>1050</v>
      </c>
      <c r="D100" s="2" t="s">
        <v>1051</v>
      </c>
      <c r="E100" s="3" t="str">
        <f ca="1">IFERROR(__xludf.DUMMYFUNCTION("GOOGLETRANSLATE(B100,""ja"",""vi"")"),"túi mẹ")</f>
        <v>túi mẹ</v>
      </c>
      <c r="F100" s="3" t="str">
        <f ca="1">IFERROR(__xludf.DUMMYFUNCTION("GOOGLETRANSLATE(C100,""ja"",""vi"")"),"Đấu giá&gt; hàng bé&gt; đi ra ngoài, nguồn cung cấp phong trào&gt; túi bà mẹ")</f>
        <v>Đấu giá&gt; hàng bé&gt; đi ra ngoài, nguồn cung cấp phong trào&gt; túi bà mẹ</v>
      </c>
      <c r="G100" s="229" t="str">
        <f t="shared" ca="1" si="2"/>
        <v>"2084047405" : "túi mẹ",</v>
      </c>
      <c r="H100" s="229" t="str">
        <f t="shared" si="3"/>
        <v>&lt;li class="col-md-3"&gt;&lt;a class="text-cut" href="javascript:;"(click)="categoryEvent(2084047405)"&gt;{{"2084047405" | translate}}&lt;/a&gt;&lt;/li&gt;</v>
      </c>
    </row>
    <row r="101" spans="1:8" ht="14.25" customHeight="1">
      <c r="A101" s="2">
        <v>2084047646</v>
      </c>
      <c r="B101" s="2" t="s">
        <v>1057</v>
      </c>
      <c r="C101" s="2" t="s">
        <v>1058</v>
      </c>
      <c r="D101" s="2" t="s">
        <v>1059</v>
      </c>
      <c r="E101" s="3" t="str">
        <f ca="1">IFERROR(__xludf.DUMMYFUNCTION("GOOGLETRANSLATE(B101,""ja"",""vi"")"),"Mẹ Tòa án")</f>
        <v>Mẹ Tòa án</v>
      </c>
      <c r="F101" s="3" t="str">
        <f ca="1">IFERROR(__xludf.DUMMYFUNCTION("GOOGLETRANSLATE(C101,""ja"",""vi"")"),"Đấu giá&gt; hàng bé&gt; đi ra ngoài, nguồn cung cấp phong trào&gt; áo mama")</f>
        <v>Đấu giá&gt; hàng bé&gt; đi ra ngoài, nguồn cung cấp phong trào&gt; áo mama</v>
      </c>
      <c r="G101" s="229" t="str">
        <f t="shared" ca="1" si="2"/>
        <v>"2084047646" : "Mẹ Tòa án",</v>
      </c>
      <c r="H101" s="229" t="str">
        <f t="shared" si="3"/>
        <v>&lt;li class="col-md-3"&gt;&lt;a class="text-cut" href="javascript:;"(click)="categoryEvent(2084047646)"&gt;{{"2084047646" | translate}}&lt;/a&gt;&lt;/li&gt;</v>
      </c>
    </row>
    <row r="102" spans="1:8" ht="14.25" customHeight="1">
      <c r="A102" s="2">
        <v>2084008375</v>
      </c>
      <c r="B102" s="2" t="s">
        <v>1065</v>
      </c>
      <c r="C102" s="2" t="s">
        <v>1066</v>
      </c>
      <c r="D102" s="2" t="s">
        <v>1067</v>
      </c>
      <c r="E102" s="3" t="str">
        <f ca="1">IFERROR(__xludf.DUMMYFUNCTION("GOOGLETRANSLATE(B102,""ja"",""vi"")"),"khung tập đi")</f>
        <v>khung tập đi</v>
      </c>
      <c r="F102" s="3" t="str">
        <f ca="1">IFERROR(__xludf.DUMMYFUNCTION("GOOGLETRANSLATE(C102,""ja"",""vi"")"),"Đấu giá&gt; hàng bé&gt; đi ra ngoài, nguồn cung cấp phong trào&gt; walker")</f>
        <v>Đấu giá&gt; hàng bé&gt; đi ra ngoài, nguồn cung cấp phong trào&gt; walker</v>
      </c>
      <c r="G102" s="229" t="str">
        <f t="shared" ca="1" si="2"/>
        <v>"2084008375" : "khung tập đi",</v>
      </c>
      <c r="H102" s="229" t="str">
        <f t="shared" si="3"/>
        <v>&lt;li class="col-md-3"&gt;&lt;a class="text-cut" href="javascript:;"(click)="categoryEvent(2084008375)"&gt;{{"2084008375" | translate}}&lt;/a&gt;&lt;/li&gt;</v>
      </c>
    </row>
    <row r="103" spans="1:8" ht="14.25" customHeight="1">
      <c r="A103" s="2">
        <v>2084047108</v>
      </c>
      <c r="B103" s="2" t="s">
        <v>661</v>
      </c>
      <c r="C103" s="2" t="s">
        <v>1073</v>
      </c>
      <c r="D103" s="2" t="s">
        <v>1074</v>
      </c>
      <c r="E103" s="3" t="str">
        <f ca="1">IFERROR(__xludf.DUMMYFUNCTION("GOOGLETRANSLATE(B103,""ja"",""vi"")"),"ghế bé")</f>
        <v>ghế bé</v>
      </c>
      <c r="F103" s="3" t="str">
        <f ca="1">IFERROR(__xludf.DUMMYFUNCTION("GOOGLETRANSLATE(C103,""ja"",""vi"")"),"Đấu giá&gt; hàng bé&gt; đi ra ngoài, nguồn cung cấp phong trào&gt; ghế bé")</f>
        <v>Đấu giá&gt; hàng bé&gt; đi ra ngoài, nguồn cung cấp phong trào&gt; ghế bé</v>
      </c>
      <c r="G103" s="229" t="str">
        <f t="shared" ca="1" si="2"/>
        <v>"2084047108" : "ghế bé",</v>
      </c>
      <c r="H103" s="229" t="str">
        <f t="shared" si="3"/>
        <v>&lt;li class="col-md-3"&gt;&lt;a class="text-cut" href="javascript:;"(click)="categoryEvent(2084047108)"&gt;{{"2084047108" | translate}}&lt;/a&gt;&lt;/li&gt;</v>
      </c>
    </row>
    <row r="104" spans="1:8" ht="14.25" customHeight="1">
      <c r="A104" s="2">
        <v>2084005814</v>
      </c>
      <c r="B104" s="2" t="s">
        <v>657</v>
      </c>
      <c r="C104" s="2" t="s">
        <v>1077</v>
      </c>
      <c r="D104" s="2" t="s">
        <v>1078</v>
      </c>
      <c r="E104" s="3" t="str">
        <f ca="1">IFERROR(__xludf.DUMMYFUNCTION("GOOGLETRANSLATE(B104,""ja"",""vi"")"),"ghế trẻ em")</f>
        <v>ghế trẻ em</v>
      </c>
      <c r="F104" s="3" t="str">
        <f ca="1">IFERROR(__xludf.DUMMYFUNCTION("GOOGLETRANSLATE(C104,""ja"",""vi"")"),"Đấu giá&gt; hàng bé&gt; đi ra ngoài, nguồn cung cấp phong trào&gt; ghế trẻ em")</f>
        <v>Đấu giá&gt; hàng bé&gt; đi ra ngoài, nguồn cung cấp phong trào&gt; ghế trẻ em</v>
      </c>
      <c r="G104" s="229" t="str">
        <f t="shared" ca="1" si="2"/>
        <v>"2084005814" : "ghế trẻ em",</v>
      </c>
      <c r="H104" s="229" t="str">
        <f t="shared" si="3"/>
        <v>&lt;li class="col-md-3"&gt;&lt;a class="text-cut" href="javascript:;"(click)="categoryEvent(2084005814)"&gt;{{"2084005814" | translate}}&lt;/a&gt;&lt;/li&gt;</v>
      </c>
    </row>
    <row r="105" spans="1:8" ht="14.25" customHeight="1">
      <c r="A105" s="2">
        <v>2084042549</v>
      </c>
      <c r="B105" s="2" t="s">
        <v>16</v>
      </c>
      <c r="C105" s="2" t="s">
        <v>1082</v>
      </c>
      <c r="D105" s="2" t="s">
        <v>1084</v>
      </c>
      <c r="E105" s="3" t="str">
        <f ca="1">IFERROR(__xludf.DUMMYFUNCTION("GOOGLETRANSLATE(B105,""ja"",""vi"")"),"nếu không thì")</f>
        <v>nếu không thì</v>
      </c>
      <c r="F105" s="3" t="str">
        <f ca="1">IFERROR(__xludf.DUMMYFUNCTION("GOOGLETRANSLATE(C105,""ja"",""vi"")"),"Đấu giá&gt; hàng bé&gt; đi ra ngoài, nguồn cung cấp phong trào&gt; Khác")</f>
        <v>Đấu giá&gt; hàng bé&gt; đi ra ngoài, nguồn cung cấp phong trào&gt; Khác</v>
      </c>
      <c r="G105" s="229" t="str">
        <f t="shared" ca="1" si="2"/>
        <v>"2084042549" : "nếu không thì",</v>
      </c>
      <c r="H105" s="229" t="str">
        <f t="shared" si="3"/>
        <v>&lt;li class="col-md-3"&gt;&lt;a class="text-cut" href="javascript:;"(click)="categoryEvent(2084042549)"&gt;{{"2084042549" | translate}}&lt;/a&gt;&lt;/li&gt;</v>
      </c>
    </row>
    <row r="106" spans="1:8" ht="14.25" customHeight="1">
      <c r="E106" s="3"/>
      <c r="F106" s="3"/>
      <c r="G106" s="229"/>
      <c r="H106" s="229"/>
    </row>
    <row r="107" spans="1:8" ht="14.25" customHeight="1">
      <c r="A107" s="252">
        <v>2084216344</v>
      </c>
      <c r="B107" s="232"/>
      <c r="C107" s="232"/>
      <c r="D107" s="233"/>
      <c r="E107" s="3"/>
      <c r="F107" s="3"/>
      <c r="G107" s="229"/>
      <c r="H107" s="229"/>
    </row>
    <row r="108" spans="1:8" ht="14.25" customHeight="1">
      <c r="A108" s="2">
        <v>2084216348</v>
      </c>
      <c r="B108" s="2" t="s">
        <v>1092</v>
      </c>
      <c r="C108" s="2" t="s">
        <v>1093</v>
      </c>
      <c r="D108" s="2" t="s">
        <v>1094</v>
      </c>
      <c r="E108" s="3" t="str">
        <f ca="1">IFERROR(__xludf.DUMMYFUNCTION("GOOGLETRANSLATE(B108,""ja"",""vi"")"),"nguồn cung cấp Shrine")</f>
        <v>nguồn cung cấp Shrine</v>
      </c>
      <c r="F108" s="3" t="str">
        <f ca="1">IFERROR(__xludf.DUMMYFUNCTION("GOOGLETRANSLATE(C108,""ja"",""vi"")"),"Đấu giá&gt; hàng bé&gt; sự kiện, quà lưu niệm&gt; nguồn cung cấp điện thờ")</f>
        <v>Đấu giá&gt; hàng bé&gt; sự kiện, quà lưu niệm&gt; nguồn cung cấp điện thờ</v>
      </c>
      <c r="G108" s="229" t="str">
        <f t="shared" ca="1" si="2"/>
        <v>"2084216348" : "nguồn cung cấp Shrine",</v>
      </c>
      <c r="H108" s="229" t="str">
        <f t="shared" si="3"/>
        <v>&lt;li class="col-md-3"&gt;&lt;a class="text-cut" href="javascript:;"(click)="categoryEvent(2084216348)"&gt;{{"2084216348" | translate}}&lt;/a&gt;&lt;/li&gt;</v>
      </c>
    </row>
    <row r="109" spans="1:8" ht="14.25" customHeight="1">
      <c r="A109" s="2">
        <v>2084216347</v>
      </c>
      <c r="B109" s="2" t="s">
        <v>1098</v>
      </c>
      <c r="C109" s="2" t="s">
        <v>1099</v>
      </c>
      <c r="D109" s="2" t="s">
        <v>1100</v>
      </c>
      <c r="E109" s="3" t="str">
        <f ca="1">IFERROR(__xludf.DUMMYFUNCTION("GOOGLETRANSLATE(B109,""ja"",""vi"")"),"Cai sữa cung cấp lễ")</f>
        <v>Cai sữa cung cấp lễ</v>
      </c>
      <c r="F109" s="3" t="str">
        <f ca="1">IFERROR(__xludf.DUMMYFUNCTION("GOOGLETRANSLATE(C109,""ja"",""vi"")"),"Đấu giá&gt; hàng bé&gt; sự kiện, quà lưu niệm&gt; cai sữa cung cấp lễ")</f>
        <v>Đấu giá&gt; hàng bé&gt; sự kiện, quà lưu niệm&gt; cai sữa cung cấp lễ</v>
      </c>
      <c r="G109" s="229" t="str">
        <f t="shared" ca="1" si="2"/>
        <v>"2084216347" : "Cai sữa cung cấp lễ",</v>
      </c>
      <c r="H109" s="229" t="str">
        <f t="shared" si="3"/>
        <v>&lt;li class="col-md-3"&gt;&lt;a class="text-cut" href="javascript:;"(click)="categoryEvent(2084216347)"&gt;{{"2084216347" | translate}}&lt;/a&gt;&lt;/li&gt;</v>
      </c>
    </row>
    <row r="110" spans="1:8" ht="14.25" customHeight="1">
      <c r="A110" s="2">
        <v>2084216346</v>
      </c>
      <c r="B110" s="2" t="s">
        <v>1104</v>
      </c>
      <c r="C110" s="2" t="s">
        <v>1105</v>
      </c>
      <c r="D110" s="2" t="s">
        <v>1107</v>
      </c>
      <c r="E110" s="3" t="str">
        <f ca="1">IFERROR(__xludf.DUMMYFUNCTION("GOOGLETRANSLATE(B110,""ja"",""vi"")"),"album")</f>
        <v>album</v>
      </c>
      <c r="F110" s="3" t="str">
        <f ca="1">IFERROR(__xludf.DUMMYFUNCTION("GOOGLETRANSLATE(C110,""ja"",""vi"")"),"Đấu giá&gt; hàng bé&gt; sự kiện, quà lưu niệm&gt; album")</f>
        <v>Đấu giá&gt; hàng bé&gt; sự kiện, quà lưu niệm&gt; album</v>
      </c>
      <c r="G110" s="229" t="str">
        <f t="shared" ca="1" si="2"/>
        <v>"2084216346" : "album",</v>
      </c>
      <c r="H110" s="229" t="str">
        <f t="shared" si="3"/>
        <v>&lt;li class="col-md-3"&gt;&lt;a class="text-cut" href="javascript:;"(click)="categoryEvent(2084216346)"&gt;{{"2084216346" | translate}}&lt;/a&gt;&lt;/li&gt;</v>
      </c>
    </row>
    <row r="111" spans="1:8" ht="14.25" customHeight="1">
      <c r="A111" s="2">
        <v>2084216345</v>
      </c>
      <c r="B111" s="2" t="s">
        <v>1112</v>
      </c>
      <c r="C111" s="2" t="s">
        <v>1114</v>
      </c>
      <c r="D111" s="2" t="s">
        <v>1115</v>
      </c>
      <c r="E111" s="3" t="str">
        <f ca="1">IFERROR(__xludf.DUMMYFUNCTION("GOOGLETRANSLATE(B111,""ja"",""vi"")"),"Bill, dấu chân")</f>
        <v>Bill, dấu chân</v>
      </c>
      <c r="F111" s="3" t="str">
        <f ca="1">IFERROR(__xludf.DUMMYFUNCTION("GOOGLETRANSLATE(C111,""ja"",""vi"")"),"Đấu giá&gt; hàng bé&gt; sự kiện, quà lưu niệm&gt; Ghi chú, dấu chân")</f>
        <v>Đấu giá&gt; hàng bé&gt; sự kiện, quà lưu niệm&gt; Ghi chú, dấu chân</v>
      </c>
      <c r="G111" s="229" t="str">
        <f t="shared" ca="1" si="2"/>
        <v>"2084216345" : "Bill, dấu chân",</v>
      </c>
      <c r="H111" s="229" t="str">
        <f t="shared" si="3"/>
        <v>&lt;li class="col-md-3"&gt;&lt;a class="text-cut" href="javascript:;"(click)="categoryEvent(2084216345)"&gt;{{"2084216345" | translate}}&lt;/a&gt;&lt;/li&gt;</v>
      </c>
    </row>
    <row r="112" spans="1:8" ht="14.25" customHeight="1">
      <c r="A112" s="2">
        <v>2084216349</v>
      </c>
      <c r="B112" s="2" t="s">
        <v>16</v>
      </c>
      <c r="C112" s="2" t="s">
        <v>1118</v>
      </c>
      <c r="D112" s="2" t="s">
        <v>1119</v>
      </c>
      <c r="E112" s="3" t="str">
        <f ca="1">IFERROR(__xludf.DUMMYFUNCTION("GOOGLETRANSLATE(B112,""ja"",""vi"")"),"nếu không thì")</f>
        <v>nếu không thì</v>
      </c>
      <c r="F112" s="3" t="str">
        <f ca="1">IFERROR(__xludf.DUMMYFUNCTION("GOOGLETRANSLATE(C112,""ja"",""vi"")"),"Đấu giá&gt; hàng bé&gt; sự kiện, quà lưu niệm&gt; Khác")</f>
        <v>Đấu giá&gt; hàng bé&gt; sự kiện, quà lưu niệm&gt; Khác</v>
      </c>
      <c r="G112" s="229" t="str">
        <f t="shared" ca="1" si="2"/>
        <v>"2084216349" : "nếu không thì",</v>
      </c>
      <c r="H112" s="229" t="str">
        <f t="shared" si="3"/>
        <v>&lt;li class="col-md-3"&gt;&lt;a class="text-cut" href="javascript:;"(click)="categoryEvent(2084216349)"&gt;{{"2084216349" | translate}}&lt;/a&gt;&lt;/li&gt;</v>
      </c>
    </row>
    <row r="113" spans="1:8" ht="14.25" customHeight="1">
      <c r="E113" s="3"/>
      <c r="F113" s="3"/>
      <c r="G113" s="229"/>
      <c r="H113" s="229"/>
    </row>
    <row r="114" spans="1:8" ht="14.25" customHeight="1">
      <c r="A114" s="261">
        <v>21624</v>
      </c>
      <c r="B114" s="232"/>
      <c r="C114" s="232"/>
      <c r="D114" s="233"/>
      <c r="E114" s="3"/>
      <c r="F114" s="3"/>
      <c r="G114" s="229"/>
      <c r="H114" s="229"/>
    </row>
    <row r="115" spans="1:8" ht="14.25" customHeight="1">
      <c r="A115" s="2">
        <v>2084008642</v>
      </c>
      <c r="B115" s="2" t="s">
        <v>1129</v>
      </c>
      <c r="C115" s="2" t="s">
        <v>1130</v>
      </c>
      <c r="D115" s="2" t="s">
        <v>1131</v>
      </c>
      <c r="E115" s="3" t="str">
        <f ca="1">IFERROR(__xludf.DUMMYFUNCTION("GOOGLETRANSLATE(B115,""ja"",""vi"")"),"hình cuốn sách")</f>
        <v>hình cuốn sách</v>
      </c>
      <c r="F115" s="3" t="str">
        <f ca="1">IFERROR(__xludf.DUMMYFUNCTION("GOOGLETRANSLATE(C115,""ja"",""vi"")"),"Đấu giá&gt; Sách, tạp chí&gt; sách thiếu nhi, sách ảnh&gt; cuốn truyện tranh")</f>
        <v>Đấu giá&gt; Sách, tạp chí&gt; sách thiếu nhi, sách ảnh&gt; cuốn truyện tranh</v>
      </c>
      <c r="G115" s="229" t="str">
        <f t="shared" ref="G115:G125" ca="1" si="4">CONCATENATE(CHAR(34)&amp;"",A115,""&amp;CHAR(34)," : ", CHAR(34)&amp;"",E115,""&amp;CHAR(34),",")</f>
        <v>"2084008642" : "hình cuốn sách",</v>
      </c>
      <c r="H115" s="229" t="str">
        <f t="shared" si="3"/>
        <v>&lt;li class="col-md-3"&gt;&lt;a class="text-cut" href="javascript:;"(click)="categoryEvent(2084008642)"&gt;{{"2084008642" | translate}}&lt;/a&gt;&lt;/li&gt;</v>
      </c>
    </row>
    <row r="116" spans="1:8" ht="14.25" customHeight="1">
      <c r="A116" s="2">
        <v>2084008652</v>
      </c>
      <c r="B116" s="2" t="s">
        <v>1132</v>
      </c>
      <c r="C116" s="2" t="s">
        <v>1133</v>
      </c>
      <c r="D116" s="2" t="s">
        <v>1134</v>
      </c>
      <c r="E116" s="3" t="str">
        <f ca="1">IFERROR(__xludf.DUMMYFUNCTION("GOOGLETRANSLATE(B116,""ja"",""vi"")"),"phim hoạt hình học")</f>
        <v>phim hoạt hình học</v>
      </c>
      <c r="F116" s="3" t="str">
        <f ca="1">IFERROR(__xludf.DUMMYFUNCTION("GOOGLETRANSLATE(C116,""ja"",""vi"")"),"Đấu giá&gt; Sách, tạp chí&gt; sách thiếu nhi, truyện tranh&gt; học tập phim hoạt hình")</f>
        <v>Đấu giá&gt; Sách, tạp chí&gt; sách thiếu nhi, truyện tranh&gt; học tập phim hoạt hình</v>
      </c>
      <c r="G116" s="229" t="str">
        <f t="shared" ca="1" si="4"/>
        <v>"2084008652" : "phim hoạt hình học",</v>
      </c>
      <c r="H116" s="229" t="str">
        <f t="shared" si="3"/>
        <v>&lt;li class="col-md-3"&gt;&lt;a class="text-cut" href="javascript:;"(click)="categoryEvent(2084008652)"&gt;{{"2084008652" | translate}}&lt;/a&gt;&lt;/li&gt;</v>
      </c>
    </row>
    <row r="117" spans="1:8" ht="14.25" customHeight="1">
      <c r="A117" s="2">
        <v>2084008653</v>
      </c>
      <c r="B117" s="2" t="s">
        <v>1137</v>
      </c>
      <c r="C117" s="2" t="s">
        <v>1139</v>
      </c>
      <c r="D117" s="2" t="s">
        <v>1140</v>
      </c>
      <c r="E117" s="3" t="str">
        <f ca="1">IFERROR(__xludf.DUMMYFUNCTION("GOOGLETRANSLATE(B117,""ja"",""vi"")"),"phê bình cuốn sách cho trẻ em")</f>
        <v>phê bình cuốn sách cho trẻ em</v>
      </c>
      <c r="F117" s="3" t="str">
        <f ca="1">IFERROR(__xludf.DUMMYFUNCTION("GOOGLETRANSLATE(C117,""ja"",""vi"")"),"Đấu giá&gt; Sách, tạp chí&gt; sách thiếu nhi, truyện tranh&gt; trẻ em phê bình cuốn sách")</f>
        <v>Đấu giá&gt; Sách, tạp chí&gt; sách thiếu nhi, truyện tranh&gt; trẻ em phê bình cuốn sách</v>
      </c>
      <c r="G117" s="229" t="str">
        <f t="shared" ca="1" si="4"/>
        <v>"2084008653" : "phê bình cuốn sách cho trẻ em",</v>
      </c>
      <c r="H117" s="229" t="str">
        <f t="shared" si="3"/>
        <v>&lt;li class="col-md-3"&gt;&lt;a class="text-cut" href="javascript:;"(click)="categoryEvent(2084008653)"&gt;{{"2084008653" | translate}}&lt;/a&gt;&lt;/li&gt;</v>
      </c>
    </row>
    <row r="118" spans="1:8" ht="14.25" customHeight="1">
      <c r="A118" s="2">
        <v>2084008654</v>
      </c>
      <c r="B118" s="2" t="s">
        <v>1143</v>
      </c>
      <c r="C118" s="2" t="s">
        <v>1146</v>
      </c>
      <c r="D118" s="2" t="s">
        <v>1148</v>
      </c>
      <c r="E118" s="3" t="str">
        <f ca="1">IFERROR(__xludf.DUMMYFUNCTION("GOOGLETRANSLATE(B118,""ja"",""vi"")"),"văn học, đọc tài liệu cho trẻ em")</f>
        <v>văn học, đọc tài liệu cho trẻ em</v>
      </c>
      <c r="F118" s="3" t="str">
        <f ca="1">IFERROR(__xludf.DUMMYFUNCTION("GOOGLETRANSLATE(C118,""ja"",""vi"")"),"Đấu giá&gt; Sách, tạp chí&gt; sách thiếu nhi, sách ảnh&gt; văn học thiếu nhi, đọc tài liệu")</f>
        <v>Đấu giá&gt; Sách, tạp chí&gt; sách thiếu nhi, sách ảnh&gt; văn học thiếu nhi, đọc tài liệu</v>
      </c>
      <c r="G118" s="229" t="str">
        <f t="shared" ca="1" si="4"/>
        <v>"2084008654" : "văn học, đọc tài liệu cho trẻ em",</v>
      </c>
      <c r="H118" s="229" t="str">
        <f t="shared" si="3"/>
        <v>&lt;li class="col-md-3"&gt;&lt;a class="text-cut" href="javascript:;"(click)="categoryEvent(2084008654)"&gt;{{"2084008654" | translate}}&lt;/a&gt;&lt;/li&gt;</v>
      </c>
    </row>
    <row r="119" spans="1:8" ht="14.25" customHeight="1">
      <c r="A119" s="2">
        <v>2084008650</v>
      </c>
      <c r="B119" s="2" t="s">
        <v>1149</v>
      </c>
      <c r="C119" s="2" t="s">
        <v>1150</v>
      </c>
      <c r="D119" s="2" t="s">
        <v>1151</v>
      </c>
      <c r="E119" s="3" t="str">
        <f ca="1">IFERROR(__xludf.DUMMYFUNCTION("GOOGLETRANSLATE(B119,""ja"",""vi"")"),"hình cuốn sách")</f>
        <v>hình cuốn sách</v>
      </c>
      <c r="F119" s="3" t="str">
        <f ca="1">IFERROR(__xludf.DUMMYFUNCTION("GOOGLETRANSLATE(C119,""ja"",""vi"")"),"Đấu giá&gt; Sách, tạp chí&gt; sách thiếu nhi, sách ảnh&gt; cuốn truyện tranh")</f>
        <v>Đấu giá&gt; Sách, tạp chí&gt; sách thiếu nhi, sách ảnh&gt; cuốn truyện tranh</v>
      </c>
      <c r="G119" s="229" t="str">
        <f t="shared" ca="1" si="4"/>
        <v>"2084008650" : "hình cuốn sách",</v>
      </c>
      <c r="H119" s="229" t="str">
        <f t="shared" si="3"/>
        <v>&lt;li class="col-md-3"&gt;&lt;a class="text-cut" href="javascript:;"(click)="categoryEvent(2084008650)"&gt;{{"2084008650" | translate}}&lt;/a&gt;&lt;/li&gt;</v>
      </c>
    </row>
    <row r="120" spans="1:8" ht="14.25" customHeight="1">
      <c r="A120" s="2">
        <v>2084008651</v>
      </c>
      <c r="B120" s="2" t="s">
        <v>1154</v>
      </c>
      <c r="C120" s="2" t="s">
        <v>1156</v>
      </c>
      <c r="D120" s="2" t="s">
        <v>1157</v>
      </c>
      <c r="E120" s="3" t="str">
        <f ca="1">IFERROR(__xludf.DUMMYFUNCTION("GOOGLETRANSLATE(B120,""ja"",""vi"")"),"Giới thiệu, làm việc")</f>
        <v>Giới thiệu, làm việc</v>
      </c>
      <c r="F120" s="3" t="str">
        <f ca="1">IFERROR(__xludf.DUMMYFUNCTION("GOOGLETRANSLATE(C120,""ja"",""vi"")"),"Đấu giá&gt; Sách, tạp chí&gt; sách thiếu nhi, truyện tranh&gt; Giới thiệu, làm việc")</f>
        <v>Đấu giá&gt; Sách, tạp chí&gt; sách thiếu nhi, truyện tranh&gt; Giới thiệu, làm việc</v>
      </c>
      <c r="G120" s="229" t="str">
        <f t="shared" ca="1" si="4"/>
        <v>"2084008651" : "Giới thiệu, làm việc",</v>
      </c>
      <c r="H120" s="229" t="str">
        <f t="shared" si="3"/>
        <v>&lt;li class="col-md-3"&gt;&lt;a class="text-cut" href="javascript:;"(click)="categoryEvent(2084008651)"&gt;{{"2084008651" | translate}}&lt;/a&gt;&lt;/li&gt;</v>
      </c>
    </row>
    <row r="121" spans="1:8" ht="14.25" customHeight="1">
      <c r="E121" s="3"/>
      <c r="F121" s="3"/>
      <c r="G121" s="229"/>
      <c r="H121" s="229"/>
    </row>
    <row r="122" spans="1:8" ht="14.25" customHeight="1">
      <c r="A122" s="253">
        <v>2084042550</v>
      </c>
      <c r="B122" s="232"/>
      <c r="C122" s="232"/>
      <c r="D122" s="233"/>
      <c r="E122" s="3"/>
      <c r="F122" s="3"/>
      <c r="G122" s="229"/>
      <c r="H122" s="229"/>
    </row>
    <row r="123" spans="1:8" ht="14.25" customHeight="1">
      <c r="A123" s="2">
        <v>2084005664</v>
      </c>
      <c r="B123" s="2" t="s">
        <v>1164</v>
      </c>
      <c r="C123" s="2" t="s">
        <v>1167</v>
      </c>
      <c r="D123" s="2" t="s">
        <v>1170</v>
      </c>
      <c r="E123" s="3" t="str">
        <f ca="1">IFERROR(__xludf.DUMMYFUNCTION("GOOGLETRANSLATE(B123,""ja"",""vi"")"),"bé bộ đồ ăn")</f>
        <v>bé bộ đồ ăn</v>
      </c>
      <c r="F123" s="3" t="str">
        <f ca="1">IFERROR(__xludf.DUMMYFUNCTION("GOOGLETRANSLATE(C123,""ja"",""vi"")"),"Đấu giá&gt; hàng bé&gt; dưỡng, nguồn cung cấp bữa ăn&gt; Bộ đồ ăn cho bé")</f>
        <v>Đấu giá&gt; hàng bé&gt; dưỡng, nguồn cung cấp bữa ăn&gt; Bộ đồ ăn cho bé</v>
      </c>
      <c r="G123" s="229" t="str">
        <f t="shared" ca="1" si="4"/>
        <v>"2084005664" : "bé bộ đồ ăn",</v>
      </c>
      <c r="H123" s="229" t="str">
        <f t="shared" si="3"/>
        <v>&lt;li class="col-md-3"&gt;&lt;a class="text-cut" href="javascript:;"(click)="categoryEvent(2084005664)"&gt;{{"2084005664" | translate}}&lt;/a&gt;&lt;/li&gt;</v>
      </c>
    </row>
    <row r="124" spans="1:8" ht="14.25" customHeight="1">
      <c r="A124" s="2">
        <v>2084008374</v>
      </c>
      <c r="B124" s="2" t="s">
        <v>1173</v>
      </c>
      <c r="C124" s="2" t="s">
        <v>1175</v>
      </c>
      <c r="D124" s="2" t="s">
        <v>1176</v>
      </c>
      <c r="E124" s="3" t="str">
        <f ca="1">IFERROR(__xludf.DUMMYFUNCTION("GOOGLETRANSLATE(B124,""ja"",""vi"")"),"Sữa, thức ăn trẻ em")</f>
        <v>Sữa, thức ăn trẻ em</v>
      </c>
      <c r="F124" s="3" t="str">
        <f ca="1">IFERROR(__xludf.DUMMYFUNCTION("GOOGLETRANSLATE(C124,""ja"",""vi"")"),"Đấu giá&gt; hàng bé&gt; dưỡng, nguồn cung cấp bữa ăn&gt; sữa, thức ăn trẻ em")</f>
        <v>Đấu giá&gt; hàng bé&gt; dưỡng, nguồn cung cấp bữa ăn&gt; sữa, thức ăn trẻ em</v>
      </c>
      <c r="G124" s="229" t="str">
        <f t="shared" ca="1" si="4"/>
        <v>"2084008374" : "Sữa, thức ăn trẻ em",</v>
      </c>
      <c r="H124" s="229" t="str">
        <f t="shared" si="3"/>
        <v>&lt;li class="col-md-3"&gt;&lt;a class="text-cut" href="javascript:;"(click)="categoryEvent(2084008374)"&gt;{{"2084008374" | translate}}&lt;/a&gt;&lt;/li&gt;</v>
      </c>
    </row>
    <row r="125" spans="1:8" ht="14.25" customHeight="1">
      <c r="A125" s="2">
        <v>2084042551</v>
      </c>
      <c r="B125" s="2" t="s">
        <v>16</v>
      </c>
      <c r="C125" s="2" t="s">
        <v>1178</v>
      </c>
      <c r="D125" s="2" t="s">
        <v>1180</v>
      </c>
      <c r="E125" s="3" t="str">
        <f ca="1">IFERROR(__xludf.DUMMYFUNCTION("GOOGLETRANSLATE(B125,""ja"",""vi"")"),"nếu không thì")</f>
        <v>nếu không thì</v>
      </c>
      <c r="F125" s="3" t="str">
        <f ca="1">IFERROR(__xludf.DUMMYFUNCTION("GOOGLETRANSLATE(C125,""ja"",""vi"")"),"Đấu giá&gt; hàng bé&gt; dưỡng, nguồn cung cấp bữa ăn&gt; Khác")</f>
        <v>Đấu giá&gt; hàng bé&gt; dưỡng, nguồn cung cấp bữa ăn&gt; Khác</v>
      </c>
      <c r="G125" s="229" t="str">
        <f t="shared" ca="1" si="4"/>
        <v>"2084042551" : "nếu không thì",</v>
      </c>
      <c r="H125" s="229" t="str">
        <f t="shared" si="3"/>
        <v>&lt;li class="col-md-3"&gt;&lt;a class="text-cut" href="javascript:;"(click)="categoryEvent(2084042551)"&gt;{{"2084042551" | translate}}&lt;/a&gt;&lt;/li&gt;</v>
      </c>
    </row>
    <row r="126" spans="1:8" ht="14.25" customHeight="1"/>
    <row r="127" spans="1:8" ht="14.25" customHeight="1"/>
    <row r="128" spans="1: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114:D114"/>
    <mergeCell ref="A122:D122"/>
    <mergeCell ref="A63:D63"/>
    <mergeCell ref="A17:D17"/>
    <mergeCell ref="A26:D26"/>
    <mergeCell ref="A56:D56"/>
    <mergeCell ref="A36:D36"/>
    <mergeCell ref="A45:D45"/>
    <mergeCell ref="A95:D95"/>
    <mergeCell ref="A86:D86"/>
    <mergeCell ref="A107:D107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"/>
    </sheetView>
  </sheetViews>
  <sheetFormatPr defaultColWidth="12.59765625" defaultRowHeight="15" customHeight="1"/>
  <cols>
    <col min="1" max="1" width="8.19921875" customWidth="1"/>
    <col min="2" max="2" width="8.59765625" customWidth="1"/>
    <col min="3" max="3" width="23.09765625" customWidth="1"/>
    <col min="4" max="4" width="13.5" customWidth="1"/>
    <col min="5" max="5" width="7.59765625" customWidth="1"/>
    <col min="6" max="6" width="51.59765625" customWidth="1"/>
    <col min="7" max="7" width="31.69921875" customWidth="1"/>
    <col min="8" max="26" width="7.59765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4.25" customHeight="1">
      <c r="A2" s="2">
        <v>2084044330</v>
      </c>
      <c r="B2" s="2" t="s">
        <v>1141</v>
      </c>
      <c r="C2" s="2" t="s">
        <v>1145</v>
      </c>
      <c r="D2" s="2" t="s">
        <v>1147</v>
      </c>
      <c r="E2" s="3" t="str">
        <f ca="1">IFERROR(__xludf.DUMMYFUNCTION("GOOGLETRANSLATE(B2,""ja"",""vi"")"),"theo thể loại")</f>
        <v>theo thể loại</v>
      </c>
      <c r="F2" s="3" t="str">
        <f ca="1">IFERROR(__xludf.DUMMYFUNCTION("GOOGLETRANSLATE(C2,""ja"",""vi"")"),"Đấu giá vé, chứng từ đặt phòng&gt;, Khách sạn&gt; Thể loại")</f>
        <v>Đấu giá vé, chứng từ đặt phòng&gt;, Khách sạn&gt; Thể loại</v>
      </c>
      <c r="G2" s="229" t="str">
        <f ca="1">CONCATENATE(CHAR(34)&amp;"",A2,""&amp;CHAR(34)," : ", CHAR(34)&amp;"",E2,""&amp;CHAR(34),",")</f>
        <v>"2084044330" : "theo thể loại",</v>
      </c>
      <c r="H2" s="229" t="str">
        <f>CONCATENATE("&lt;li class=",CHAR(34)&amp;"","col-md-3",""&amp;CHAR(34),"&gt;","&lt;a class=",CHAR(34)&amp;"","text-cut",""&amp;CHAR(34)," href=",CHAR(34)&amp;"","javascript:;",""&amp;CHAR(34), "(click)=",CHAR(34)&amp;"","categoryEvent(",A2,")",""&amp;CHAR(34),"&gt;{{",CHAR(34)&amp;"",A2,""&amp;CHAR(34)," | translate}}&lt;/a&gt;&lt;/li&gt;")</f>
        <v>&lt;li class="col-md-3"&gt;&lt;a class="text-cut" href="javascript:;"(click)="categoryEvent(2084044330)"&gt;{{"2084044330" | translate}}&lt;/a&gt;&lt;/li&gt;</v>
      </c>
    </row>
    <row r="3" spans="1:8" ht="14.25" customHeight="1">
      <c r="A3" s="4">
        <v>22748</v>
      </c>
      <c r="B3" s="4" t="s">
        <v>1152</v>
      </c>
      <c r="C3" s="4" t="s">
        <v>1153</v>
      </c>
      <c r="D3" s="4" t="s">
        <v>1155</v>
      </c>
      <c r="E3" s="3" t="str">
        <f ca="1">IFERROR(__xludf.DUMMYFUNCTION("GOOGLETRANSLATE(B3,""ja"",""vi"")"),"vé phòng vé")</f>
        <v>vé phòng vé</v>
      </c>
      <c r="F3" s="3" t="str">
        <f ca="1">IFERROR(__xludf.DUMMYFUNCTION("GOOGLETRANSLATE(C3,""ja"",""vi"")"),"Đấu giá&gt; vé, chứng từ, đặt phòng khách sạn&gt; vé phòng vé")</f>
        <v>Đấu giá&gt; vé, chứng từ, đặt phòng khách sạn&gt; vé phòng vé</v>
      </c>
      <c r="G3" s="229" t="str">
        <f t="shared" ref="G3:G66" ca="1" si="0">CONCATENATE(CHAR(34)&amp;"",A3,""&amp;CHAR(34)," : ", CHAR(34)&amp;"",E3,""&amp;CHAR(34),",")</f>
        <v>"22748" : "vé phòng vé",</v>
      </c>
      <c r="H3" s="229" t="str">
        <f t="shared" ref="H3:H66" si="1">CONCATENATE("&lt;li class=",CHAR(34)&amp;"","col-md-3",""&amp;CHAR(34),"&gt;","&lt;a class=",CHAR(34)&amp;"","text-cut",""&amp;CHAR(34)," href=",CHAR(34)&amp;"","javascript:;",""&amp;CHAR(34), "(click)=",CHAR(34)&amp;"","categoryEvent(",A3,")",""&amp;CHAR(34),"&gt;{{",CHAR(34)&amp;"",A3,""&amp;CHAR(34)," | translate}}&lt;/a&gt;&lt;/li&gt;")</f>
        <v>&lt;li class="col-md-3"&gt;&lt;a class="text-cut" href="javascript:;"(click)="categoryEvent(22748)"&gt;{{"22748" | translate}}&lt;/a&gt;&lt;/li&gt;</v>
      </c>
    </row>
    <row r="4" spans="1:8" ht="14.25" customHeight="1">
      <c r="A4" s="5">
        <v>2084048817</v>
      </c>
      <c r="B4" s="5" t="s">
        <v>1158</v>
      </c>
      <c r="C4" s="5" t="s">
        <v>1160</v>
      </c>
      <c r="D4" s="5" t="s">
        <v>1162</v>
      </c>
      <c r="E4" s="3" t="str">
        <f ca="1">IFERROR(__xludf.DUMMYFUNCTION("GOOGLETRANSLATE(B4,""ja"",""vi"")"),"vé miễn phí, vé giảm giá")</f>
        <v>vé miễn phí, vé giảm giá</v>
      </c>
      <c r="F4" s="3" t="str">
        <f ca="1">IFERROR(__xludf.DUMMYFUNCTION("GOOGLETRANSLATE(C4,""ja"",""vi"")"),"Đấu giá&gt; vé, chứng từ, đặt phòng khách sạn&gt; vé miễn phí, vé giảm giá")</f>
        <v>Đấu giá&gt; vé, chứng từ, đặt phòng khách sạn&gt; vé miễn phí, vé giảm giá</v>
      </c>
      <c r="G4" s="229" t="str">
        <f t="shared" ca="1" si="0"/>
        <v>"2084048817" : "vé miễn phí, vé giảm giá",</v>
      </c>
      <c r="H4" s="229" t="str">
        <f t="shared" si="1"/>
        <v>&lt;li class="col-md-3"&gt;&lt;a class="text-cut" href="javascript:;"(click)="categoryEvent(2084048817)"&gt;{{"2084048817" | translate}}&lt;/a&gt;&lt;/li&gt;</v>
      </c>
    </row>
    <row r="5" spans="1:8" ht="14.25" customHeight="1">
      <c r="A5" s="8">
        <v>2084044317</v>
      </c>
      <c r="B5" s="8" t="s">
        <v>1163</v>
      </c>
      <c r="C5" s="8" t="s">
        <v>1166</v>
      </c>
      <c r="D5" s="8" t="s">
        <v>1169</v>
      </c>
      <c r="E5" s="3" t="str">
        <f ca="1">IFERROR(__xludf.DUMMYFUNCTION("GOOGLETRANSLATE(B5,""ja"",""vi"")"),"cơ sở vật chất Voucher")</f>
        <v>cơ sở vật chất Voucher</v>
      </c>
      <c r="F5" s="3" t="str">
        <f ca="1">IFERROR(__xludf.DUMMYFUNCTION("GOOGLETRANSLATE(C5,""ja"",""vi"")"),"Đấu giá&gt; vé, chứng từ, đặt phòng khách sạn&gt; Các cơ sở sử dụng vé")</f>
        <v>Đấu giá&gt; vé, chứng từ, đặt phòng khách sạn&gt; Các cơ sở sử dụng vé</v>
      </c>
      <c r="G5" s="229" t="str">
        <f t="shared" ca="1" si="0"/>
        <v>"2084044317" : "cơ sở vật chất Voucher",</v>
      </c>
      <c r="H5" s="229" t="str">
        <f t="shared" si="1"/>
        <v>&lt;li class="col-md-3"&gt;&lt;a class="text-cut" href="javascript:;"(click)="categoryEvent(2084044317)"&gt;{{"2084044317" | translate}}&lt;/a&gt;&lt;/li&gt;</v>
      </c>
    </row>
    <row r="6" spans="1:8" ht="14.25" customHeight="1">
      <c r="A6" s="6">
        <v>26178</v>
      </c>
      <c r="B6" s="6" t="s">
        <v>1171</v>
      </c>
      <c r="C6" s="6" t="s">
        <v>1172</v>
      </c>
      <c r="D6" s="6" t="s">
        <v>1174</v>
      </c>
      <c r="E6" s="3" t="str">
        <f ca="1">IFERROR(__xludf.DUMMYFUNCTION("GOOGLETRANSLATE(B6,""ja"",""vi"")"),"Vé, vé giao thông")</f>
        <v>Vé, vé giao thông</v>
      </c>
      <c r="F6" s="3" t="str">
        <f ca="1">IFERROR(__xludf.DUMMYFUNCTION("GOOGLETRANSLATE(C6,""ja"",""vi"")"),"Đấu giá&gt; vé, chứng từ, đặt phòng khách sạn&gt; vé, vé giao thông")</f>
        <v>Đấu giá&gt; vé, chứng từ, đặt phòng khách sạn&gt; vé, vé giao thông</v>
      </c>
      <c r="G6" s="229" t="str">
        <f t="shared" ca="1" si="0"/>
        <v>"26178" : "Vé, vé giao thông",</v>
      </c>
      <c r="H6" s="229" t="str">
        <f t="shared" si="1"/>
        <v>&lt;li class="col-md-3"&gt;&lt;a class="text-cut" href="javascript:;"(click)="categoryEvent(26178)"&gt;{{"26178" | translate}}&lt;/a&gt;&lt;/li&gt;</v>
      </c>
    </row>
    <row r="7" spans="1:8" ht="14.25" customHeight="1">
      <c r="A7" s="9">
        <v>2084006752</v>
      </c>
      <c r="B7" s="9" t="s">
        <v>1177</v>
      </c>
      <c r="C7" s="9" t="s">
        <v>1179</v>
      </c>
      <c r="D7" s="9" t="s">
        <v>1181</v>
      </c>
      <c r="E7" s="3" t="str">
        <f ca="1">IFERROR(__xludf.DUMMYFUNCTION("GOOGLETRANSLATE(B7,""ja"",""vi"")"),"Gift Voucher")</f>
        <v>Gift Voucher</v>
      </c>
      <c r="F7" s="3" t="str">
        <f ca="1">IFERROR(__xludf.DUMMYFUNCTION("GOOGLETRANSLATE(C7,""ja"",""vi"")"),"Đấu giá&gt; vé, chứng từ, đặt phòng khách sạn&gt; Phiếu Quà tặng")</f>
        <v>Đấu giá&gt; vé, chứng từ, đặt phòng khách sạn&gt; Phiếu Quà tặng</v>
      </c>
      <c r="G7" s="229" t="str">
        <f t="shared" ca="1" si="0"/>
        <v>"2084006752" : "Gift Voucher",</v>
      </c>
      <c r="H7" s="229" t="str">
        <f t="shared" si="1"/>
        <v>&lt;li class="col-md-3"&gt;&lt;a class="text-cut" href="javascript:;"(click)="categoryEvent(2084006752)"&gt;{{"2084006752" | translate}}&lt;/a&gt;&lt;/li&gt;</v>
      </c>
    </row>
    <row r="8" spans="1:8" ht="14.25" customHeight="1">
      <c r="A8" s="41">
        <v>2084049443</v>
      </c>
      <c r="B8" s="41" t="s">
        <v>1182</v>
      </c>
      <c r="C8" s="41" t="s">
        <v>1184</v>
      </c>
      <c r="D8" s="41" t="s">
        <v>1186</v>
      </c>
      <c r="E8" s="3" t="str">
        <f ca="1">IFERROR(__xludf.DUMMYFUNCTION("GOOGLETRANSLATE(B8,""ja"",""vi"")"),"Thực phẩm, voucher uống")</f>
        <v>Thực phẩm, voucher uống</v>
      </c>
      <c r="F8" s="3" t="str">
        <f ca="1">IFERROR(__xludf.DUMMYFUNCTION("GOOGLETRANSLATE(C8,""ja"",""vi"")"),"Đấu giá&gt; vé, chứng từ, đặt phòng khách sạn&gt; Thực phẩm, voucher uống")</f>
        <v>Đấu giá&gt; vé, chứng từ, đặt phòng khách sạn&gt; Thực phẩm, voucher uống</v>
      </c>
      <c r="G8" s="229" t="str">
        <f t="shared" ca="1" si="0"/>
        <v>"2084049443" : "Thực phẩm, voucher uống",</v>
      </c>
      <c r="H8" s="229" t="str">
        <f t="shared" si="1"/>
        <v>&lt;li class="col-md-3"&gt;&lt;a class="text-cut" href="javascript:;"(click)="categoryEvent(2084049443)"&gt;{{"2084049443" | translate}}&lt;/a&gt;&lt;/li&gt;</v>
      </c>
    </row>
    <row r="9" spans="1:8" ht="14.25" customHeight="1">
      <c r="A9" s="16">
        <v>2084007688</v>
      </c>
      <c r="B9" s="16" t="s">
        <v>1188</v>
      </c>
      <c r="C9" s="16" t="s">
        <v>1189</v>
      </c>
      <c r="D9" s="16" t="s">
        <v>1191</v>
      </c>
      <c r="E9" s="3" t="str">
        <f ca="1">IFERROR(__xludf.DUMMYFUNCTION("GOOGLETRANSLATE(B9,""ja"",""vi"")"),"thẻ trả trước")</f>
        <v>thẻ trả trước</v>
      </c>
      <c r="F9" s="3" t="str">
        <f ca="1">IFERROR(__xludf.DUMMYFUNCTION("GOOGLETRANSLATE(C9,""ja"",""vi"")"),"Đấu giá&gt; vé, chứng từ, đặt phòng khách sạn&gt; Thẻ trả trước")</f>
        <v>Đấu giá&gt; vé, chứng từ, đặt phòng khách sạn&gt; Thẻ trả trước</v>
      </c>
      <c r="G9" s="229" t="str">
        <f t="shared" ca="1" si="0"/>
        <v>"2084007688" : "thẻ trả trước",</v>
      </c>
      <c r="H9" s="229" t="str">
        <f t="shared" si="1"/>
        <v>&lt;li class="col-md-3"&gt;&lt;a class="text-cut" href="javascript:;"(click)="categoryEvent(2084007688)"&gt;{{"2084007688" | translate}}&lt;/a&gt;&lt;/li&gt;</v>
      </c>
    </row>
    <row r="10" spans="1:8" ht="14.25" customHeight="1">
      <c r="A10" s="85">
        <v>2084052795</v>
      </c>
      <c r="B10" s="85" t="s">
        <v>1196</v>
      </c>
      <c r="C10" s="85" t="s">
        <v>1197</v>
      </c>
      <c r="D10" s="85" t="s">
        <v>1198</v>
      </c>
      <c r="E10" s="3" t="str">
        <f ca="1">IFERROR(__xludf.DUMMYFUNCTION("GOOGLETRANSLATE(B10,""ja"",""vi"")"),"Vé, đặt vé")</f>
        <v>Vé, đặt vé</v>
      </c>
      <c r="F10" s="3" t="str">
        <f ca="1">IFERROR(__xludf.DUMMYFUNCTION("GOOGLETRANSLATE(C10,""ja"",""vi"")"),"Đấu giá&gt; vé, chứng từ, đặt phòng khách sạn&gt; vé, đặt vé")</f>
        <v>Đấu giá&gt; vé, chứng từ, đặt phòng khách sạn&gt; vé, đặt vé</v>
      </c>
      <c r="G10" s="229" t="str">
        <f t="shared" ca="1" si="0"/>
        <v>"2084052795" : "Vé, đặt vé",</v>
      </c>
      <c r="H10" s="229" t="str">
        <f t="shared" si="1"/>
        <v>&lt;li class="col-md-3"&gt;&lt;a class="text-cut" href="javascript:;"(click)="categoryEvent(2084052795)"&gt;{{"2084052795" | translate}}&lt;/a&gt;&lt;/li&gt;</v>
      </c>
    </row>
    <row r="11" spans="1:8" ht="14.25" customHeight="1">
      <c r="A11" s="81">
        <v>2084062636</v>
      </c>
      <c r="B11" s="81" t="s">
        <v>1203</v>
      </c>
      <c r="C11" s="81" t="s">
        <v>1205</v>
      </c>
      <c r="D11" s="81" t="s">
        <v>1206</v>
      </c>
      <c r="E11" s="3" t="str">
        <f ca="1">IFERROR(__xludf.DUMMYFUNCTION("GOOGLETRANSLATE(B11,""ja"",""vi"")"),"Đặt phòng khách sạn")</f>
        <v>Đặt phòng khách sạn</v>
      </c>
      <c r="F11" s="3" t="str">
        <f ca="1">IFERROR(__xludf.DUMMYFUNCTION("GOOGLETRANSLATE(C11,""ja"",""vi"")"),"Đấu giá&gt; vé, chứng từ, đặt phòng khách sạn&gt; đặt phòng nơi ăn nghỉ")</f>
        <v>Đấu giá&gt; vé, chứng từ, đặt phòng khách sạn&gt; đặt phòng nơi ăn nghỉ</v>
      </c>
      <c r="G11" s="229" t="str">
        <f t="shared" ca="1" si="0"/>
        <v>"2084062636" : "Đặt phòng khách sạn",</v>
      </c>
      <c r="H11" s="229" t="str">
        <f t="shared" si="1"/>
        <v>&lt;li class="col-md-3"&gt;&lt;a class="text-cut" href="javascript:;"(click)="categoryEvent(2084062636)"&gt;{{"2084062636" | translate}}&lt;/a&gt;&lt;/li&gt;</v>
      </c>
    </row>
    <row r="12" spans="1:8" ht="14.25" customHeight="1">
      <c r="E12" s="3"/>
      <c r="F12" s="3"/>
      <c r="G12" s="229"/>
      <c r="H12" s="229"/>
    </row>
    <row r="13" spans="1:8" ht="34.799999999999997" customHeight="1">
      <c r="A13" s="231">
        <v>2084044330</v>
      </c>
      <c r="B13" s="232"/>
      <c r="C13" s="232"/>
      <c r="D13" s="233"/>
      <c r="E13" s="3"/>
      <c r="F13" s="3"/>
      <c r="G13" s="229"/>
      <c r="H13" s="229"/>
    </row>
    <row r="14" spans="1:8" ht="14.25" customHeight="1">
      <c r="A14" s="2">
        <v>2084044329</v>
      </c>
      <c r="B14" s="2" t="s">
        <v>829</v>
      </c>
      <c r="C14" s="2" t="s">
        <v>1212</v>
      </c>
      <c r="D14" s="2" t="s">
        <v>1216</v>
      </c>
      <c r="E14" s="3" t="str">
        <f ca="1">IFERROR(__xludf.DUMMYFUNCTION("GOOGLETRANSLATE(B14,""ja"",""vi"")"),"sự kiện")</f>
        <v>sự kiện</v>
      </c>
      <c r="F14" s="3" t="str">
        <f ca="1">IFERROR(__xludf.DUMMYFUNCTION("GOOGLETRANSLATE(C14,""ja"",""vi"")"),"Đấu giá vé, chứng từ đặt phòng&gt;, Khách sạn&gt; thể loại&gt; Sự kiện")</f>
        <v>Đấu giá vé, chứng từ đặt phòng&gt;, Khách sạn&gt; thể loại&gt; Sự kiện</v>
      </c>
      <c r="G14" s="229" t="str">
        <f t="shared" ca="1" si="0"/>
        <v>"2084044329" : "sự kiện",</v>
      </c>
      <c r="H14" s="229" t="str">
        <f t="shared" si="1"/>
        <v>&lt;li class="col-md-3"&gt;&lt;a class="text-cut" href="javascript:;"(click)="categoryEvent(2084044329)"&gt;{{"2084044329" | translate}}&lt;/a&gt;&lt;/li&gt;</v>
      </c>
    </row>
    <row r="15" spans="1:8" ht="14.25" customHeight="1">
      <c r="A15" s="2">
        <v>2084044354</v>
      </c>
      <c r="B15" s="2" t="s">
        <v>1221</v>
      </c>
      <c r="C15" s="2" t="s">
        <v>1224</v>
      </c>
      <c r="D15" s="2" t="s">
        <v>1229</v>
      </c>
      <c r="E15" s="3" t="str">
        <f ca="1">IFERROR(__xludf.DUMMYFUNCTION("GOOGLETRANSLATE(B15,""ja"",""vi"")"),"Gourmet, uống")</f>
        <v>Gourmet, uống</v>
      </c>
      <c r="F15" s="3" t="str">
        <f ca="1">IFERROR(__xludf.DUMMYFUNCTION("GOOGLETRANSLATE(C15,""ja"",""vi"")"),"Đấu giá&gt; vé, chứng từ, đặt phòng khách sạn&gt; theo thể loại&gt; Thực phẩm, đồ uống")</f>
        <v>Đấu giá&gt; vé, chứng từ, đặt phòng khách sạn&gt; theo thể loại&gt; Thực phẩm, đồ uống</v>
      </c>
      <c r="G15" s="229" t="str">
        <f t="shared" ca="1" si="0"/>
        <v>"2084044354" : "Gourmet, uống",</v>
      </c>
      <c r="H15" s="229" t="str">
        <f t="shared" si="1"/>
        <v>&lt;li class="col-md-3"&gt;&lt;a class="text-cut" href="javascript:;"(click)="categoryEvent(2084044354)"&gt;{{"2084044354" | translate}}&lt;/a&gt;&lt;/li&gt;</v>
      </c>
    </row>
    <row r="16" spans="1:8" ht="14.25" customHeight="1">
      <c r="A16" s="2">
        <v>25430</v>
      </c>
      <c r="B16" s="2" t="s">
        <v>262</v>
      </c>
      <c r="C16" s="2" t="s">
        <v>1235</v>
      </c>
      <c r="D16" s="2" t="s">
        <v>1238</v>
      </c>
      <c r="E16" s="3" t="str">
        <f ca="1">IFERROR(__xludf.DUMMYFUNCTION("GOOGLETRANSLATE(B16,""ja"",""vi"")"),"thể thao")</f>
        <v>thể thao</v>
      </c>
      <c r="F16" s="3" t="str">
        <f ca="1">IFERROR(__xludf.DUMMYFUNCTION("GOOGLETRANSLATE(C16,""ja"",""vi"")"),"Đấu giá&gt; vé, chứng từ, khách sạn đặt phòng&gt; thể loại&gt; Thể Thao")</f>
        <v>Đấu giá&gt; vé, chứng từ, khách sạn đặt phòng&gt; thể loại&gt; Thể Thao</v>
      </c>
      <c r="G16" s="229" t="str">
        <f t="shared" ca="1" si="0"/>
        <v>"25430" : "thể thao",</v>
      </c>
      <c r="H16" s="229" t="str">
        <f t="shared" si="1"/>
        <v>&lt;li class="col-md-3"&gt;&lt;a class="text-cut" href="javascript:;"(click)="categoryEvent(25430)"&gt;{{"25430" | translate}}&lt;/a&gt;&lt;/li&gt;</v>
      </c>
    </row>
    <row r="17" spans="1:8" ht="14.25" customHeight="1">
      <c r="A17" s="2">
        <v>2084044328</v>
      </c>
      <c r="B17" s="2" t="s">
        <v>811</v>
      </c>
      <c r="C17" s="2" t="s">
        <v>1246</v>
      </c>
      <c r="D17" s="2" t="s">
        <v>1247</v>
      </c>
      <c r="E17" s="3" t="str">
        <f ca="1">IFERROR(__xludf.DUMMYFUNCTION("GOOGLETRANSLATE(B17,""ja"",""vi"")"),"Nghệ thuật biểu diễn")</f>
        <v>Nghệ thuật biểu diễn</v>
      </c>
      <c r="F17" s="3" t="str">
        <f ca="1">IFERROR(__xludf.DUMMYFUNCTION("GOOGLETRANSLATE(C17,""ja"",""vi"")"),"Đấu giá vé, chứng từ, đặt&gt; Khách sạn&gt; theo thể loại&gt; Nghệ thuật biểu diễn")</f>
        <v>Đấu giá vé, chứng từ, đặt&gt; Khách sạn&gt; theo thể loại&gt; Nghệ thuật biểu diễn</v>
      </c>
      <c r="G17" s="229" t="str">
        <f t="shared" ca="1" si="0"/>
        <v>"2084044328" : "Nghệ thuật biểu diễn",</v>
      </c>
      <c r="H17" s="229" t="str">
        <f t="shared" si="1"/>
        <v>&lt;li class="col-md-3"&gt;&lt;a class="text-cut" href="javascript:;"(click)="categoryEvent(2084044328)"&gt;{{"2084044328" | translate}}&lt;/a&gt;&lt;/li&gt;</v>
      </c>
    </row>
    <row r="18" spans="1:8" ht="14.25" customHeight="1">
      <c r="A18" s="2">
        <v>2084046719</v>
      </c>
      <c r="B18" s="2" t="s">
        <v>195</v>
      </c>
      <c r="C18" s="2" t="s">
        <v>1253</v>
      </c>
      <c r="D18" s="2" t="s">
        <v>1254</v>
      </c>
      <c r="E18" s="3" t="str">
        <f ca="1">IFERROR(__xludf.DUMMYFUNCTION("GOOGLETRANSLATE(B18,""ja"",""vi"")"),"Sở thích, Văn hóa")</f>
        <v>Sở thích, Văn hóa</v>
      </c>
      <c r="F18" s="3" t="str">
        <f ca="1">IFERROR(__xludf.DUMMYFUNCTION("GOOGLETRANSLATE(C18,""ja"",""vi"")"),"Đấu giá vé, chứng từ, đặt&gt; Khách sạn&gt; theo thể loại&gt; Sở thích, Văn hóa")</f>
        <v>Đấu giá vé, chứng từ, đặt&gt; Khách sạn&gt; theo thể loại&gt; Sở thích, Văn hóa</v>
      </c>
      <c r="G18" s="229" t="str">
        <f t="shared" ca="1" si="0"/>
        <v>"2084046719" : "Sở thích, Văn hóa",</v>
      </c>
      <c r="H18" s="229" t="str">
        <f t="shared" si="1"/>
        <v>&lt;li class="col-md-3"&gt;&lt;a class="text-cut" href="javascript:;"(click)="categoryEvent(2084046719)"&gt;{{"2084046719" | translate}}&lt;/a&gt;&lt;/li&gt;</v>
      </c>
    </row>
    <row r="19" spans="1:8" ht="14.25" customHeight="1">
      <c r="A19" s="2">
        <v>2084044344</v>
      </c>
      <c r="B19" s="2" t="s">
        <v>1261</v>
      </c>
      <c r="C19" s="2" t="s">
        <v>1262</v>
      </c>
      <c r="D19" s="2" t="s">
        <v>1263</v>
      </c>
      <c r="E19" s="3" t="str">
        <f ca="1">IFERROR(__xludf.DUMMYFUNCTION("GOOGLETRANSLATE(B19,""ja"",""vi"")"),"giải trí")</f>
        <v>giải trí</v>
      </c>
      <c r="F19" s="3" t="str">
        <f ca="1">IFERROR(__xludf.DUMMYFUNCTION("GOOGLETRANSLATE(C19,""ja"",""vi"")"),"Đấu giá&gt; vé, chứng từ, đặt phòng khách sạn&gt; thể loại&gt; giải trí")</f>
        <v>Đấu giá&gt; vé, chứng từ, đặt phòng khách sạn&gt; thể loại&gt; giải trí</v>
      </c>
      <c r="G19" s="229" t="str">
        <f t="shared" ca="1" si="0"/>
        <v>"2084044344" : "giải trí",</v>
      </c>
      <c r="H19" s="229" t="str">
        <f t="shared" si="1"/>
        <v>&lt;li class="col-md-3"&gt;&lt;a class="text-cut" href="javascript:;"(click)="categoryEvent(2084044344)"&gt;{{"2084044344" | translate}}&lt;/a&gt;&lt;/li&gt;</v>
      </c>
    </row>
    <row r="20" spans="1:8" ht="14.25" customHeight="1">
      <c r="A20" s="2">
        <v>2084039789</v>
      </c>
      <c r="B20" s="2" t="s">
        <v>837</v>
      </c>
      <c r="C20" s="2" t="s">
        <v>1270</v>
      </c>
      <c r="D20" s="2" t="s">
        <v>1271</v>
      </c>
      <c r="E20" s="3" t="str">
        <f ca="1">IFERROR(__xludf.DUMMYFUNCTION("GOOGLETRANSLATE(B20,""ja"",""vi"")"),"phim")</f>
        <v>phim</v>
      </c>
      <c r="F20" s="3" t="str">
        <f ca="1">IFERROR(__xludf.DUMMYFUNCTION("GOOGLETRANSLATE(C20,""ja"",""vi"")"),"Đấu giá vé, chứng từ đặt phòng khách sạn&gt;,&gt; thể loại&gt; Phim")</f>
        <v>Đấu giá vé, chứng từ đặt phòng khách sạn&gt;,&gt; thể loại&gt; Phim</v>
      </c>
      <c r="G20" s="229" t="str">
        <f t="shared" ca="1" si="0"/>
        <v>"2084039789" : "phim",</v>
      </c>
      <c r="H20" s="229" t="str">
        <f t="shared" si="1"/>
        <v>&lt;li class="col-md-3"&gt;&lt;a class="text-cut" href="javascript:;"(click)="categoryEvent(2084039789)"&gt;{{"2084039789" | translate}}&lt;/a&gt;&lt;/li&gt;</v>
      </c>
    </row>
    <row r="21" spans="1:8" ht="14.25" customHeight="1">
      <c r="A21" s="2">
        <v>2084044331</v>
      </c>
      <c r="B21" s="2" t="s">
        <v>150</v>
      </c>
      <c r="C21" s="2" t="s">
        <v>1274</v>
      </c>
      <c r="D21" s="2" t="s">
        <v>1276</v>
      </c>
      <c r="E21" s="3" t="str">
        <f ca="1">IFERROR(__xludf.DUMMYFUNCTION("GOOGLETRANSLATE(B21,""ja"",""vi"")"),"nhạc")</f>
        <v>nhạc</v>
      </c>
      <c r="F21" s="3" t="str">
        <f ca="1">IFERROR(__xludf.DUMMYFUNCTION("GOOGLETRANSLATE(C21,""ja"",""vi"")"),"Đấu giá&gt; vé, chứng từ, đặt phòng khách sạn&gt; thể loại&gt; Âm nhạc")</f>
        <v>Đấu giá&gt; vé, chứng từ, đặt phòng khách sạn&gt; thể loại&gt; Âm nhạc</v>
      </c>
      <c r="G21" s="229" t="str">
        <f t="shared" ca="1" si="0"/>
        <v>"2084044331" : "nhạc",</v>
      </c>
      <c r="H21" s="229" t="str">
        <f t="shared" si="1"/>
        <v>&lt;li class="col-md-3"&gt;&lt;a class="text-cut" href="javascript:;"(click)="categoryEvent(2084044331)"&gt;{{"2084044331" | translate}}&lt;/a&gt;&lt;/li&gt;</v>
      </c>
    </row>
    <row r="22" spans="1:8" ht="14.25" customHeight="1">
      <c r="A22" s="2">
        <v>2084044357</v>
      </c>
      <c r="B22" s="2" t="s">
        <v>220</v>
      </c>
      <c r="C22" s="2" t="s">
        <v>1281</v>
      </c>
      <c r="D22" s="2" t="s">
        <v>1283</v>
      </c>
      <c r="E22" s="3" t="str">
        <f ca="1">IFERROR(__xludf.DUMMYFUNCTION("GOOGLETRANSLATE(B22,""ja"",""vi"")"),"Nhà, nội thất")</f>
        <v>Nhà, nội thất</v>
      </c>
      <c r="F22" s="3" t="str">
        <f ca="1">IFERROR(__xludf.DUMMYFUNCTION("GOOGLETRANSLATE(C22,""ja"",""vi"")"),"Đấu giá vé, chứng từ, đặt&gt; Khách sạn&gt; theo thể loại&gt; nhà, nội thất")</f>
        <v>Đấu giá vé, chứng từ, đặt&gt; Khách sạn&gt; theo thể loại&gt; nhà, nội thất</v>
      </c>
      <c r="G22" s="229" t="str">
        <f t="shared" ca="1" si="0"/>
        <v>"2084044357" : "Nhà, nội thất",</v>
      </c>
      <c r="H22" s="229" t="str">
        <f t="shared" si="1"/>
        <v>&lt;li class="col-md-3"&gt;&lt;a class="text-cut" href="javascript:;"(click)="categoryEvent(2084044357)"&gt;{{"2084044357" | translate}}&lt;/a&gt;&lt;/li&gt;</v>
      </c>
    </row>
    <row r="23" spans="1:8" ht="14.25" customHeight="1">
      <c r="A23" s="2">
        <v>2084044352</v>
      </c>
      <c r="B23" s="2" t="s">
        <v>1286</v>
      </c>
      <c r="C23" s="2" t="s">
        <v>1287</v>
      </c>
      <c r="D23" s="2" t="s">
        <v>1288</v>
      </c>
      <c r="E23" s="3" t="str">
        <f ca="1">IFERROR(__xludf.DUMMYFUNCTION("GOOGLETRANSLATE(B23,""ja"",""vi"")"),"Làm đẹp, sức khỏe")</f>
        <v>Làm đẹp, sức khỏe</v>
      </c>
      <c r="F23" s="3" t="str">
        <f ca="1">IFERROR(__xludf.DUMMYFUNCTION("GOOGLETRANSLATE(C23,""ja"",""vi"")"),"Đấu giá vé, chứng từ, đặt&gt; Khách sạn&gt; theo thể loại&gt; Làm đẹp, sức khỏe")</f>
        <v>Đấu giá vé, chứng từ, đặt&gt; Khách sạn&gt; theo thể loại&gt; Làm đẹp, sức khỏe</v>
      </c>
      <c r="G23" s="229" t="str">
        <f t="shared" ca="1" si="0"/>
        <v>"2084044352" : "Làm đẹp, sức khỏe",</v>
      </c>
      <c r="H23" s="229" t="str">
        <f t="shared" si="1"/>
        <v>&lt;li class="col-md-3"&gt;&lt;a class="text-cut" href="javascript:;"(click)="categoryEvent(2084044352)"&gt;{{"2084044352" | translate}}&lt;/a&gt;&lt;/li&gt;</v>
      </c>
    </row>
    <row r="24" spans="1:8" ht="14.25" customHeight="1">
      <c r="A24" s="2">
        <v>2084044348</v>
      </c>
      <c r="B24" s="2" t="s">
        <v>1294</v>
      </c>
      <c r="C24" s="2" t="s">
        <v>1295</v>
      </c>
      <c r="D24" s="2" t="s">
        <v>1296</v>
      </c>
      <c r="E24" s="3" t="str">
        <f ca="1">IFERROR(__xludf.DUMMYFUNCTION("GOOGLETRANSLATE(B24,""ja"",""vi"")"),"Du lịch, giao thông")</f>
        <v>Du lịch, giao thông</v>
      </c>
      <c r="F24" s="3" t="str">
        <f ca="1">IFERROR(__xludf.DUMMYFUNCTION("GOOGLETRANSLATE(C24,""ja"",""vi"")"),"Đấu giá vé, chứng từ, đặt&gt; Khách sạn&gt; theo thể loại&gt; Du lịch, Giao thông vận tải")</f>
        <v>Đấu giá vé, chứng từ, đặt&gt; Khách sạn&gt; theo thể loại&gt; Du lịch, Giao thông vận tải</v>
      </c>
      <c r="G24" s="229" t="str">
        <f t="shared" ca="1" si="0"/>
        <v>"2084044348" : "Du lịch, giao thông",</v>
      </c>
      <c r="H24" s="229" t="str">
        <f t="shared" si="1"/>
        <v>&lt;li class="col-md-3"&gt;&lt;a class="text-cut" href="javascript:;"(click)="categoryEvent(2084044348)"&gt;{{"2084044348" | translate}}&lt;/a&gt;&lt;/li&gt;</v>
      </c>
    </row>
    <row r="25" spans="1:8" ht="14.25" customHeight="1">
      <c r="E25" s="3"/>
      <c r="F25" s="3"/>
      <c r="G25" s="229"/>
      <c r="H25" s="229"/>
    </row>
    <row r="26" spans="1:8" ht="24.6" customHeight="1">
      <c r="A26" s="239">
        <v>22748</v>
      </c>
      <c r="B26" s="232"/>
      <c r="C26" s="232"/>
      <c r="D26" s="233"/>
      <c r="E26" s="3"/>
      <c r="F26" s="3"/>
      <c r="G26" s="229"/>
      <c r="H26" s="229"/>
    </row>
    <row r="27" spans="1:8" ht="14.25" customHeight="1">
      <c r="A27" s="2">
        <v>50060</v>
      </c>
      <c r="B27" s="2" t="s">
        <v>150</v>
      </c>
      <c r="C27" s="2" t="s">
        <v>803</v>
      </c>
      <c r="D27" s="2" t="s">
        <v>804</v>
      </c>
      <c r="E27" s="3" t="str">
        <f ca="1">IFERROR(__xludf.DUMMYFUNCTION("GOOGLETRANSLATE(B27,""ja"",""vi"")"),"nhạc")</f>
        <v>nhạc</v>
      </c>
      <c r="F27" s="3" t="str">
        <f ca="1">IFERROR(__xludf.DUMMYFUNCTION("GOOGLETRANSLATE(C27,""ja"",""vi"")"),"Đấu giá&gt; vé, chứng từ, đặt phòng khách sạn&gt; vé vui chơi giải trí&gt; Âm nhạc")</f>
        <v>Đấu giá&gt; vé, chứng từ, đặt phòng khách sạn&gt; vé vui chơi giải trí&gt; Âm nhạc</v>
      </c>
      <c r="G27" s="229" t="str">
        <f t="shared" ca="1" si="0"/>
        <v>"50060" : "nhạc",</v>
      </c>
      <c r="H27" s="229" t="str">
        <f t="shared" si="1"/>
        <v>&lt;li class="col-md-3"&gt;&lt;a class="text-cut" href="javascript:;"(click)="categoryEvent(50060)"&gt;{{"50060" | translate}}&lt;/a&gt;&lt;/li&gt;</v>
      </c>
    </row>
    <row r="28" spans="1:8" ht="14.25" customHeight="1">
      <c r="A28" s="2">
        <v>2084044328</v>
      </c>
      <c r="B28" s="2" t="s">
        <v>811</v>
      </c>
      <c r="C28" s="2" t="s">
        <v>813</v>
      </c>
      <c r="D28" s="2" t="s">
        <v>815</v>
      </c>
      <c r="E28" s="3" t="str">
        <f ca="1">IFERROR(__xludf.DUMMYFUNCTION("GOOGLETRANSLATE(B28,""ja"",""vi"")"),"Nghệ thuật biểu diễn")</f>
        <v>Nghệ thuật biểu diễn</v>
      </c>
      <c r="F28" s="3" t="str">
        <f ca="1">IFERROR(__xludf.DUMMYFUNCTION("GOOGLETRANSLATE(C28,""ja"",""vi"")"),"Đấu giá&gt; vé, chứng từ, đặt phòng khách sạn&gt; vé vui chơi giải trí&gt; Nghệ thuật biểu diễn")</f>
        <v>Đấu giá&gt; vé, chứng từ, đặt phòng khách sạn&gt; vé vui chơi giải trí&gt; Nghệ thuật biểu diễn</v>
      </c>
      <c r="G28" s="229" t="str">
        <f t="shared" ca="1" si="0"/>
        <v>"2084044328" : "Nghệ thuật biểu diễn",</v>
      </c>
      <c r="H28" s="229" t="str">
        <f t="shared" si="1"/>
        <v>&lt;li class="col-md-3"&gt;&lt;a class="text-cut" href="javascript:;"(click)="categoryEvent(2084044328)"&gt;{{"2084044328" | translate}}&lt;/a&gt;&lt;/li&gt;</v>
      </c>
    </row>
    <row r="29" spans="1:8" ht="14.25" customHeight="1">
      <c r="A29" s="2">
        <v>25430</v>
      </c>
      <c r="B29" s="2" t="s">
        <v>262</v>
      </c>
      <c r="C29" s="2" t="s">
        <v>821</v>
      </c>
      <c r="D29" s="2" t="s">
        <v>823</v>
      </c>
      <c r="E29" s="3" t="str">
        <f ca="1">IFERROR(__xludf.DUMMYFUNCTION("GOOGLETRANSLATE(B29,""ja"",""vi"")"),"thể thao")</f>
        <v>thể thao</v>
      </c>
      <c r="F29" s="3" t="str">
        <f ca="1">IFERROR(__xludf.DUMMYFUNCTION("GOOGLETRANSLATE(C29,""ja"",""vi"")"),"Đấu giá&gt; vé, chứng từ, đặt phòng khách sạn&gt; vé vui chơi giải trí&gt; Thể Thao")</f>
        <v>Đấu giá&gt; vé, chứng từ, đặt phòng khách sạn&gt; vé vui chơi giải trí&gt; Thể Thao</v>
      </c>
      <c r="G29" s="229" t="str">
        <f t="shared" ca="1" si="0"/>
        <v>"25430" : "thể thao",</v>
      </c>
      <c r="H29" s="229" t="str">
        <f t="shared" si="1"/>
        <v>&lt;li class="col-md-3"&gt;&lt;a class="text-cut" href="javascript:;"(click)="categoryEvent(25430)"&gt;{{"25430" | translate}}&lt;/a&gt;&lt;/li&gt;</v>
      </c>
    </row>
    <row r="30" spans="1:8" ht="14.25" customHeight="1">
      <c r="A30" s="2">
        <v>2084044329</v>
      </c>
      <c r="B30" s="2" t="s">
        <v>829</v>
      </c>
      <c r="C30" s="2" t="s">
        <v>831</v>
      </c>
      <c r="D30" s="2" t="s">
        <v>834</v>
      </c>
      <c r="E30" s="3" t="str">
        <f ca="1">IFERROR(__xludf.DUMMYFUNCTION("GOOGLETRANSLATE(B30,""ja"",""vi"")"),"sự kiện")</f>
        <v>sự kiện</v>
      </c>
      <c r="F30" s="3" t="str">
        <f ca="1">IFERROR(__xludf.DUMMYFUNCTION("GOOGLETRANSLATE(C30,""ja"",""vi"")"),"Đấu giá&gt; vé, chứng từ, đặt phòng khách sạn&gt; vé vui chơi giải trí&gt; Sự kiện")</f>
        <v>Đấu giá&gt; vé, chứng từ, đặt phòng khách sạn&gt; vé vui chơi giải trí&gt; Sự kiện</v>
      </c>
      <c r="G30" s="229" t="str">
        <f t="shared" ca="1" si="0"/>
        <v>"2084044329" : "sự kiện",</v>
      </c>
      <c r="H30" s="229" t="str">
        <f t="shared" si="1"/>
        <v>&lt;li class="col-md-3"&gt;&lt;a class="text-cut" href="javascript:;"(click)="categoryEvent(2084044329)"&gt;{{"2084044329" | translate}}&lt;/a&gt;&lt;/li&gt;</v>
      </c>
    </row>
    <row r="31" spans="1:8" ht="14.25" customHeight="1">
      <c r="A31" s="2">
        <v>2084039789</v>
      </c>
      <c r="B31" s="2" t="s">
        <v>837</v>
      </c>
      <c r="C31" s="2" t="s">
        <v>840</v>
      </c>
      <c r="D31" s="2" t="s">
        <v>843</v>
      </c>
      <c r="E31" s="3" t="str">
        <f ca="1">IFERROR(__xludf.DUMMYFUNCTION("GOOGLETRANSLATE(B31,""ja"",""vi"")"),"phim")</f>
        <v>phim</v>
      </c>
      <c r="F31" s="3" t="str">
        <f ca="1">IFERROR(__xludf.DUMMYFUNCTION("GOOGLETRANSLATE(C31,""ja"",""vi"")"),"Đấu giá&gt; vé, chứng từ, đặt phòng khách sạn&gt; vé vui chơi giải trí&gt; Phim")</f>
        <v>Đấu giá&gt; vé, chứng từ, đặt phòng khách sạn&gt; vé vui chơi giải trí&gt; Phim</v>
      </c>
      <c r="G31" s="229" t="str">
        <f t="shared" ca="1" si="0"/>
        <v>"2084039789" : "phim",</v>
      </c>
      <c r="H31" s="229" t="str">
        <f t="shared" si="1"/>
        <v>&lt;li class="col-md-3"&gt;&lt;a class="text-cut" href="javascript:;"(click)="categoryEvent(2084039789)"&gt;{{"2084039789" | translate}}&lt;/a&gt;&lt;/li&gt;</v>
      </c>
    </row>
    <row r="32" spans="1:8" ht="14.25" customHeight="1">
      <c r="A32" s="2">
        <v>22828</v>
      </c>
      <c r="B32" s="2" t="s">
        <v>16</v>
      </c>
      <c r="C32" s="2" t="s">
        <v>849</v>
      </c>
      <c r="D32" s="2" t="s">
        <v>852</v>
      </c>
      <c r="E32" s="3" t="str">
        <f ca="1">IFERROR(__xludf.DUMMYFUNCTION("GOOGLETRANSLATE(B32,""ja"",""vi"")"),"nếu không thì")</f>
        <v>nếu không thì</v>
      </c>
      <c r="F32" s="3" t="str">
        <f ca="1">IFERROR(__xludf.DUMMYFUNCTION("GOOGLETRANSLATE(C32,""ja"",""vi"")"),"Đấu giá&gt; vé, chứng từ, đặt phòng khách sạn&gt; vé vui chơi giải trí&gt; Khác")</f>
        <v>Đấu giá&gt; vé, chứng từ, đặt phòng khách sạn&gt; vé vui chơi giải trí&gt; Khác</v>
      </c>
      <c r="G32" s="229" t="str">
        <f t="shared" ca="1" si="0"/>
        <v>"22828" : "nếu không thì",</v>
      </c>
      <c r="H32" s="229" t="str">
        <f t="shared" si="1"/>
        <v>&lt;li class="col-md-3"&gt;&lt;a class="text-cut" href="javascript:;"(click)="categoryEvent(22828)"&gt;{{"22828" | translate}}&lt;/a&gt;&lt;/li&gt;</v>
      </c>
    </row>
    <row r="33" spans="1:8" ht="14.25" customHeight="1">
      <c r="E33" s="3"/>
      <c r="F33" s="3"/>
      <c r="G33" s="229"/>
      <c r="H33" s="229"/>
    </row>
    <row r="34" spans="1:8" ht="24.6" customHeight="1">
      <c r="A34" s="240">
        <v>2084048817</v>
      </c>
      <c r="B34" s="232"/>
      <c r="C34" s="232"/>
      <c r="D34" s="233"/>
      <c r="E34" s="3"/>
      <c r="F34" s="3"/>
      <c r="G34" s="229"/>
      <c r="H34" s="229"/>
    </row>
    <row r="35" spans="1:8" ht="14.25" customHeight="1">
      <c r="A35" s="2">
        <v>2084044319</v>
      </c>
      <c r="B35" s="2" t="s">
        <v>1331</v>
      </c>
      <c r="C35" s="2" t="s">
        <v>1332</v>
      </c>
      <c r="D35" s="2" t="s">
        <v>1333</v>
      </c>
      <c r="E35" s="3" t="str">
        <f ca="1">IFERROR(__xludf.DUMMYFUNCTION("GOOGLETRANSLATE(B35,""ja"",""vi"")"),"Nhà hàng, bữa ăn")</f>
        <v>Nhà hàng, bữa ăn</v>
      </c>
      <c r="F35" s="3" t="str">
        <f ca="1">IFERROR(__xludf.DUMMYFUNCTION("GOOGLETRANSLATE(C35,""ja"",""vi"")"),"Đấu giá&gt; vé, chứng từ, đặt phòng khách sạn&gt; vé miễn phí, vé giảm giá&gt; nhà hàng, bữa ăn")</f>
        <v>Đấu giá&gt; vé, chứng từ, đặt phòng khách sạn&gt; vé miễn phí, vé giảm giá&gt; nhà hàng, bữa ăn</v>
      </c>
      <c r="G35" s="229" t="str">
        <f t="shared" ca="1" si="0"/>
        <v>"2084044319" : "Nhà hàng, bữa ăn",</v>
      </c>
      <c r="H35" s="229" t="str">
        <f t="shared" si="1"/>
        <v>&lt;li class="col-md-3"&gt;&lt;a class="text-cut" href="javascript:;"(click)="categoryEvent(2084044319)"&gt;{{"2084044319" | translate}}&lt;/a&gt;&lt;/li&gt;</v>
      </c>
    </row>
    <row r="36" spans="1:8" ht="14.25" customHeight="1">
      <c r="A36" s="2">
        <v>2084208629</v>
      </c>
      <c r="B36" s="2" t="s">
        <v>1334</v>
      </c>
      <c r="C36" s="2" t="s">
        <v>1335</v>
      </c>
      <c r="D36" s="2" t="s">
        <v>1336</v>
      </c>
      <c r="E36" s="3" t="str">
        <f ca="1">IFERROR(__xludf.DUMMYFUNCTION("GOOGLETRANSLATE(B36,""ja"",""vi"")"),"giao thông")</f>
        <v>giao thông</v>
      </c>
      <c r="F36" s="3" t="str">
        <f ca="1">IFERROR(__xludf.DUMMYFUNCTION("GOOGLETRANSLATE(C36,""ja"",""vi"")"),"Đấu giá&gt; vé, chứng từ, đặt phòng khách sạn&gt; vé miễn phí, vé giảm giá&gt; Giao thông vận tải")</f>
        <v>Đấu giá&gt; vé, chứng từ, đặt phòng khách sạn&gt; vé miễn phí, vé giảm giá&gt; Giao thông vận tải</v>
      </c>
      <c r="G36" s="229" t="str">
        <f t="shared" ca="1" si="0"/>
        <v>"2084208629" : "giao thông",</v>
      </c>
      <c r="H36" s="229" t="str">
        <f t="shared" si="1"/>
        <v>&lt;li class="col-md-3"&gt;&lt;a class="text-cut" href="javascript:;"(click)="categoryEvent(2084208629)"&gt;{{"2084208629" | translate}}&lt;/a&gt;&lt;/li&gt;</v>
      </c>
    </row>
    <row r="37" spans="1:8" ht="14.25" customHeight="1">
      <c r="A37" s="2">
        <v>2084044317</v>
      </c>
      <c r="B37" s="2" t="s">
        <v>1340</v>
      </c>
      <c r="C37" s="2" t="s">
        <v>1342</v>
      </c>
      <c r="D37" s="2" t="s">
        <v>1344</v>
      </c>
      <c r="E37" s="3" t="str">
        <f ca="1">IFERROR(__xludf.DUMMYFUNCTION("GOOGLETRANSLATE(B37,""ja"",""vi"")"),"sử dụng cơ sở")</f>
        <v>sử dụng cơ sở</v>
      </c>
      <c r="F37" s="3" t="str">
        <f ca="1">IFERROR(__xludf.DUMMYFUNCTION("GOOGLETRANSLATE(C37,""ja"",""vi"")"),"Đấu giá&gt; vé, chứng từ, đặt phòng khách sạn&gt; vé miễn phí, vé giảm giá&gt; sử dụng cơ sở")</f>
        <v>Đấu giá&gt; vé, chứng từ, đặt phòng khách sạn&gt; vé miễn phí, vé giảm giá&gt; sử dụng cơ sở</v>
      </c>
      <c r="G37" s="229" t="str">
        <f t="shared" ca="1" si="0"/>
        <v>"2084044317" : "sử dụng cơ sở",</v>
      </c>
      <c r="H37" s="229" t="str">
        <f t="shared" si="1"/>
        <v>&lt;li class="col-md-3"&gt;&lt;a class="text-cut" href="javascript:;"(click)="categoryEvent(2084044317)"&gt;{{"2084044317" | translate}}&lt;/a&gt;&lt;/li&gt;</v>
      </c>
    </row>
    <row r="38" spans="1:8" ht="14.25" customHeight="1">
      <c r="A38" s="2">
        <v>42441</v>
      </c>
      <c r="B38" s="2" t="s">
        <v>1345</v>
      </c>
      <c r="C38" s="2" t="s">
        <v>1346</v>
      </c>
      <c r="D38" s="2" t="s">
        <v>1349</v>
      </c>
      <c r="E38" s="3" t="str">
        <f ca="1">IFERROR(__xludf.DUMMYFUNCTION("GOOGLETRANSLATE(B38,""ja"",""vi"")"),"Nhà nghỉ")</f>
        <v>Nhà nghỉ</v>
      </c>
      <c r="F38" s="3" t="str">
        <f ca="1">IFERROR(__xludf.DUMMYFUNCTION("GOOGLETRANSLATE(C38,""ja"",""vi"")"),"Đấu giá&gt; vé, chứng từ, đặt phòng khách sạn&gt; vé miễn phí, vé giảm giá&gt; trọ")</f>
        <v>Đấu giá&gt; vé, chứng từ, đặt phòng khách sạn&gt; vé miễn phí, vé giảm giá&gt; trọ</v>
      </c>
      <c r="G38" s="229" t="str">
        <f t="shared" ca="1" si="0"/>
        <v>"42441" : "Nhà nghỉ",</v>
      </c>
      <c r="H38" s="229" t="str">
        <f t="shared" si="1"/>
        <v>&lt;li class="col-md-3"&gt;&lt;a class="text-cut" href="javascript:;"(click)="categoryEvent(42441)"&gt;{{"42441" | translate}}&lt;/a&gt;&lt;/li&gt;</v>
      </c>
    </row>
    <row r="39" spans="1:8" ht="14.25" customHeight="1">
      <c r="A39" s="2">
        <v>2084226769</v>
      </c>
      <c r="B39" s="2" t="s">
        <v>1354</v>
      </c>
      <c r="C39" s="2" t="s">
        <v>1355</v>
      </c>
      <c r="D39" s="2" t="s">
        <v>1356</v>
      </c>
      <c r="E39" s="3" t="str">
        <f ca="1">IFERROR(__xludf.DUMMYFUNCTION("GOOGLETRANSLATE(B39,""ja"",""vi"")"),"mua sắm")</f>
        <v>mua sắm</v>
      </c>
      <c r="F39" s="3" t="str">
        <f ca="1">IFERROR(__xludf.DUMMYFUNCTION("GOOGLETRANSLATE(C39,""ja"",""vi"")"),"Đấu giá&gt; vé, chứng từ, đặt phòng khách sạn&gt; vé miễn phí, vé giảm giá&gt; mua sắm")</f>
        <v>Đấu giá&gt; vé, chứng từ, đặt phòng khách sạn&gt; vé miễn phí, vé giảm giá&gt; mua sắm</v>
      </c>
      <c r="G39" s="229" t="str">
        <f t="shared" ca="1" si="0"/>
        <v>"2084226769" : "mua sắm",</v>
      </c>
      <c r="H39" s="229" t="str">
        <f t="shared" si="1"/>
        <v>&lt;li class="col-md-3"&gt;&lt;a class="text-cut" href="javascript:;"(click)="categoryEvent(2084226769)"&gt;{{"2084226769" | translate}}&lt;/a&gt;&lt;/li&gt;</v>
      </c>
    </row>
    <row r="40" spans="1:8" ht="14.25" customHeight="1">
      <c r="A40" s="2">
        <v>2084208628</v>
      </c>
      <c r="B40" s="2" t="s">
        <v>16</v>
      </c>
      <c r="C40" s="2" t="s">
        <v>1360</v>
      </c>
      <c r="D40" s="2" t="s">
        <v>1361</v>
      </c>
      <c r="E40" s="3" t="str">
        <f ca="1">IFERROR(__xludf.DUMMYFUNCTION("GOOGLETRANSLATE(B40,""ja"",""vi"")"),"nếu không thì")</f>
        <v>nếu không thì</v>
      </c>
      <c r="F40" s="3" t="str">
        <f ca="1">IFERROR(__xludf.DUMMYFUNCTION("GOOGLETRANSLATE(C40,""ja"",""vi"")"),"Đấu giá vé, chứng từ đặt phòng&gt;, Khách sạn&gt; vé miễn phí, vé giảm giá&gt; Khác")</f>
        <v>Đấu giá vé, chứng từ đặt phòng&gt;, Khách sạn&gt; vé miễn phí, vé giảm giá&gt; Khác</v>
      </c>
      <c r="G40" s="229" t="str">
        <f t="shared" ca="1" si="0"/>
        <v>"2084208628" : "nếu không thì",</v>
      </c>
      <c r="H40" s="229" t="str">
        <f t="shared" si="1"/>
        <v>&lt;li class="col-md-3"&gt;&lt;a class="text-cut" href="javascript:;"(click)="categoryEvent(2084208628)"&gt;{{"2084208628" | translate}}&lt;/a&gt;&lt;/li&gt;</v>
      </c>
    </row>
    <row r="41" spans="1:8" ht="14.25" customHeight="1">
      <c r="E41" s="3"/>
      <c r="F41" s="3"/>
      <c r="G41" s="229"/>
      <c r="H41" s="229"/>
    </row>
    <row r="42" spans="1:8" ht="21" customHeight="1">
      <c r="A42" s="237">
        <v>2084044317</v>
      </c>
      <c r="B42" s="232"/>
      <c r="C42" s="232"/>
      <c r="D42" s="233"/>
      <c r="E42" s="3"/>
      <c r="F42" s="3"/>
      <c r="G42" s="229"/>
      <c r="H42" s="229"/>
    </row>
    <row r="43" spans="1:8" ht="14.25" customHeight="1">
      <c r="A43" s="2">
        <v>25432</v>
      </c>
      <c r="B43" s="2" t="s">
        <v>1366</v>
      </c>
      <c r="C43" s="2" t="s">
        <v>1368</v>
      </c>
      <c r="D43" s="2" t="s">
        <v>1370</v>
      </c>
      <c r="E43" s="3" t="str">
        <f ca="1">IFERROR(__xludf.DUMMYFUNCTION("GOOGLETRANSLATE(B43,""ja"",""vi"")"),"khu vui chơi, công viên giải trí")</f>
        <v>khu vui chơi, công viên giải trí</v>
      </c>
      <c r="F43" s="3" t="str">
        <f ca="1">IFERROR(__xludf.DUMMYFUNCTION("GOOGLETRANSLATE(C43,""ja"",""vi"")"),"Đấu giá&gt; vé, chứng từ, đặt phòng khách sạn&gt; Các cơ sở sử dụng vé&gt; Khu vui chơi giải trí, công viên giải trí")</f>
        <v>Đấu giá&gt; vé, chứng từ, đặt phòng khách sạn&gt; Các cơ sở sử dụng vé&gt; Khu vui chơi giải trí, công viên giải trí</v>
      </c>
      <c r="G43" s="229" t="str">
        <f t="shared" ca="1" si="0"/>
        <v>"25432" : "khu vui chơi, công viên giải trí",</v>
      </c>
      <c r="H43" s="229" t="str">
        <f t="shared" si="1"/>
        <v>&lt;li class="col-md-3"&gt;&lt;a class="text-cut" href="javascript:;"(click)="categoryEvent(25432)"&gt;{{"25432" | translate}}&lt;/a&gt;&lt;/li&gt;</v>
      </c>
    </row>
    <row r="44" spans="1:8" ht="14.25" customHeight="1">
      <c r="A44" s="2">
        <v>2084044985</v>
      </c>
      <c r="B44" s="2" t="s">
        <v>1373</v>
      </c>
      <c r="C44" s="2" t="s">
        <v>1375</v>
      </c>
      <c r="D44" s="2" t="s">
        <v>1376</v>
      </c>
      <c r="E44" s="3" t="str">
        <f ca="1">IFERROR(__xludf.DUMMYFUNCTION("GOOGLETRANSLATE(B44,""ja"",""vi"")"),"sân golf")</f>
        <v>sân golf</v>
      </c>
      <c r="F44" s="3" t="str">
        <f ca="1">IFERROR(__xludf.DUMMYFUNCTION("GOOGLETRANSLATE(C44,""ja"",""vi"")"),"Đấu giá&gt; vé, chứng từ, đặt phòng khách sạn&gt; Các cơ sở sử dụng vé&gt; sân golf")</f>
        <v>Đấu giá&gt; vé, chứng từ, đặt phòng khách sạn&gt; Các cơ sở sử dụng vé&gt; sân golf</v>
      </c>
      <c r="G44" s="229" t="str">
        <f t="shared" ca="1" si="0"/>
        <v>"2084044985" : "sân golf",</v>
      </c>
      <c r="H44" s="229" t="str">
        <f t="shared" si="1"/>
        <v>&lt;li class="col-md-3"&gt;&lt;a class="text-cut" href="javascript:;"(click)="categoryEvent(2084044985)"&gt;{{"2084044985" | translate}}&lt;/a&gt;&lt;/li&gt;</v>
      </c>
    </row>
    <row r="45" spans="1:8" ht="14.25" customHeight="1">
      <c r="A45" s="2">
        <v>25436</v>
      </c>
      <c r="B45" s="2" t="s">
        <v>1379</v>
      </c>
      <c r="C45" s="2" t="s">
        <v>1381</v>
      </c>
      <c r="D45" s="2" t="s">
        <v>1384</v>
      </c>
      <c r="E45" s="3" t="str">
        <f ca="1">IFERROR(__xludf.DUMMYFUNCTION("GOOGLETRANSLATE(B45,""ja"",""vi"")"),"khu trượt tuyết")</f>
        <v>khu trượt tuyết</v>
      </c>
      <c r="F45" s="3" t="str">
        <f ca="1">IFERROR(__xludf.DUMMYFUNCTION("GOOGLETRANSLATE(C45,""ja"",""vi"")"),"Đấu giá&gt; vé, chứng từ, đặt phòng khách sạn&gt; Các cơ sở sử dụng vé&gt; Khu trượt tuyết")</f>
        <v>Đấu giá&gt; vé, chứng từ, đặt phòng khách sạn&gt; Các cơ sở sử dụng vé&gt; Khu trượt tuyết</v>
      </c>
      <c r="G45" s="229" t="str">
        <f t="shared" ca="1" si="0"/>
        <v>"25436" : "khu trượt tuyết",</v>
      </c>
      <c r="H45" s="229" t="str">
        <f t="shared" si="1"/>
        <v>&lt;li class="col-md-3"&gt;&lt;a class="text-cut" href="javascript:;"(click)="categoryEvent(25436)"&gt;{{"25436" | translate}}&lt;/a&gt;&lt;/li&gt;</v>
      </c>
    </row>
    <row r="46" spans="1:8" ht="14.25" customHeight="1">
      <c r="A46" s="2">
        <v>2084211024</v>
      </c>
      <c r="B46" s="2" t="s">
        <v>1387</v>
      </c>
      <c r="C46" s="2" t="s">
        <v>1388</v>
      </c>
      <c r="D46" s="2" t="s">
        <v>1390</v>
      </c>
      <c r="E46" s="3" t="str">
        <f ca="1">IFERROR(__xludf.DUMMYFUNCTION("GOOGLETRANSLATE(B46,""ja"",""vi"")"),"Fitness Club")</f>
        <v>Fitness Club</v>
      </c>
      <c r="F46" s="3" t="str">
        <f ca="1">IFERROR(__xludf.DUMMYFUNCTION("GOOGLETRANSLATE(C46,""ja"",""vi"")"),"Đấu giá&gt; vé, chứng từ, đặt phòng khách sạn&gt; Các cơ sở sử dụng vé&gt; câu lạc bộ thể dục thẩm mỹ")</f>
        <v>Đấu giá&gt; vé, chứng từ, đặt phòng khách sạn&gt; Các cơ sở sử dụng vé&gt; câu lạc bộ thể dục thẩm mỹ</v>
      </c>
      <c r="G46" s="229" t="str">
        <f t="shared" ca="1" si="0"/>
        <v>"2084211024" : "Fitness Club",</v>
      </c>
      <c r="H46" s="229" t="str">
        <f t="shared" si="1"/>
        <v>&lt;li class="col-md-3"&gt;&lt;a class="text-cut" href="javascript:;"(click)="categoryEvent(2084211024)"&gt;{{"2084211024" | translate}}&lt;/a&gt;&lt;/li&gt;</v>
      </c>
    </row>
    <row r="47" spans="1:8" ht="14.25" customHeight="1">
      <c r="A47" s="2">
        <v>2084042176</v>
      </c>
      <c r="B47" s="2" t="s">
        <v>1395</v>
      </c>
      <c r="C47" s="2" t="s">
        <v>1396</v>
      </c>
      <c r="D47" s="2" t="s">
        <v>1397</v>
      </c>
      <c r="E47" s="3" t="str">
        <f ca="1">IFERROR(__xludf.DUMMYFUNCTION("GOOGLETRANSLATE(B47,""ja"",""vi"")"),"hồ bơi")</f>
        <v>hồ bơi</v>
      </c>
      <c r="F47" s="3" t="str">
        <f ca="1">IFERROR(__xludf.DUMMYFUNCTION("GOOGLETRANSLATE(C47,""ja"",""vi"")"),"Đấu giá&gt; vé, chứng từ, đặt phòng khách sạn&gt; Các cơ sở sử dụng vé&gt; hồ bơi")</f>
        <v>Đấu giá&gt; vé, chứng từ, đặt phòng khách sạn&gt; Các cơ sở sử dụng vé&gt; hồ bơi</v>
      </c>
      <c r="G47" s="229" t="str">
        <f t="shared" ca="1" si="0"/>
        <v>"2084042176" : "hồ bơi",</v>
      </c>
      <c r="H47" s="229" t="str">
        <f t="shared" si="1"/>
        <v>&lt;li class="col-md-3"&gt;&lt;a class="text-cut" href="javascript:;"(click)="categoryEvent(2084042176)"&gt;{{"2084042176" | translate}}&lt;/a&gt;&lt;/li&gt;</v>
      </c>
    </row>
    <row r="48" spans="1:8" ht="14.25" customHeight="1">
      <c r="A48" s="2">
        <v>2084047642</v>
      </c>
      <c r="B48" s="2" t="s">
        <v>1402</v>
      </c>
      <c r="C48" s="2" t="s">
        <v>1403</v>
      </c>
      <c r="D48" s="2" t="s">
        <v>1404</v>
      </c>
      <c r="E48" s="3" t="str">
        <f ca="1">IFERROR(__xludf.DUMMYFUNCTION("GOOGLETRANSLATE(B48,""ja"",""vi"")"),"Các trung tâm bowling")</f>
        <v>Các trung tâm bowling</v>
      </c>
      <c r="F48" s="3" t="str">
        <f ca="1">IFERROR(__xludf.DUMMYFUNCTION("GOOGLETRANSLATE(C48,""ja"",""vi"")"),"Đấu giá&gt; vé, chứng từ, đặt phòng khách sạn&gt; Các cơ sở sử dụng vé&gt; Bowling Alley")</f>
        <v>Đấu giá&gt; vé, chứng từ, đặt phòng khách sạn&gt; Các cơ sở sử dụng vé&gt; Bowling Alley</v>
      </c>
      <c r="G48" s="229" t="str">
        <f t="shared" ca="1" si="0"/>
        <v>"2084047642" : "Các trung tâm bowling",</v>
      </c>
      <c r="H48" s="229" t="str">
        <f t="shared" si="1"/>
        <v>&lt;li class="col-md-3"&gt;&lt;a class="text-cut" href="javascript:;"(click)="categoryEvent(2084047642)"&gt;{{"2084047642" | translate}}&lt;/a&gt;&lt;/li&gt;</v>
      </c>
    </row>
    <row r="49" spans="1:8" ht="14.25" customHeight="1">
      <c r="A49" s="2">
        <v>42441</v>
      </c>
      <c r="B49" s="2" t="s">
        <v>1345</v>
      </c>
      <c r="C49" s="2" t="s">
        <v>1407</v>
      </c>
      <c r="D49" s="2" t="s">
        <v>1408</v>
      </c>
      <c r="E49" s="3" t="str">
        <f ca="1">IFERROR(__xludf.DUMMYFUNCTION("GOOGLETRANSLATE(B49,""ja"",""vi"")"),"Nhà nghỉ")</f>
        <v>Nhà nghỉ</v>
      </c>
      <c r="F49" s="3" t="str">
        <f ca="1">IFERROR(__xludf.DUMMYFUNCTION("GOOGLETRANSLATE(C49,""ja"",""vi"")"),"Đấu giá&gt; vé, chứng từ, đặt phòng khách sạn&gt; Các cơ sở sử dụng vé&gt; trọ")</f>
        <v>Đấu giá&gt; vé, chứng từ, đặt phòng khách sạn&gt; Các cơ sở sử dụng vé&gt; trọ</v>
      </c>
      <c r="G49" s="229" t="str">
        <f t="shared" ca="1" si="0"/>
        <v>"42441" : "Nhà nghỉ",</v>
      </c>
      <c r="H49" s="229" t="str">
        <f t="shared" si="1"/>
        <v>&lt;li class="col-md-3"&gt;&lt;a class="text-cut" href="javascript:;"(click)="categoryEvent(42441)"&gt;{{"42441" | translate}}&lt;/a&gt;&lt;/li&gt;</v>
      </c>
    </row>
    <row r="50" spans="1:8" ht="14.25" customHeight="1">
      <c r="A50" s="2">
        <v>2084064253</v>
      </c>
      <c r="B50" s="2" t="s">
        <v>1409</v>
      </c>
      <c r="C50" s="2" t="s">
        <v>1410</v>
      </c>
      <c r="D50" s="2" t="s">
        <v>1411</v>
      </c>
      <c r="E50" s="3" t="str">
        <f ca="1">IFERROR(__xludf.DUMMYFUNCTION("GOOGLETRANSLATE(B50,""ja"",""vi"")"),"bể nuôi cá")</f>
        <v>bể nuôi cá</v>
      </c>
      <c r="F50" s="3" t="str">
        <f ca="1">IFERROR(__xludf.DUMMYFUNCTION("GOOGLETRANSLATE(C50,""ja"",""vi"")"),"Đấu giá&gt; vé, chứng từ, đặt phòng khách sạn&gt; Các cơ sở sử dụng vé&gt; Aquarium")</f>
        <v>Đấu giá&gt; vé, chứng từ, đặt phòng khách sạn&gt; Các cơ sở sử dụng vé&gt; Aquarium</v>
      </c>
      <c r="G50" s="229" t="str">
        <f t="shared" ca="1" si="0"/>
        <v>"2084064253" : "bể nuôi cá",</v>
      </c>
      <c r="H50" s="229" t="str">
        <f t="shared" si="1"/>
        <v>&lt;li class="col-md-3"&gt;&lt;a class="text-cut" href="javascript:;"(click)="categoryEvent(2084064253)"&gt;{{"2084064253" | translate}}&lt;/a&gt;&lt;/li&gt;</v>
      </c>
    </row>
    <row r="51" spans="1:8" ht="14.25" customHeight="1">
      <c r="A51" s="2">
        <v>2084064250</v>
      </c>
      <c r="B51" s="2" t="s">
        <v>1416</v>
      </c>
      <c r="C51" s="2" t="s">
        <v>1417</v>
      </c>
      <c r="D51" s="2" t="s">
        <v>1418</v>
      </c>
      <c r="E51" s="3" t="str">
        <f ca="1">IFERROR(__xludf.DUMMYFUNCTION("GOOGLETRANSLATE(B51,""ja"",""vi"")"),"vườn bách thú")</f>
        <v>vườn bách thú</v>
      </c>
      <c r="F51" s="3" t="str">
        <f ca="1">IFERROR(__xludf.DUMMYFUNCTION("GOOGLETRANSLATE(C51,""ja"",""vi"")"),"Đấu giá&gt; vé, chứng từ, đặt phòng khách sạn&gt; Các cơ sở sử dụng vé&gt; Zoo")</f>
        <v>Đấu giá&gt; vé, chứng từ, đặt phòng khách sạn&gt; Các cơ sở sử dụng vé&gt; Zoo</v>
      </c>
      <c r="G51" s="229" t="str">
        <f t="shared" ca="1" si="0"/>
        <v>"2084064250" : "vườn bách thú",</v>
      </c>
      <c r="H51" s="229" t="str">
        <f t="shared" si="1"/>
        <v>&lt;li class="col-md-3"&gt;&lt;a class="text-cut" href="javascript:;"(click)="categoryEvent(2084064250)"&gt;{{"2084064250" | translate}}&lt;/a&gt;&lt;/li&gt;</v>
      </c>
    </row>
    <row r="52" spans="1:8" ht="14.25" customHeight="1">
      <c r="A52" s="2">
        <v>2084039803</v>
      </c>
      <c r="B52" s="2" t="s">
        <v>1420</v>
      </c>
      <c r="C52" s="2" t="s">
        <v>1422</v>
      </c>
      <c r="D52" s="2" t="s">
        <v>1424</v>
      </c>
      <c r="E52" s="3" t="str">
        <f ca="1">IFERROR(__xludf.DUMMYFUNCTION("GOOGLETRANSLATE(B52,""ja"",""vi"")"),"Bảo tàng")</f>
        <v>Bảo tàng</v>
      </c>
      <c r="F52" s="3" t="str">
        <f ca="1">IFERROR(__xludf.DUMMYFUNCTION("GOOGLETRANSLATE(C52,""ja"",""vi"")"),"Đấu giá&gt; vé, chứng từ, đặt phòng khách sạn&gt; Các cơ sở sử dụng vé&gt; Bảo Tàng")</f>
        <v>Đấu giá&gt; vé, chứng từ, đặt phòng khách sạn&gt; Các cơ sở sử dụng vé&gt; Bảo Tàng</v>
      </c>
      <c r="G52" s="229" t="str">
        <f t="shared" ca="1" si="0"/>
        <v>"2084039803" : "Bảo tàng",</v>
      </c>
      <c r="H52" s="229" t="str">
        <f t="shared" si="1"/>
        <v>&lt;li class="col-md-3"&gt;&lt;a class="text-cut" href="javascript:;"(click)="categoryEvent(2084039803)"&gt;{{"2084039803" | translate}}&lt;/a&gt;&lt;/li&gt;</v>
      </c>
    </row>
    <row r="53" spans="1:8" ht="14.25" customHeight="1">
      <c r="A53" s="2">
        <v>2084044364</v>
      </c>
      <c r="B53" s="2" t="s">
        <v>16</v>
      </c>
      <c r="C53" s="2" t="s">
        <v>1431</v>
      </c>
      <c r="D53" s="2" t="s">
        <v>1432</v>
      </c>
      <c r="E53" s="3" t="str">
        <f ca="1">IFERROR(__xludf.DUMMYFUNCTION("GOOGLETRANSLATE(B53,""ja"",""vi"")"),"nếu không thì")</f>
        <v>nếu không thì</v>
      </c>
      <c r="F53" s="3" t="str">
        <f ca="1">IFERROR(__xludf.DUMMYFUNCTION("GOOGLETRANSLATE(C53,""ja"",""vi"")"),"Đấu giá&gt; vé, chứng từ, đặt phòng khách sạn&gt; Các cơ sở sử dụng vé&gt; Khác")</f>
        <v>Đấu giá&gt; vé, chứng từ, đặt phòng khách sạn&gt; Các cơ sở sử dụng vé&gt; Khác</v>
      </c>
      <c r="G53" s="229" t="str">
        <f t="shared" ca="1" si="0"/>
        <v>"2084044364" : "nếu không thì",</v>
      </c>
      <c r="H53" s="229" t="str">
        <f t="shared" si="1"/>
        <v>&lt;li class="col-md-3"&gt;&lt;a class="text-cut" href="javascript:;"(click)="categoryEvent(2084044364)"&gt;{{"2084044364" | translate}}&lt;/a&gt;&lt;/li&gt;</v>
      </c>
    </row>
    <row r="54" spans="1:8" ht="14.25" customHeight="1">
      <c r="E54" s="3"/>
      <c r="F54" s="3"/>
      <c r="G54" s="229"/>
      <c r="H54" s="229"/>
    </row>
    <row r="55" spans="1:8" ht="24" customHeight="1">
      <c r="A55" s="241">
        <v>26178</v>
      </c>
      <c r="B55" s="232"/>
      <c r="C55" s="232"/>
      <c r="D55" s="233"/>
      <c r="E55" s="3"/>
      <c r="F55" s="3"/>
      <c r="G55" s="229"/>
      <c r="H55" s="229"/>
    </row>
    <row r="56" spans="1:8" ht="14.25" customHeight="1">
      <c r="A56" s="2">
        <v>26180</v>
      </c>
      <c r="B56" s="2" t="s">
        <v>1444</v>
      </c>
      <c r="C56" s="2" t="s">
        <v>1445</v>
      </c>
      <c r="D56" s="2" t="s">
        <v>1447</v>
      </c>
      <c r="E56" s="3" t="str">
        <f ca="1">IFERROR(__xludf.DUMMYFUNCTION("GOOGLETRANSLATE(B56,""ja"",""vi"")"),"bán vé máy bay")</f>
        <v>bán vé máy bay</v>
      </c>
      <c r="F56" s="3" t="str">
        <f ca="1">IFERROR(__xludf.DUMMYFUNCTION("GOOGLETRANSLATE(C56,""ja"",""vi"")"),"Đấu giá&gt; vé, chứng từ, đặt phòng khách sạn&gt; vé, vé vận chuyển&gt; vé máy bay")</f>
        <v>Đấu giá&gt; vé, chứng từ, đặt phòng khách sạn&gt; vé, vé vận chuyển&gt; vé máy bay</v>
      </c>
      <c r="G56" s="229" t="str">
        <f t="shared" ca="1" si="0"/>
        <v>"26180" : "bán vé máy bay",</v>
      </c>
      <c r="H56" s="229" t="str">
        <f t="shared" si="1"/>
        <v>&lt;li class="col-md-3"&gt;&lt;a class="text-cut" href="javascript:;"(click)="categoryEvent(26180)"&gt;{{"26180" | translate}}&lt;/a&gt;&lt;/li&gt;</v>
      </c>
    </row>
    <row r="57" spans="1:8" ht="14.25" customHeight="1">
      <c r="A57" s="2">
        <v>2084007952</v>
      </c>
      <c r="B57" s="2" t="s">
        <v>1451</v>
      </c>
      <c r="C57" s="2" t="s">
        <v>1453</v>
      </c>
      <c r="D57" s="2" t="s">
        <v>1455</v>
      </c>
      <c r="E57" s="3" t="str">
        <f ca="1">IFERROR(__xludf.DUMMYFUNCTION("GOOGLETRANSLATE(B57,""ja"",""vi"")"),"vé tàu")</f>
        <v>vé tàu</v>
      </c>
      <c r="F57" s="3" t="str">
        <f ca="1">IFERROR(__xludf.DUMMYFUNCTION("GOOGLETRANSLATE(C57,""ja"",""vi"")"),"Đấu giá&gt; vé, chứng từ, đặt phòng khách sạn&gt; vé, vé vận chuyển&gt; vé tàu")</f>
        <v>Đấu giá&gt; vé, chứng từ, đặt phòng khách sạn&gt; vé, vé vận chuyển&gt; vé tàu</v>
      </c>
      <c r="G57" s="229" t="str">
        <f t="shared" ca="1" si="0"/>
        <v>"2084007952" : "vé tàu",</v>
      </c>
      <c r="H57" s="229" t="str">
        <f t="shared" si="1"/>
        <v>&lt;li class="col-md-3"&gt;&lt;a class="text-cut" href="javascript:;"(click)="categoryEvent(2084007952)"&gt;{{"2084007952" | translate}}&lt;/a&gt;&lt;/li&gt;</v>
      </c>
    </row>
    <row r="58" spans="1:8" ht="14.25" customHeight="1">
      <c r="A58" s="2">
        <v>2084005246</v>
      </c>
      <c r="B58" s="2" t="s">
        <v>16</v>
      </c>
      <c r="C58" s="2" t="s">
        <v>1458</v>
      </c>
      <c r="D58" s="2" t="s">
        <v>1459</v>
      </c>
      <c r="E58" s="3" t="str">
        <f ca="1">IFERROR(__xludf.DUMMYFUNCTION("GOOGLETRANSLATE(B58,""ja"",""vi"")"),"nếu không thì")</f>
        <v>nếu không thì</v>
      </c>
      <c r="F58" s="3" t="str">
        <f ca="1">IFERROR(__xludf.DUMMYFUNCTION("GOOGLETRANSLATE(C58,""ja"",""vi"")"),"Đấu giá&gt; vé, chứng từ, đặt phòng khách sạn&gt; vé, vé vận chuyển&gt; Khác")</f>
        <v>Đấu giá&gt; vé, chứng từ, đặt phòng khách sạn&gt; vé, vé vận chuyển&gt; Khác</v>
      </c>
      <c r="G58" s="229" t="str">
        <f t="shared" ca="1" si="0"/>
        <v>"2084005246" : "nếu không thì",</v>
      </c>
      <c r="H58" s="229" t="str">
        <f t="shared" si="1"/>
        <v>&lt;li class="col-md-3"&gt;&lt;a class="text-cut" href="javascript:;"(click)="categoryEvent(2084005246)"&gt;{{"2084005246" | translate}}&lt;/a&gt;&lt;/li&gt;</v>
      </c>
    </row>
    <row r="59" spans="1:8" ht="14.25" customHeight="1">
      <c r="E59" s="3"/>
      <c r="F59" s="3"/>
      <c r="G59" s="229"/>
      <c r="H59" s="229"/>
    </row>
    <row r="60" spans="1:8" ht="21" customHeight="1">
      <c r="A60" s="242">
        <v>2084006752</v>
      </c>
      <c r="B60" s="232"/>
      <c r="C60" s="232"/>
      <c r="D60" s="233"/>
      <c r="E60" s="3"/>
      <c r="F60" s="3"/>
      <c r="G60" s="229"/>
      <c r="H60" s="229"/>
    </row>
    <row r="61" spans="1:8" ht="14.25" customHeight="1">
      <c r="A61" s="2">
        <v>2084044318</v>
      </c>
      <c r="B61" s="2" t="s">
        <v>1471</v>
      </c>
      <c r="C61" s="2" t="s">
        <v>1473</v>
      </c>
      <c r="D61" s="2" t="s">
        <v>1476</v>
      </c>
      <c r="E61" s="3" t="str">
        <f ca="1">IFERROR(__xludf.DUMMYFUNCTION("GOOGLETRANSLATE(B61,""ja"",""vi"")"),"Giấy chứng nhận món quà chung")</f>
        <v>Giấy chứng nhận món quà chung</v>
      </c>
      <c r="F61" s="3" t="str">
        <f ca="1">IFERROR(__xludf.DUMMYFUNCTION("GOOGLETRANSLATE(C61,""ja"",""vi"")"),"Đấu giá&gt; vé, chứng từ, đặt phòng khách sạn&gt; Phiếu Quà tặng&gt; Giấy chứng nhận món quà chung")</f>
        <v>Đấu giá&gt; vé, chứng từ, đặt phòng khách sạn&gt; Phiếu Quà tặng&gt; Giấy chứng nhận món quà chung</v>
      </c>
      <c r="G61" s="229" t="str">
        <f t="shared" ca="1" si="0"/>
        <v>"2084044318" : "Giấy chứng nhận món quà chung",</v>
      </c>
      <c r="H61" s="229" t="str">
        <f t="shared" si="1"/>
        <v>&lt;li class="col-md-3"&gt;&lt;a class="text-cut" href="javascript:;"(click)="categoryEvent(2084044318)"&gt;{{"2084044318" | translate}}&lt;/a&gt;&lt;/li&gt;</v>
      </c>
    </row>
    <row r="62" spans="1:8" ht="14.25" customHeight="1">
      <c r="A62" s="2">
        <v>2084044320</v>
      </c>
      <c r="B62" s="2" t="s">
        <v>1182</v>
      </c>
      <c r="C62" s="2" t="s">
        <v>1479</v>
      </c>
      <c r="D62" s="2" t="s">
        <v>1480</v>
      </c>
      <c r="E62" s="3" t="str">
        <f ca="1">IFERROR(__xludf.DUMMYFUNCTION("GOOGLETRANSLATE(B62,""ja"",""vi"")"),"Thực phẩm, voucher uống")</f>
        <v>Thực phẩm, voucher uống</v>
      </c>
      <c r="F62" s="3" t="str">
        <f ca="1">IFERROR(__xludf.DUMMYFUNCTION("GOOGLETRANSLATE(C62,""ja"",""vi"")"),"Đấu giá&gt; vé, chứng từ, đặt phòng khách sạn&gt; Phiếu Quà tặng&gt; Thực phẩm, voucher uống")</f>
        <v>Đấu giá&gt; vé, chứng từ, đặt phòng khách sạn&gt; Phiếu Quà tặng&gt; Thực phẩm, voucher uống</v>
      </c>
      <c r="G62" s="229" t="str">
        <f t="shared" ca="1" si="0"/>
        <v>"2084044320" : "Thực phẩm, voucher uống",</v>
      </c>
      <c r="H62" s="229" t="str">
        <f t="shared" si="1"/>
        <v>&lt;li class="col-md-3"&gt;&lt;a class="text-cut" href="javascript:;"(click)="categoryEvent(2084044320)"&gt;{{"2084044320" | translate}}&lt;/a&gt;&lt;/li&gt;</v>
      </c>
    </row>
    <row r="63" spans="1:8" ht="14.25" customHeight="1">
      <c r="A63" s="2">
        <v>2084044324</v>
      </c>
      <c r="B63" s="2" t="s">
        <v>1485</v>
      </c>
      <c r="C63" s="2" t="s">
        <v>1486</v>
      </c>
      <c r="D63" s="2" t="s">
        <v>1488</v>
      </c>
      <c r="E63" s="3" t="str">
        <f ca="1">IFERROR(__xludf.DUMMYFUNCTION("GOOGLETRANSLATE(B63,""ja"",""vi"")"),"vé hoa")</f>
        <v>vé hoa</v>
      </c>
      <c r="F63" s="3" t="str">
        <f ca="1">IFERROR(__xludf.DUMMYFUNCTION("GOOGLETRANSLATE(C63,""ja"",""vi"")"),"Đấu giá&gt; vé, chứng từ, đặt phòng khách sạn&gt; Phiếu Quà tặng&gt; vé Flower")</f>
        <v>Đấu giá&gt; vé, chứng từ, đặt phòng khách sạn&gt; Phiếu Quà tặng&gt; vé Flower</v>
      </c>
      <c r="G63" s="229" t="str">
        <f t="shared" ca="1" si="0"/>
        <v>"2084044324" : "vé hoa",</v>
      </c>
      <c r="H63" s="229" t="str">
        <f t="shared" si="1"/>
        <v>&lt;li class="col-md-3"&gt;&lt;a class="text-cut" href="javascript:;"(click)="categoryEvent(2084044324)"&gt;{{"2084044324" | translate}}&lt;/a&gt;&lt;/li&gt;</v>
      </c>
    </row>
    <row r="64" spans="1:8" ht="14.25" customHeight="1">
      <c r="A64" s="2">
        <v>2084044321</v>
      </c>
      <c r="B64" s="2" t="s">
        <v>1493</v>
      </c>
      <c r="C64" s="2" t="s">
        <v>1495</v>
      </c>
      <c r="D64" s="2" t="s">
        <v>1498</v>
      </c>
      <c r="E64" s="3" t="str">
        <f ca="1">IFERROR(__xludf.DUMMYFUNCTION("GOOGLETRANSLATE(B64,""ja"",""vi"")"),"vé giải trí")</f>
        <v>vé giải trí</v>
      </c>
      <c r="F64" s="3" t="str">
        <f ca="1">IFERROR(__xludf.DUMMYFUNCTION("GOOGLETRANSLATE(C64,""ja"",""vi"")"),"Đấu giá&gt; vé, chứng từ, đặt phòng khách sạn&gt; Phiếu Quà tặng&gt; vé Giải trí")</f>
        <v>Đấu giá&gt; vé, chứng từ, đặt phòng khách sạn&gt; Phiếu Quà tặng&gt; vé Giải trí</v>
      </c>
      <c r="G64" s="229" t="str">
        <f t="shared" ca="1" si="0"/>
        <v>"2084044321" : "vé giải trí",</v>
      </c>
      <c r="H64" s="229" t="str">
        <f t="shared" si="1"/>
        <v>&lt;li class="col-md-3"&gt;&lt;a class="text-cut" href="javascript:;"(click)="categoryEvent(2084044321)"&gt;{{"2084044321" | translate}}&lt;/a&gt;&lt;/li&gt;</v>
      </c>
    </row>
    <row r="65" spans="1:8" ht="14.25" customHeight="1">
      <c r="A65" s="2">
        <v>2084044319</v>
      </c>
      <c r="B65" s="2" t="s">
        <v>1502</v>
      </c>
      <c r="C65" s="2" t="s">
        <v>1504</v>
      </c>
      <c r="D65" s="2" t="s">
        <v>1505</v>
      </c>
      <c r="E65" s="3" t="str">
        <f ca="1">IFERROR(__xludf.DUMMYFUNCTION("GOOGLETRANSLATE(B65,""ja"",""vi"")"),"Nhà hàng, phiếu ăn")</f>
        <v>Nhà hàng, phiếu ăn</v>
      </c>
      <c r="F65" s="3" t="str">
        <f ca="1">IFERROR(__xludf.DUMMYFUNCTION("GOOGLETRANSLATE(C65,""ja"",""vi"")"),"Đấu giá&gt; vé, chứng từ, đặt phòng khách sạn&gt; Phiếu Quà tặng&gt; nhà hàng, phiếu ăn")</f>
        <v>Đấu giá&gt; vé, chứng từ, đặt phòng khách sạn&gt; Phiếu Quà tặng&gt; nhà hàng, phiếu ăn</v>
      </c>
      <c r="G65" s="229" t="str">
        <f t="shared" ca="1" si="0"/>
        <v>"2084044319" : "Nhà hàng, phiếu ăn",</v>
      </c>
      <c r="H65" s="229" t="str">
        <f t="shared" si="1"/>
        <v>&lt;li class="col-md-3"&gt;&lt;a class="text-cut" href="javascript:;"(click)="categoryEvent(2084044319)"&gt;{{"2084044319" | translate}}&lt;/a&gt;&lt;/li&gt;</v>
      </c>
    </row>
    <row r="66" spans="1:8" ht="14.25" customHeight="1">
      <c r="A66" s="2">
        <v>2084044325</v>
      </c>
      <c r="B66" s="2" t="s">
        <v>1506</v>
      </c>
      <c r="C66" s="2" t="s">
        <v>1507</v>
      </c>
      <c r="D66" s="2" t="s">
        <v>1509</v>
      </c>
      <c r="E66" s="3" t="str">
        <f ca="1">IFERROR(__xludf.DUMMYFUNCTION("GOOGLETRANSLATE(B66,""ja"",""vi"")"),"Phiếu Quà tặng âm nhạc")</f>
        <v>Phiếu Quà tặng âm nhạc</v>
      </c>
      <c r="F66" s="3" t="str">
        <f ca="1">IFERROR(__xludf.DUMMYFUNCTION("GOOGLETRANSLATE(C66,""ja"",""vi"")"),"Đấu giá vé, chứng từ đặt phòng&gt;, Khách sạn&gt; Phiếu Quà tặng&gt; Chứng chỉ Âm nhạc quà tặng")</f>
        <v>Đấu giá vé, chứng từ đặt phòng&gt;, Khách sạn&gt; Phiếu Quà tặng&gt; Chứng chỉ Âm nhạc quà tặng</v>
      </c>
      <c r="G66" s="229" t="str">
        <f t="shared" ca="1" si="0"/>
        <v>"2084044325" : "Phiếu Quà tặng âm nhạc",</v>
      </c>
      <c r="H66" s="229" t="str">
        <f t="shared" si="1"/>
        <v>&lt;li class="col-md-3"&gt;&lt;a class="text-cut" href="javascript:;"(click)="categoryEvent(2084044325)"&gt;{{"2084044325" | translate}}&lt;/a&gt;&lt;/li&gt;</v>
      </c>
    </row>
    <row r="67" spans="1:8" ht="14.25" customHeight="1">
      <c r="A67" s="2">
        <v>42441</v>
      </c>
      <c r="B67" s="2" t="s">
        <v>1512</v>
      </c>
      <c r="C67" s="2" t="s">
        <v>1514</v>
      </c>
      <c r="D67" s="2" t="s">
        <v>1516</v>
      </c>
      <c r="E67" s="3" t="str">
        <f ca="1">IFERROR(__xludf.DUMMYFUNCTION("GOOGLETRANSLATE(B67,""ja"",""vi"")"),"voucher khách sạn")</f>
        <v>voucher khách sạn</v>
      </c>
      <c r="F67" s="3" t="str">
        <f ca="1">IFERROR(__xludf.DUMMYFUNCTION("GOOGLETRANSLATE(C67,""ja"",""vi"")"),"Đấu giá&gt; vé, chứng từ, đặt phòng khách sạn&gt; Phiếu Quà tặng&gt; voucher")</f>
        <v>Đấu giá&gt; vé, chứng từ, đặt phòng khách sạn&gt; Phiếu Quà tặng&gt; voucher</v>
      </c>
      <c r="G67" s="229" t="str">
        <f t="shared" ref="G67:G93" ca="1" si="2">CONCATENATE(CHAR(34)&amp;"",A67,""&amp;CHAR(34)," : ", CHAR(34)&amp;"",E67,""&amp;CHAR(34),",")</f>
        <v>"42441" : "voucher khách sạn",</v>
      </c>
      <c r="H67" s="229" t="str">
        <f t="shared" ref="H67:H93" si="3">CONCATENATE("&lt;li class=",CHAR(34)&amp;"","col-md-3",""&amp;CHAR(34),"&gt;","&lt;a class=",CHAR(34)&amp;"","text-cut",""&amp;CHAR(34)," href=",CHAR(34)&amp;"","javascript:;",""&amp;CHAR(34), "(click)=",CHAR(34)&amp;"","categoryEvent(",A67,")",""&amp;CHAR(34),"&gt;{{",CHAR(34)&amp;"",A67,""&amp;CHAR(34)," | translate}}&lt;/a&gt;&lt;/li&gt;")</f>
        <v>&lt;li class="col-md-3"&gt;&lt;a class="text-cut" href="javascript:;"(click)="categoryEvent(42441)"&gt;{{"42441" | translate}}&lt;/a&gt;&lt;/li&gt;</v>
      </c>
    </row>
    <row r="68" spans="1:8" ht="14.25" customHeight="1">
      <c r="A68" s="2">
        <v>2084044323</v>
      </c>
      <c r="B68" s="2" t="s">
        <v>1518</v>
      </c>
      <c r="C68" s="2" t="s">
        <v>1520</v>
      </c>
      <c r="D68" s="2" t="s">
        <v>1521</v>
      </c>
      <c r="E68" s="3" t="str">
        <f ca="1">IFERROR(__xludf.DUMMYFUNCTION("GOOGLETRANSLATE(B68,""ja"",""vi"")"),"sách coupon")</f>
        <v>sách coupon</v>
      </c>
      <c r="F68" s="3" t="str">
        <f ca="1">IFERROR(__xludf.DUMMYFUNCTION("GOOGLETRANSLATE(C68,""ja"",""vi"")"),"Đấu giá&gt; vé, chứng từ, đặt phòng khách sạn&gt; Phiếu Quà tặng&gt; coupon book")</f>
        <v>Đấu giá&gt; vé, chứng từ, đặt phòng khách sạn&gt; Phiếu Quà tặng&gt; coupon book</v>
      </c>
      <c r="G68" s="229" t="str">
        <f t="shared" ca="1" si="2"/>
        <v>"2084044323" : "sách coupon",</v>
      </c>
      <c r="H68" s="229" t="str">
        <f t="shared" si="3"/>
        <v>&lt;li class="col-md-3"&gt;&lt;a class="text-cut" href="javascript:;"(click)="categoryEvent(2084044323)"&gt;{{"2084044323" | translate}}&lt;/a&gt;&lt;/li&gt;</v>
      </c>
    </row>
    <row r="69" spans="1:8" ht="14.25" customHeight="1">
      <c r="A69" s="2">
        <v>2084044322</v>
      </c>
      <c r="B69" s="2" t="s">
        <v>1286</v>
      </c>
      <c r="C69" s="2" t="s">
        <v>1522</v>
      </c>
      <c r="D69" s="2" t="s">
        <v>1523</v>
      </c>
      <c r="E69" s="3" t="str">
        <f ca="1">IFERROR(__xludf.DUMMYFUNCTION("GOOGLETRANSLATE(B69,""ja"",""vi"")"),"Làm đẹp, sức khỏe")</f>
        <v>Làm đẹp, sức khỏe</v>
      </c>
      <c r="F69" s="3" t="str">
        <f ca="1">IFERROR(__xludf.DUMMYFUNCTION("GOOGLETRANSLATE(C69,""ja"",""vi"")"),"Đấu giá&gt; vé, chứng từ, đặt phòng khách sạn&gt; Phiếu Quà tặng&gt; Làm đẹp, sức khỏe")</f>
        <v>Đấu giá&gt; vé, chứng từ, đặt phòng khách sạn&gt; Phiếu Quà tặng&gt; Làm đẹp, sức khỏe</v>
      </c>
      <c r="G69" s="229" t="str">
        <f t="shared" ca="1" si="2"/>
        <v>"2084044322" : "Làm đẹp, sức khỏe",</v>
      </c>
      <c r="H69" s="229" t="str">
        <f t="shared" si="3"/>
        <v>&lt;li class="col-md-3"&gt;&lt;a class="text-cut" href="javascript:;"(click)="categoryEvent(2084044322)"&gt;{{"2084044322" | translate}}&lt;/a&gt;&lt;/li&gt;</v>
      </c>
    </row>
    <row r="70" spans="1:8" ht="14.25" customHeight="1">
      <c r="A70" s="2">
        <v>2084044326</v>
      </c>
      <c r="B70" s="2" t="s">
        <v>1527</v>
      </c>
      <c r="C70" s="2" t="s">
        <v>1528</v>
      </c>
      <c r="D70" s="2" t="s">
        <v>1529</v>
      </c>
      <c r="E70" s="3" t="str">
        <f ca="1">IFERROR(__xludf.DUMMYFUNCTION("GOOGLETRANSLATE(B70,""ja"",""vi"")"),"vé Văn phòng phẩm")</f>
        <v>vé Văn phòng phẩm</v>
      </c>
      <c r="F70" s="3" t="str">
        <f ca="1">IFERROR(__xludf.DUMMYFUNCTION("GOOGLETRANSLATE(C70,""ja"",""vi"")"),"Đấu giá&gt; vé, chứng từ, đặt phòng khách sạn&gt; Phiếu Quà tặng&gt; Văn phòng phẩm vé")</f>
        <v>Đấu giá&gt; vé, chứng từ, đặt phòng khách sạn&gt; Phiếu Quà tặng&gt; Văn phòng phẩm vé</v>
      </c>
      <c r="G70" s="229" t="str">
        <f t="shared" ca="1" si="2"/>
        <v>"2084044326" : "vé Văn phòng phẩm",</v>
      </c>
      <c r="H70" s="229" t="str">
        <f t="shared" si="3"/>
        <v>&lt;li class="col-md-3"&gt;&lt;a class="text-cut" href="javascript:;"(click)="categoryEvent(2084044326)"&gt;{{"2084044326" | translate}}&lt;/a&gt;&lt;/li&gt;</v>
      </c>
    </row>
    <row r="71" spans="1:8" ht="14.25" customHeight="1">
      <c r="A71" s="2">
        <v>2084044327</v>
      </c>
      <c r="B71" s="2" t="s">
        <v>16</v>
      </c>
      <c r="C71" s="2" t="s">
        <v>1533</v>
      </c>
      <c r="D71" s="2" t="s">
        <v>1534</v>
      </c>
      <c r="E71" s="3" t="str">
        <f ca="1">IFERROR(__xludf.DUMMYFUNCTION("GOOGLETRANSLATE(B71,""ja"",""vi"")"),"nếu không thì")</f>
        <v>nếu không thì</v>
      </c>
      <c r="F71" s="3" t="str">
        <f ca="1">IFERROR(__xludf.DUMMYFUNCTION("GOOGLETRANSLATE(C71,""ja"",""vi"")"),"Đấu giá vé, chứng từ đặt phòng khách sạn,&gt;&gt; Phiếu Quà tặng&gt; Khác")</f>
        <v>Đấu giá vé, chứng từ đặt phòng khách sạn,&gt;&gt; Phiếu Quà tặng&gt; Khác</v>
      </c>
      <c r="G71" s="229" t="str">
        <f t="shared" ca="1" si="2"/>
        <v>"2084044327" : "nếu không thì",</v>
      </c>
      <c r="H71" s="229" t="str">
        <f t="shared" si="3"/>
        <v>&lt;li class="col-md-3"&gt;&lt;a class="text-cut" href="javascript:;"(click)="categoryEvent(2084044327)"&gt;{{"2084044327" | translate}}&lt;/a&gt;&lt;/li&gt;</v>
      </c>
    </row>
    <row r="72" spans="1:8" ht="14.25" customHeight="1">
      <c r="E72" s="3"/>
      <c r="F72" s="3"/>
      <c r="G72" s="229"/>
      <c r="H72" s="229"/>
    </row>
    <row r="73" spans="1:8" ht="22.8" customHeight="1">
      <c r="A73" s="252">
        <v>2084007688</v>
      </c>
      <c r="B73" s="232"/>
      <c r="C73" s="232"/>
      <c r="D73" s="233"/>
      <c r="E73" s="3"/>
      <c r="F73" s="3"/>
      <c r="G73" s="229"/>
      <c r="H73" s="229"/>
    </row>
    <row r="74" spans="1:8" ht="14.25" customHeight="1">
      <c r="A74" s="2">
        <v>23968</v>
      </c>
      <c r="B74" s="2" t="s">
        <v>389</v>
      </c>
      <c r="C74" s="2" t="s">
        <v>1540</v>
      </c>
      <c r="D74" s="2" t="s">
        <v>1542</v>
      </c>
      <c r="E74" s="3" t="str">
        <f ca="1">IFERROR(__xludf.DUMMYFUNCTION("GOOGLETRANSLATE(B74,""ja"",""vi"")"),"thẻ điện thoại")</f>
        <v>thẻ điện thoại</v>
      </c>
      <c r="F74" s="3" t="str">
        <f ca="1">IFERROR(__xludf.DUMMYFUNCTION("GOOGLETRANSLATE(C74,""ja"",""vi"")"),"Đấu giá&gt; vé, chứng từ, đặt phòng khách sạn&gt; Thẻ trả trước&gt; Thẻ điện thoại")</f>
        <v>Đấu giá&gt; vé, chứng từ, đặt phòng khách sạn&gt; Thẻ trả trước&gt; Thẻ điện thoại</v>
      </c>
      <c r="G74" s="229" t="str">
        <f t="shared" ca="1" si="2"/>
        <v>"23968" : "thẻ điện thoại",</v>
      </c>
      <c r="H74" s="229" t="str">
        <f t="shared" si="3"/>
        <v>&lt;li class="col-md-3"&gt;&lt;a class="text-cut" href="javascript:;"(click)="categoryEvent(23968)"&gt;{{"23968" | translate}}&lt;/a&gt;&lt;/li&gt;</v>
      </c>
    </row>
    <row r="75" spans="1:8" ht="14.25" customHeight="1">
      <c r="A75" s="2">
        <v>2084007697</v>
      </c>
      <c r="B75" s="2" t="s">
        <v>1546</v>
      </c>
      <c r="C75" s="2" t="s">
        <v>1548</v>
      </c>
      <c r="D75" s="2" t="s">
        <v>1551</v>
      </c>
      <c r="E75" s="3" t="str">
        <f ca="1">IFERROR(__xludf.DUMMYFUNCTION("GOOGLETRANSLATE(B75,""ja"",""vi"")"),"đường sắt")</f>
        <v>đường sắt</v>
      </c>
      <c r="F75" s="3" t="str">
        <f ca="1">IFERROR(__xludf.DUMMYFUNCTION("GOOGLETRANSLATE(C75,""ja"",""vi"")"),"Đấu giá&gt; vé, chứng từ, đặt phòng khách sạn&gt; Thẻ trả trước&gt; đường sắt")</f>
        <v>Đấu giá&gt; vé, chứng từ, đặt phòng khách sạn&gt; Thẻ trả trước&gt; đường sắt</v>
      </c>
      <c r="G75" s="229" t="str">
        <f t="shared" ca="1" si="2"/>
        <v>"2084007697" : "đường sắt",</v>
      </c>
      <c r="H75" s="229" t="str">
        <f t="shared" si="3"/>
        <v>&lt;li class="col-md-3"&gt;&lt;a class="text-cut" href="javascript:;"(click)="categoryEvent(2084007697)"&gt;{{"2084007697" | translate}}&lt;/a&gt;&lt;/li&gt;</v>
      </c>
    </row>
    <row r="76" spans="1:8" ht="14.25" customHeight="1">
      <c r="A76" s="2">
        <v>2084046717</v>
      </c>
      <c r="B76" s="2" t="s">
        <v>402</v>
      </c>
      <c r="C76" s="2" t="s">
        <v>1559</v>
      </c>
      <c r="D76" s="2" t="s">
        <v>1561</v>
      </c>
      <c r="E76" s="3" t="str">
        <f ca="1">IFERROR(__xludf.DUMMYFUNCTION("GOOGLETRANSLATE(B76,""ja"",""vi"")"),"Kuokado")</f>
        <v>Kuokado</v>
      </c>
      <c r="F76" s="3" t="str">
        <f ca="1">IFERROR(__xludf.DUMMYFUNCTION("GOOGLETRANSLATE(C76,""ja"",""vi"")"),"Đấu giá&gt; vé, chứng từ, đặt phòng khách sạn&gt; Thẻ trả trước&gt; Kuokado")</f>
        <v>Đấu giá&gt; vé, chứng từ, đặt phòng khách sạn&gt; Thẻ trả trước&gt; Kuokado</v>
      </c>
      <c r="G76" s="229" t="str">
        <f t="shared" ca="1" si="2"/>
        <v>"2084046717" : "Kuokado",</v>
      </c>
      <c r="H76" s="229" t="str">
        <f t="shared" si="3"/>
        <v>&lt;li class="col-md-3"&gt;&lt;a class="text-cut" href="javascript:;"(click)="categoryEvent(2084046717)"&gt;{{"2084046717" | translate}}&lt;/a&gt;&lt;/li&gt;</v>
      </c>
    </row>
    <row r="77" spans="1:8" ht="14.25" customHeight="1">
      <c r="A77" s="2">
        <v>2084046718</v>
      </c>
      <c r="B77" s="2" t="s">
        <v>1565</v>
      </c>
      <c r="C77" s="2" t="s">
        <v>1567</v>
      </c>
      <c r="D77" s="2" t="s">
        <v>1569</v>
      </c>
      <c r="E77" s="3" t="str">
        <f ca="1">IFERROR(__xludf.DUMMYFUNCTION("GOOGLETRANSLATE(B77,""ja"",""vi"")"),"thẻ thư viện")</f>
        <v>thẻ thư viện</v>
      </c>
      <c r="F77" s="3" t="str">
        <f ca="1">IFERROR(__xludf.DUMMYFUNCTION("GOOGLETRANSLATE(C77,""ja"",""vi"")"),"Đấu giá&gt; Vé, vé phí bảo hiểm, đặt nơi ăn nghỉ&gt; Thẻ trả trước&gt; Thẻ sách")</f>
        <v>Đấu giá&gt; Vé, vé phí bảo hiểm, đặt nơi ăn nghỉ&gt; Thẻ trả trước&gt; Thẻ sách</v>
      </c>
      <c r="G77" s="229" t="str">
        <f t="shared" ca="1" si="2"/>
        <v>"2084046718" : "thẻ thư viện",</v>
      </c>
      <c r="H77" s="229" t="str">
        <f t="shared" si="3"/>
        <v>&lt;li class="col-md-3"&gt;&lt;a class="text-cut" href="javascript:;"(click)="categoryEvent(2084046718)"&gt;{{"2084046718" | translate}}&lt;/a&gt;&lt;/li&gt;</v>
      </c>
    </row>
    <row r="78" spans="1:8" ht="14.25" customHeight="1">
      <c r="A78" s="2">
        <v>2084316261</v>
      </c>
      <c r="B78" s="2" t="s">
        <v>1576</v>
      </c>
      <c r="C78" s="2" t="s">
        <v>1578</v>
      </c>
      <c r="D78" s="2" t="s">
        <v>1582</v>
      </c>
      <c r="E78" s="3" t="str">
        <f ca="1">IFERROR(__xludf.DUMMYFUNCTION("GOOGLETRANSLATE(B78,""ja"",""vi"")"),"Mã quà tặng")</f>
        <v>Mã quà tặng</v>
      </c>
      <c r="F78" s="3" t="str">
        <f ca="1">IFERROR(__xludf.DUMMYFUNCTION("GOOGLETRANSLATE(C78,""ja"",""vi"")"),"Đấu giá&gt; vé, chứng từ, đặt phòng khách sạn&gt; Thẻ trả trước&gt; Mã quà tặng")</f>
        <v>Đấu giá&gt; vé, chứng từ, đặt phòng khách sạn&gt; Thẻ trả trước&gt; Mã quà tặng</v>
      </c>
      <c r="G78" s="229" t="str">
        <f t="shared" ca="1" si="2"/>
        <v>"2084316261" : "Mã quà tặng",</v>
      </c>
      <c r="H78" s="229" t="str">
        <f t="shared" si="3"/>
        <v>&lt;li class="col-md-3"&gt;&lt;a class="text-cut" href="javascript:;"(click)="categoryEvent(2084316261)"&gt;{{"2084316261" | translate}}&lt;/a&gt;&lt;/li&gt;</v>
      </c>
    </row>
    <row r="79" spans="1:8" ht="14.25" customHeight="1">
      <c r="A79" s="2">
        <v>2084007696</v>
      </c>
      <c r="B79" s="2" t="s">
        <v>1587</v>
      </c>
      <c r="C79" s="2" t="s">
        <v>1589</v>
      </c>
      <c r="D79" s="2" t="s">
        <v>1591</v>
      </c>
      <c r="E79" s="3" t="str">
        <f ca="1">IFERROR(__xludf.DUMMYFUNCTION("GOOGLETRANSLATE(B79,""ja"",""vi"")"),"kiểm tra Mobaira của")</f>
        <v>kiểm tra Mobaira của</v>
      </c>
      <c r="F79" s="3" t="str">
        <f ca="1">IFERROR(__xludf.DUMMYFUNCTION("GOOGLETRANSLATE(C79,""ja"",""vi"")"),"Đấu giá&gt; vé, chứng từ, đặt phòng khách sạn&gt; Thẻ trả trước&gt; kiểm tra Mobaira của")</f>
        <v>Đấu giá&gt; vé, chứng từ, đặt phòng khách sạn&gt; Thẻ trả trước&gt; kiểm tra Mobaira của</v>
      </c>
      <c r="G79" s="229" t="str">
        <f t="shared" ca="1" si="2"/>
        <v>"2084007696" : "kiểm tra Mobaira của",</v>
      </c>
      <c r="H79" s="229" t="str">
        <f t="shared" si="3"/>
        <v>&lt;li class="col-md-3"&gt;&lt;a class="text-cut" href="javascript:;"(click)="categoryEvent(2084007696)"&gt;{{"2084007696" | translate}}&lt;/a&gt;&lt;/li&gt;</v>
      </c>
    </row>
    <row r="80" spans="1:8" ht="14.25" customHeight="1">
      <c r="A80" s="2">
        <v>2084007701</v>
      </c>
      <c r="B80" s="2" t="s">
        <v>1596</v>
      </c>
      <c r="C80" s="2" t="s">
        <v>1598</v>
      </c>
      <c r="D80" s="2" t="s">
        <v>1600</v>
      </c>
      <c r="E80" s="3" t="str">
        <f ca="1">IFERROR(__xludf.DUMMYFUNCTION("GOOGLETRANSLATE(B80,""ja"",""vi"")"),"thẻ điện thoại quốc tế")</f>
        <v>thẻ điện thoại quốc tế</v>
      </c>
      <c r="F80" s="3" t="str">
        <f ca="1">IFERROR(__xludf.DUMMYFUNCTION("GOOGLETRANSLATE(C80,""ja"",""vi"")"),"Đấu giá&gt; vé, chứng từ, đặt phòng khách sạn&gt; Thẻ trả trước&gt; Thẻ điện thoại quốc tế")</f>
        <v>Đấu giá&gt; vé, chứng từ, đặt phòng khách sạn&gt; Thẻ trả trước&gt; Thẻ điện thoại quốc tế</v>
      </c>
      <c r="G80" s="229" t="str">
        <f t="shared" ca="1" si="2"/>
        <v>"2084007701" : "thẻ điện thoại quốc tế",</v>
      </c>
      <c r="H80" s="229" t="str">
        <f t="shared" si="3"/>
        <v>&lt;li class="col-md-3"&gt;&lt;a class="text-cut" href="javascript:;"(click)="categoryEvent(2084007701)"&gt;{{"2084007701" | translate}}&lt;/a&gt;&lt;/li&gt;</v>
      </c>
    </row>
    <row r="81" spans="1:8" ht="14.25" customHeight="1">
      <c r="A81" s="2">
        <v>2084007699</v>
      </c>
      <c r="B81" s="2" t="s">
        <v>1605</v>
      </c>
      <c r="C81" s="2" t="s">
        <v>1606</v>
      </c>
      <c r="D81" s="2" t="s">
        <v>1607</v>
      </c>
      <c r="E81" s="3" t="str">
        <f ca="1">IFERROR(__xludf.DUMMYFUNCTION("GOOGLETRANSLATE(B81,""ja"",""vi"")"),"Quốc lộ thẻ")</f>
        <v>Quốc lộ thẻ</v>
      </c>
      <c r="F81" s="3" t="str">
        <f ca="1">IFERROR(__xludf.DUMMYFUNCTION("GOOGLETRANSLATE(C81,""ja"",""vi"")"),"Đấu giá&gt; vé, chứng từ, đặt phòng khách sạn&gt; Thẻ trả trước&gt; Thẻ đường cao tốc")</f>
        <v>Đấu giá&gt; vé, chứng từ, đặt phòng khách sạn&gt; Thẻ trả trước&gt; Thẻ đường cao tốc</v>
      </c>
      <c r="G81" s="229" t="str">
        <f t="shared" ca="1" si="2"/>
        <v>"2084007699" : "Quốc lộ thẻ",</v>
      </c>
      <c r="H81" s="229" t="str">
        <f t="shared" si="3"/>
        <v>&lt;li class="col-md-3"&gt;&lt;a class="text-cut" href="javascript:;"(click)="categoryEvent(2084007699)"&gt;{{"2084007699" | translate}}&lt;/a&gt;&lt;/li&gt;</v>
      </c>
    </row>
    <row r="82" spans="1:8" ht="14.25" customHeight="1">
      <c r="A82" s="2">
        <v>2084007698</v>
      </c>
      <c r="B82" s="2" t="s">
        <v>1614</v>
      </c>
      <c r="C82" s="2" t="s">
        <v>1615</v>
      </c>
      <c r="D82" s="2" t="s">
        <v>1616</v>
      </c>
      <c r="E82" s="3" t="str">
        <f ca="1">IFERROR(__xludf.DUMMYFUNCTION("GOOGLETRANSLATE(B82,""ja"",""vi"")"),"thẻ xe buýt")</f>
        <v>thẻ xe buýt</v>
      </c>
      <c r="F82" s="3" t="str">
        <f ca="1">IFERROR(__xludf.DUMMYFUNCTION("GOOGLETRANSLATE(C82,""ja"",""vi"")"),"Đấu giá&gt; vé, chứng từ, đặt phòng khách sạn&gt; Thẻ trả trước&gt; Thẻ xe buýt")</f>
        <v>Đấu giá&gt; vé, chứng từ, đặt phòng khách sạn&gt; Thẻ trả trước&gt; Thẻ xe buýt</v>
      </c>
      <c r="G82" s="229" t="str">
        <f t="shared" ca="1" si="2"/>
        <v>"2084007698" : "thẻ xe buýt",</v>
      </c>
      <c r="H82" s="229" t="str">
        <f t="shared" si="3"/>
        <v>&lt;li class="col-md-3"&gt;&lt;a class="text-cut" href="javascript:;"(click)="categoryEvent(2084007698)"&gt;{{"2084007698" | translate}}&lt;/a&gt;&lt;/li&gt;</v>
      </c>
    </row>
    <row r="83" spans="1:8" ht="14.25" customHeight="1">
      <c r="A83" s="2">
        <v>2084007691</v>
      </c>
      <c r="B83" s="2" t="s">
        <v>16</v>
      </c>
      <c r="C83" s="2" t="s">
        <v>1623</v>
      </c>
      <c r="D83" s="2" t="s">
        <v>1624</v>
      </c>
      <c r="E83" s="3" t="str">
        <f ca="1">IFERROR(__xludf.DUMMYFUNCTION("GOOGLETRANSLATE(B83,""ja"",""vi"")"),"nếu không thì")</f>
        <v>nếu không thì</v>
      </c>
      <c r="F83" s="3" t="str">
        <f ca="1">IFERROR(__xludf.DUMMYFUNCTION("GOOGLETRANSLATE(C83,""ja"",""vi"")"),"Đấu giá&gt; vé, chứng từ, đặt phòng khách sạn&gt; Thẻ trả trước&gt; Khác")</f>
        <v>Đấu giá&gt; vé, chứng từ, đặt phòng khách sạn&gt; Thẻ trả trước&gt; Khác</v>
      </c>
      <c r="G83" s="229" t="str">
        <f t="shared" ca="1" si="2"/>
        <v>"2084007691" : "nếu không thì",</v>
      </c>
      <c r="H83" s="229" t="str">
        <f t="shared" si="3"/>
        <v>&lt;li class="col-md-3"&gt;&lt;a class="text-cut" href="javascript:;"(click)="categoryEvent(2084007691)"&gt;{{"2084007691" | translate}}&lt;/a&gt;&lt;/li&gt;</v>
      </c>
    </row>
    <row r="84" spans="1:8" ht="14.25" customHeight="1">
      <c r="E84" s="3"/>
      <c r="F84" s="3"/>
      <c r="G84" s="229"/>
      <c r="H84" s="229"/>
    </row>
    <row r="85" spans="1:8" ht="27.6" customHeight="1">
      <c r="A85" s="265">
        <v>2084062636</v>
      </c>
      <c r="B85" s="232"/>
      <c r="C85" s="232"/>
      <c r="D85" s="233"/>
      <c r="E85" s="3"/>
      <c r="F85" s="3"/>
      <c r="G85" s="229"/>
      <c r="H85" s="229"/>
    </row>
    <row r="86" spans="1:8" ht="14.25" customHeight="1">
      <c r="A86" s="2">
        <v>42441</v>
      </c>
      <c r="B86" s="2" t="s">
        <v>1512</v>
      </c>
      <c r="C86" s="2" t="s">
        <v>1642</v>
      </c>
      <c r="D86" s="2" t="s">
        <v>1645</v>
      </c>
      <c r="E86" s="3" t="str">
        <f ca="1">IFERROR(__xludf.DUMMYFUNCTION("GOOGLETRANSLATE(B86,""ja"",""vi"")"),"voucher khách sạn")</f>
        <v>voucher khách sạn</v>
      </c>
      <c r="F86" s="3" t="str">
        <f ca="1">IFERROR(__xludf.DUMMYFUNCTION("GOOGLETRANSLATE(C86,""ja"",""vi"")"),"Đấu giá&gt; vé, chứng từ, đặt phòng khách sạn&gt; Reservation&gt; voucher khách sạn")</f>
        <v>Đấu giá&gt; vé, chứng từ, đặt phòng khách sạn&gt; Reservation&gt; voucher khách sạn</v>
      </c>
      <c r="G86" s="229" t="str">
        <f t="shared" ca="1" si="2"/>
        <v>"42441" : "voucher khách sạn",</v>
      </c>
      <c r="H86" s="229" t="str">
        <f t="shared" si="3"/>
        <v>&lt;li class="col-md-3"&gt;&lt;a class="text-cut" href="javascript:;"(click)="categoryEvent(42441)"&gt;{{"42441" | translate}}&lt;/a&gt;&lt;/li&gt;</v>
      </c>
    </row>
    <row r="87" spans="1:8" ht="14.25" customHeight="1">
      <c r="A87" s="2">
        <v>2084221302</v>
      </c>
      <c r="B87" s="2" t="s">
        <v>1647</v>
      </c>
      <c r="C87" s="2" t="s">
        <v>1648</v>
      </c>
      <c r="D87" s="2" t="s">
        <v>1650</v>
      </c>
      <c r="E87" s="3" t="str">
        <f ca="1">IFERROR(__xludf.DUMMYFUNCTION("GOOGLETRANSLATE(B87,""ja"",""vi"")"),"Hokkaido, Tohoku")</f>
        <v>Hokkaido, Tohoku</v>
      </c>
      <c r="F87" s="3" t="str">
        <f ca="1">IFERROR(__xludf.DUMMYFUNCTION("GOOGLETRANSLATE(C87,""ja"",""vi"")"),"Đấu giá&gt; vé, chứng từ, đặt phòng khách sạn&gt; Đặt phòng&gt; Hokkaido, Tohoku")</f>
        <v>Đấu giá&gt; vé, chứng từ, đặt phòng khách sạn&gt; Đặt phòng&gt; Hokkaido, Tohoku</v>
      </c>
      <c r="G87" s="229" t="str">
        <f t="shared" ca="1" si="2"/>
        <v>"2084221302" : "Hokkaido, Tohoku",</v>
      </c>
      <c r="H87" s="229" t="str">
        <f t="shared" si="3"/>
        <v>&lt;li class="col-md-3"&gt;&lt;a class="text-cut" href="javascript:;"(click)="categoryEvent(2084221302)"&gt;{{"2084221302" | translate}}&lt;/a&gt;&lt;/li&gt;</v>
      </c>
    </row>
    <row r="88" spans="1:8" ht="14.25" customHeight="1">
      <c r="A88" s="2">
        <v>2084221303</v>
      </c>
      <c r="B88" s="2" t="s">
        <v>45</v>
      </c>
      <c r="C88" s="2" t="s">
        <v>1654</v>
      </c>
      <c r="D88" s="2" t="s">
        <v>1657</v>
      </c>
      <c r="E88" s="3" t="str">
        <f ca="1">IFERROR(__xludf.DUMMYFUNCTION("GOOGLETRANSLATE(B88,""ja"",""vi"")"),"Kanto")</f>
        <v>Kanto</v>
      </c>
      <c r="F88" s="3" t="str">
        <f ca="1">IFERROR(__xludf.DUMMYFUNCTION("GOOGLETRANSLATE(C88,""ja"",""vi"")"),"Đấu giá vé, chứng từ đặt phòng&gt;, Khách sạn&gt; phòng trọ&gt; Kanto")</f>
        <v>Đấu giá vé, chứng từ đặt phòng&gt;, Khách sạn&gt; phòng trọ&gt; Kanto</v>
      </c>
      <c r="G88" s="229" t="str">
        <f t="shared" ca="1" si="2"/>
        <v>"2084221303" : "Kanto",</v>
      </c>
      <c r="H88" s="229" t="str">
        <f t="shared" si="3"/>
        <v>&lt;li class="col-md-3"&gt;&lt;a class="text-cut" href="javascript:;"(click)="categoryEvent(2084221303)"&gt;{{"2084221303" | translate}}&lt;/a&gt;&lt;/li&gt;</v>
      </c>
    </row>
    <row r="89" spans="1:8" ht="14.25" customHeight="1">
      <c r="A89" s="2">
        <v>2084221309</v>
      </c>
      <c r="B89" s="2" t="s">
        <v>1662</v>
      </c>
      <c r="C89" s="2" t="s">
        <v>1664</v>
      </c>
      <c r="D89" s="2" t="s">
        <v>1666</v>
      </c>
      <c r="E89" s="3" t="str">
        <f ca="1">IFERROR(__xludf.DUMMYFUNCTION("GOOGLETRANSLATE(B89,""ja"",""vi"")"),"Shin-Etsu, Hokuriku")</f>
        <v>Shin-Etsu, Hokuriku</v>
      </c>
      <c r="F89" s="3" t="str">
        <f ca="1">IFERROR(__xludf.DUMMYFUNCTION("GOOGLETRANSLATE(C89,""ja"",""vi"")"),"Đấu giá&gt; vé, chứng từ, đặt phòng khách sạn&gt; Đặt phòng&gt; Shin-Etsu, Hokuriku")</f>
        <v>Đấu giá&gt; vé, chứng từ, đặt phòng khách sạn&gt; Đặt phòng&gt; Shin-Etsu, Hokuriku</v>
      </c>
      <c r="G89" s="229" t="str">
        <f t="shared" ca="1" si="2"/>
        <v>"2084221309" : "Shin-Etsu, Hokuriku",</v>
      </c>
      <c r="H89" s="229" t="str">
        <f t="shared" si="3"/>
        <v>&lt;li class="col-md-3"&gt;&lt;a class="text-cut" href="javascript:;"(click)="categoryEvent(2084221309)"&gt;{{"2084221309" | translate}}&lt;/a&gt;&lt;/li&gt;</v>
      </c>
    </row>
    <row r="90" spans="1:8" ht="14.25" customHeight="1">
      <c r="A90" s="2">
        <v>2084221310</v>
      </c>
      <c r="B90" s="2" t="s">
        <v>54</v>
      </c>
      <c r="C90" s="2" t="s">
        <v>1673</v>
      </c>
      <c r="D90" s="2" t="s">
        <v>1674</v>
      </c>
      <c r="E90" s="3" t="str">
        <f ca="1">IFERROR(__xludf.DUMMYFUNCTION("GOOGLETRANSLATE(B90,""ja"",""vi"")"),"Tokai")</f>
        <v>Tokai</v>
      </c>
      <c r="F90" s="3" t="str">
        <f ca="1">IFERROR(__xludf.DUMMYFUNCTION("GOOGLETRANSLATE(C90,""ja"",""vi"")"),"Đấu giá vé, chứng từ đặt phòng&gt;, Khách sạn&gt; phòng trọ&gt; Tokai")</f>
        <v>Đấu giá vé, chứng từ đặt phòng&gt;, Khách sạn&gt; phòng trọ&gt; Tokai</v>
      </c>
      <c r="G90" s="229" t="str">
        <f t="shared" ca="1" si="2"/>
        <v>"2084221310" : "Tokai",</v>
      </c>
      <c r="H90" s="229" t="str">
        <f t="shared" si="3"/>
        <v>&lt;li class="col-md-3"&gt;&lt;a class="text-cut" href="javascript:;"(click)="categoryEvent(2084221310)"&gt;{{"2084221310" | translate}}&lt;/a&gt;&lt;/li&gt;</v>
      </c>
    </row>
    <row r="91" spans="1:8" ht="14.25" customHeight="1">
      <c r="A91" s="2">
        <v>2084221313</v>
      </c>
      <c r="B91" s="2" t="s">
        <v>57</v>
      </c>
      <c r="C91" s="2" t="s">
        <v>1678</v>
      </c>
      <c r="D91" s="2" t="s">
        <v>1680</v>
      </c>
      <c r="E91" s="3" t="str">
        <f ca="1">IFERROR(__xludf.DUMMYFUNCTION("GOOGLETRANSLATE(B91,""ja"",""vi"")"),"Kinki")</f>
        <v>Kinki</v>
      </c>
      <c r="F91" s="3" t="str">
        <f ca="1">IFERROR(__xludf.DUMMYFUNCTION("GOOGLETRANSLATE(C91,""ja"",""vi"")"),"Đấu giá&gt; vé, chứng từ, đặt phòng khách sạn&gt; Đặt phòng&gt; Kinki")</f>
        <v>Đấu giá&gt; vé, chứng từ, đặt phòng khách sạn&gt; Đặt phòng&gt; Kinki</v>
      </c>
      <c r="G91" s="229" t="str">
        <f t="shared" ca="1" si="2"/>
        <v>"2084221313" : "Kinki",</v>
      </c>
      <c r="H91" s="229" t="str">
        <f t="shared" si="3"/>
        <v>&lt;li class="col-md-3"&gt;&lt;a class="text-cut" href="javascript:;"(click)="categoryEvent(2084221313)"&gt;{{"2084221313" | translate}}&lt;/a&gt;&lt;/li&gt;</v>
      </c>
    </row>
    <row r="92" spans="1:8" ht="14.25" customHeight="1">
      <c r="A92" s="2">
        <v>2084221314</v>
      </c>
      <c r="B92" s="2" t="s">
        <v>1686</v>
      </c>
      <c r="C92" s="2" t="s">
        <v>1688</v>
      </c>
      <c r="D92" s="2" t="s">
        <v>1689</v>
      </c>
      <c r="E92" s="3" t="str">
        <f ca="1">IFERROR(__xludf.DUMMYFUNCTION("GOOGLETRANSLATE(B92,""ja"",""vi"")"),"Trung Quốc, Shikoku, Kyushu, Okinawa")</f>
        <v>Trung Quốc, Shikoku, Kyushu, Okinawa</v>
      </c>
      <c r="F92" s="3" t="str">
        <f ca="1">IFERROR(__xludf.DUMMYFUNCTION("GOOGLETRANSLATE(C92,""ja"",""vi"")"),"Đấu giá&gt; vé, chứng từ, đặt phòng khách sạn&gt; Đặt phòng khách sạn&gt; Trung Quốc, Shikoku, Kyushu, Okinawa")</f>
        <v>Đấu giá&gt; vé, chứng từ, đặt phòng khách sạn&gt; Đặt phòng khách sạn&gt; Trung Quốc, Shikoku, Kyushu, Okinawa</v>
      </c>
      <c r="G92" s="229" t="str">
        <f t="shared" ca="1" si="2"/>
        <v>"2084221314" : "Trung Quốc, Shikoku, Kyushu, Okinawa",</v>
      </c>
      <c r="H92" s="229" t="str">
        <f t="shared" si="3"/>
        <v>&lt;li class="col-md-3"&gt;&lt;a class="text-cut" href="javascript:;"(click)="categoryEvent(2084221314)"&gt;{{"2084221314" | translate}}&lt;/a&gt;&lt;/li&gt;</v>
      </c>
    </row>
    <row r="93" spans="1:8" ht="14.25" customHeight="1">
      <c r="A93" s="2">
        <v>2084223104</v>
      </c>
      <c r="B93" s="2" t="s">
        <v>1693</v>
      </c>
      <c r="C93" s="2" t="s">
        <v>1694</v>
      </c>
      <c r="D93" s="2" t="s">
        <v>1695</v>
      </c>
      <c r="E93" s="3" t="str">
        <f ca="1">IFERROR(__xludf.DUMMYFUNCTION("GOOGLETRANSLATE(B93,""ja"",""vi"")"),"căn hộ hàng tháng")</f>
        <v>căn hộ hàng tháng</v>
      </c>
      <c r="F93" s="3" t="str">
        <f ca="1">IFERROR(__xludf.DUMMYFUNCTION("GOOGLETRANSLATE(C93,""ja"",""vi"")"),"Đấu giá&gt; vé, chứng từ, đặt phòng khách sạn&gt; phòng trọ&gt; căn hộ hàng tháng")</f>
        <v>Đấu giá&gt; vé, chứng từ, đặt phòng khách sạn&gt; phòng trọ&gt; căn hộ hàng tháng</v>
      </c>
      <c r="G93" s="229" t="str">
        <f t="shared" ca="1" si="2"/>
        <v>"2084223104" : "căn hộ hàng tháng",</v>
      </c>
      <c r="H93" s="229" t="str">
        <f t="shared" si="3"/>
        <v>&lt;li class="col-md-3"&gt;&lt;a class="text-cut" href="javascript:;"(click)="categoryEvent(2084223104)"&gt;{{"2084223104" | translate}}&lt;/a&gt;&lt;/li&gt;</v>
      </c>
    </row>
    <row r="94" spans="1:8" ht="14.25" customHeight="1"/>
    <row r="95" spans="1:8" ht="14.25" customHeight="1"/>
    <row r="96" spans="1:8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73:D73"/>
    <mergeCell ref="A85:D85"/>
    <mergeCell ref="A13:D13"/>
    <mergeCell ref="A26:D26"/>
    <mergeCell ref="A34:D34"/>
    <mergeCell ref="A42:D42"/>
    <mergeCell ref="A55:D55"/>
    <mergeCell ref="A60:D6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Parent</vt:lpstr>
      <vt:lpstr>26084</vt:lpstr>
      <vt:lpstr>2084217893</vt:lpstr>
      <vt:lpstr>2084060731</vt:lpstr>
      <vt:lpstr>20060</vt:lpstr>
      <vt:lpstr>21600</vt:lpstr>
      <vt:lpstr>2084032594</vt:lpstr>
      <vt:lpstr>24202</vt:lpstr>
      <vt:lpstr>2084043920</vt:lpstr>
      <vt:lpstr>26086</vt:lpstr>
      <vt:lpstr>22896</vt:lpstr>
      <vt:lpstr>2084055844</vt:lpstr>
      <vt:lpstr>24198</vt:lpstr>
      <vt:lpstr>23976</vt:lpstr>
      <vt:lpstr>42177</vt:lpstr>
      <vt:lpstr>23140</vt:lpstr>
      <vt:lpstr>23000</vt:lpstr>
      <vt:lpstr>26318</vt:lpstr>
      <vt:lpstr>20000</vt:lpstr>
      <vt:lpstr>24698</vt:lpstr>
      <vt:lpstr>24242</vt:lpstr>
      <vt:lpstr>25464</vt:lpstr>
      <vt:lpstr>21964</vt:lpstr>
      <vt:lpstr>23336</vt:lpstr>
      <vt:lpstr>23632</vt:lpstr>
      <vt:lpstr>22152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TOMONI-DEV1</cp:lastModifiedBy>
  <dcterms:modified xsi:type="dcterms:W3CDTF">2019-12-09T04:06:35Z</dcterms:modified>
</cp:coreProperties>
</file>