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harts/chart2.xml" ContentType="application/vnd.openxmlformats-officedocument.drawingml.chart+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trlProps/ctrlProp1.xml" ContentType="application/vnd.ms-excel.controlproperties+xml"/>
  <Override PartName="/xl/comments17.xml" ContentType="application/vnd.openxmlformats-officedocument.spreadsheetml.comments+xml"/>
  <Override PartName="/xl/drawings/drawing21.xml" ContentType="application/vnd.openxmlformats-officedocument.drawing+xml"/>
  <Override PartName="/xl/comments18.xml" ContentType="application/vnd.openxmlformats-officedocument.spreadsheetml.comments+xml"/>
  <Override PartName="/xl/drawings/drawing22.xml" ContentType="application/vnd.openxmlformats-officedocument.drawing+xml"/>
  <Override PartName="/xl/comments19.xml" ContentType="application/vnd.openxmlformats-officedocument.spreadsheetml.comments+xml"/>
  <Override PartName="/xl/drawings/drawing23.xml" ContentType="application/vnd.openxmlformats-officedocument.drawing+xml"/>
  <Override PartName="/xl/comments20.xml" ContentType="application/vnd.openxmlformats-officedocument.spreadsheetml.comments+xml"/>
  <Override PartName="/xl/charts/chart3.xml" ContentType="application/vnd.openxmlformats-officedocument.drawingml.chart+xml"/>
  <Override PartName="/xl/drawings/drawing24.xml" ContentType="application/vnd.openxmlformats-officedocument.drawing+xml"/>
  <Override PartName="/xl/comments21.xml" ContentType="application/vnd.openxmlformats-officedocument.spreadsheetml.comments+xml"/>
  <Override PartName="/xl/drawings/drawing25.xml" ContentType="application/vnd.openxmlformats-officedocument.drawing+xml"/>
  <Override PartName="/xl/comments22.xml" ContentType="application/vnd.openxmlformats-officedocument.spreadsheetml.comments+xml"/>
  <Override PartName="/xl/drawings/drawing26.xml" ContentType="application/vnd.openxmlformats-officedocument.drawing+xml"/>
  <Override PartName="/xl/comments23.xml" ContentType="application/vnd.openxmlformats-officedocument.spreadsheetml.comments+xml"/>
  <Override PartName="/xl/drawings/drawing27.xml" ContentType="application/vnd.openxmlformats-officedocument.drawing+xml"/>
  <Override PartName="/xl/comments24.xml" ContentType="application/vnd.openxmlformats-officedocument.spreadsheetml.comments+xml"/>
  <Override PartName="/xl/drawings/drawing28.xml" ContentType="application/vnd.openxmlformats-officedocument.drawing+xml"/>
  <Override PartName="/xl/comments25.xml" ContentType="application/vnd.openxmlformats-officedocument.spreadsheetml.comments+xml"/>
  <Override PartName="/xl/drawings/drawing29.xml" ContentType="application/vnd.openxmlformats-officedocument.drawing+xml"/>
  <Override PartName="/xl/comments26.xml" ContentType="application/vnd.openxmlformats-officedocument.spreadsheetml.comments+xml"/>
  <Override PartName="/xl/drawings/drawing30.xml" ContentType="application/vnd.openxmlformats-officedocument.drawing+xml"/>
  <Override PartName="/xl/drawings/drawing31.xml" ContentType="application/vnd.openxmlformats-officedocument.drawing+xml"/>
  <Override PartName="/xl/comments27.xml" ContentType="application/vnd.openxmlformats-officedocument.spreadsheetml.comments+xml"/>
  <Override PartName="/xl/drawings/drawing32.xml" ContentType="application/vnd.openxmlformats-officedocument.drawing+xml"/>
  <Override PartName="/xl/comments28.xml" ContentType="application/vnd.openxmlformats-officedocument.spreadsheetml.comments+xml"/>
  <Override PartName="/xl/drawings/drawing33.xml" ContentType="application/vnd.openxmlformats-officedocument.drawing+xml"/>
  <Override PartName="/xl/comments29.xml" ContentType="application/vnd.openxmlformats-officedocument.spreadsheetml.comments+xml"/>
  <Override PartName="/xl/charts/chart4.xml" ContentType="application/vnd.openxmlformats-officedocument.drawingml.chart+xml"/>
  <Override PartName="/xl/drawings/drawing34.xml" ContentType="application/vnd.openxmlformats-officedocument.drawing+xml"/>
  <Override PartName="/xl/comments30.xml" ContentType="application/vnd.openxmlformats-officedocument.spreadsheetml.comments+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updateLinks="never" codeName="ThisWorkbook"/>
  <mc:AlternateContent xmlns:mc="http://schemas.openxmlformats.org/markup-compatibility/2006">
    <mc:Choice Requires="x15">
      <x15ac:absPath xmlns:x15ac="http://schemas.microsoft.com/office/spreadsheetml/2010/11/ac" url="C:\Users\Linh\My Drive\PUBLIC\PTDL-materials\labs\"/>
    </mc:Choice>
  </mc:AlternateContent>
  <xr:revisionPtr revIDLastSave="0" documentId="13_ncr:1_{66B4AE83-2B42-4E49-BB45-68AFF9B1366A}" xr6:coauthVersionLast="47" xr6:coauthVersionMax="47" xr10:uidLastSave="{00000000-0000-0000-0000-000000000000}"/>
  <bookViews>
    <workbookView xWindow="-110" yWindow="-110" windowWidth="19420" windowHeight="11500" firstSheet="2" activeTab="13" xr2:uid="{00000000-000D-0000-FFFF-FFFF00000000}"/>
  </bookViews>
  <sheets>
    <sheet name="Contents" sheetId="1" r:id="rId1"/>
    <sheet name="1.4 and 1.5" sheetId="122" r:id="rId2"/>
    <sheet name="2.1" sheetId="56" r:id="rId3"/>
    <sheet name="2.2" sheetId="57" r:id="rId4"/>
    <sheet name="2.3" sheetId="71" r:id="rId5"/>
    <sheet name="2.4" sheetId="72" r:id="rId6"/>
    <sheet name="2.5" sheetId="73" r:id="rId7"/>
    <sheet name="2.6" sheetId="74" r:id="rId8"/>
    <sheet name="3.2" sheetId="124" r:id="rId9"/>
    <sheet name="3.3" sheetId="75" r:id="rId10"/>
    <sheet name="4.1" sheetId="51" r:id="rId11"/>
    <sheet name="4.2" sheetId="125" r:id="rId12"/>
    <sheet name="4.4" sheetId="52" r:id="rId13"/>
    <sheet name="4.5" sheetId="55" r:id="rId14"/>
    <sheet name="4.6" sheetId="54" r:id="rId15"/>
    <sheet name="4.7" sheetId="53" r:id="rId16"/>
    <sheet name="4.8" sheetId="59" r:id="rId17"/>
    <sheet name="5.1" sheetId="126" r:id="rId18"/>
    <sheet name="5.3" sheetId="127" r:id="rId19"/>
    <sheet name="5.4" sheetId="128" r:id="rId20"/>
    <sheet name="5.7" sheetId="129" r:id="rId21"/>
    <sheet name="6.1" sheetId="130" r:id="rId22"/>
    <sheet name="6.2" sheetId="132" r:id="rId23"/>
    <sheet name="6.3" sheetId="133" r:id="rId24"/>
    <sheet name="6.4" sheetId="134" r:id="rId25"/>
    <sheet name="7.2" sheetId="80" r:id="rId26"/>
    <sheet name="7.3" sheetId="135" r:id="rId27"/>
    <sheet name="7.4" sheetId="81" r:id="rId28"/>
    <sheet name="7.7n" sheetId="82" r:id="rId29"/>
    <sheet name="8.1" sheetId="84" r:id="rId30"/>
    <sheet name="8.2" sheetId="85" r:id="rId31"/>
    <sheet name="8.3 " sheetId="86" r:id="rId32"/>
    <sheet name="8.4 " sheetId="87" r:id="rId33"/>
    <sheet name="8.5 " sheetId="88" r:id="rId34"/>
    <sheet name="8.6" sheetId="90" r:id="rId35"/>
    <sheet name="8.7" sheetId="89" r:id="rId36"/>
    <sheet name="8.8" sheetId="91" r:id="rId37"/>
    <sheet name="8.9" sheetId="92" r:id="rId38"/>
    <sheet name="9.1" sheetId="140" r:id="rId39"/>
    <sheet name="9-2" sheetId="137" r:id="rId40"/>
    <sheet name="9-3" sheetId="139" r:id="rId41"/>
    <sheet name="9.4" sheetId="141" r:id="rId42"/>
    <sheet name="9.5" sheetId="142" r:id="rId43"/>
    <sheet name="9.6" sheetId="143" r:id="rId44"/>
    <sheet name="9.7" sheetId="144" r:id="rId45"/>
    <sheet name="9.8" sheetId="145" r:id="rId46"/>
    <sheet name="SP9.1" sheetId="146" r:id="rId47"/>
    <sheet name="SP9.2" sheetId="147" r:id="rId48"/>
    <sheet name="10.2" sheetId="99" r:id="rId49"/>
    <sheet name="10.4" sheetId="100" r:id="rId50"/>
    <sheet name="10.5" sheetId="101" r:id="rId51"/>
    <sheet name="10.6" sheetId="102" r:id="rId52"/>
    <sheet name="10.7" sheetId="103" r:id="rId53"/>
    <sheet name="10.9" sheetId="104" r:id="rId54"/>
    <sheet name="10.10" sheetId="105" r:id="rId55"/>
    <sheet name="10.11" sheetId="106" r:id="rId56"/>
    <sheet name="10.12" sheetId="107" r:id="rId57"/>
    <sheet name="10.13" sheetId="108" r:id="rId58"/>
    <sheet name="11.1" sheetId="148" r:id="rId59"/>
    <sheet name="11.2" sheetId="43" r:id="rId60"/>
    <sheet name="11.2QM" sheetId="149" r:id="rId61"/>
    <sheet name="12.1" sheetId="150" r:id="rId62"/>
    <sheet name="12.2" sheetId="151" r:id="rId63"/>
    <sheet name="12.3" sheetId="152" r:id="rId64"/>
    <sheet name="12.4" sheetId="153" r:id="rId65"/>
    <sheet name="13.2" sheetId="36" r:id="rId66"/>
    <sheet name="13.2QM" sheetId="154" r:id="rId67"/>
    <sheet name="13.3" sheetId="42" r:id="rId68"/>
    <sheet name="13.4" sheetId="113" r:id="rId69"/>
    <sheet name="13.5" sheetId="35" r:id="rId70"/>
    <sheet name="13.6" sheetId="34" r:id="rId71"/>
    <sheet name="14.3" sheetId="33" r:id="rId72"/>
    <sheet name="14.4" sheetId="32" r:id="rId73"/>
    <sheet name="15.1" sheetId="155" r:id="rId74"/>
    <sheet name="15.2" sheetId="156" r:id="rId75"/>
    <sheet name="15.3" sheetId="158" r:id="rId76"/>
    <sheet name="15.4" sheetId="159" r:id="rId77"/>
    <sheet name="M1.1" sheetId="49" r:id="rId78"/>
    <sheet name="M5.1" sheetId="50" r:id="rId79"/>
  </sheets>
  <externalReferences>
    <externalReference r:id="rId80"/>
    <externalReference r:id="rId81"/>
    <externalReference r:id="rId82"/>
    <externalReference r:id="rId83"/>
    <externalReference r:id="rId84"/>
    <externalReference r:id="rId85"/>
  </externalReferences>
  <definedNames>
    <definedName name="anscount" hidden="1">10</definedName>
    <definedName name="Arrival_rate">[1]THISWORKSHEET!$B$7</definedName>
    <definedName name="changecolor" localSheetId="34">[2]!changecolor</definedName>
    <definedName name="changecolor" localSheetId="40">[2]!changecolor</definedName>
    <definedName name="changecolor">[2]!changecolor</definedName>
    <definedName name="color_CANCEL" localSheetId="34">[2]!color_CANCEL</definedName>
    <definedName name="color_CANCEL" localSheetId="40">[2]!color_CANCEL</definedName>
    <definedName name="color_CANCEL">[2]!color_CANCEL</definedName>
    <definedName name="color_DEFAULT" localSheetId="34">[2]!color_DEFAULT</definedName>
    <definedName name="color_DEFAULT" localSheetId="40">[2]!color_DEFAULT</definedName>
    <definedName name="color_DEFAULT">[2]!color_DEFAULT</definedName>
    <definedName name="color_OK" localSheetId="34">[2]!color_OK</definedName>
    <definedName name="color_OK" localSheetId="40">[2]!color_OK</definedName>
    <definedName name="color_OK">[2]!color_OK</definedName>
    <definedName name="colorlist_change" localSheetId="34">[2]!colorlist_change</definedName>
    <definedName name="colorlist_change" localSheetId="40">[2]!colorlist_change</definedName>
    <definedName name="colorlist_change">[2]!colorlist_change</definedName>
    <definedName name="lambda">[1]THISWORKSHEET!$B$7</definedName>
    <definedName name="_xlnm.Print_Area" localSheetId="60">'11.2QM'!$A$3:$N$20</definedName>
    <definedName name="_xlnm.Print_Area" localSheetId="26">'7.3'!$A$3:$I$18</definedName>
    <definedName name="_xlnm.Print_Area" localSheetId="42">'9.5'!$A$3:$Q$23</definedName>
    <definedName name="sencount" hidden="1">9</definedName>
    <definedName name="setcolors" localSheetId="34">[3]!setcolors</definedName>
    <definedName name="setcolors" localSheetId="40">[3]!setcolors</definedName>
    <definedName name="setcolors">[3]!setcolors</definedName>
    <definedName name="solver_adj" localSheetId="54" hidden="1">'10.10'!$B$4:$C$4</definedName>
    <definedName name="solver_adj" localSheetId="55" hidden="1">'10.11'!$B$4:$C$4</definedName>
    <definedName name="solver_adj" localSheetId="56" hidden="1">'10.12'!$B$4:$D$4</definedName>
    <definedName name="solver_adj" localSheetId="57" hidden="1">'10.13'!$B$3</definedName>
    <definedName name="solver_adj" localSheetId="48" hidden="1">'10.2'!$B$4:$C$4</definedName>
    <definedName name="solver_adj" localSheetId="49" hidden="1">'10.4'!$B$4:$C$4</definedName>
    <definedName name="solver_adj" localSheetId="50" hidden="1">'10.5'!$B$4:$D$4</definedName>
    <definedName name="solver_adj" localSheetId="51" hidden="1">'10.6'!$B$4:$G$4</definedName>
    <definedName name="solver_adj" localSheetId="52" hidden="1">'10.7'!$B$4:$H$4</definedName>
    <definedName name="solver_adj" localSheetId="53" hidden="1">'10.9'!$B$4:$C$4</definedName>
    <definedName name="solver_adj" localSheetId="59" hidden="1">'11.2'!$B$3:$S$3</definedName>
    <definedName name="solver_adj" localSheetId="60" hidden="1">'11.2QM'!$M$8,'11.2QM'!$B$35:$Z$35,'11.2QM'!$B$36:$Z$36</definedName>
    <definedName name="solver_adj" localSheetId="25" hidden="1">'7.2'!$B$4:$C$4</definedName>
    <definedName name="solver_adj" localSheetId="26" hidden="1">'7.3'!$B$17:$C$17</definedName>
    <definedName name="solver_adj" localSheetId="27" hidden="1">'7.4'!$B$4:$C$4</definedName>
    <definedName name="solver_adj" localSheetId="28" hidden="1">'7.7n'!$B$4:$C$4</definedName>
    <definedName name="solver_adj" localSheetId="29" hidden="1">'8.1'!$B$5:$E$5</definedName>
    <definedName name="solver_adj" localSheetId="30" hidden="1">'8.2'!$B$4:$G$4</definedName>
    <definedName name="solver_adj" localSheetId="31" hidden="1">'8.3 '!$B$5:$E$5</definedName>
    <definedName name="solver_adj" localSheetId="32" hidden="1">'8.4 '!$B$4:$Q$4</definedName>
    <definedName name="solver_adj" localSheetId="33" hidden="1">'8.5 '!$B$5:$G$5</definedName>
    <definedName name="solver_adj" localSheetId="34" hidden="1">'8.6'!$B$4:$E$4</definedName>
    <definedName name="solver_adj" localSheetId="35" hidden="1">'8.7'!$B$4:$G$4</definedName>
    <definedName name="solver_adj" localSheetId="36" hidden="1">'8.8'!$B$5:$D$5</definedName>
    <definedName name="solver_adj" localSheetId="37" hidden="1">'8.9'!$B$5:$E$5</definedName>
    <definedName name="solver_adj" localSheetId="38" hidden="1">'9.1'!$B$17:$D$19</definedName>
    <definedName name="solver_adj" localSheetId="41" hidden="1">'9.4'!$B$16:$D$18</definedName>
    <definedName name="solver_adj" localSheetId="42" hidden="1">'9.5'!$B$22:$K$22</definedName>
    <definedName name="solver_adj" localSheetId="43" hidden="1">'9.6'!$B$21:$G$26</definedName>
    <definedName name="solver_adj" localSheetId="44" hidden="1">'9.7'!$B$21:$G$26</definedName>
    <definedName name="solver_adj" localSheetId="39" hidden="1">'9-2'!$B$18:$E$21</definedName>
    <definedName name="solver_adj" localSheetId="40" hidden="1">'9-3'!$B$18:$E$21</definedName>
    <definedName name="solver_adj" localSheetId="46" hidden="1">'SP9.1'!$B$17:$D$19</definedName>
    <definedName name="solver_adj" localSheetId="47" hidden="1">'SP9.2'!$B$17:$E$20</definedName>
    <definedName name="solver_cct" localSheetId="60" hidden="1">20</definedName>
    <definedName name="solver_cgt" localSheetId="60" hidden="1">1</definedName>
    <definedName name="solver_cir1" localSheetId="60" hidden="1">1</definedName>
    <definedName name="solver_cir10" localSheetId="60" hidden="1">1</definedName>
    <definedName name="solver_cir11" localSheetId="60" hidden="1">1</definedName>
    <definedName name="solver_cir12" localSheetId="60" hidden="1">1</definedName>
    <definedName name="solver_cir13" localSheetId="60" hidden="1">1</definedName>
    <definedName name="solver_cir14" localSheetId="60" hidden="1">1</definedName>
    <definedName name="solver_cir15" localSheetId="60" hidden="1">1</definedName>
    <definedName name="solver_cir16" localSheetId="60" hidden="1">1</definedName>
    <definedName name="solver_cir17" localSheetId="60" hidden="1">1</definedName>
    <definedName name="solver_cir18" localSheetId="60" hidden="1">1</definedName>
    <definedName name="solver_cir19" localSheetId="60" hidden="1">1</definedName>
    <definedName name="solver_cir2" localSheetId="60" hidden="1">1</definedName>
    <definedName name="solver_cir20" localSheetId="60" hidden="1">1</definedName>
    <definedName name="solver_cir21" localSheetId="60" hidden="1">1</definedName>
    <definedName name="solver_cir22" localSheetId="60" hidden="1">1</definedName>
    <definedName name="solver_cir23" localSheetId="60" hidden="1">1</definedName>
    <definedName name="solver_cir24" localSheetId="60" hidden="1">1</definedName>
    <definedName name="solver_cir25" localSheetId="60" hidden="1">1</definedName>
    <definedName name="solver_cir26" localSheetId="60" hidden="1">1</definedName>
    <definedName name="solver_cir27" localSheetId="60" hidden="1">1</definedName>
    <definedName name="solver_cir3" localSheetId="60" hidden="1">1</definedName>
    <definedName name="solver_cir4" localSheetId="60" hidden="1">1</definedName>
    <definedName name="solver_cir5" localSheetId="60" hidden="1">1</definedName>
    <definedName name="solver_cir6" localSheetId="60" hidden="1">1</definedName>
    <definedName name="solver_cir7" localSheetId="60" hidden="1">1</definedName>
    <definedName name="solver_cir8" localSheetId="60" hidden="1">1</definedName>
    <definedName name="solver_cir9" localSheetId="60" hidden="1">1</definedName>
    <definedName name="solver_cvg" localSheetId="54" hidden="1">0.0001</definedName>
    <definedName name="solver_cvg" localSheetId="55" hidden="1">0.0001</definedName>
    <definedName name="solver_cvg" localSheetId="56" hidden="1">0.0001</definedName>
    <definedName name="solver_cvg" localSheetId="57" hidden="1">0.0001</definedName>
    <definedName name="solver_cvg" localSheetId="48" hidden="1">0.0001</definedName>
    <definedName name="solver_cvg" localSheetId="49" hidden="1">0.0001</definedName>
    <definedName name="solver_cvg" localSheetId="50" hidden="1">0.0001</definedName>
    <definedName name="solver_cvg" localSheetId="51" hidden="1">0.0001</definedName>
    <definedName name="solver_cvg" localSheetId="52" hidden="1">0.0001</definedName>
    <definedName name="solver_cvg" localSheetId="53" hidden="1">0.0001</definedName>
    <definedName name="solver_cvg" localSheetId="59" hidden="1">0.0001</definedName>
    <definedName name="solver_cvg" localSheetId="60" hidden="1">0.0001</definedName>
    <definedName name="solver_cvg" localSheetId="25" hidden="1">0.0001</definedName>
    <definedName name="solver_cvg" localSheetId="26" hidden="1">0.001</definedName>
    <definedName name="solver_cvg" localSheetId="27" hidden="1">0.0001</definedName>
    <definedName name="solver_cvg" localSheetId="28" hidden="1">0.0001</definedName>
    <definedName name="solver_cvg" localSheetId="29" hidden="1">0.0001</definedName>
    <definedName name="solver_cvg" localSheetId="30" hidden="1">0.0001</definedName>
    <definedName name="solver_cvg" localSheetId="31" hidden="1">0.0001</definedName>
    <definedName name="solver_cvg" localSheetId="32" hidden="1">0.0001</definedName>
    <definedName name="solver_cvg" localSheetId="33" hidden="1">0.0001</definedName>
    <definedName name="solver_cvg" localSheetId="34" hidden="1">0.0001</definedName>
    <definedName name="solver_cvg" localSheetId="35" hidden="1">0.0001</definedName>
    <definedName name="solver_cvg" localSheetId="36" hidden="1">0.0001</definedName>
    <definedName name="solver_cvg" localSheetId="37" hidden="1">0.0001</definedName>
    <definedName name="solver_cvg" localSheetId="38" hidden="1">0.001</definedName>
    <definedName name="solver_cvg" localSheetId="41" hidden="1">0.001</definedName>
    <definedName name="solver_cvg" localSheetId="42" hidden="1">0.001</definedName>
    <definedName name="solver_cvg" localSheetId="43" hidden="1">0.001</definedName>
    <definedName name="solver_cvg" localSheetId="44" hidden="1">0.001</definedName>
    <definedName name="solver_cvg" localSheetId="39" hidden="1">0.001</definedName>
    <definedName name="solver_cvg" localSheetId="40" hidden="1">0.001</definedName>
    <definedName name="solver_cvg" localSheetId="46" hidden="1">0.001</definedName>
    <definedName name="solver_cvg" localSheetId="47" hidden="1">0.001</definedName>
    <definedName name="solver_dia" localSheetId="60" hidden="1">5</definedName>
    <definedName name="solver_drv" localSheetId="54" hidden="1">1</definedName>
    <definedName name="solver_drv" localSheetId="55" hidden="1">1</definedName>
    <definedName name="solver_drv" localSheetId="56" hidden="1">1</definedName>
    <definedName name="solver_drv" localSheetId="57" hidden="1">1</definedName>
    <definedName name="solver_drv" localSheetId="48" hidden="1">1</definedName>
    <definedName name="solver_drv" localSheetId="49" hidden="1">1</definedName>
    <definedName name="solver_drv" localSheetId="50" hidden="1">1</definedName>
    <definedName name="solver_drv" localSheetId="51" hidden="1">1</definedName>
    <definedName name="solver_drv" localSheetId="52" hidden="1">1</definedName>
    <definedName name="solver_drv" localSheetId="53" hidden="1">1</definedName>
    <definedName name="solver_drv" localSheetId="59" hidden="1">1</definedName>
    <definedName name="solver_drv" localSheetId="60" hidden="1">1</definedName>
    <definedName name="solver_drv" localSheetId="25" hidden="1">2</definedName>
    <definedName name="solver_drv" localSheetId="26" hidden="1">1</definedName>
    <definedName name="solver_drv" localSheetId="27" hidden="1">1</definedName>
    <definedName name="solver_drv" localSheetId="28" hidden="1">1</definedName>
    <definedName name="solver_drv" localSheetId="29" hidden="1">1</definedName>
    <definedName name="solver_drv" localSheetId="30" hidden="1">1</definedName>
    <definedName name="solver_drv" localSheetId="31" hidden="1">2</definedName>
    <definedName name="solver_drv" localSheetId="32" hidden="1">2</definedName>
    <definedName name="solver_drv" localSheetId="33" hidden="1">1</definedName>
    <definedName name="solver_drv" localSheetId="34" hidden="1">1</definedName>
    <definedName name="solver_drv" localSheetId="35" hidden="1">1</definedName>
    <definedName name="solver_drv" localSheetId="36" hidden="1">1</definedName>
    <definedName name="solver_drv" localSheetId="37" hidden="1">1</definedName>
    <definedName name="solver_drv" localSheetId="38" hidden="1">1</definedName>
    <definedName name="solver_drv" localSheetId="41" hidden="1">1</definedName>
    <definedName name="solver_drv" localSheetId="42" hidden="1">1</definedName>
    <definedName name="solver_drv" localSheetId="43" hidden="1">1</definedName>
    <definedName name="solver_drv" localSheetId="44" hidden="1">1</definedName>
    <definedName name="solver_drv" localSheetId="39" hidden="1">1</definedName>
    <definedName name="solver_drv" localSheetId="40" hidden="1">1</definedName>
    <definedName name="solver_drv" localSheetId="46" hidden="1">1</definedName>
    <definedName name="solver_drv" localSheetId="47" hidden="1">1</definedName>
    <definedName name="solver_dua" localSheetId="60" hidden="1">1</definedName>
    <definedName name="solver_eng" localSheetId="54" hidden="1">1</definedName>
    <definedName name="solver_eng" localSheetId="55" hidden="1">1</definedName>
    <definedName name="solver_eng" localSheetId="56" hidden="1">2</definedName>
    <definedName name="solver_eng" localSheetId="57" hidden="1">1</definedName>
    <definedName name="solver_eng" localSheetId="48" hidden="1">2</definedName>
    <definedName name="solver_eng" localSheetId="49" hidden="1">2</definedName>
    <definedName name="solver_eng" localSheetId="50" hidden="1">2</definedName>
    <definedName name="solver_eng" localSheetId="51" hidden="1">2</definedName>
    <definedName name="solver_eng" localSheetId="52" hidden="1">2</definedName>
    <definedName name="solver_eng" localSheetId="53" hidden="1">1</definedName>
    <definedName name="solver_eng" localSheetId="58" hidden="1">1</definedName>
    <definedName name="solver_eng" localSheetId="59" hidden="1">2</definedName>
    <definedName name="solver_eng" localSheetId="60" hidden="1">2</definedName>
    <definedName name="solver_eng" localSheetId="25" hidden="1">2</definedName>
    <definedName name="solver_eng" localSheetId="26" hidden="1">2</definedName>
    <definedName name="solver_eng" localSheetId="27" hidden="1">2</definedName>
    <definedName name="solver_eng" localSheetId="28" hidden="1">2</definedName>
    <definedName name="solver_eng" localSheetId="29" hidden="1">2</definedName>
    <definedName name="solver_eng" localSheetId="30" hidden="1">2</definedName>
    <definedName name="solver_eng" localSheetId="31" hidden="1">2</definedName>
    <definedName name="solver_eng" localSheetId="32" hidden="1">2</definedName>
    <definedName name="solver_eng" localSheetId="33" hidden="1">2</definedName>
    <definedName name="solver_eng" localSheetId="34" hidden="1">2</definedName>
    <definedName name="solver_eng" localSheetId="35" hidden="1">2</definedName>
    <definedName name="solver_eng" localSheetId="36" hidden="1">2</definedName>
    <definedName name="solver_eng" localSheetId="37" hidden="1">2</definedName>
    <definedName name="solver_eng" localSheetId="38" hidden="1">2</definedName>
    <definedName name="solver_eng" localSheetId="41" hidden="1">2</definedName>
    <definedName name="solver_eng" localSheetId="42" hidden="1">2</definedName>
    <definedName name="solver_eng" localSheetId="43" hidden="1">2</definedName>
    <definedName name="solver_eng" localSheetId="44" hidden="1">2</definedName>
    <definedName name="solver_eng" localSheetId="39" hidden="1">2</definedName>
    <definedName name="solver_eng" localSheetId="40" hidden="1">2</definedName>
    <definedName name="solver_eng" localSheetId="46" hidden="1">2</definedName>
    <definedName name="solver_eng" localSheetId="47" hidden="1">2</definedName>
    <definedName name="solver_est" localSheetId="54" hidden="1">1</definedName>
    <definedName name="solver_est" localSheetId="55" hidden="1">1</definedName>
    <definedName name="solver_est" localSheetId="56" hidden="1">1</definedName>
    <definedName name="solver_est" localSheetId="57" hidden="1">1</definedName>
    <definedName name="solver_est" localSheetId="48" hidden="1">1</definedName>
    <definedName name="solver_est" localSheetId="49" hidden="1">1</definedName>
    <definedName name="solver_est" localSheetId="50" hidden="1">1</definedName>
    <definedName name="solver_est" localSheetId="51" hidden="1">1</definedName>
    <definedName name="solver_est" localSheetId="52" hidden="1">1</definedName>
    <definedName name="solver_est" localSheetId="53" hidden="1">1</definedName>
    <definedName name="solver_est" localSheetId="59" hidden="1">1</definedName>
    <definedName name="solver_est" localSheetId="60" hidden="1">1</definedName>
    <definedName name="solver_est" localSheetId="25" hidden="1">1</definedName>
    <definedName name="solver_est" localSheetId="26" hidden="1">1</definedName>
    <definedName name="solver_est" localSheetId="27" hidden="1">1</definedName>
    <definedName name="solver_est" localSheetId="28" hidden="1">1</definedName>
    <definedName name="solver_est" localSheetId="29" hidden="1">1</definedName>
    <definedName name="solver_est" localSheetId="30" hidden="1">1</definedName>
    <definedName name="solver_est" localSheetId="31" hidden="1">1</definedName>
    <definedName name="solver_est" localSheetId="32" hidden="1">1</definedName>
    <definedName name="solver_est" localSheetId="33" hidden="1">1</definedName>
    <definedName name="solver_est" localSheetId="34" hidden="1">1</definedName>
    <definedName name="solver_est" localSheetId="35" hidden="1">1</definedName>
    <definedName name="solver_est" localSheetId="36" hidden="1">1</definedName>
    <definedName name="solver_est" localSheetId="37" hidden="1">1</definedName>
    <definedName name="solver_est" localSheetId="38" hidden="1">1</definedName>
    <definedName name="solver_est" localSheetId="41" hidden="1">1</definedName>
    <definedName name="solver_est" localSheetId="42" hidden="1">1</definedName>
    <definedName name="solver_est" localSheetId="43" hidden="1">1</definedName>
    <definedName name="solver_est" localSheetId="44" hidden="1">1</definedName>
    <definedName name="solver_est" localSheetId="39" hidden="1">1</definedName>
    <definedName name="solver_est" localSheetId="40" hidden="1">1</definedName>
    <definedName name="solver_est" localSheetId="46" hidden="1">1</definedName>
    <definedName name="solver_est" localSheetId="47" hidden="1">1</definedName>
    <definedName name="solver_gct" localSheetId="60" hidden="1">20</definedName>
    <definedName name="solver_gop" localSheetId="60" hidden="1">1</definedName>
    <definedName name="solver_iao" localSheetId="60" hidden="1">0</definedName>
    <definedName name="solver_ibd" localSheetId="60" hidden="1">2</definedName>
    <definedName name="solver_ifs" localSheetId="60" hidden="1">0</definedName>
    <definedName name="solver_irs" localSheetId="60" hidden="1">0</definedName>
    <definedName name="solver_ism" localSheetId="60" hidden="1">0</definedName>
    <definedName name="solver_itr" localSheetId="54" hidden="1">2147483647</definedName>
    <definedName name="solver_itr" localSheetId="55" hidden="1">2147483647</definedName>
    <definedName name="solver_itr" localSheetId="56" hidden="1">2147483647</definedName>
    <definedName name="solver_itr" localSheetId="57" hidden="1">100</definedName>
    <definedName name="solver_itr" localSheetId="48" hidden="1">2147483647</definedName>
    <definedName name="solver_itr" localSheetId="49" hidden="1">2147483647</definedName>
    <definedName name="solver_itr" localSheetId="50" hidden="1">2147483647</definedName>
    <definedName name="solver_itr" localSheetId="51" hidden="1">2147483647</definedName>
    <definedName name="solver_itr" localSheetId="52" hidden="1">2147483647</definedName>
    <definedName name="solver_itr" localSheetId="53" hidden="1">2147483647</definedName>
    <definedName name="solver_itr" localSheetId="59" hidden="1">100</definedName>
    <definedName name="solver_itr" localSheetId="60" hidden="1">1000</definedName>
    <definedName name="solver_itr" localSheetId="25" hidden="1">2147483647</definedName>
    <definedName name="solver_itr" localSheetId="26" hidden="1">100</definedName>
    <definedName name="solver_itr" localSheetId="27" hidden="1">2147483647</definedName>
    <definedName name="solver_itr" localSheetId="28" hidden="1">2147483647</definedName>
    <definedName name="solver_itr" localSheetId="29" hidden="1">100</definedName>
    <definedName name="solver_itr" localSheetId="30" hidden="1">2147483647</definedName>
    <definedName name="solver_itr" localSheetId="31" hidden="1">2147483647</definedName>
    <definedName name="solver_itr" localSheetId="32" hidden="1">2147483647</definedName>
    <definedName name="solver_itr" localSheetId="33" hidden="1">2147483647</definedName>
    <definedName name="solver_itr" localSheetId="34" hidden="1">2147483647</definedName>
    <definedName name="solver_itr" localSheetId="35" hidden="1">2147483647</definedName>
    <definedName name="solver_itr" localSheetId="36" hidden="1">2147483647</definedName>
    <definedName name="solver_itr" localSheetId="37" hidden="1">2147483647</definedName>
    <definedName name="solver_itr" localSheetId="38" hidden="1">200</definedName>
    <definedName name="solver_itr" localSheetId="41" hidden="1">100</definedName>
    <definedName name="solver_itr" localSheetId="42" hidden="1">100</definedName>
    <definedName name="solver_itr" localSheetId="43" hidden="1">100</definedName>
    <definedName name="solver_itr" localSheetId="44" hidden="1">100</definedName>
    <definedName name="solver_itr" localSheetId="39" hidden="1">200</definedName>
    <definedName name="solver_itr" localSheetId="40" hidden="1">200</definedName>
    <definedName name="solver_itr" localSheetId="46" hidden="1">200</definedName>
    <definedName name="solver_itr" localSheetId="47" hidden="1">100</definedName>
    <definedName name="solver_lhs0" localSheetId="33" hidden="1">'8.5 '!$H$9:$H$16</definedName>
    <definedName name="solver_lhs1" localSheetId="54" hidden="1">'10.10'!$H$11:$H$13</definedName>
    <definedName name="solver_lhs1" localSheetId="55" hidden="1">'10.11'!$G$10:$G$12</definedName>
    <definedName name="solver_lhs1" localSheetId="56" hidden="1">'10.12'!$B$4:$D$4</definedName>
    <definedName name="solver_lhs1" localSheetId="57" hidden="1">'10.13'!$B$3</definedName>
    <definedName name="solver_lhs1" localSheetId="48" hidden="1">'10.2'!$B$4:$C$4</definedName>
    <definedName name="solver_lhs1" localSheetId="49" hidden="1">'10.4'!$B$4</definedName>
    <definedName name="solver_lhs1" localSheetId="50" hidden="1">'10.5'!$B$4:$D$4</definedName>
    <definedName name="solver_lhs1" localSheetId="51" hidden="1">'10.6'!$B$4:$D$4</definedName>
    <definedName name="solver_lhs1" localSheetId="52" hidden="1">'10.7'!$B$4:$H$4</definedName>
    <definedName name="solver_lhs1" localSheetId="53" hidden="1">'10.9'!$E$11:$E$12</definedName>
    <definedName name="solver_lhs1" localSheetId="59" hidden="1">'11.2'!$T$5:$T$13</definedName>
    <definedName name="solver_lhs1" localSheetId="60" hidden="1">'11.2QM'!$B$38:$Z$38</definedName>
    <definedName name="solver_lhs1" localSheetId="25" hidden="1">'7.2'!$D$8:$D$9</definedName>
    <definedName name="solver_lhs1" localSheetId="26" hidden="1">'7.3'!$J$13:$J$14</definedName>
    <definedName name="solver_lhs1" localSheetId="27" hidden="1">'7.4'!$D$8:$D$10</definedName>
    <definedName name="solver_lhs1" localSheetId="28" hidden="1">'7.7n'!$D$8:$D$9</definedName>
    <definedName name="solver_lhs1" localSheetId="29" hidden="1">'8.1'!$F$9:$F$14</definedName>
    <definedName name="solver_lhs1" localSheetId="30" hidden="1">'8.2'!$H$12</definedName>
    <definedName name="solver_lhs1" localSheetId="31" hidden="1">'8.3 '!$F$16:$F$19</definedName>
    <definedName name="solver_lhs1" localSheetId="32" hidden="1">'8.4 '!$R$19:$R$22</definedName>
    <definedName name="solver_lhs1" localSheetId="33" hidden="1">'8.5 '!$H$9:$H$16</definedName>
    <definedName name="solver_lhs1" localSheetId="34" hidden="1">'8.6'!$F$12:$F$13</definedName>
    <definedName name="solver_lhs1" localSheetId="35" hidden="1">'8.7'!$H$8:$H$14</definedName>
    <definedName name="solver_lhs1" localSheetId="36" hidden="1">'8.8'!$E$13</definedName>
    <definedName name="solver_lhs1" localSheetId="37" hidden="1">'8.9'!$F$12</definedName>
    <definedName name="solver_lhs1" localSheetId="38" hidden="1">'9.1'!$E$17:$E$19</definedName>
    <definedName name="solver_lhs1" localSheetId="41" hidden="1">'9.4'!$E$16:$E$18</definedName>
    <definedName name="solver_lhs1" localSheetId="42" hidden="1">'9.5'!$R$13:$R$19</definedName>
    <definedName name="solver_lhs1" localSheetId="43" hidden="1">'9.6'!$B$21:$G$26</definedName>
    <definedName name="solver_lhs1" localSheetId="44" hidden="1">'9.7'!$B$21:$G$26</definedName>
    <definedName name="solver_lhs1" localSheetId="39" hidden="1">'9-2'!$F$18:$F$21</definedName>
    <definedName name="solver_lhs1" localSheetId="40" hidden="1">'9-3'!$F$18:$F$21</definedName>
    <definedName name="solver_lhs1" localSheetId="46" hidden="1">'SP9.1'!$E$17:$E$19</definedName>
    <definedName name="solver_lhs1" localSheetId="47" hidden="1">'SP9.2'!$F$17:$F$20</definedName>
    <definedName name="solver_lhs10" localSheetId="60" hidden="1">'11.2QM'!$B$40:$B$48</definedName>
    <definedName name="solver_lhs11" localSheetId="60" hidden="1">'11.2QM'!$B$40:$B$48</definedName>
    <definedName name="solver_lhs12" localSheetId="60" hidden="1">'11.2QM'!$B$38:$Z$38</definedName>
    <definedName name="solver_lhs13" localSheetId="60" hidden="1">'11.2QM'!$B$38:$Z$38</definedName>
    <definedName name="solver_lhs14" localSheetId="60" hidden="1">'11.2QM'!$B$38:$Z$38</definedName>
    <definedName name="solver_lhs15" localSheetId="60" hidden="1">'11.2QM'!$B$38:$Z$38</definedName>
    <definedName name="solver_lhs16" localSheetId="60" hidden="1">'11.2QM'!$B$38:$Z$38</definedName>
    <definedName name="solver_lhs17" localSheetId="60" hidden="1">'11.2QM'!$B$38:$Z$38</definedName>
    <definedName name="solver_lhs18" localSheetId="60" hidden="1">'11.2QM'!$B$38:$Z$38</definedName>
    <definedName name="solver_lhs19" localSheetId="60" hidden="1">'11.2QM'!$B$38:$Z$38</definedName>
    <definedName name="solver_lhs2" localSheetId="56" hidden="1">'10.12'!$E$8:$E$11</definedName>
    <definedName name="solver_lhs2" localSheetId="57" hidden="1">'10.13'!$H$7</definedName>
    <definedName name="solver_lhs2" localSheetId="48" hidden="1">'10.2'!$D$8:$D$9</definedName>
    <definedName name="solver_lhs2" localSheetId="49" hidden="1">'10.4'!$D$8:$D$10</definedName>
    <definedName name="solver_lhs2" localSheetId="50" hidden="1">'10.5'!$E$8:$E$9</definedName>
    <definedName name="solver_lhs2" localSheetId="51" hidden="1">'10.6'!$H$8</definedName>
    <definedName name="solver_lhs2" localSheetId="52" hidden="1">'10.7'!$I$9</definedName>
    <definedName name="solver_lhs2" localSheetId="59" hidden="1">'11.2'!$T$14</definedName>
    <definedName name="solver_lhs2" localSheetId="60" hidden="1">'11.2QM'!$B$36:$Z$36</definedName>
    <definedName name="solver_lhs2" localSheetId="25" hidden="1">'7.2'!$D$8:$D$9</definedName>
    <definedName name="solver_lhs2" localSheetId="26" hidden="1">'7.3'!$L$13:$L$14</definedName>
    <definedName name="solver_lhs2" localSheetId="29" hidden="1">'8.1'!$F$15</definedName>
    <definedName name="solver_lhs2" localSheetId="30" hidden="1">'8.2'!$H$8:$H$11</definedName>
    <definedName name="solver_lhs2" localSheetId="31" hidden="1">'8.3 '!$F$9:$F$15</definedName>
    <definedName name="solver_lhs2" localSheetId="32" hidden="1">'8.4 '!$R$23:$R$26</definedName>
    <definedName name="solver_lhs2" localSheetId="33" hidden="1">'8.5 '!$H$17:$H$18</definedName>
    <definedName name="solver_lhs2" localSheetId="34" hidden="1">'8.6'!$F$14</definedName>
    <definedName name="solver_lhs2" localSheetId="36" hidden="1">'8.8'!$E$9:$E$12</definedName>
    <definedName name="solver_lhs2" localSheetId="37" hidden="1">'8.9'!$F$9:$F$11</definedName>
    <definedName name="solver_lhs2" localSheetId="38" hidden="1">'9.1'!$B$20:$D$20</definedName>
    <definedName name="solver_lhs2" localSheetId="41" hidden="1">'9.4'!$B$19:$D$19</definedName>
    <definedName name="solver_lhs2" localSheetId="42" hidden="1">'9.5'!$T$13:$T$19</definedName>
    <definedName name="solver_lhs2" localSheetId="43" hidden="1">'9.6'!$B$27:$G$27</definedName>
    <definedName name="solver_lhs2" localSheetId="44" hidden="1">'9.7'!$B$29:$G$29</definedName>
    <definedName name="solver_lhs2" localSheetId="39" hidden="1">'9-2'!$B$22:$E$22</definedName>
    <definedName name="solver_lhs2" localSheetId="40" hidden="1">'9-3'!$B$22:$E$22</definedName>
    <definedName name="solver_lhs2" localSheetId="46" hidden="1">'SP9.1'!$B$20:$D$20</definedName>
    <definedName name="solver_lhs2" localSheetId="47" hidden="1">'SP9.2'!$B$21:$E$21</definedName>
    <definedName name="solver_lhs20" localSheetId="60" hidden="1">'11.2QM'!$B$38:$Z$38</definedName>
    <definedName name="solver_lhs21" localSheetId="60" hidden="1">'11.2QM'!$B$38:$Z$38</definedName>
    <definedName name="solver_lhs22" localSheetId="60" hidden="1">'11.2QM'!$B$38:$Z$38</definedName>
    <definedName name="solver_lhs23" localSheetId="60" hidden="1">'11.2QM'!$B$38:$Z$38</definedName>
    <definedName name="solver_lhs24" localSheetId="60" hidden="1">'11.2QM'!$B$38:$Z$38</definedName>
    <definedName name="solver_lhs25" localSheetId="60" hidden="1">'11.2QM'!$B$38:$Z$38</definedName>
    <definedName name="solver_lhs26" localSheetId="60" hidden="1">'11.2QM'!$B$38:$Z$38</definedName>
    <definedName name="solver_lhs27" localSheetId="60" hidden="1">'11.2QM'!$B$38:$Z$38</definedName>
    <definedName name="solver_lhs3" localSheetId="48" hidden="1">'10.2'!$D$8:$D$9</definedName>
    <definedName name="solver_lhs3" localSheetId="51" hidden="1">'10.6'!$H$9:$H$11</definedName>
    <definedName name="solver_lhs3" localSheetId="52" hidden="1">'10.7'!$I$10</definedName>
    <definedName name="solver_lhs3" localSheetId="59" hidden="1">'11.2'!$T$15:$T$25</definedName>
    <definedName name="solver_lhs3" localSheetId="60" hidden="1">'11.2QM'!$B$40:$B$48</definedName>
    <definedName name="solver_lhs3" localSheetId="26" hidden="1">'7.3'!$B$17:$C$17</definedName>
    <definedName name="solver_lhs3" localSheetId="32" hidden="1">'8.4 '!$R$28:$R$31</definedName>
    <definedName name="solver_lhs3" localSheetId="33" hidden="1">'8.5 '!$H$9:$H$16</definedName>
    <definedName name="solver_lhs3" localSheetId="34" hidden="1">'8.6'!$F$8:$F$11</definedName>
    <definedName name="solver_lhs3" localSheetId="38" hidden="1">'9.1'!$B$17:$D$19</definedName>
    <definedName name="solver_lhs3" localSheetId="41" hidden="1">'9.4'!$B$16:$D$18</definedName>
    <definedName name="solver_lhs3" localSheetId="42" hidden="1">'9.5'!$B$22:$K$22</definedName>
    <definedName name="solver_lhs3" localSheetId="43" hidden="1">'9.6'!$B$27:$G$27</definedName>
    <definedName name="solver_lhs3" localSheetId="44" hidden="1">'9.7'!$B$21:$G$26</definedName>
    <definedName name="solver_lhs3" localSheetId="39" hidden="1">'9-2'!$B$18:$E$21</definedName>
    <definedName name="solver_lhs3" localSheetId="40" hidden="1">'9-3'!$B$18:$E$21</definedName>
    <definedName name="solver_lhs3" localSheetId="46" hidden="1">'SP9.1'!$B$17:$D$19</definedName>
    <definedName name="solver_lhs3" localSheetId="47" hidden="1">'SP9.2'!$B$17:$E$20</definedName>
    <definedName name="solver_lhs4" localSheetId="52" hidden="1">'10.7'!$I$7</definedName>
    <definedName name="solver_lhs4" localSheetId="60" hidden="1">'11.2QM'!$B$40:$B$48</definedName>
    <definedName name="solver_lhs4" localSheetId="32" hidden="1">'8.4 '!$R$8:$R$17</definedName>
    <definedName name="solver_lhs4" localSheetId="38" hidden="1">'9.1'!$B$17:$D$19</definedName>
    <definedName name="solver_lhs4" localSheetId="41" hidden="1">'9.4'!$B$16:$D$18</definedName>
    <definedName name="solver_lhs4" localSheetId="43" hidden="1">'9.6'!$B$21:$G$26</definedName>
    <definedName name="solver_lhs4" localSheetId="44" hidden="1">'9.7'!$B$21:$G$26</definedName>
    <definedName name="solver_lhs4" localSheetId="39" hidden="1">'9-2'!$B$18:$E$21</definedName>
    <definedName name="solver_lhs4" localSheetId="40" hidden="1">'9-3'!$B$18:$E$21</definedName>
    <definedName name="solver_lhs4" localSheetId="46" hidden="1">'SP9.1'!$B$17:$D$19</definedName>
    <definedName name="solver_lhs4" localSheetId="47" hidden="1">'SP9.2'!$B$17:$E$20</definedName>
    <definedName name="solver_lhs5" localSheetId="52" hidden="1">'10.7'!$I$8</definedName>
    <definedName name="solver_lhs5" localSheetId="60" hidden="1">'11.2QM'!$M$8</definedName>
    <definedName name="solver_lhs6" localSheetId="60" hidden="1">'11.2QM'!$B$40:$B$48</definedName>
    <definedName name="solver_lhs7" localSheetId="60" hidden="1">'11.2QM'!$B$40:$B$48</definedName>
    <definedName name="solver_lhs8" localSheetId="60" hidden="1">'11.2QM'!$B$40:$B$48</definedName>
    <definedName name="solver_lhs9" localSheetId="60" hidden="1">'11.2QM'!$B$40:$B$48</definedName>
    <definedName name="solver_lin" localSheetId="57" hidden="1">2</definedName>
    <definedName name="solver_lin" localSheetId="59" hidden="1">1</definedName>
    <definedName name="solver_lin" localSheetId="60" hidden="1">1</definedName>
    <definedName name="solver_lin" localSheetId="26" hidden="1">1</definedName>
    <definedName name="solver_lin" localSheetId="29" hidden="1">1</definedName>
    <definedName name="solver_lin" localSheetId="38" hidden="1">1</definedName>
    <definedName name="solver_lin" localSheetId="41" hidden="1">1</definedName>
    <definedName name="solver_lin" localSheetId="42" hidden="1">1</definedName>
    <definedName name="solver_lin" localSheetId="43" hidden="1">1</definedName>
    <definedName name="solver_lin" localSheetId="44" hidden="1">1</definedName>
    <definedName name="solver_lin" localSheetId="39" hidden="1">1</definedName>
    <definedName name="solver_lin" localSheetId="40" hidden="1">1</definedName>
    <definedName name="solver_lin" localSheetId="46" hidden="1">1</definedName>
    <definedName name="solver_lin" localSheetId="47" hidden="1">1</definedName>
    <definedName name="solver_mda" localSheetId="60" hidden="1">1</definedName>
    <definedName name="solver_mip" localSheetId="54" hidden="1">2147483647</definedName>
    <definedName name="solver_mip" localSheetId="55" hidden="1">2147483647</definedName>
    <definedName name="solver_mip" localSheetId="56" hidden="1">2147483647</definedName>
    <definedName name="solver_mip" localSheetId="57" hidden="1">2147483647</definedName>
    <definedName name="solver_mip" localSheetId="48" hidden="1">2147483647</definedName>
    <definedName name="solver_mip" localSheetId="49" hidden="1">2147483647</definedName>
    <definedName name="solver_mip" localSheetId="50" hidden="1">2147483647</definedName>
    <definedName name="solver_mip" localSheetId="51" hidden="1">2147483647</definedName>
    <definedName name="solver_mip" localSheetId="52" hidden="1">2147483647</definedName>
    <definedName name="solver_mip" localSheetId="53" hidden="1">2147483647</definedName>
    <definedName name="solver_mip" localSheetId="59" hidden="1">2147483647</definedName>
    <definedName name="solver_mip" localSheetId="60" hidden="1">1000</definedName>
    <definedName name="solver_mip" localSheetId="25" hidden="1">2147483647</definedName>
    <definedName name="solver_mip" localSheetId="26" hidden="1">2147483647</definedName>
    <definedName name="solver_mip" localSheetId="27" hidden="1">2147483647</definedName>
    <definedName name="solver_mip" localSheetId="28" hidden="1">2147483647</definedName>
    <definedName name="solver_mip" localSheetId="29" hidden="1">2147483647</definedName>
    <definedName name="solver_mip" localSheetId="30" hidden="1">2147483647</definedName>
    <definedName name="solver_mip" localSheetId="31" hidden="1">2147483647</definedName>
    <definedName name="solver_mip" localSheetId="32" hidden="1">2147483647</definedName>
    <definedName name="solver_mip" localSheetId="33" hidden="1">2147483647</definedName>
    <definedName name="solver_mip" localSheetId="34" hidden="1">2147483647</definedName>
    <definedName name="solver_mip" localSheetId="35" hidden="1">2147483647</definedName>
    <definedName name="solver_mip" localSheetId="36" hidden="1">2147483647</definedName>
    <definedName name="solver_mip" localSheetId="37" hidden="1">2147483647</definedName>
    <definedName name="solver_mip" localSheetId="38" hidden="1">2147483647</definedName>
    <definedName name="solver_mip" localSheetId="41" hidden="1">2147483647</definedName>
    <definedName name="solver_mip" localSheetId="42" hidden="1">2147483647</definedName>
    <definedName name="solver_mip" localSheetId="43" hidden="1">2147483647</definedName>
    <definedName name="solver_mip" localSheetId="44" hidden="1">2147483647</definedName>
    <definedName name="solver_mip" localSheetId="39" hidden="1">2147483647</definedName>
    <definedName name="solver_mip" localSheetId="40" hidden="1">2147483647</definedName>
    <definedName name="solver_mip" localSheetId="46" hidden="1">2147483647</definedName>
    <definedName name="solver_mip" localSheetId="47" hidden="1">2147483647</definedName>
    <definedName name="solver_mni" localSheetId="54" hidden="1">30</definedName>
    <definedName name="solver_mni" localSheetId="55" hidden="1">30</definedName>
    <definedName name="solver_mni" localSheetId="56" hidden="1">30</definedName>
    <definedName name="solver_mni" localSheetId="57" hidden="1">30</definedName>
    <definedName name="solver_mni" localSheetId="48" hidden="1">30</definedName>
    <definedName name="solver_mni" localSheetId="49" hidden="1">30</definedName>
    <definedName name="solver_mni" localSheetId="50" hidden="1">30</definedName>
    <definedName name="solver_mni" localSheetId="51" hidden="1">30</definedName>
    <definedName name="solver_mni" localSheetId="52" hidden="1">30</definedName>
    <definedName name="solver_mni" localSheetId="53" hidden="1">30</definedName>
    <definedName name="solver_mni" localSheetId="59" hidden="1">30</definedName>
    <definedName name="solver_mni" localSheetId="60" hidden="1">30</definedName>
    <definedName name="solver_mni" localSheetId="25" hidden="1">30</definedName>
    <definedName name="solver_mni" localSheetId="26" hidden="1">30</definedName>
    <definedName name="solver_mni" localSheetId="27" hidden="1">30</definedName>
    <definedName name="solver_mni" localSheetId="28" hidden="1">30</definedName>
    <definedName name="solver_mni" localSheetId="29" hidden="1">30</definedName>
    <definedName name="solver_mni" localSheetId="30" hidden="1">30</definedName>
    <definedName name="solver_mni" localSheetId="31" hidden="1">30</definedName>
    <definedName name="solver_mni" localSheetId="32" hidden="1">30</definedName>
    <definedName name="solver_mni" localSheetId="33" hidden="1">30</definedName>
    <definedName name="solver_mni" localSheetId="34" hidden="1">30</definedName>
    <definedName name="solver_mni" localSheetId="35" hidden="1">30</definedName>
    <definedName name="solver_mni" localSheetId="36" hidden="1">30</definedName>
    <definedName name="solver_mni" localSheetId="37" hidden="1">30</definedName>
    <definedName name="solver_mni" localSheetId="38" hidden="1">30</definedName>
    <definedName name="solver_mni" localSheetId="41" hidden="1">30</definedName>
    <definedName name="solver_mni" localSheetId="42" hidden="1">30</definedName>
    <definedName name="solver_mni" localSheetId="43" hidden="1">30</definedName>
    <definedName name="solver_mni" localSheetId="44" hidden="1">30</definedName>
    <definedName name="solver_mni" localSheetId="39" hidden="1">30</definedName>
    <definedName name="solver_mni" localSheetId="40" hidden="1">30</definedName>
    <definedName name="solver_mni" localSheetId="46" hidden="1">30</definedName>
    <definedName name="solver_mni" localSheetId="47" hidden="1">30</definedName>
    <definedName name="solver_mod" localSheetId="60" hidden="1">5</definedName>
    <definedName name="solver_mrt" localSheetId="54" hidden="1">0.075</definedName>
    <definedName name="solver_mrt" localSheetId="55" hidden="1">0.075</definedName>
    <definedName name="solver_mrt" localSheetId="56" hidden="1">0.075</definedName>
    <definedName name="solver_mrt" localSheetId="57" hidden="1">0.075</definedName>
    <definedName name="solver_mrt" localSheetId="48" hidden="1">0.075</definedName>
    <definedName name="solver_mrt" localSheetId="49" hidden="1">0.075</definedName>
    <definedName name="solver_mrt" localSheetId="50" hidden="1">0.075</definedName>
    <definedName name="solver_mrt" localSheetId="51" hidden="1">0.075</definedName>
    <definedName name="solver_mrt" localSheetId="52" hidden="1">0.075</definedName>
    <definedName name="solver_mrt" localSheetId="53" hidden="1">0.075</definedName>
    <definedName name="solver_mrt" localSheetId="59" hidden="1">0.075</definedName>
    <definedName name="solver_mrt" localSheetId="60" hidden="1">0.075</definedName>
    <definedName name="solver_mrt" localSheetId="25" hidden="1">0.075</definedName>
    <definedName name="solver_mrt" localSheetId="26" hidden="1">0.075</definedName>
    <definedName name="solver_mrt" localSheetId="27" hidden="1">0.075</definedName>
    <definedName name="solver_mrt" localSheetId="28" hidden="1">0.075</definedName>
    <definedName name="solver_mrt" localSheetId="29" hidden="1">0.075</definedName>
    <definedName name="solver_mrt" localSheetId="30" hidden="1">0.075</definedName>
    <definedName name="solver_mrt" localSheetId="31" hidden="1">0.075</definedName>
    <definedName name="solver_mrt" localSheetId="32" hidden="1">0.075</definedName>
    <definedName name="solver_mrt" localSheetId="33" hidden="1">0.075</definedName>
    <definedName name="solver_mrt" localSheetId="34" hidden="1">0.075</definedName>
    <definedName name="solver_mrt" localSheetId="35" hidden="1">0.075</definedName>
    <definedName name="solver_mrt" localSheetId="36" hidden="1">0.075</definedName>
    <definedName name="solver_mrt" localSheetId="37" hidden="1">0.075</definedName>
    <definedName name="solver_mrt" localSheetId="38" hidden="1">0.075</definedName>
    <definedName name="solver_mrt" localSheetId="41" hidden="1">0.075</definedName>
    <definedName name="solver_mrt" localSheetId="42" hidden="1">0.075</definedName>
    <definedName name="solver_mrt" localSheetId="43" hidden="1">0.075</definedName>
    <definedName name="solver_mrt" localSheetId="44" hidden="1">0.075</definedName>
    <definedName name="solver_mrt" localSheetId="39" hidden="1">0.075</definedName>
    <definedName name="solver_mrt" localSheetId="40" hidden="1">0.075</definedName>
    <definedName name="solver_mrt" localSheetId="46" hidden="1">0.075</definedName>
    <definedName name="solver_mrt" localSheetId="47" hidden="1">0.075</definedName>
    <definedName name="solver_msl" localSheetId="54" hidden="1">2</definedName>
    <definedName name="solver_msl" localSheetId="55" hidden="1">2</definedName>
    <definedName name="solver_msl" localSheetId="56" hidden="1">2</definedName>
    <definedName name="solver_msl" localSheetId="57" hidden="1">2</definedName>
    <definedName name="solver_msl" localSheetId="48" hidden="1">2</definedName>
    <definedName name="solver_msl" localSheetId="49" hidden="1">2</definedName>
    <definedName name="solver_msl" localSheetId="50" hidden="1">2</definedName>
    <definedName name="solver_msl" localSheetId="51" hidden="1">2</definedName>
    <definedName name="solver_msl" localSheetId="52" hidden="1">2</definedName>
    <definedName name="solver_msl" localSheetId="53" hidden="1">2</definedName>
    <definedName name="solver_msl" localSheetId="59" hidden="1">2</definedName>
    <definedName name="solver_msl" localSheetId="60" hidden="1">2</definedName>
    <definedName name="solver_msl" localSheetId="25" hidden="1">2</definedName>
    <definedName name="solver_msl" localSheetId="26" hidden="1">2</definedName>
    <definedName name="solver_msl" localSheetId="27" hidden="1">2</definedName>
    <definedName name="solver_msl" localSheetId="28" hidden="1">2</definedName>
    <definedName name="solver_msl" localSheetId="29" hidden="1">2</definedName>
    <definedName name="solver_msl" localSheetId="30" hidden="1">2</definedName>
    <definedName name="solver_msl" localSheetId="31" hidden="1">2</definedName>
    <definedName name="solver_msl" localSheetId="32" hidden="1">2</definedName>
    <definedName name="solver_msl" localSheetId="33" hidden="1">2</definedName>
    <definedName name="solver_msl" localSheetId="34" hidden="1">2</definedName>
    <definedName name="solver_msl" localSheetId="35" hidden="1">2</definedName>
    <definedName name="solver_msl" localSheetId="36" hidden="1">2</definedName>
    <definedName name="solver_msl" localSheetId="37" hidden="1">2</definedName>
    <definedName name="solver_msl" localSheetId="38" hidden="1">2</definedName>
    <definedName name="solver_msl" localSheetId="41" hidden="1">2</definedName>
    <definedName name="solver_msl" localSheetId="42" hidden="1">2</definedName>
    <definedName name="solver_msl" localSheetId="43" hidden="1">2</definedName>
    <definedName name="solver_msl" localSheetId="44" hidden="1">2</definedName>
    <definedName name="solver_msl" localSheetId="39" hidden="1">2</definedName>
    <definedName name="solver_msl" localSheetId="40" hidden="1">2</definedName>
    <definedName name="solver_msl" localSheetId="46" hidden="1">2</definedName>
    <definedName name="solver_msl" localSheetId="47" hidden="1">2</definedName>
    <definedName name="solver_mtr" localSheetId="60" hidden="1">0</definedName>
    <definedName name="solver_neg" localSheetId="54" hidden="1">1</definedName>
    <definedName name="solver_neg" localSheetId="55" hidden="1">1</definedName>
    <definedName name="solver_neg" localSheetId="56" hidden="1">1</definedName>
    <definedName name="solver_neg" localSheetId="57" hidden="1">2</definedName>
    <definedName name="solver_neg" localSheetId="48" hidden="1">1</definedName>
    <definedName name="solver_neg" localSheetId="49" hidden="1">1</definedName>
    <definedName name="solver_neg" localSheetId="50" hidden="1">2</definedName>
    <definedName name="solver_neg" localSheetId="51" hidden="1">1</definedName>
    <definedName name="solver_neg" localSheetId="52" hidden="1">1</definedName>
    <definedName name="solver_neg" localSheetId="53" hidden="1">1</definedName>
    <definedName name="solver_neg" localSheetId="58" hidden="1">1</definedName>
    <definedName name="solver_neg" localSheetId="59" hidden="1">1</definedName>
    <definedName name="solver_neg" localSheetId="60" hidden="1">1</definedName>
    <definedName name="solver_neg" localSheetId="25" hidden="1">1</definedName>
    <definedName name="solver_neg" localSheetId="26" hidden="1">1</definedName>
    <definedName name="solver_neg" localSheetId="27" hidden="1">1</definedName>
    <definedName name="solver_neg" localSheetId="28" hidden="1">1</definedName>
    <definedName name="solver_neg" localSheetId="29" hidden="1">1</definedName>
    <definedName name="solver_neg" localSheetId="30" hidden="1">1</definedName>
    <definedName name="solver_neg" localSheetId="31" hidden="1">1</definedName>
    <definedName name="solver_neg" localSheetId="32" hidden="1">1</definedName>
    <definedName name="solver_neg" localSheetId="33" hidden="1">1</definedName>
    <definedName name="solver_neg" localSheetId="34" hidden="1">1</definedName>
    <definedName name="solver_neg" localSheetId="35" hidden="1">1</definedName>
    <definedName name="solver_neg" localSheetId="36" hidden="1">1</definedName>
    <definedName name="solver_neg" localSheetId="37" hidden="1">1</definedName>
    <definedName name="solver_neg" localSheetId="38" hidden="1">1</definedName>
    <definedName name="solver_neg" localSheetId="41" hidden="1">1</definedName>
    <definedName name="solver_neg" localSheetId="42" hidden="1">1</definedName>
    <definedName name="solver_neg" localSheetId="43" hidden="1">1</definedName>
    <definedName name="solver_neg" localSheetId="44" hidden="1">1</definedName>
    <definedName name="solver_neg" localSheetId="39" hidden="1">1</definedName>
    <definedName name="solver_neg" localSheetId="40" hidden="1">1</definedName>
    <definedName name="solver_neg" localSheetId="46" hidden="1">1</definedName>
    <definedName name="solver_neg" localSheetId="47" hidden="1">1</definedName>
    <definedName name="solver_nod" localSheetId="54" hidden="1">2147483647</definedName>
    <definedName name="solver_nod" localSheetId="55" hidden="1">2147483647</definedName>
    <definedName name="solver_nod" localSheetId="56" hidden="1">2147483647</definedName>
    <definedName name="solver_nod" localSheetId="57" hidden="1">2147483647</definedName>
    <definedName name="solver_nod" localSheetId="48" hidden="1">2147483647</definedName>
    <definedName name="solver_nod" localSheetId="49" hidden="1">2147483647</definedName>
    <definedName name="solver_nod" localSheetId="50" hidden="1">2147483647</definedName>
    <definedName name="solver_nod" localSheetId="51" hidden="1">2147483647</definedName>
    <definedName name="solver_nod" localSheetId="52" hidden="1">2147483647</definedName>
    <definedName name="solver_nod" localSheetId="53" hidden="1">2147483647</definedName>
    <definedName name="solver_nod" localSheetId="59" hidden="1">2147483647</definedName>
    <definedName name="solver_nod" localSheetId="60" hidden="1">1000</definedName>
    <definedName name="solver_nod" localSheetId="25" hidden="1">2147483647</definedName>
    <definedName name="solver_nod" localSheetId="26" hidden="1">2147483647</definedName>
    <definedName name="solver_nod" localSheetId="27" hidden="1">2147483647</definedName>
    <definedName name="solver_nod" localSheetId="28" hidden="1">2147483647</definedName>
    <definedName name="solver_nod" localSheetId="29" hidden="1">2147483647</definedName>
    <definedName name="solver_nod" localSheetId="30" hidden="1">2147483647</definedName>
    <definedName name="solver_nod" localSheetId="31" hidden="1">2147483647</definedName>
    <definedName name="solver_nod" localSheetId="32" hidden="1">2147483647</definedName>
    <definedName name="solver_nod" localSheetId="33" hidden="1">2147483647</definedName>
    <definedName name="solver_nod" localSheetId="34" hidden="1">2147483647</definedName>
    <definedName name="solver_nod" localSheetId="35" hidden="1">2147483647</definedName>
    <definedName name="solver_nod" localSheetId="36" hidden="1">2147483647</definedName>
    <definedName name="solver_nod" localSheetId="37" hidden="1">2147483647</definedName>
    <definedName name="solver_nod" localSheetId="38" hidden="1">2147483647</definedName>
    <definedName name="solver_nod" localSheetId="41" hidden="1">2147483647</definedName>
    <definedName name="solver_nod" localSheetId="42" hidden="1">2147483647</definedName>
    <definedName name="solver_nod" localSheetId="43" hidden="1">2147483647</definedName>
    <definedName name="solver_nod" localSheetId="44" hidden="1">2147483647</definedName>
    <definedName name="solver_nod" localSheetId="39" hidden="1">2147483647</definedName>
    <definedName name="solver_nod" localSheetId="40" hidden="1">2147483647</definedName>
    <definedName name="solver_nod" localSheetId="46" hidden="1">2147483647</definedName>
    <definedName name="solver_nod" localSheetId="47" hidden="1">2147483647</definedName>
    <definedName name="solver_ntr" localSheetId="60" hidden="1">0</definedName>
    <definedName name="solver_num" localSheetId="54" hidden="1">1</definedName>
    <definedName name="solver_num" localSheetId="55" hidden="1">1</definedName>
    <definedName name="solver_num" localSheetId="56" hidden="1">2</definedName>
    <definedName name="solver_num" localSheetId="57" hidden="1">1</definedName>
    <definedName name="solver_num" localSheetId="48" hidden="1">2</definedName>
    <definedName name="solver_num" localSheetId="49" hidden="1">2</definedName>
    <definedName name="solver_num" localSheetId="50" hidden="1">2</definedName>
    <definedName name="solver_num" localSheetId="51" hidden="1">3</definedName>
    <definedName name="solver_num" localSheetId="52" hidden="1">5</definedName>
    <definedName name="solver_num" localSheetId="53" hidden="1">1</definedName>
    <definedName name="solver_num" localSheetId="58" hidden="1">0</definedName>
    <definedName name="solver_num" localSheetId="59" hidden="1">3</definedName>
    <definedName name="solver_num" localSheetId="60" hidden="1">11</definedName>
    <definedName name="solver_num" localSheetId="25" hidden="1">1</definedName>
    <definedName name="solver_num" localSheetId="26" hidden="1">2</definedName>
    <definedName name="solver_num" localSheetId="27" hidden="1">1</definedName>
    <definedName name="solver_num" localSheetId="28" hidden="1">1</definedName>
    <definedName name="solver_num" localSheetId="29" hidden="1">2</definedName>
    <definedName name="solver_num" localSheetId="30" hidden="1">2</definedName>
    <definedName name="solver_num" localSheetId="31" hidden="1">2</definedName>
    <definedName name="solver_num" localSheetId="32" hidden="1">4</definedName>
    <definedName name="solver_num" localSheetId="33" hidden="1">2</definedName>
    <definedName name="solver_num" localSheetId="34" hidden="1">3</definedName>
    <definedName name="solver_num" localSheetId="35" hidden="1">1</definedName>
    <definedName name="solver_num" localSheetId="36" hidden="1">2</definedName>
    <definedName name="solver_num" localSheetId="37" hidden="1">2</definedName>
    <definedName name="solver_num" localSheetId="38" hidden="1">2</definedName>
    <definedName name="solver_num" localSheetId="41" hidden="1">2</definedName>
    <definedName name="solver_num" localSheetId="42" hidden="1">2</definedName>
    <definedName name="solver_num" localSheetId="43" hidden="1">2</definedName>
    <definedName name="solver_num" localSheetId="44" hidden="1">2</definedName>
    <definedName name="solver_num" localSheetId="39" hidden="1">2</definedName>
    <definedName name="solver_num" localSheetId="40" hidden="1">2</definedName>
    <definedName name="solver_num" localSheetId="46" hidden="1">2</definedName>
    <definedName name="solver_num" localSheetId="47" hidden="1">2</definedName>
    <definedName name="solver_nwt" localSheetId="54" hidden="1">1</definedName>
    <definedName name="solver_nwt" localSheetId="55" hidden="1">1</definedName>
    <definedName name="solver_nwt" localSheetId="56" hidden="1">1</definedName>
    <definedName name="solver_nwt" localSheetId="57" hidden="1">1</definedName>
    <definedName name="solver_nwt" localSheetId="48" hidden="1">1</definedName>
    <definedName name="solver_nwt" localSheetId="49" hidden="1">1</definedName>
    <definedName name="solver_nwt" localSheetId="50" hidden="1">1</definedName>
    <definedName name="solver_nwt" localSheetId="51" hidden="1">1</definedName>
    <definedName name="solver_nwt" localSheetId="52" hidden="1">1</definedName>
    <definedName name="solver_nwt" localSheetId="53" hidden="1">1</definedName>
    <definedName name="solver_nwt" localSheetId="59" hidden="1">1</definedName>
    <definedName name="solver_nwt" localSheetId="60" hidden="1">1</definedName>
    <definedName name="solver_nwt" localSheetId="25" hidden="1">1</definedName>
    <definedName name="solver_nwt" localSheetId="26" hidden="1">1</definedName>
    <definedName name="solver_nwt" localSheetId="27" hidden="1">1</definedName>
    <definedName name="solver_nwt" localSheetId="28" hidden="1">1</definedName>
    <definedName name="solver_nwt" localSheetId="29" hidden="1">1</definedName>
    <definedName name="solver_nwt" localSheetId="30" hidden="1">1</definedName>
    <definedName name="solver_nwt" localSheetId="31" hidden="1">1</definedName>
    <definedName name="solver_nwt" localSheetId="32" hidden="1">1</definedName>
    <definedName name="solver_nwt" localSheetId="33" hidden="1">1</definedName>
    <definedName name="solver_nwt" localSheetId="34" hidden="1">1</definedName>
    <definedName name="solver_nwt" localSheetId="35" hidden="1">1</definedName>
    <definedName name="solver_nwt" localSheetId="36" hidden="1">1</definedName>
    <definedName name="solver_nwt" localSheetId="37" hidden="1">1</definedName>
    <definedName name="solver_nwt" localSheetId="38" hidden="1">1</definedName>
    <definedName name="solver_nwt" localSheetId="41" hidden="1">1</definedName>
    <definedName name="solver_nwt" localSheetId="42" hidden="1">1</definedName>
    <definedName name="solver_nwt" localSheetId="43" hidden="1">1</definedName>
    <definedName name="solver_nwt" localSheetId="44" hidden="1">1</definedName>
    <definedName name="solver_nwt" localSheetId="39" hidden="1">1</definedName>
    <definedName name="solver_nwt" localSheetId="40" hidden="1">1</definedName>
    <definedName name="solver_nwt" localSheetId="46" hidden="1">1</definedName>
    <definedName name="solver_nwt" localSheetId="47" hidden="1">1</definedName>
    <definedName name="solver_ofx" localSheetId="60" hidden="1">2</definedName>
    <definedName name="solver_opt" localSheetId="54" hidden="1">'10.10'!$H$8</definedName>
    <definedName name="solver_opt" localSheetId="55" hidden="1">'10.11'!$D$5</definedName>
    <definedName name="solver_opt" localSheetId="56" hidden="1">'10.12'!$E$5</definedName>
    <definedName name="solver_opt" localSheetId="57" hidden="1">'10.13'!$E$12</definedName>
    <definedName name="solver_opt" localSheetId="48" hidden="1">'10.2'!$D$5</definedName>
    <definedName name="solver_opt" localSheetId="49" hidden="1">'10.4'!$D$5</definedName>
    <definedName name="solver_opt" localSheetId="50" hidden="1">'10.5'!$E$5</definedName>
    <definedName name="solver_opt" localSheetId="51" hidden="1">'10.6'!$H$5</definedName>
    <definedName name="solver_opt" localSheetId="52" hidden="1">'10.7'!$I$5</definedName>
    <definedName name="solver_opt" localSheetId="53" hidden="1">'10.9'!$E$8</definedName>
    <definedName name="solver_opt" localSheetId="58" hidden="1">'11.1'!$A$1</definedName>
    <definedName name="solver_opt" localSheetId="59" hidden="1">'11.2'!$T$4</definedName>
    <definedName name="solver_opt" localSheetId="60" hidden="1">'11.2QM'!$M$7</definedName>
    <definedName name="solver_opt" localSheetId="25" hidden="1">'7.2'!$D$5</definedName>
    <definedName name="solver_opt" localSheetId="26" hidden="1">'7.3'!$G$12</definedName>
    <definedName name="solver_opt" localSheetId="27" hidden="1">'7.4'!$D$5</definedName>
    <definedName name="solver_opt" localSheetId="28" hidden="1">'7.7n'!$D$5</definedName>
    <definedName name="solver_opt" localSheetId="29" hidden="1">'8.1'!$F$6</definedName>
    <definedName name="solver_opt" localSheetId="30" hidden="1">'8.2'!$H$5</definedName>
    <definedName name="solver_opt" localSheetId="31" hidden="1">'8.3 '!$F$6</definedName>
    <definedName name="solver_opt" localSheetId="32" hidden="1">'8.4 '!$R$5</definedName>
    <definedName name="solver_opt" localSheetId="33" hidden="1">'8.5 '!$H$6</definedName>
    <definedName name="solver_opt" localSheetId="34" hidden="1">'8.6'!$F$5</definedName>
    <definedName name="solver_opt" localSheetId="35" hidden="1">'8.7'!$H$5</definedName>
    <definedName name="solver_opt" localSheetId="36" hidden="1">'8.8'!$E$6</definedName>
    <definedName name="solver_opt" localSheetId="37" hidden="1">'8.9'!$F$6</definedName>
    <definedName name="solver_opt" localSheetId="38" hidden="1">'9.1'!$B$22</definedName>
    <definedName name="solver_opt" localSheetId="41" hidden="1">'9.4'!$B$21</definedName>
    <definedName name="solver_opt" localSheetId="42" hidden="1">'9.5'!$O$12</definedName>
    <definedName name="solver_opt" localSheetId="43" hidden="1">'9.6'!$B$31</definedName>
    <definedName name="solver_opt" localSheetId="44" hidden="1">'9.7'!$B$31</definedName>
    <definedName name="solver_opt" localSheetId="39" hidden="1">'9-2'!$B$24</definedName>
    <definedName name="solver_opt" localSheetId="40" hidden="1">'9-3'!$B$24</definedName>
    <definedName name="solver_opt" localSheetId="46" hidden="1">'SP9.1'!$B$22</definedName>
    <definedName name="solver_opt" localSheetId="47" hidden="1">'SP9.2'!$B$23</definedName>
    <definedName name="solver_phr" localSheetId="60" hidden="1">2</definedName>
    <definedName name="solver_piv" localSheetId="60" hidden="1">0.000001</definedName>
    <definedName name="solver_pre" localSheetId="54" hidden="1">0.000001</definedName>
    <definedName name="solver_pre" localSheetId="55" hidden="1">0.000001</definedName>
    <definedName name="solver_pre" localSheetId="56" hidden="1">0.000001</definedName>
    <definedName name="solver_pre" localSheetId="57" hidden="1">0.000001</definedName>
    <definedName name="solver_pre" localSheetId="48" hidden="1">0.000001</definedName>
    <definedName name="solver_pre" localSheetId="49" hidden="1">0.000001</definedName>
    <definedName name="solver_pre" localSheetId="50" hidden="1">0.000001</definedName>
    <definedName name="solver_pre" localSheetId="51" hidden="1">0.000001</definedName>
    <definedName name="solver_pre" localSheetId="52" hidden="1">0.000001</definedName>
    <definedName name="solver_pre" localSheetId="53" hidden="1">0.000001</definedName>
    <definedName name="solver_pre" localSheetId="59" hidden="1">0.000001</definedName>
    <definedName name="solver_pre" localSheetId="60" hidden="1">0.000001</definedName>
    <definedName name="solver_pre" localSheetId="25" hidden="1">0.000001</definedName>
    <definedName name="solver_pre" localSheetId="26" hidden="1">0.000001</definedName>
    <definedName name="solver_pre" localSheetId="27" hidden="1">0.000001</definedName>
    <definedName name="solver_pre" localSheetId="28" hidden="1">0.000001</definedName>
    <definedName name="solver_pre" localSheetId="29" hidden="1">0.000001</definedName>
    <definedName name="solver_pre" localSheetId="30" hidden="1">0.000001</definedName>
    <definedName name="solver_pre" localSheetId="31" hidden="1">0.000001</definedName>
    <definedName name="solver_pre" localSheetId="32" hidden="1">0.000001</definedName>
    <definedName name="solver_pre" localSheetId="33" hidden="1">0.000001</definedName>
    <definedName name="solver_pre" localSheetId="34" hidden="1">0.000001</definedName>
    <definedName name="solver_pre" localSheetId="35" hidden="1">0.000001</definedName>
    <definedName name="solver_pre" localSheetId="36" hidden="1">0.000001</definedName>
    <definedName name="solver_pre" localSheetId="37" hidden="1">0.000001</definedName>
    <definedName name="solver_pre" localSheetId="38" hidden="1">0.000001</definedName>
    <definedName name="solver_pre" localSheetId="41" hidden="1">0.000001</definedName>
    <definedName name="solver_pre" localSheetId="42" hidden="1">0.000001</definedName>
    <definedName name="solver_pre" localSheetId="43" hidden="1">0.000001</definedName>
    <definedName name="solver_pre" localSheetId="44" hidden="1">0.000001</definedName>
    <definedName name="solver_pre" localSheetId="39" hidden="1">0.000001</definedName>
    <definedName name="solver_pre" localSheetId="40" hidden="1">0.000001</definedName>
    <definedName name="solver_pre" localSheetId="46" hidden="1">0.000001</definedName>
    <definedName name="solver_pre" localSheetId="47" hidden="1">0.000001</definedName>
    <definedName name="solver_pro" localSheetId="60" hidden="1">2</definedName>
    <definedName name="solver_rbv" localSheetId="54" hidden="1">1</definedName>
    <definedName name="solver_rbv" localSheetId="55" hidden="1">1</definedName>
    <definedName name="solver_rbv" localSheetId="56" hidden="1">1</definedName>
    <definedName name="solver_rbv" localSheetId="57" hidden="1">1</definedName>
    <definedName name="solver_rbv" localSheetId="48" hidden="1">1</definedName>
    <definedName name="solver_rbv" localSheetId="49" hidden="1">1</definedName>
    <definedName name="solver_rbv" localSheetId="50" hidden="1">1</definedName>
    <definedName name="solver_rbv" localSheetId="51" hidden="1">1</definedName>
    <definedName name="solver_rbv" localSheetId="52" hidden="1">1</definedName>
    <definedName name="solver_rbv" localSheetId="53" hidden="1">1</definedName>
    <definedName name="solver_rbv" localSheetId="59" hidden="1">1</definedName>
    <definedName name="solver_rbv" localSheetId="60" hidden="1">1</definedName>
    <definedName name="solver_rbv" localSheetId="25" hidden="1">2</definedName>
    <definedName name="solver_rbv" localSheetId="26" hidden="1">1</definedName>
    <definedName name="solver_rbv" localSheetId="27" hidden="1">1</definedName>
    <definedName name="solver_rbv" localSheetId="28" hidden="1">1</definedName>
    <definedName name="solver_rbv" localSheetId="29" hidden="1">1</definedName>
    <definedName name="solver_rbv" localSheetId="30" hidden="1">1</definedName>
    <definedName name="solver_rbv" localSheetId="31" hidden="1">2</definedName>
    <definedName name="solver_rbv" localSheetId="32" hidden="1">2</definedName>
    <definedName name="solver_rbv" localSheetId="33" hidden="1">1</definedName>
    <definedName name="solver_rbv" localSheetId="34" hidden="1">1</definedName>
    <definedName name="solver_rbv" localSheetId="35" hidden="1">1</definedName>
    <definedName name="solver_rbv" localSheetId="36" hidden="1">1</definedName>
    <definedName name="solver_rbv" localSheetId="37" hidden="1">1</definedName>
    <definedName name="solver_rbv" localSheetId="38" hidden="1">1</definedName>
    <definedName name="solver_rbv" localSheetId="41" hidden="1">1</definedName>
    <definedName name="solver_rbv" localSheetId="42" hidden="1">1</definedName>
    <definedName name="solver_rbv" localSheetId="43" hidden="1">1</definedName>
    <definedName name="solver_rbv" localSheetId="44" hidden="1">1</definedName>
    <definedName name="solver_rbv" localSheetId="39" hidden="1">1</definedName>
    <definedName name="solver_rbv" localSheetId="40" hidden="1">1</definedName>
    <definedName name="solver_rbv" localSheetId="46" hidden="1">1</definedName>
    <definedName name="solver_rbv" localSheetId="47" hidden="1">1</definedName>
    <definedName name="solver_rdp" localSheetId="60" hidden="1">0</definedName>
    <definedName name="solver_red" localSheetId="60" hidden="1">0.000001</definedName>
    <definedName name="solver_rel0" localSheetId="33" hidden="1">3</definedName>
    <definedName name="solver_rel1" localSheetId="54" hidden="1">1</definedName>
    <definedName name="solver_rel1" localSheetId="55" hidden="1">3</definedName>
    <definedName name="solver_rel1" localSheetId="56" hidden="1">5</definedName>
    <definedName name="solver_rel1" localSheetId="57" hidden="1">1</definedName>
    <definedName name="solver_rel1" localSheetId="48" hidden="1">4</definedName>
    <definedName name="solver_rel1" localSheetId="49" hidden="1">4</definedName>
    <definedName name="solver_rel1" localSheetId="50" hidden="1">5</definedName>
    <definedName name="solver_rel1" localSheetId="51" hidden="1">5</definedName>
    <definedName name="solver_rel1" localSheetId="52" hidden="1">5</definedName>
    <definedName name="solver_rel1" localSheetId="53" hidden="1">1</definedName>
    <definedName name="solver_rel1" localSheetId="59" hidden="1">1</definedName>
    <definedName name="solver_rel1" localSheetId="60" hidden="1">3</definedName>
    <definedName name="solver_rel1" localSheetId="25" hidden="1">1</definedName>
    <definedName name="solver_rel1" localSheetId="26" hidden="1">1</definedName>
    <definedName name="solver_rel1" localSheetId="27" hidden="1">3</definedName>
    <definedName name="solver_rel1" localSheetId="28" hidden="1">1</definedName>
    <definedName name="solver_rel1" localSheetId="29" hidden="1">1</definedName>
    <definedName name="solver_rel1" localSheetId="30" hidden="1">1</definedName>
    <definedName name="solver_rel1" localSheetId="31" hidden="1">3</definedName>
    <definedName name="solver_rel1" localSheetId="32" hidden="1">3</definedName>
    <definedName name="solver_rel1" localSheetId="33" hidden="1">3</definedName>
    <definedName name="solver_rel1" localSheetId="34" hidden="1">3</definedName>
    <definedName name="solver_rel1" localSheetId="35" hidden="1">1</definedName>
    <definedName name="solver_rel1" localSheetId="36" hidden="1">2</definedName>
    <definedName name="solver_rel1" localSheetId="37" hidden="1">1</definedName>
    <definedName name="solver_rel1" localSheetId="38" hidden="1">1</definedName>
    <definedName name="solver_rel1" localSheetId="41" hidden="1">2</definedName>
    <definedName name="solver_rel1" localSheetId="42" hidden="1">1</definedName>
    <definedName name="solver_rel1" localSheetId="43" hidden="1">1</definedName>
    <definedName name="solver_rel1" localSheetId="44" hidden="1">1</definedName>
    <definedName name="solver_rel1" localSheetId="39" hidden="1">1</definedName>
    <definedName name="solver_rel1" localSheetId="40" hidden="1">1</definedName>
    <definedName name="solver_rel1" localSheetId="46" hidden="1">1</definedName>
    <definedName name="solver_rel1" localSheetId="47" hidden="1">2</definedName>
    <definedName name="solver_rel10" localSheetId="60" hidden="1">3</definedName>
    <definedName name="solver_rel11" localSheetId="60" hidden="1">3</definedName>
    <definedName name="solver_rel12" localSheetId="60" hidden="1">3</definedName>
    <definedName name="solver_rel13" localSheetId="60" hidden="1">3</definedName>
    <definedName name="solver_rel14" localSheetId="60" hidden="1">3</definedName>
    <definedName name="solver_rel15" localSheetId="60" hidden="1">3</definedName>
    <definedName name="solver_rel16" localSheetId="60" hidden="1">3</definedName>
    <definedName name="solver_rel17" localSheetId="60" hidden="1">3</definedName>
    <definedName name="solver_rel18" localSheetId="60" hidden="1">3</definedName>
    <definedName name="solver_rel19" localSheetId="60" hidden="1">3</definedName>
    <definedName name="solver_rel2" localSheetId="56" hidden="1">1</definedName>
    <definedName name="solver_rel2" localSheetId="57" hidden="1">2</definedName>
    <definedName name="solver_rel2" localSheetId="48" hidden="1">1</definedName>
    <definedName name="solver_rel2" localSheetId="49" hidden="1">1</definedName>
    <definedName name="solver_rel2" localSheetId="50" hidden="1">1</definedName>
    <definedName name="solver_rel2" localSheetId="51" hidden="1">3</definedName>
    <definedName name="solver_rel2" localSheetId="52" hidden="1">2</definedName>
    <definedName name="solver_rel2" localSheetId="59" hidden="1">2</definedName>
    <definedName name="solver_rel2" localSheetId="60" hidden="1">1</definedName>
    <definedName name="solver_rel2" localSheetId="25" hidden="1">1</definedName>
    <definedName name="solver_rel2" localSheetId="26" hidden="1">3</definedName>
    <definedName name="solver_rel2" localSheetId="29" hidden="1">3</definedName>
    <definedName name="solver_rel2" localSheetId="30" hidden="1">3</definedName>
    <definedName name="solver_rel2" localSheetId="31" hidden="1">1</definedName>
    <definedName name="solver_rel2" localSheetId="32" hidden="1">1</definedName>
    <definedName name="solver_rel2" localSheetId="33" hidden="1">1</definedName>
    <definedName name="solver_rel2" localSheetId="34" hidden="1">1</definedName>
    <definedName name="solver_rel2" localSheetId="36" hidden="1">3</definedName>
    <definedName name="solver_rel2" localSheetId="37" hidden="1">3</definedName>
    <definedName name="solver_rel2" localSheetId="38" hidden="1">3</definedName>
    <definedName name="solver_rel2" localSheetId="41" hidden="1">2</definedName>
    <definedName name="solver_rel2" localSheetId="42" hidden="1">3</definedName>
    <definedName name="solver_rel2" localSheetId="43" hidden="1">2</definedName>
    <definedName name="solver_rel2" localSheetId="44" hidden="1">2</definedName>
    <definedName name="solver_rel2" localSheetId="39" hidden="1">3</definedName>
    <definedName name="solver_rel2" localSheetId="40" hidden="1">3</definedName>
    <definedName name="solver_rel2" localSheetId="46" hidden="1">3</definedName>
    <definedName name="solver_rel2" localSheetId="47" hidden="1">2</definedName>
    <definedName name="solver_rel20" localSheetId="60" hidden="1">3</definedName>
    <definedName name="solver_rel21" localSheetId="60" hidden="1">3</definedName>
    <definedName name="solver_rel22" localSheetId="60" hidden="1">3</definedName>
    <definedName name="solver_rel23" localSheetId="60" hidden="1">3</definedName>
    <definedName name="solver_rel24" localSheetId="60" hidden="1">3</definedName>
    <definedName name="solver_rel25" localSheetId="60" hidden="1">3</definedName>
    <definedName name="solver_rel26" localSheetId="60" hidden="1">3</definedName>
    <definedName name="solver_rel27" localSheetId="60" hidden="1">3</definedName>
    <definedName name="solver_rel3" localSheetId="48" hidden="1">1</definedName>
    <definedName name="solver_rel3" localSheetId="51" hidden="1">1</definedName>
    <definedName name="solver_rel3" localSheetId="52" hidden="1">1</definedName>
    <definedName name="solver_rel3" localSheetId="59" hidden="1">3</definedName>
    <definedName name="solver_rel3" localSheetId="60" hidden="1">3</definedName>
    <definedName name="solver_rel3" localSheetId="26" hidden="1">3</definedName>
    <definedName name="solver_rel3" localSheetId="32" hidden="1">1</definedName>
    <definedName name="solver_rel3" localSheetId="33" hidden="1">3</definedName>
    <definedName name="solver_rel3" localSheetId="34" hidden="1">1</definedName>
    <definedName name="solver_rel3" localSheetId="38" hidden="1">4</definedName>
    <definedName name="solver_rel3" localSheetId="41" hidden="1">4</definedName>
    <definedName name="solver_rel3" localSheetId="42" hidden="1">3</definedName>
    <definedName name="solver_rel3" localSheetId="43" hidden="1">2</definedName>
    <definedName name="solver_rel3" localSheetId="44" hidden="1">3</definedName>
    <definedName name="solver_rel3" localSheetId="39" hidden="1">4</definedName>
    <definedName name="solver_rel3" localSheetId="40" hidden="1">4</definedName>
    <definedName name="solver_rel3" localSheetId="46" hidden="1">4</definedName>
    <definedName name="solver_rel3" localSheetId="47" hidden="1">4</definedName>
    <definedName name="solver_rel4" localSheetId="52" hidden="1">3</definedName>
    <definedName name="solver_rel4" localSheetId="60" hidden="1">3</definedName>
    <definedName name="solver_rel4" localSheetId="32" hidden="1">2</definedName>
    <definedName name="solver_rel4" localSheetId="38" hidden="1">4</definedName>
    <definedName name="solver_rel4" localSheetId="41" hidden="1">4</definedName>
    <definedName name="solver_rel4" localSheetId="43" hidden="1">5</definedName>
    <definedName name="solver_rel4" localSheetId="44" hidden="1">5</definedName>
    <definedName name="solver_rel4" localSheetId="39" hidden="1">4</definedName>
    <definedName name="solver_rel4" localSheetId="40" hidden="1">4</definedName>
    <definedName name="solver_rel4" localSheetId="46" hidden="1">4</definedName>
    <definedName name="solver_rel4" localSheetId="47" hidden="1">4</definedName>
    <definedName name="solver_rel5" localSheetId="52" hidden="1">1</definedName>
    <definedName name="solver_rel5" localSheetId="60" hidden="1">1</definedName>
    <definedName name="solver_rel6" localSheetId="60" hidden="1">3</definedName>
    <definedName name="solver_rel7" localSheetId="60" hidden="1">3</definedName>
    <definedName name="solver_rel8" localSheetId="60" hidden="1">3</definedName>
    <definedName name="solver_rel9" localSheetId="60" hidden="1">3</definedName>
    <definedName name="solver_rep" localSheetId="60" hidden="1">2</definedName>
    <definedName name="solver_rhs0" localSheetId="33" hidden="1">'8.5 '!$J$9:$J$16</definedName>
    <definedName name="solver_rhs1" localSheetId="54" hidden="1">'10.10'!$J$11:$J$13</definedName>
    <definedName name="solver_rhs1" localSheetId="55" hidden="1">'10.11'!$I$10:$I$12</definedName>
    <definedName name="solver_rhs1" localSheetId="56" hidden="1">binary</definedName>
    <definedName name="solver_rhs1" localSheetId="57" hidden="1">1</definedName>
    <definedName name="solver_rhs1" localSheetId="48" hidden="1">Integer</definedName>
    <definedName name="solver_rhs1" localSheetId="49" hidden="1">Integer</definedName>
    <definedName name="solver_rhs1" localSheetId="50" hidden="1">binary</definedName>
    <definedName name="solver_rhs1" localSheetId="51" hidden="1">binary</definedName>
    <definedName name="solver_rhs1" localSheetId="52" hidden="1">binary</definedName>
    <definedName name="solver_rhs1" localSheetId="53" hidden="1">'10.9'!$G$11:$G$12</definedName>
    <definedName name="solver_rhs1" localSheetId="59" hidden="1">'11.2'!$V$5:$V$13</definedName>
    <definedName name="solver_rhs1" localSheetId="60" hidden="1">'11.2QM'!$B$35:$Z$35</definedName>
    <definedName name="solver_rhs1" localSheetId="25" hidden="1">'7.2'!$F$8:$F$9</definedName>
    <definedName name="solver_rhs1" localSheetId="26" hidden="1">'7.3'!$K$13:$K$14</definedName>
    <definedName name="solver_rhs1" localSheetId="27" hidden="1">'7.4'!$F$8:$F$10</definedName>
    <definedName name="solver_rhs1" localSheetId="28" hidden="1">'7.7n'!$F$8:$F$9</definedName>
    <definedName name="solver_rhs1" localSheetId="29" hidden="1">'8.1'!$H$9:$H$14</definedName>
    <definedName name="solver_rhs1" localSheetId="30" hidden="1">'8.2'!$J$12</definedName>
    <definedName name="solver_rhs1" localSheetId="31" hidden="1">'8.3 '!$H$16:$H$19</definedName>
    <definedName name="solver_rhs1" localSheetId="32" hidden="1">'8.4 '!$T$19:$T$22</definedName>
    <definedName name="solver_rhs1" localSheetId="33" hidden="1">'8.5 '!$J$9:$J$16</definedName>
    <definedName name="solver_rhs1" localSheetId="34" hidden="1">'8.6'!$H$12:$H$13</definedName>
    <definedName name="solver_rhs1" localSheetId="35" hidden="1">'8.7'!$J$8:$J$14</definedName>
    <definedName name="solver_rhs1" localSheetId="36" hidden="1">'8.8'!$G$13</definedName>
    <definedName name="solver_rhs1" localSheetId="37" hidden="1">'8.9'!$H$12</definedName>
    <definedName name="solver_rhs1" localSheetId="38" hidden="1">'9.1'!$E$10:$E$12</definedName>
    <definedName name="solver_rhs1" localSheetId="41" hidden="1">1</definedName>
    <definedName name="solver_rhs1" localSheetId="42" hidden="1">'9.5'!$S$13:$S$19</definedName>
    <definedName name="solver_rhs1" localSheetId="43" hidden="1">'9.6'!$B$10:$G$15</definedName>
    <definedName name="solver_rhs1" localSheetId="44" hidden="1">'9.7'!$B$10:$G$15</definedName>
    <definedName name="solver_rhs1" localSheetId="39" hidden="1">'9-2'!$F$10:$F$13</definedName>
    <definedName name="solver_rhs1" localSheetId="40" hidden="1">'9-3'!$F$10:$F$13</definedName>
    <definedName name="solver_rhs1" localSheetId="46" hidden="1">'SP9.1'!$E$10:$E$12</definedName>
    <definedName name="solver_rhs1" localSheetId="47" hidden="1">1</definedName>
    <definedName name="solver_rhs10" localSheetId="60" hidden="1">'11.2QM'!$E$40:$E$48</definedName>
    <definedName name="solver_rhs11" localSheetId="60" hidden="1">'11.2QM'!$G$40:$G$48</definedName>
    <definedName name="solver_rhs12" localSheetId="60" hidden="1">'11.2QM'!$B$35:$Z$35</definedName>
    <definedName name="solver_rhs13" localSheetId="60" hidden="1">'11.2QM'!$B$35:$Z$35</definedName>
    <definedName name="solver_rhs14" localSheetId="60" hidden="1">'11.2QM'!$B$35:$Z$35</definedName>
    <definedName name="solver_rhs15" localSheetId="60" hidden="1">'11.2QM'!$B$35:$Z$35</definedName>
    <definedName name="solver_rhs16" localSheetId="60" hidden="1">'11.2QM'!$B$35:$Z$35</definedName>
    <definedName name="solver_rhs17" localSheetId="60" hidden="1">'11.2QM'!$B$35:$Z$35</definedName>
    <definedName name="solver_rhs18" localSheetId="60" hidden="1">'11.2QM'!$B$35:$Z$35</definedName>
    <definedName name="solver_rhs19" localSheetId="60" hidden="1">'11.2QM'!$B$35:$Z$35</definedName>
    <definedName name="solver_rhs2" localSheetId="56" hidden="1">'10.12'!$G$8:$G$11</definedName>
    <definedName name="solver_rhs2" localSheetId="57" hidden="1">1</definedName>
    <definedName name="solver_rhs2" localSheetId="48" hidden="1">'10.2'!$F$8:$F$9</definedName>
    <definedName name="solver_rhs2" localSheetId="49" hidden="1">'10.4'!$F$8:$F$10</definedName>
    <definedName name="solver_rhs2" localSheetId="50" hidden="1">'10.5'!$G$8:$G$9</definedName>
    <definedName name="solver_rhs2" localSheetId="51" hidden="1">'10.6'!$J$8</definedName>
    <definedName name="solver_rhs2" localSheetId="52" hidden="1">'10.7'!$K$9</definedName>
    <definedName name="solver_rhs2" localSheetId="59" hidden="1">'11.2'!$V$14</definedName>
    <definedName name="solver_rhs2" localSheetId="60" hidden="1">'11.2QM'!$B$37:$Z$37</definedName>
    <definedName name="solver_rhs2" localSheetId="25" hidden="1">'7.2'!$F$8:$F$9</definedName>
    <definedName name="solver_rhs2" localSheetId="26" hidden="1">'7.3'!$M$13:$M$14</definedName>
    <definedName name="solver_rhs2" localSheetId="29" hidden="1">'8.1'!$H$15</definedName>
    <definedName name="solver_rhs2" localSheetId="30" hidden="1">'8.2'!$J$8:$J$11</definedName>
    <definedName name="solver_rhs2" localSheetId="31" hidden="1">'8.3 '!$H$9:$H$15</definedName>
    <definedName name="solver_rhs2" localSheetId="32" hidden="1">'8.4 '!$T$23:$T$26</definedName>
    <definedName name="solver_rhs2" localSheetId="33" hidden="1">'8.5 '!$J$17:$J$18</definedName>
    <definedName name="solver_rhs2" localSheetId="34" hidden="1">'8.6'!$H$14</definedName>
    <definedName name="solver_rhs2" localSheetId="36" hidden="1">'8.8'!$G$9:$G$12</definedName>
    <definedName name="solver_rhs2" localSheetId="37" hidden="1">'8.9'!$H$9:$H$11</definedName>
    <definedName name="solver_rhs2" localSheetId="38" hidden="1">'9.1'!$B$13:$D$13</definedName>
    <definedName name="solver_rhs2" localSheetId="41" hidden="1">1</definedName>
    <definedName name="solver_rhs2" localSheetId="42" hidden="1">'9.5'!$U$13:$U$19</definedName>
    <definedName name="solver_rhs2" localSheetId="43" hidden="1">'9.6'!$B$28:$G$28</definedName>
    <definedName name="solver_rhs2" localSheetId="44" hidden="1">'9.7'!$B$16:$G$16</definedName>
    <definedName name="solver_rhs2" localSheetId="39" hidden="1">'9-2'!$B$14:$E$14</definedName>
    <definedName name="solver_rhs2" localSheetId="40" hidden="1">'9-3'!$B$14:$E$14</definedName>
    <definedName name="solver_rhs2" localSheetId="46" hidden="1">'SP9.1'!$B$13:$D$13</definedName>
    <definedName name="solver_rhs2" localSheetId="47" hidden="1">1</definedName>
    <definedName name="solver_rhs20" localSheetId="60" hidden="1">'11.2QM'!$B$35:$Z$35</definedName>
    <definedName name="solver_rhs21" localSheetId="60" hidden="1">'11.2QM'!$B$35:$Z$35</definedName>
    <definedName name="solver_rhs22" localSheetId="60" hidden="1">'11.2QM'!$B$35:$Z$35</definedName>
    <definedName name="solver_rhs23" localSheetId="60" hidden="1">'11.2QM'!$B$35:$Z$35</definedName>
    <definedName name="solver_rhs24" localSheetId="60" hidden="1">'11.2QM'!$B$35:$Z$35</definedName>
    <definedName name="solver_rhs25" localSheetId="60" hidden="1">'11.2QM'!$B$35:$Z$35</definedName>
    <definedName name="solver_rhs26" localSheetId="60" hidden="1">'11.2QM'!$B$35:$Z$35</definedName>
    <definedName name="solver_rhs27" localSheetId="60" hidden="1">'11.2QM'!$B$35:$Z$35</definedName>
    <definedName name="solver_rhs3" localSheetId="48" hidden="1">'10.2'!$F$8:$F$9</definedName>
    <definedName name="solver_rhs3" localSheetId="51" hidden="1">'10.6'!$J$9:$J$11</definedName>
    <definedName name="solver_rhs3" localSheetId="52" hidden="1">'10.7'!$K$10</definedName>
    <definedName name="solver_rhs3" localSheetId="59" hidden="1">'11.2'!$V$15:$V$25</definedName>
    <definedName name="solver_rhs3" localSheetId="60" hidden="1">'11.2QM'!$C$40:$C$48</definedName>
    <definedName name="solver_rhs3" localSheetId="26" hidden="1">0</definedName>
    <definedName name="solver_rhs3" localSheetId="32" hidden="1">'8.4 '!$T$28:$T$31</definedName>
    <definedName name="solver_rhs3" localSheetId="33" hidden="1">'8.5 '!$J$9:$J$16</definedName>
    <definedName name="solver_rhs3" localSheetId="34" hidden="1">'8.6'!$H$8:$H$11</definedName>
    <definedName name="solver_rhs3" localSheetId="38" hidden="1">[4]!Integer</definedName>
    <definedName name="solver_rhs3" localSheetId="41" hidden="1">Integer</definedName>
    <definedName name="solver_rhs3" localSheetId="42" hidden="1">0</definedName>
    <definedName name="solver_rhs3" localSheetId="43" hidden="1">'9.6'!$B$28:$G$28</definedName>
    <definedName name="solver_rhs3" localSheetId="44" hidden="1">0</definedName>
    <definedName name="solver_rhs3" localSheetId="39" hidden="1">[4]!Integer</definedName>
    <definedName name="solver_rhs3" localSheetId="40" hidden="1">[4]!Integer</definedName>
    <definedName name="solver_rhs3" localSheetId="46" hidden="1">[4]!Integer</definedName>
    <definedName name="solver_rhs3" localSheetId="47" hidden="1">Integer</definedName>
    <definedName name="solver_rhs4" localSheetId="52" hidden="1">'10.7'!$K$7</definedName>
    <definedName name="solver_rhs4" localSheetId="60" hidden="1">'11.2QM'!$D$40:$D$48</definedName>
    <definedName name="solver_rhs4" localSheetId="32" hidden="1">'8.4 '!$T$8:$T$17</definedName>
    <definedName name="solver_rhs4" localSheetId="38" hidden="1">[4]!Integer</definedName>
    <definedName name="solver_rhs4" localSheetId="41" hidden="1">Integer</definedName>
    <definedName name="solver_rhs4" localSheetId="43" hidden="1">[4]!binary</definedName>
    <definedName name="solver_rhs4" localSheetId="44" hidden="1">[4]!binary</definedName>
    <definedName name="solver_rhs4" localSheetId="39" hidden="1">[4]!Integer</definedName>
    <definedName name="solver_rhs4" localSheetId="40" hidden="1">[4]!Integer</definedName>
    <definedName name="solver_rhs4" localSheetId="46" hidden="1">[4]!Integer</definedName>
    <definedName name="solver_rhs4" localSheetId="47" hidden="1">Integer</definedName>
    <definedName name="solver_rhs5" localSheetId="52" hidden="1">'10.7'!$K$8</definedName>
    <definedName name="solver_rhs5" localSheetId="60" hidden="1">'11.2QM'!$B$8</definedName>
    <definedName name="solver_rhs6" localSheetId="60" hidden="1">'11.2QM'!$J$40:$J$48</definedName>
    <definedName name="solver_rhs7" localSheetId="60" hidden="1">'11.2QM'!$I$40:$I$48</definedName>
    <definedName name="solver_rhs8" localSheetId="60" hidden="1">'11.2QM'!$H$40:$H$48</definedName>
    <definedName name="solver_rhs9" localSheetId="60" hidden="1">'11.2QM'!$F$40:$F$48</definedName>
    <definedName name="solver_rlx" localSheetId="54" hidden="1">2</definedName>
    <definedName name="solver_rlx" localSheetId="55" hidden="1">2</definedName>
    <definedName name="solver_rlx" localSheetId="56" hidden="1">2</definedName>
    <definedName name="solver_rlx" localSheetId="57" hidden="1">2</definedName>
    <definedName name="solver_rlx" localSheetId="48" hidden="1">2</definedName>
    <definedName name="solver_rlx" localSheetId="49" hidden="1">2</definedName>
    <definedName name="solver_rlx" localSheetId="50" hidden="1">2</definedName>
    <definedName name="solver_rlx" localSheetId="51" hidden="1">2</definedName>
    <definedName name="solver_rlx" localSheetId="52" hidden="1">2</definedName>
    <definedName name="solver_rlx" localSheetId="53" hidden="1">2</definedName>
    <definedName name="solver_rlx" localSheetId="59" hidden="1">1</definedName>
    <definedName name="solver_rlx" localSheetId="60" hidden="1">2</definedName>
    <definedName name="solver_rlx" localSheetId="25" hidden="1">2</definedName>
    <definedName name="solver_rlx" localSheetId="26" hidden="1">1</definedName>
    <definedName name="solver_rlx" localSheetId="27" hidden="1">2</definedName>
    <definedName name="solver_rlx" localSheetId="28" hidden="1">2</definedName>
    <definedName name="solver_rlx" localSheetId="29" hidden="1">1</definedName>
    <definedName name="solver_rlx" localSheetId="30" hidden="1">2</definedName>
    <definedName name="solver_rlx" localSheetId="31" hidden="1">2</definedName>
    <definedName name="solver_rlx" localSheetId="32" hidden="1">2</definedName>
    <definedName name="solver_rlx" localSheetId="33" hidden="1">2</definedName>
    <definedName name="solver_rlx" localSheetId="34" hidden="1">2</definedName>
    <definedName name="solver_rlx" localSheetId="35" hidden="1">2</definedName>
    <definedName name="solver_rlx" localSheetId="36" hidden="1">2</definedName>
    <definedName name="solver_rlx" localSheetId="37" hidden="1">2</definedName>
    <definedName name="solver_rlx" localSheetId="38" hidden="1">1</definedName>
    <definedName name="solver_rlx" localSheetId="41" hidden="1">1</definedName>
    <definedName name="solver_rlx" localSheetId="42" hidden="1">1</definedName>
    <definedName name="solver_rlx" localSheetId="43" hidden="1">1</definedName>
    <definedName name="solver_rlx" localSheetId="44" hidden="1">1</definedName>
    <definedName name="solver_rlx" localSheetId="39" hidden="1">1</definedName>
    <definedName name="solver_rlx" localSheetId="40" hidden="1">1</definedName>
    <definedName name="solver_rlx" localSheetId="46" hidden="1">1</definedName>
    <definedName name="solver_rlx" localSheetId="47" hidden="1">1</definedName>
    <definedName name="solver_rsd" localSheetId="54" hidden="1">0</definedName>
    <definedName name="solver_rsd" localSheetId="55" hidden="1">0</definedName>
    <definedName name="solver_rsd" localSheetId="56" hidden="1">0</definedName>
    <definedName name="solver_rsd" localSheetId="57" hidden="1">0</definedName>
    <definedName name="solver_rsd" localSheetId="48" hidden="1">0</definedName>
    <definedName name="solver_rsd" localSheetId="49" hidden="1">0</definedName>
    <definedName name="solver_rsd" localSheetId="50" hidden="1">0</definedName>
    <definedName name="solver_rsd" localSheetId="51" hidden="1">0</definedName>
    <definedName name="solver_rsd" localSheetId="52" hidden="1">0</definedName>
    <definedName name="solver_rsd" localSheetId="53" hidden="1">0</definedName>
    <definedName name="solver_rsd" localSheetId="59" hidden="1">0</definedName>
    <definedName name="solver_rsd" localSheetId="60" hidden="1">0</definedName>
    <definedName name="solver_rsd" localSheetId="25" hidden="1">0</definedName>
    <definedName name="solver_rsd" localSheetId="26" hidden="1">0</definedName>
    <definedName name="solver_rsd" localSheetId="27" hidden="1">0</definedName>
    <definedName name="solver_rsd" localSheetId="28" hidden="1">0</definedName>
    <definedName name="solver_rsd" localSheetId="29" hidden="1">0</definedName>
    <definedName name="solver_rsd" localSheetId="30" hidden="1">0</definedName>
    <definedName name="solver_rsd" localSheetId="31" hidden="1">0</definedName>
    <definedName name="solver_rsd" localSheetId="32" hidden="1">0</definedName>
    <definedName name="solver_rsd" localSheetId="33" hidden="1">0</definedName>
    <definedName name="solver_rsd" localSheetId="34" hidden="1">0</definedName>
    <definedName name="solver_rsd" localSheetId="35" hidden="1">0</definedName>
    <definedName name="solver_rsd" localSheetId="36" hidden="1">0</definedName>
    <definedName name="solver_rsd" localSheetId="37" hidden="1">0</definedName>
    <definedName name="solver_rsd" localSheetId="38" hidden="1">0</definedName>
    <definedName name="solver_rsd" localSheetId="41" hidden="1">0</definedName>
    <definedName name="solver_rsd" localSheetId="42" hidden="1">0</definedName>
    <definedName name="solver_rsd" localSheetId="43" hidden="1">0</definedName>
    <definedName name="solver_rsd" localSheetId="44" hidden="1">0</definedName>
    <definedName name="solver_rsd" localSheetId="39" hidden="1">0</definedName>
    <definedName name="solver_rsd" localSheetId="40" hidden="1">0</definedName>
    <definedName name="solver_rsd" localSheetId="46" hidden="1">0</definedName>
    <definedName name="solver_rsd" localSheetId="47" hidden="1">0</definedName>
    <definedName name="solver_rtr" localSheetId="60" hidden="1">0</definedName>
    <definedName name="solver_scl" localSheetId="54" hidden="1">1</definedName>
    <definedName name="solver_scl" localSheetId="55" hidden="1">1</definedName>
    <definedName name="solver_scl" localSheetId="56" hidden="1">1</definedName>
    <definedName name="solver_scl" localSheetId="57" hidden="1">2</definedName>
    <definedName name="solver_scl" localSheetId="48" hidden="1">1</definedName>
    <definedName name="solver_scl" localSheetId="49" hidden="1">1</definedName>
    <definedName name="solver_scl" localSheetId="50" hidden="1">1</definedName>
    <definedName name="solver_scl" localSheetId="51" hidden="1">1</definedName>
    <definedName name="solver_scl" localSheetId="52" hidden="1">1</definedName>
    <definedName name="solver_scl" localSheetId="53" hidden="1">1</definedName>
    <definedName name="solver_scl" localSheetId="59" hidden="1">2</definedName>
    <definedName name="solver_scl" localSheetId="60" hidden="1">2</definedName>
    <definedName name="solver_scl" localSheetId="25" hidden="1">2</definedName>
    <definedName name="solver_scl" localSheetId="26" hidden="1">2</definedName>
    <definedName name="solver_scl" localSheetId="27" hidden="1">1</definedName>
    <definedName name="solver_scl" localSheetId="28" hidden="1">1</definedName>
    <definedName name="solver_scl" localSheetId="29" hidden="1">2</definedName>
    <definedName name="solver_scl" localSheetId="30" hidden="1">1</definedName>
    <definedName name="solver_scl" localSheetId="31" hidden="1">2</definedName>
    <definedName name="solver_scl" localSheetId="32" hidden="1">2</definedName>
    <definedName name="solver_scl" localSheetId="33" hidden="1">1</definedName>
    <definedName name="solver_scl" localSheetId="34" hidden="1">1</definedName>
    <definedName name="solver_scl" localSheetId="35" hidden="1">1</definedName>
    <definedName name="solver_scl" localSheetId="36" hidden="1">1</definedName>
    <definedName name="solver_scl" localSheetId="37" hidden="1">1</definedName>
    <definedName name="solver_scl" localSheetId="38" hidden="1">2</definedName>
    <definedName name="solver_scl" localSheetId="41" hidden="1">2</definedName>
    <definedName name="solver_scl" localSheetId="42" hidden="1">2</definedName>
    <definedName name="solver_scl" localSheetId="43" hidden="1">2</definedName>
    <definedName name="solver_scl" localSheetId="44" hidden="1">2</definedName>
    <definedName name="solver_scl" localSheetId="39" hidden="1">2</definedName>
    <definedName name="solver_scl" localSheetId="40" hidden="1">2</definedName>
    <definedName name="solver_scl" localSheetId="46" hidden="1">2</definedName>
    <definedName name="solver_scl" localSheetId="47" hidden="1">2</definedName>
    <definedName name="solver_sel" localSheetId="60" hidden="1">1</definedName>
    <definedName name="solver_sho" localSheetId="54" hidden="1">2</definedName>
    <definedName name="solver_sho" localSheetId="55" hidden="1">2</definedName>
    <definedName name="solver_sho" localSheetId="56" hidden="1">2</definedName>
    <definedName name="solver_sho" localSheetId="57" hidden="1">2</definedName>
    <definedName name="solver_sho" localSheetId="48" hidden="1">2</definedName>
    <definedName name="solver_sho" localSheetId="49" hidden="1">2</definedName>
    <definedName name="solver_sho" localSheetId="50" hidden="1">2</definedName>
    <definedName name="solver_sho" localSheetId="51" hidden="1">2</definedName>
    <definedName name="solver_sho" localSheetId="52" hidden="1">2</definedName>
    <definedName name="solver_sho" localSheetId="53" hidden="1">2</definedName>
    <definedName name="solver_sho" localSheetId="59" hidden="1">2</definedName>
    <definedName name="solver_sho" localSheetId="60" hidden="1">2</definedName>
    <definedName name="solver_sho" localSheetId="25" hidden="1">2</definedName>
    <definedName name="solver_sho" localSheetId="26" hidden="1">2</definedName>
    <definedName name="solver_sho" localSheetId="27" hidden="1">2</definedName>
    <definedName name="solver_sho" localSheetId="28" hidden="1">2</definedName>
    <definedName name="solver_sho" localSheetId="29" hidden="1">2</definedName>
    <definedName name="solver_sho" localSheetId="30" hidden="1">2</definedName>
    <definedName name="solver_sho" localSheetId="31" hidden="1">2</definedName>
    <definedName name="solver_sho" localSheetId="32" hidden="1">2</definedName>
    <definedName name="solver_sho" localSheetId="33" hidden="1">2</definedName>
    <definedName name="solver_sho" localSheetId="34" hidden="1">2</definedName>
    <definedName name="solver_sho" localSheetId="35" hidden="1">2</definedName>
    <definedName name="solver_sho" localSheetId="36" hidden="1">2</definedName>
    <definedName name="solver_sho" localSheetId="37" hidden="1">2</definedName>
    <definedName name="solver_sho" localSheetId="38" hidden="1">2</definedName>
    <definedName name="solver_sho" localSheetId="41" hidden="1">2</definedName>
    <definedName name="solver_sho" localSheetId="42" hidden="1">2</definedName>
    <definedName name="solver_sho" localSheetId="43" hidden="1">2</definedName>
    <definedName name="solver_sho" localSheetId="44" hidden="1">2</definedName>
    <definedName name="solver_sho" localSheetId="39" hidden="1">2</definedName>
    <definedName name="solver_sho" localSheetId="40" hidden="1">2</definedName>
    <definedName name="solver_sho" localSheetId="46" hidden="1">2</definedName>
    <definedName name="solver_sho" localSheetId="47" hidden="1">2</definedName>
    <definedName name="solver_ssz" localSheetId="54" hidden="1">100</definedName>
    <definedName name="solver_ssz" localSheetId="55" hidden="1">100</definedName>
    <definedName name="solver_ssz" localSheetId="56" hidden="1">100</definedName>
    <definedName name="solver_ssz" localSheetId="57" hidden="1">100</definedName>
    <definedName name="solver_ssz" localSheetId="48" hidden="1">100</definedName>
    <definedName name="solver_ssz" localSheetId="49" hidden="1">100</definedName>
    <definedName name="solver_ssz" localSheetId="50" hidden="1">100</definedName>
    <definedName name="solver_ssz" localSheetId="51" hidden="1">100</definedName>
    <definedName name="solver_ssz" localSheetId="52" hidden="1">100</definedName>
    <definedName name="solver_ssz" localSheetId="53" hidden="1">100</definedName>
    <definedName name="solver_ssz" localSheetId="59" hidden="1">100</definedName>
    <definedName name="solver_ssz" localSheetId="60" hidden="1">100</definedName>
    <definedName name="solver_ssz" localSheetId="25" hidden="1">100</definedName>
    <definedName name="solver_ssz" localSheetId="26" hidden="1">100</definedName>
    <definedName name="solver_ssz" localSheetId="27" hidden="1">100</definedName>
    <definedName name="solver_ssz" localSheetId="28" hidden="1">100</definedName>
    <definedName name="solver_ssz" localSheetId="29" hidden="1">100</definedName>
    <definedName name="solver_ssz" localSheetId="30" hidden="1">100</definedName>
    <definedName name="solver_ssz" localSheetId="31" hidden="1">100</definedName>
    <definedName name="solver_ssz" localSheetId="32" hidden="1">100</definedName>
    <definedName name="solver_ssz" localSheetId="33" hidden="1">100</definedName>
    <definedName name="solver_ssz" localSheetId="34" hidden="1">100</definedName>
    <definedName name="solver_ssz" localSheetId="35" hidden="1">100</definedName>
    <definedName name="solver_ssz" localSheetId="36" hidden="1">100</definedName>
    <definedName name="solver_ssz" localSheetId="37" hidden="1">100</definedName>
    <definedName name="solver_ssz" localSheetId="38" hidden="1">100</definedName>
    <definedName name="solver_ssz" localSheetId="41" hidden="1">100</definedName>
    <definedName name="solver_ssz" localSheetId="42" hidden="1">100</definedName>
    <definedName name="solver_ssz" localSheetId="43" hidden="1">100</definedName>
    <definedName name="solver_ssz" localSheetId="44" hidden="1">100</definedName>
    <definedName name="solver_ssz" localSheetId="39" hidden="1">100</definedName>
    <definedName name="solver_ssz" localSheetId="40" hidden="1">100</definedName>
    <definedName name="solver_ssz" localSheetId="46" hidden="1">100</definedName>
    <definedName name="solver_ssz" localSheetId="47" hidden="1">100</definedName>
    <definedName name="solver_tim" localSheetId="54" hidden="1">2147483647</definedName>
    <definedName name="solver_tim" localSheetId="55" hidden="1">2147483647</definedName>
    <definedName name="solver_tim" localSheetId="56" hidden="1">2147483647</definedName>
    <definedName name="solver_tim" localSheetId="57" hidden="1">100</definedName>
    <definedName name="solver_tim" localSheetId="48" hidden="1">2147483647</definedName>
    <definedName name="solver_tim" localSheetId="49" hidden="1">2147483647</definedName>
    <definedName name="solver_tim" localSheetId="50" hidden="1">2147483647</definedName>
    <definedName name="solver_tim" localSheetId="51" hidden="1">2147483647</definedName>
    <definedName name="solver_tim" localSheetId="52" hidden="1">2147483647</definedName>
    <definedName name="solver_tim" localSheetId="53" hidden="1">2147483647</definedName>
    <definedName name="solver_tim" localSheetId="59" hidden="1">100</definedName>
    <definedName name="solver_tim" localSheetId="60" hidden="1">100</definedName>
    <definedName name="solver_tim" localSheetId="25" hidden="1">2147483647</definedName>
    <definedName name="solver_tim" localSheetId="26" hidden="1">100</definedName>
    <definedName name="solver_tim" localSheetId="27" hidden="1">2147483647</definedName>
    <definedName name="solver_tim" localSheetId="28" hidden="1">2147483647</definedName>
    <definedName name="solver_tim" localSheetId="29" hidden="1">100</definedName>
    <definedName name="solver_tim" localSheetId="30" hidden="1">2147483647</definedName>
    <definedName name="solver_tim" localSheetId="31" hidden="1">2147483647</definedName>
    <definedName name="solver_tim" localSheetId="32" hidden="1">2147483647</definedName>
    <definedName name="solver_tim" localSheetId="33" hidden="1">2147483647</definedName>
    <definedName name="solver_tim" localSheetId="34" hidden="1">2147483647</definedName>
    <definedName name="solver_tim" localSheetId="35" hidden="1">2147483647</definedName>
    <definedName name="solver_tim" localSheetId="36" hidden="1">2147483647</definedName>
    <definedName name="solver_tim" localSheetId="37" hidden="1">2147483647</definedName>
    <definedName name="solver_tim" localSheetId="38" hidden="1">100</definedName>
    <definedName name="solver_tim" localSheetId="41" hidden="1">100</definedName>
    <definedName name="solver_tim" localSheetId="42" hidden="1">100</definedName>
    <definedName name="solver_tim" localSheetId="43" hidden="1">100</definedName>
    <definedName name="solver_tim" localSheetId="44" hidden="1">100</definedName>
    <definedName name="solver_tim" localSheetId="39" hidden="1">100</definedName>
    <definedName name="solver_tim" localSheetId="40" hidden="1">100</definedName>
    <definedName name="solver_tim" localSheetId="46" hidden="1">100</definedName>
    <definedName name="solver_tim" localSheetId="47" hidden="1">100</definedName>
    <definedName name="solver_tmp" localSheetId="26" hidden="1">0</definedName>
    <definedName name="solver_tmp" localSheetId="38" hidden="1">0</definedName>
    <definedName name="solver_tmp" localSheetId="41" hidden="1">1</definedName>
    <definedName name="solver_tmp" localSheetId="42" hidden="1">0</definedName>
    <definedName name="solver_tmp" localSheetId="39" hidden="1">0</definedName>
    <definedName name="solver_tmp" localSheetId="40" hidden="1">0</definedName>
    <definedName name="solver_tmp" localSheetId="46" hidden="1">0</definedName>
    <definedName name="solver_tmp" localSheetId="47" hidden="1">1</definedName>
    <definedName name="solver_tol" localSheetId="54" hidden="1">0.01</definedName>
    <definedName name="solver_tol" localSheetId="55" hidden="1">0.01</definedName>
    <definedName name="solver_tol" localSheetId="56" hidden="1">0.01</definedName>
    <definedName name="solver_tol" localSheetId="57" hidden="1">0.05</definedName>
    <definedName name="solver_tol" localSheetId="48" hidden="1">0.01</definedName>
    <definedName name="solver_tol" localSheetId="49" hidden="1">0.01</definedName>
    <definedName name="solver_tol" localSheetId="50" hidden="1">0.01</definedName>
    <definedName name="solver_tol" localSheetId="51" hidden="1">0.01</definedName>
    <definedName name="solver_tol" localSheetId="52" hidden="1">0.01</definedName>
    <definedName name="solver_tol" localSheetId="53" hidden="1">0.01</definedName>
    <definedName name="solver_tol" localSheetId="59" hidden="1">0.05</definedName>
    <definedName name="solver_tol" localSheetId="60" hidden="1">0.05</definedName>
    <definedName name="solver_tol" localSheetId="25" hidden="1">0.01</definedName>
    <definedName name="solver_tol" localSheetId="26" hidden="1">0.05</definedName>
    <definedName name="solver_tol" localSheetId="27" hidden="1">0.01</definedName>
    <definedName name="solver_tol" localSheetId="28" hidden="1">0.01</definedName>
    <definedName name="solver_tol" localSheetId="29" hidden="1">0.05</definedName>
    <definedName name="solver_tol" localSheetId="30" hidden="1">0.01</definedName>
    <definedName name="solver_tol" localSheetId="31" hidden="1">0.01</definedName>
    <definedName name="solver_tol" localSheetId="32" hidden="1">0.01</definedName>
    <definedName name="solver_tol" localSheetId="33" hidden="1">0.01</definedName>
    <definedName name="solver_tol" localSheetId="34" hidden="1">0.01</definedName>
    <definedName name="solver_tol" localSheetId="35" hidden="1">0.01</definedName>
    <definedName name="solver_tol" localSheetId="36" hidden="1">0.01</definedName>
    <definedName name="solver_tol" localSheetId="37" hidden="1">0.01</definedName>
    <definedName name="solver_tol" localSheetId="38" hidden="1">0.05</definedName>
    <definedName name="solver_tol" localSheetId="41" hidden="1">0.05</definedName>
    <definedName name="solver_tol" localSheetId="42" hidden="1">0.05</definedName>
    <definedName name="solver_tol" localSheetId="43" hidden="1">0.05</definedName>
    <definedName name="solver_tol" localSheetId="44" hidden="1">0.05</definedName>
    <definedName name="solver_tol" localSheetId="39" hidden="1">0.05</definedName>
    <definedName name="solver_tol" localSheetId="40" hidden="1">0.05</definedName>
    <definedName name="solver_tol" localSheetId="46" hidden="1">0.05</definedName>
    <definedName name="solver_tol" localSheetId="47" hidden="1">0.05</definedName>
    <definedName name="solver_typ" localSheetId="54" hidden="1">1</definedName>
    <definedName name="solver_typ" localSheetId="55" hidden="1">2</definedName>
    <definedName name="solver_typ" localSheetId="56" hidden="1">1</definedName>
    <definedName name="solver_typ" localSheetId="57" hidden="1">2</definedName>
    <definedName name="solver_typ" localSheetId="48" hidden="1">1</definedName>
    <definedName name="solver_typ" localSheetId="49" hidden="1">1</definedName>
    <definedName name="solver_typ" localSheetId="50" hidden="1">1</definedName>
    <definedName name="solver_typ" localSheetId="51" hidden="1">2</definedName>
    <definedName name="solver_typ" localSheetId="52" hidden="1">1</definedName>
    <definedName name="solver_typ" localSheetId="53" hidden="1">1</definedName>
    <definedName name="solver_typ" localSheetId="58" hidden="1">1</definedName>
    <definedName name="solver_typ" localSheetId="59" hidden="1">2</definedName>
    <definedName name="solver_typ" localSheetId="60" hidden="1">2</definedName>
    <definedName name="solver_typ" localSheetId="25" hidden="1">1</definedName>
    <definedName name="solver_typ" localSheetId="26" hidden="1">1</definedName>
    <definedName name="solver_typ" localSheetId="27" hidden="1">2</definedName>
    <definedName name="solver_typ" localSheetId="28" hidden="1">1</definedName>
    <definedName name="solver_typ" localSheetId="29" hidden="1">1</definedName>
    <definedName name="solver_typ" localSheetId="30" hidden="1">2</definedName>
    <definedName name="solver_typ" localSheetId="31" hidden="1">1</definedName>
    <definedName name="solver_typ" localSheetId="32" hidden="1">2</definedName>
    <definedName name="solver_typ" localSheetId="33" hidden="1">2</definedName>
    <definedName name="solver_typ" localSheetId="34" hidden="1">1</definedName>
    <definedName name="solver_typ" localSheetId="35" hidden="1">1</definedName>
    <definedName name="solver_typ" localSheetId="36" hidden="1">2</definedName>
    <definedName name="solver_typ" localSheetId="37" hidden="1">2</definedName>
    <definedName name="solver_typ" localSheetId="38" hidden="1">2</definedName>
    <definedName name="solver_typ" localSheetId="41" hidden="1">2</definedName>
    <definedName name="solver_typ" localSheetId="42" hidden="1">2</definedName>
    <definedName name="solver_typ" localSheetId="43" hidden="1">1</definedName>
    <definedName name="solver_typ" localSheetId="44" hidden="1">2</definedName>
    <definedName name="solver_typ" localSheetId="39" hidden="1">2</definedName>
    <definedName name="solver_typ" localSheetId="40" hidden="1">2</definedName>
    <definedName name="solver_typ" localSheetId="46" hidden="1">2</definedName>
    <definedName name="solver_typ" localSheetId="47" hidden="1">2</definedName>
    <definedName name="solver_val" localSheetId="54" hidden="1">0</definedName>
    <definedName name="solver_val" localSheetId="55" hidden="1">0</definedName>
    <definedName name="solver_val" localSheetId="56" hidden="1">0</definedName>
    <definedName name="solver_val" localSheetId="57" hidden="1">0</definedName>
    <definedName name="solver_val" localSheetId="48" hidden="1">0</definedName>
    <definedName name="solver_val" localSheetId="49" hidden="1">0</definedName>
    <definedName name="solver_val" localSheetId="50" hidden="1">0</definedName>
    <definedName name="solver_val" localSheetId="51" hidden="1">0</definedName>
    <definedName name="solver_val" localSheetId="52" hidden="1">0</definedName>
    <definedName name="solver_val" localSheetId="53" hidden="1">0</definedName>
    <definedName name="solver_val" localSheetId="58" hidden="1">0</definedName>
    <definedName name="solver_val" localSheetId="59" hidden="1">0</definedName>
    <definedName name="solver_val" localSheetId="60" hidden="1">0</definedName>
    <definedName name="solver_val" localSheetId="25" hidden="1">0</definedName>
    <definedName name="solver_val" localSheetId="26" hidden="1">0</definedName>
    <definedName name="solver_val" localSheetId="27" hidden="1">0</definedName>
    <definedName name="solver_val" localSheetId="28" hidden="1">0</definedName>
    <definedName name="solver_val" localSheetId="29" hidden="1">0</definedName>
    <definedName name="solver_val" localSheetId="30" hidden="1">0</definedName>
    <definedName name="solver_val" localSheetId="31" hidden="1">0</definedName>
    <definedName name="solver_val" localSheetId="32" hidden="1">0</definedName>
    <definedName name="solver_val" localSheetId="33" hidden="1">0</definedName>
    <definedName name="solver_val" localSheetId="34" hidden="1">0</definedName>
    <definedName name="solver_val" localSheetId="35" hidden="1">0</definedName>
    <definedName name="solver_val" localSheetId="36" hidden="1">0</definedName>
    <definedName name="solver_val" localSheetId="37" hidden="1">0</definedName>
    <definedName name="solver_val" localSheetId="38" hidden="1">0</definedName>
    <definedName name="solver_val" localSheetId="41" hidden="1">0</definedName>
    <definedName name="solver_val" localSheetId="42" hidden="1">0</definedName>
    <definedName name="solver_val" localSheetId="43" hidden="1">0</definedName>
    <definedName name="solver_val" localSheetId="44" hidden="1">0</definedName>
    <definedName name="solver_val" localSheetId="39" hidden="1">0</definedName>
    <definedName name="solver_val" localSheetId="40" hidden="1">0</definedName>
    <definedName name="solver_val" localSheetId="46" hidden="1">0</definedName>
    <definedName name="solver_val" localSheetId="47" hidden="1">0</definedName>
    <definedName name="solver_ver" localSheetId="54" hidden="1">3</definedName>
    <definedName name="solver_ver" localSheetId="55" hidden="1">3</definedName>
    <definedName name="solver_ver" localSheetId="56" hidden="1">3</definedName>
    <definedName name="solver_ver" localSheetId="57" hidden="1">3</definedName>
    <definedName name="solver_ver" localSheetId="48" hidden="1">3</definedName>
    <definedName name="solver_ver" localSheetId="49" hidden="1">3</definedName>
    <definedName name="solver_ver" localSheetId="50" hidden="1">3</definedName>
    <definedName name="solver_ver" localSheetId="51" hidden="1">3</definedName>
    <definedName name="solver_ver" localSheetId="52" hidden="1">3</definedName>
    <definedName name="solver_ver" localSheetId="53" hidden="1">3</definedName>
    <definedName name="solver_ver" localSheetId="58" hidden="1">3</definedName>
    <definedName name="solver_ver" localSheetId="59" hidden="1">3</definedName>
    <definedName name="solver_ver" localSheetId="60" hidden="1">3</definedName>
    <definedName name="solver_ver" localSheetId="25" hidden="1">3</definedName>
    <definedName name="solver_ver" localSheetId="26" hidden="1">3</definedName>
    <definedName name="solver_ver" localSheetId="27" hidden="1">3</definedName>
    <definedName name="solver_ver" localSheetId="28" hidden="1">3</definedName>
    <definedName name="solver_ver" localSheetId="29" hidden="1">3</definedName>
    <definedName name="solver_ver" localSheetId="30" hidden="1">3</definedName>
    <definedName name="solver_ver" localSheetId="31" hidden="1">3</definedName>
    <definedName name="solver_ver" localSheetId="32" hidden="1">3</definedName>
    <definedName name="solver_ver" localSheetId="33" hidden="1">3</definedName>
    <definedName name="solver_ver" localSheetId="34" hidden="1">3</definedName>
    <definedName name="solver_ver" localSheetId="35" hidden="1">3</definedName>
    <definedName name="solver_ver" localSheetId="36" hidden="1">3</definedName>
    <definedName name="solver_ver" localSheetId="37" hidden="1">3</definedName>
    <definedName name="solver_ver" localSheetId="38" hidden="1">3</definedName>
    <definedName name="solver_ver" localSheetId="41" hidden="1">3</definedName>
    <definedName name="solver_ver" localSheetId="42" hidden="1">3</definedName>
    <definedName name="solver_ver" localSheetId="43" hidden="1">3</definedName>
    <definedName name="solver_ver" localSheetId="44" hidden="1">3</definedName>
    <definedName name="solver_ver" localSheetId="39" hidden="1">3</definedName>
    <definedName name="solver_ver" localSheetId="40" hidden="1">3</definedName>
    <definedName name="solver_ver" localSheetId="46" hidden="1">3</definedName>
    <definedName name="solver_ver" localSheetId="47" hidden="1">3</definedName>
    <definedName name="solver_vir" localSheetId="60" hidden="1">1</definedName>
    <definedName name="x" localSheetId="34">[5]!changecolor</definedName>
    <definedName name="x" localSheetId="40">[5]!changecolor</definedName>
    <definedName name="x">[5]!changecolor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2" i="159" l="1"/>
  <c r="A32" i="159"/>
  <c r="B31" i="159"/>
  <c r="A31" i="159"/>
  <c r="B30" i="159"/>
  <c r="A30" i="159"/>
  <c r="B29" i="159"/>
  <c r="A29" i="159"/>
  <c r="B28" i="159"/>
  <c r="A28" i="159"/>
  <c r="B27" i="159"/>
  <c r="A27" i="159"/>
  <c r="B26" i="159"/>
  <c r="A26" i="159"/>
  <c r="B25" i="159"/>
  <c r="A25" i="159"/>
  <c r="B24" i="159"/>
  <c r="A24" i="159"/>
  <c r="G10" i="159"/>
  <c r="G9" i="159"/>
  <c r="A54" i="158"/>
  <c r="A53" i="158"/>
  <c r="A52" i="158"/>
  <c r="A51" i="158"/>
  <c r="A50" i="158"/>
  <c r="A49" i="158"/>
  <c r="A48" i="158"/>
  <c r="A47" i="158"/>
  <c r="A46" i="158"/>
  <c r="A45" i="158"/>
  <c r="A44" i="158"/>
  <c r="A43" i="158"/>
  <c r="A42" i="158"/>
  <c r="A41" i="158"/>
  <c r="A40" i="158"/>
  <c r="A39" i="158"/>
  <c r="A38" i="158"/>
  <c r="A37" i="158"/>
  <c r="A36" i="158"/>
  <c r="A35" i="158"/>
  <c r="G10" i="158"/>
  <c r="G9" i="158"/>
  <c r="D29" i="158"/>
  <c r="B54" i="158" s="1"/>
  <c r="D28" i="158"/>
  <c r="B53" i="158" s="1"/>
  <c r="D27" i="158"/>
  <c r="B52" i="158" s="1"/>
  <c r="D26" i="158"/>
  <c r="D25" i="158"/>
  <c r="B50" i="158" s="1"/>
  <c r="D24" i="158"/>
  <c r="B49" i="158" s="1"/>
  <c r="D23" i="158"/>
  <c r="B48" i="158" s="1"/>
  <c r="D22" i="158"/>
  <c r="B47" i="158" s="1"/>
  <c r="D21" i="158"/>
  <c r="B46" i="158" s="1"/>
  <c r="D20" i="158"/>
  <c r="B45" i="158" s="1"/>
  <c r="D19" i="158"/>
  <c r="B44" i="158" s="1"/>
  <c r="D18" i="158"/>
  <c r="D17" i="158"/>
  <c r="B42" i="158" s="1"/>
  <c r="D16" i="158"/>
  <c r="B41" i="158" s="1"/>
  <c r="D15" i="158"/>
  <c r="B40" i="158" s="1"/>
  <c r="D14" i="158"/>
  <c r="B39" i="158" s="1"/>
  <c r="D13" i="158"/>
  <c r="B38" i="158" s="1"/>
  <c r="D12" i="158"/>
  <c r="B37" i="158" s="1"/>
  <c r="D11" i="158"/>
  <c r="B36" i="158" s="1"/>
  <c r="D10" i="158"/>
  <c r="F15" i="156"/>
  <c r="C11" i="156"/>
  <c r="G16" i="156" s="1"/>
  <c r="B11" i="156"/>
  <c r="F10" i="156" s="1"/>
  <c r="F12" i="155"/>
  <c r="B11" i="155"/>
  <c r="F10" i="155" s="1"/>
  <c r="F15" i="155" s="1"/>
  <c r="B1017" i="154"/>
  <c r="B1016" i="154"/>
  <c r="B1015" i="154"/>
  <c r="B1014" i="154"/>
  <c r="B1013" i="154"/>
  <c r="B1012" i="154"/>
  <c r="B1011" i="154"/>
  <c r="B1010" i="154"/>
  <c r="B1009" i="154"/>
  <c r="B1008" i="154"/>
  <c r="B1007" i="154"/>
  <c r="B1006" i="154"/>
  <c r="B1005" i="154"/>
  <c r="B1004" i="154"/>
  <c r="B1003" i="154"/>
  <c r="B1002" i="154"/>
  <c r="B1001" i="154"/>
  <c r="B1000" i="154"/>
  <c r="B999" i="154"/>
  <c r="B998" i="154"/>
  <c r="B997" i="154"/>
  <c r="B996" i="154"/>
  <c r="B995" i="154"/>
  <c r="B994" i="154"/>
  <c r="B993" i="154"/>
  <c r="B992" i="154"/>
  <c r="B991" i="154"/>
  <c r="B990" i="154"/>
  <c r="B989" i="154"/>
  <c r="B988" i="154"/>
  <c r="B987" i="154"/>
  <c r="B986" i="154"/>
  <c r="B985" i="154"/>
  <c r="B984" i="154"/>
  <c r="B983" i="154"/>
  <c r="B982" i="154"/>
  <c r="B981" i="154"/>
  <c r="B980" i="154"/>
  <c r="B979" i="154"/>
  <c r="B978" i="154"/>
  <c r="B977" i="154"/>
  <c r="B976" i="154"/>
  <c r="B975" i="154"/>
  <c r="B974" i="154"/>
  <c r="B973" i="154"/>
  <c r="B972" i="154"/>
  <c r="B971" i="154"/>
  <c r="B970" i="154"/>
  <c r="B969" i="154"/>
  <c r="B968" i="154"/>
  <c r="B967" i="154"/>
  <c r="B966" i="154"/>
  <c r="B965" i="154"/>
  <c r="B964" i="154"/>
  <c r="B963" i="154"/>
  <c r="B962" i="154"/>
  <c r="B961" i="154"/>
  <c r="B960" i="154"/>
  <c r="B959" i="154"/>
  <c r="B958" i="154"/>
  <c r="B957" i="154"/>
  <c r="B956" i="154"/>
  <c r="B955" i="154"/>
  <c r="B954" i="154"/>
  <c r="B953" i="154"/>
  <c r="B952" i="154"/>
  <c r="B951" i="154"/>
  <c r="B950" i="154"/>
  <c r="B949" i="154"/>
  <c r="B948" i="154"/>
  <c r="B947" i="154"/>
  <c r="B946" i="154"/>
  <c r="B945" i="154"/>
  <c r="B944" i="154"/>
  <c r="B943" i="154"/>
  <c r="B942" i="154"/>
  <c r="B941" i="154"/>
  <c r="B940" i="154"/>
  <c r="B939" i="154"/>
  <c r="B938" i="154"/>
  <c r="B937" i="154"/>
  <c r="B936" i="154"/>
  <c r="B935" i="154"/>
  <c r="B934" i="154"/>
  <c r="B933" i="154"/>
  <c r="B932" i="154"/>
  <c r="B931" i="154"/>
  <c r="B930" i="154"/>
  <c r="B929" i="154"/>
  <c r="B928" i="154"/>
  <c r="B927" i="154"/>
  <c r="B926" i="154"/>
  <c r="B925" i="154"/>
  <c r="B924" i="154"/>
  <c r="B923" i="154"/>
  <c r="B922" i="154"/>
  <c r="B921" i="154"/>
  <c r="B920" i="154"/>
  <c r="B919" i="154"/>
  <c r="B918" i="154"/>
  <c r="B917" i="154"/>
  <c r="B916" i="154"/>
  <c r="B915" i="154"/>
  <c r="B914" i="154"/>
  <c r="B913" i="154"/>
  <c r="B912" i="154"/>
  <c r="B911" i="154"/>
  <c r="B910" i="154"/>
  <c r="B909" i="154"/>
  <c r="B908" i="154"/>
  <c r="B907" i="154"/>
  <c r="B906" i="154"/>
  <c r="B905" i="154"/>
  <c r="B904" i="154"/>
  <c r="B903" i="154"/>
  <c r="B902" i="154"/>
  <c r="B901" i="154"/>
  <c r="B900" i="154"/>
  <c r="B899" i="154"/>
  <c r="B898" i="154"/>
  <c r="B897" i="154"/>
  <c r="B896" i="154"/>
  <c r="B895" i="154"/>
  <c r="B894" i="154"/>
  <c r="B893" i="154"/>
  <c r="B892" i="154"/>
  <c r="B891" i="154"/>
  <c r="B890" i="154"/>
  <c r="B889" i="154"/>
  <c r="B888" i="154"/>
  <c r="B887" i="154"/>
  <c r="B886" i="154"/>
  <c r="B885" i="154"/>
  <c r="B884" i="154"/>
  <c r="B883" i="154"/>
  <c r="B882" i="154"/>
  <c r="B881" i="154"/>
  <c r="B880" i="154"/>
  <c r="B879" i="154"/>
  <c r="B878" i="154"/>
  <c r="B877" i="154"/>
  <c r="B876" i="154"/>
  <c r="B875" i="154"/>
  <c r="B874" i="154"/>
  <c r="B873" i="154"/>
  <c r="B872" i="154"/>
  <c r="B871" i="154"/>
  <c r="B870" i="154"/>
  <c r="B869" i="154"/>
  <c r="B868" i="154"/>
  <c r="B867" i="154"/>
  <c r="B866" i="154"/>
  <c r="B865" i="154"/>
  <c r="B864" i="154"/>
  <c r="B863" i="154"/>
  <c r="B862" i="154"/>
  <c r="B861" i="154"/>
  <c r="B860" i="154"/>
  <c r="B859" i="154"/>
  <c r="B858" i="154"/>
  <c r="B857" i="154"/>
  <c r="B856" i="154"/>
  <c r="B855" i="154"/>
  <c r="B854" i="154"/>
  <c r="B853" i="154"/>
  <c r="B852" i="154"/>
  <c r="B851" i="154"/>
  <c r="B850" i="154"/>
  <c r="B849" i="154"/>
  <c r="B848" i="154"/>
  <c r="B847" i="154"/>
  <c r="B846" i="154"/>
  <c r="B845" i="154"/>
  <c r="B844" i="154"/>
  <c r="B843" i="154"/>
  <c r="B842" i="154"/>
  <c r="B841" i="154"/>
  <c r="B840" i="154"/>
  <c r="B839" i="154"/>
  <c r="B838" i="154"/>
  <c r="B837" i="154"/>
  <c r="B836" i="154"/>
  <c r="B835" i="154"/>
  <c r="B834" i="154"/>
  <c r="B833" i="154"/>
  <c r="B832" i="154"/>
  <c r="B831" i="154"/>
  <c r="B830" i="154"/>
  <c r="B829" i="154"/>
  <c r="B828" i="154"/>
  <c r="B827" i="154"/>
  <c r="B826" i="154"/>
  <c r="B825" i="154"/>
  <c r="B824" i="154"/>
  <c r="B823" i="154"/>
  <c r="B822" i="154"/>
  <c r="B821" i="154"/>
  <c r="B820" i="154"/>
  <c r="B819" i="154"/>
  <c r="B818" i="154"/>
  <c r="B817" i="154"/>
  <c r="B816" i="154"/>
  <c r="B815" i="154"/>
  <c r="B814" i="154"/>
  <c r="B813" i="154"/>
  <c r="B812" i="154"/>
  <c r="B811" i="154"/>
  <c r="B810" i="154"/>
  <c r="B809" i="154"/>
  <c r="B808" i="154"/>
  <c r="B807" i="154"/>
  <c r="B806" i="154"/>
  <c r="B805" i="154"/>
  <c r="B804" i="154"/>
  <c r="B803" i="154"/>
  <c r="B802" i="154"/>
  <c r="B801" i="154"/>
  <c r="B800" i="154"/>
  <c r="B799" i="154"/>
  <c r="B798" i="154"/>
  <c r="B797" i="154"/>
  <c r="B796" i="154"/>
  <c r="B795" i="154"/>
  <c r="B794" i="154"/>
  <c r="B793" i="154"/>
  <c r="B792" i="154"/>
  <c r="B791" i="154"/>
  <c r="B790" i="154"/>
  <c r="B789" i="154"/>
  <c r="B788" i="154"/>
  <c r="B787" i="154"/>
  <c r="B786" i="154"/>
  <c r="B785" i="154"/>
  <c r="B784" i="154"/>
  <c r="B783" i="154"/>
  <c r="B782" i="154"/>
  <c r="B781" i="154"/>
  <c r="B780" i="154"/>
  <c r="B779" i="154"/>
  <c r="B778" i="154"/>
  <c r="B777" i="154"/>
  <c r="B776" i="154"/>
  <c r="B775" i="154"/>
  <c r="B774" i="154"/>
  <c r="B773" i="154"/>
  <c r="B772" i="154"/>
  <c r="B771" i="154"/>
  <c r="B770" i="154"/>
  <c r="B769" i="154"/>
  <c r="B768" i="154"/>
  <c r="B767" i="154"/>
  <c r="B766" i="154"/>
  <c r="B765" i="154"/>
  <c r="B764" i="154"/>
  <c r="B763" i="154"/>
  <c r="B762" i="154"/>
  <c r="B761" i="154"/>
  <c r="B760" i="154"/>
  <c r="B759" i="154"/>
  <c r="B758" i="154"/>
  <c r="B757" i="154"/>
  <c r="B756" i="154"/>
  <c r="B755" i="154"/>
  <c r="B754" i="154"/>
  <c r="B753" i="154"/>
  <c r="B752" i="154"/>
  <c r="B751" i="154"/>
  <c r="B750" i="154"/>
  <c r="B749" i="154"/>
  <c r="B748" i="154"/>
  <c r="B747" i="154"/>
  <c r="B746" i="154"/>
  <c r="B745" i="154"/>
  <c r="B744" i="154"/>
  <c r="B743" i="154"/>
  <c r="B742" i="154"/>
  <c r="B741" i="154"/>
  <c r="B740" i="154"/>
  <c r="B739" i="154"/>
  <c r="B738" i="154"/>
  <c r="B737" i="154"/>
  <c r="B736" i="154"/>
  <c r="B735" i="154"/>
  <c r="B734" i="154"/>
  <c r="B733" i="154"/>
  <c r="B732" i="154"/>
  <c r="B731" i="154"/>
  <c r="B730" i="154"/>
  <c r="B729" i="154"/>
  <c r="B728" i="154"/>
  <c r="B727" i="154"/>
  <c r="B726" i="154"/>
  <c r="B725" i="154"/>
  <c r="B724" i="154"/>
  <c r="B723" i="154"/>
  <c r="B722" i="154"/>
  <c r="B721" i="154"/>
  <c r="B720" i="154"/>
  <c r="B719" i="154"/>
  <c r="B718" i="154"/>
  <c r="B717" i="154"/>
  <c r="B716" i="154"/>
  <c r="B715" i="154"/>
  <c r="B714" i="154"/>
  <c r="B713" i="154"/>
  <c r="B712" i="154"/>
  <c r="B711" i="154"/>
  <c r="B710" i="154"/>
  <c r="B709" i="154"/>
  <c r="B708" i="154"/>
  <c r="B707" i="154"/>
  <c r="B706" i="154"/>
  <c r="B705" i="154"/>
  <c r="B704" i="154"/>
  <c r="B703" i="154"/>
  <c r="B702" i="154"/>
  <c r="B701" i="154"/>
  <c r="B700" i="154"/>
  <c r="B699" i="154"/>
  <c r="B698" i="154"/>
  <c r="B697" i="154"/>
  <c r="B696" i="154"/>
  <c r="B695" i="154"/>
  <c r="B694" i="154"/>
  <c r="B693" i="154"/>
  <c r="B692" i="154"/>
  <c r="B691" i="154"/>
  <c r="B690" i="154"/>
  <c r="B689" i="154"/>
  <c r="B688" i="154"/>
  <c r="B687" i="154"/>
  <c r="B686" i="154"/>
  <c r="B685" i="154"/>
  <c r="B684" i="154"/>
  <c r="B683" i="154"/>
  <c r="B682" i="154"/>
  <c r="B681" i="154"/>
  <c r="B680" i="154"/>
  <c r="B679" i="154"/>
  <c r="B678" i="154"/>
  <c r="B677" i="154"/>
  <c r="B676" i="154"/>
  <c r="B675" i="154"/>
  <c r="B674" i="154"/>
  <c r="B673" i="154"/>
  <c r="B672" i="154"/>
  <c r="B671" i="154"/>
  <c r="B670" i="154"/>
  <c r="B669" i="154"/>
  <c r="B668" i="154"/>
  <c r="B667" i="154"/>
  <c r="B666" i="154"/>
  <c r="B665" i="154"/>
  <c r="B664" i="154"/>
  <c r="B663" i="154"/>
  <c r="B662" i="154"/>
  <c r="B661" i="154"/>
  <c r="B660" i="154"/>
  <c r="B659" i="154"/>
  <c r="B658" i="154"/>
  <c r="B657" i="154"/>
  <c r="B656" i="154"/>
  <c r="B655" i="154"/>
  <c r="B654" i="154"/>
  <c r="B653" i="154"/>
  <c r="B652" i="154"/>
  <c r="B651" i="154"/>
  <c r="B650" i="154"/>
  <c r="B649" i="154"/>
  <c r="B648" i="154"/>
  <c r="B647" i="154"/>
  <c r="B646" i="154"/>
  <c r="B645" i="154"/>
  <c r="B644" i="154"/>
  <c r="B643" i="154"/>
  <c r="B642" i="154"/>
  <c r="B641" i="154"/>
  <c r="B640" i="154"/>
  <c r="B639" i="154"/>
  <c r="B638" i="154"/>
  <c r="B637" i="154"/>
  <c r="B636" i="154"/>
  <c r="B635" i="154"/>
  <c r="B634" i="154"/>
  <c r="B633" i="154"/>
  <c r="B632" i="154"/>
  <c r="B631" i="154"/>
  <c r="B630" i="154"/>
  <c r="B629" i="154"/>
  <c r="B628" i="154"/>
  <c r="B627" i="154"/>
  <c r="B626" i="154"/>
  <c r="B625" i="154"/>
  <c r="B624" i="154"/>
  <c r="B623" i="154"/>
  <c r="B622" i="154"/>
  <c r="B621" i="154"/>
  <c r="B620" i="154"/>
  <c r="B619" i="154"/>
  <c r="B618" i="154"/>
  <c r="B617" i="154"/>
  <c r="B616" i="154"/>
  <c r="B615" i="154"/>
  <c r="B614" i="154"/>
  <c r="B613" i="154"/>
  <c r="B612" i="154"/>
  <c r="B611" i="154"/>
  <c r="B610" i="154"/>
  <c r="B609" i="154"/>
  <c r="B608" i="154"/>
  <c r="B607" i="154"/>
  <c r="B606" i="154"/>
  <c r="B605" i="154"/>
  <c r="B604" i="154"/>
  <c r="B603" i="154"/>
  <c r="B602" i="154"/>
  <c r="B601" i="154"/>
  <c r="B600" i="154"/>
  <c r="B599" i="154"/>
  <c r="B598" i="154"/>
  <c r="B597" i="154"/>
  <c r="B596" i="154"/>
  <c r="B595" i="154"/>
  <c r="B594" i="154"/>
  <c r="B593" i="154"/>
  <c r="B592" i="154"/>
  <c r="B591" i="154"/>
  <c r="B590" i="154"/>
  <c r="B589" i="154"/>
  <c r="B588" i="154"/>
  <c r="B587" i="154"/>
  <c r="B586" i="154"/>
  <c r="B585" i="154"/>
  <c r="B584" i="154"/>
  <c r="B583" i="154"/>
  <c r="B582" i="154"/>
  <c r="B581" i="154"/>
  <c r="B580" i="154"/>
  <c r="B579" i="154"/>
  <c r="B578" i="154"/>
  <c r="B577" i="154"/>
  <c r="B576" i="154"/>
  <c r="B575" i="154"/>
  <c r="B574" i="154"/>
  <c r="B573" i="154"/>
  <c r="B572" i="154"/>
  <c r="B571" i="154"/>
  <c r="B570" i="154"/>
  <c r="B569" i="154"/>
  <c r="B568" i="154"/>
  <c r="B567" i="154"/>
  <c r="B566" i="154"/>
  <c r="B565" i="154"/>
  <c r="B564" i="154"/>
  <c r="B563" i="154"/>
  <c r="B562" i="154"/>
  <c r="B561" i="154"/>
  <c r="B560" i="154"/>
  <c r="B559" i="154"/>
  <c r="B558" i="154"/>
  <c r="B557" i="154"/>
  <c r="B556" i="154"/>
  <c r="B555" i="154"/>
  <c r="B554" i="154"/>
  <c r="B553" i="154"/>
  <c r="B552" i="154"/>
  <c r="B551" i="154"/>
  <c r="B550" i="154"/>
  <c r="B549" i="154"/>
  <c r="B548" i="154"/>
  <c r="B547" i="154"/>
  <c r="B546" i="154"/>
  <c r="B545" i="154"/>
  <c r="B544" i="154"/>
  <c r="B543" i="154"/>
  <c r="B542" i="154"/>
  <c r="B541" i="154"/>
  <c r="B540" i="154"/>
  <c r="B539" i="154"/>
  <c r="B538" i="154"/>
  <c r="B537" i="154"/>
  <c r="B536" i="154"/>
  <c r="B535" i="154"/>
  <c r="B534" i="154"/>
  <c r="B533" i="154"/>
  <c r="B532" i="154"/>
  <c r="B531" i="154"/>
  <c r="B530" i="154"/>
  <c r="B529" i="154"/>
  <c r="B528" i="154"/>
  <c r="B527" i="154"/>
  <c r="B526" i="154"/>
  <c r="B525" i="154"/>
  <c r="B524" i="154"/>
  <c r="B523" i="154"/>
  <c r="B522" i="154"/>
  <c r="B521" i="154"/>
  <c r="B520" i="154"/>
  <c r="B519" i="154"/>
  <c r="B518" i="154"/>
  <c r="B517" i="154"/>
  <c r="B516" i="154"/>
  <c r="B515" i="154"/>
  <c r="B514" i="154"/>
  <c r="B513" i="154"/>
  <c r="B512" i="154"/>
  <c r="B511" i="154"/>
  <c r="B510" i="154"/>
  <c r="B509" i="154"/>
  <c r="B508" i="154"/>
  <c r="B507" i="154"/>
  <c r="B506" i="154"/>
  <c r="B505" i="154"/>
  <c r="B504" i="154"/>
  <c r="B503" i="154"/>
  <c r="B502" i="154"/>
  <c r="B501" i="154"/>
  <c r="B500" i="154"/>
  <c r="B499" i="154"/>
  <c r="B498" i="154"/>
  <c r="B497" i="154"/>
  <c r="B496" i="154"/>
  <c r="B495" i="154"/>
  <c r="B494" i="154"/>
  <c r="B493" i="154"/>
  <c r="B492" i="154"/>
  <c r="B491" i="154"/>
  <c r="B490" i="154"/>
  <c r="B489" i="154"/>
  <c r="B488" i="154"/>
  <c r="B487" i="154"/>
  <c r="B486" i="154"/>
  <c r="B485" i="154"/>
  <c r="B484" i="154"/>
  <c r="B483" i="154"/>
  <c r="B482" i="154"/>
  <c r="B481" i="154"/>
  <c r="B480" i="154"/>
  <c r="B479" i="154"/>
  <c r="B478" i="154"/>
  <c r="B477" i="154"/>
  <c r="B476" i="154"/>
  <c r="B475" i="154"/>
  <c r="B474" i="154"/>
  <c r="B473" i="154"/>
  <c r="B472" i="154"/>
  <c r="B471" i="154"/>
  <c r="B470" i="154"/>
  <c r="B469" i="154"/>
  <c r="B468" i="154"/>
  <c r="B467" i="154"/>
  <c r="B466" i="154"/>
  <c r="B465" i="154"/>
  <c r="B464" i="154"/>
  <c r="B463" i="154"/>
  <c r="B462" i="154"/>
  <c r="B461" i="154"/>
  <c r="B460" i="154"/>
  <c r="B459" i="154"/>
  <c r="B458" i="154"/>
  <c r="B457" i="154"/>
  <c r="B456" i="154"/>
  <c r="B455" i="154"/>
  <c r="B454" i="154"/>
  <c r="B453" i="154"/>
  <c r="B452" i="154"/>
  <c r="B451" i="154"/>
  <c r="B450" i="154"/>
  <c r="B449" i="154"/>
  <c r="B448" i="154"/>
  <c r="B447" i="154"/>
  <c r="B446" i="154"/>
  <c r="B445" i="154"/>
  <c r="B444" i="154"/>
  <c r="B443" i="154"/>
  <c r="B442" i="154"/>
  <c r="B441" i="154"/>
  <c r="B440" i="154"/>
  <c r="B439" i="154"/>
  <c r="B438" i="154"/>
  <c r="B437" i="154"/>
  <c r="B436" i="154"/>
  <c r="B435" i="154"/>
  <c r="B434" i="154"/>
  <c r="B433" i="154"/>
  <c r="B432" i="154"/>
  <c r="B431" i="154"/>
  <c r="B430" i="154"/>
  <c r="B429" i="154"/>
  <c r="B428" i="154"/>
  <c r="B427" i="154"/>
  <c r="B426" i="154"/>
  <c r="B425" i="154"/>
  <c r="B424" i="154"/>
  <c r="B423" i="154"/>
  <c r="B422" i="154"/>
  <c r="B421" i="154"/>
  <c r="B420" i="154"/>
  <c r="B419" i="154"/>
  <c r="B418" i="154"/>
  <c r="B417" i="154"/>
  <c r="B416" i="154"/>
  <c r="B415" i="154"/>
  <c r="B414" i="154"/>
  <c r="B413" i="154"/>
  <c r="B412" i="154"/>
  <c r="B411" i="154"/>
  <c r="B410" i="154"/>
  <c r="B409" i="154"/>
  <c r="B408" i="154"/>
  <c r="B407" i="154"/>
  <c r="B406" i="154"/>
  <c r="B405" i="154"/>
  <c r="B404" i="154"/>
  <c r="B403" i="154"/>
  <c r="B402" i="154"/>
  <c r="B401" i="154"/>
  <c r="B400" i="154"/>
  <c r="B399" i="154"/>
  <c r="B398" i="154"/>
  <c r="B397" i="154"/>
  <c r="B396" i="154"/>
  <c r="B395" i="154"/>
  <c r="B394" i="154"/>
  <c r="B393" i="154"/>
  <c r="B392" i="154"/>
  <c r="B391" i="154"/>
  <c r="B390" i="154"/>
  <c r="B389" i="154"/>
  <c r="B388" i="154"/>
  <c r="B387" i="154"/>
  <c r="B386" i="154"/>
  <c r="B385" i="154"/>
  <c r="B384" i="154"/>
  <c r="B383" i="154"/>
  <c r="B382" i="154"/>
  <c r="B381" i="154"/>
  <c r="B380" i="154"/>
  <c r="B379" i="154"/>
  <c r="B378" i="154"/>
  <c r="B377" i="154"/>
  <c r="B376" i="154"/>
  <c r="B375" i="154"/>
  <c r="B374" i="154"/>
  <c r="B373" i="154"/>
  <c r="B372" i="154"/>
  <c r="B371" i="154"/>
  <c r="B370" i="154"/>
  <c r="B369" i="154"/>
  <c r="B368" i="154"/>
  <c r="B367" i="154"/>
  <c r="B366" i="154"/>
  <c r="B365" i="154"/>
  <c r="B364" i="154"/>
  <c r="B363" i="154"/>
  <c r="B362" i="154"/>
  <c r="B361" i="154"/>
  <c r="B360" i="154"/>
  <c r="B359" i="154"/>
  <c r="B358" i="154"/>
  <c r="B357" i="154"/>
  <c r="B356" i="154"/>
  <c r="B355" i="154"/>
  <c r="B354" i="154"/>
  <c r="B353" i="154"/>
  <c r="B352" i="154"/>
  <c r="B351" i="154"/>
  <c r="B350" i="154"/>
  <c r="B349" i="154"/>
  <c r="B348" i="154"/>
  <c r="B347" i="154"/>
  <c r="B346" i="154"/>
  <c r="B345" i="154"/>
  <c r="B344" i="154"/>
  <c r="B343" i="154"/>
  <c r="B342" i="154"/>
  <c r="B341" i="154"/>
  <c r="B340" i="154"/>
  <c r="B339" i="154"/>
  <c r="B338" i="154"/>
  <c r="B337" i="154"/>
  <c r="B336" i="154"/>
  <c r="B335" i="154"/>
  <c r="B334" i="154"/>
  <c r="B333" i="154"/>
  <c r="B332" i="154"/>
  <c r="B331" i="154"/>
  <c r="B330" i="154"/>
  <c r="B329" i="154"/>
  <c r="B328" i="154"/>
  <c r="B327" i="154"/>
  <c r="B326" i="154"/>
  <c r="B325" i="154"/>
  <c r="B324" i="154"/>
  <c r="B323" i="154"/>
  <c r="B322" i="154"/>
  <c r="B321" i="154"/>
  <c r="B320" i="154"/>
  <c r="B319" i="154"/>
  <c r="B318" i="154"/>
  <c r="B317" i="154"/>
  <c r="B316" i="154"/>
  <c r="B315" i="154"/>
  <c r="B314" i="154"/>
  <c r="B313" i="154"/>
  <c r="B312" i="154"/>
  <c r="B311" i="154"/>
  <c r="B310" i="154"/>
  <c r="B309" i="154"/>
  <c r="B308" i="154"/>
  <c r="B307" i="154"/>
  <c r="B306" i="154"/>
  <c r="B305" i="154"/>
  <c r="B304" i="154"/>
  <c r="B303" i="154"/>
  <c r="B302" i="154"/>
  <c r="B301" i="154"/>
  <c r="B300" i="154"/>
  <c r="B299" i="154"/>
  <c r="B298" i="154"/>
  <c r="B297" i="154"/>
  <c r="B296" i="154"/>
  <c r="B295" i="154"/>
  <c r="B294" i="154"/>
  <c r="B293" i="154"/>
  <c r="B292" i="154"/>
  <c r="B291" i="154"/>
  <c r="B290" i="154"/>
  <c r="B289" i="154"/>
  <c r="B288" i="154"/>
  <c r="B287" i="154"/>
  <c r="B286" i="154"/>
  <c r="B285" i="154"/>
  <c r="B284" i="154"/>
  <c r="B283" i="154"/>
  <c r="B282" i="154"/>
  <c r="B281" i="154"/>
  <c r="B280" i="154"/>
  <c r="B279" i="154"/>
  <c r="B278" i="154"/>
  <c r="B277" i="154"/>
  <c r="B276" i="154"/>
  <c r="B275" i="154"/>
  <c r="B274" i="154"/>
  <c r="B273" i="154"/>
  <c r="B272" i="154"/>
  <c r="B271" i="154"/>
  <c r="B270" i="154"/>
  <c r="B269" i="154"/>
  <c r="B268" i="154"/>
  <c r="B267" i="154"/>
  <c r="B266" i="154"/>
  <c r="B265" i="154"/>
  <c r="B264" i="154"/>
  <c r="B263" i="154"/>
  <c r="B262" i="154"/>
  <c r="B261" i="154"/>
  <c r="B260" i="154"/>
  <c r="B259" i="154"/>
  <c r="B258" i="154"/>
  <c r="B257" i="154"/>
  <c r="B256" i="154"/>
  <c r="B255" i="154"/>
  <c r="B254" i="154"/>
  <c r="B253" i="154"/>
  <c r="B252" i="154"/>
  <c r="B251" i="154"/>
  <c r="B250" i="154"/>
  <c r="B249" i="154"/>
  <c r="B248" i="154"/>
  <c r="B247" i="154"/>
  <c r="B246" i="154"/>
  <c r="B245" i="154"/>
  <c r="B244" i="154"/>
  <c r="B243" i="154"/>
  <c r="B242" i="154"/>
  <c r="B241" i="154"/>
  <c r="B240" i="154"/>
  <c r="B239" i="154"/>
  <c r="B238" i="154"/>
  <c r="B237" i="154"/>
  <c r="B236" i="154"/>
  <c r="B235" i="154"/>
  <c r="B234" i="154"/>
  <c r="B233" i="154"/>
  <c r="B232" i="154"/>
  <c r="B231" i="154"/>
  <c r="B230" i="154"/>
  <c r="B229" i="154"/>
  <c r="B228" i="154"/>
  <c r="B227" i="154"/>
  <c r="B226" i="154"/>
  <c r="B225" i="154"/>
  <c r="B224" i="154"/>
  <c r="B223" i="154"/>
  <c r="B222" i="154"/>
  <c r="B221" i="154"/>
  <c r="B220" i="154"/>
  <c r="B219" i="154"/>
  <c r="B218" i="154"/>
  <c r="B217" i="154"/>
  <c r="B216" i="154"/>
  <c r="B215" i="154"/>
  <c r="B214" i="154"/>
  <c r="B213" i="154"/>
  <c r="B212" i="154"/>
  <c r="B211" i="154"/>
  <c r="B210" i="154"/>
  <c r="B209" i="154"/>
  <c r="B208" i="154"/>
  <c r="B207" i="154"/>
  <c r="B206" i="154"/>
  <c r="B205" i="154"/>
  <c r="B204" i="154"/>
  <c r="B203" i="154"/>
  <c r="B202" i="154"/>
  <c r="B201" i="154"/>
  <c r="B200" i="154"/>
  <c r="B199" i="154"/>
  <c r="B198" i="154"/>
  <c r="B197" i="154"/>
  <c r="B196" i="154"/>
  <c r="B195" i="154"/>
  <c r="B194" i="154"/>
  <c r="B193" i="154"/>
  <c r="B192" i="154"/>
  <c r="B191" i="154"/>
  <c r="B190" i="154"/>
  <c r="B189" i="154"/>
  <c r="B188" i="154"/>
  <c r="B187" i="154"/>
  <c r="B186" i="154"/>
  <c r="B185" i="154"/>
  <c r="B184" i="154"/>
  <c r="B183" i="154"/>
  <c r="B182" i="154"/>
  <c r="B181" i="154"/>
  <c r="B180" i="154"/>
  <c r="B179" i="154"/>
  <c r="B178" i="154"/>
  <c r="B177" i="154"/>
  <c r="B176" i="154"/>
  <c r="B175" i="154"/>
  <c r="B174" i="154"/>
  <c r="B173" i="154"/>
  <c r="B172" i="154"/>
  <c r="B171" i="154"/>
  <c r="B170" i="154"/>
  <c r="B169" i="154"/>
  <c r="B168" i="154"/>
  <c r="B167" i="154"/>
  <c r="B166" i="154"/>
  <c r="B165" i="154"/>
  <c r="B164" i="154"/>
  <c r="B163" i="154"/>
  <c r="B162" i="154"/>
  <c r="B161" i="154"/>
  <c r="B160" i="154"/>
  <c r="B159" i="154"/>
  <c r="B158" i="154"/>
  <c r="B157" i="154"/>
  <c r="B156" i="154"/>
  <c r="B155" i="154"/>
  <c r="B154" i="154"/>
  <c r="B153" i="154"/>
  <c r="B152" i="154"/>
  <c r="B151" i="154"/>
  <c r="B150" i="154"/>
  <c r="B149" i="154"/>
  <c r="B148" i="154"/>
  <c r="B147" i="154"/>
  <c r="B146" i="154"/>
  <c r="B145" i="154"/>
  <c r="B144" i="154"/>
  <c r="B143" i="154"/>
  <c r="B142" i="154"/>
  <c r="B141" i="154"/>
  <c r="B140" i="154"/>
  <c r="B139" i="154"/>
  <c r="B138" i="154"/>
  <c r="B137" i="154"/>
  <c r="B136" i="154"/>
  <c r="B135" i="154"/>
  <c r="B134" i="154"/>
  <c r="B133" i="154"/>
  <c r="B132" i="154"/>
  <c r="B131" i="154"/>
  <c r="B130" i="154"/>
  <c r="B129" i="154"/>
  <c r="B128" i="154"/>
  <c r="B127" i="154"/>
  <c r="B126" i="154"/>
  <c r="B125" i="154"/>
  <c r="B124" i="154"/>
  <c r="B123" i="154"/>
  <c r="B122" i="154"/>
  <c r="B121" i="154"/>
  <c r="B120" i="154"/>
  <c r="B119" i="154"/>
  <c r="B118" i="154"/>
  <c r="B117" i="154"/>
  <c r="B116" i="154"/>
  <c r="B115" i="154"/>
  <c r="B114" i="154"/>
  <c r="B113" i="154"/>
  <c r="B112" i="154"/>
  <c r="B111" i="154"/>
  <c r="B110" i="154"/>
  <c r="B109" i="154"/>
  <c r="B108" i="154"/>
  <c r="B107" i="154"/>
  <c r="B106" i="154"/>
  <c r="B105" i="154"/>
  <c r="B104" i="154"/>
  <c r="B103" i="154"/>
  <c r="B102" i="154"/>
  <c r="B101" i="154"/>
  <c r="B100" i="154"/>
  <c r="B99" i="154"/>
  <c r="B98" i="154"/>
  <c r="B97" i="154"/>
  <c r="B96" i="154"/>
  <c r="B95" i="154"/>
  <c r="B94" i="154"/>
  <c r="B93" i="154"/>
  <c r="B92" i="154"/>
  <c r="B91" i="154"/>
  <c r="B90" i="154"/>
  <c r="B89" i="154"/>
  <c r="B88" i="154"/>
  <c r="B87" i="154"/>
  <c r="B86" i="154"/>
  <c r="B85" i="154"/>
  <c r="B84" i="154"/>
  <c r="B83" i="154"/>
  <c r="B82" i="154"/>
  <c r="B81" i="154"/>
  <c r="B80" i="154"/>
  <c r="B79" i="154"/>
  <c r="B78" i="154"/>
  <c r="B77" i="154"/>
  <c r="B76" i="154"/>
  <c r="B75" i="154"/>
  <c r="B74" i="154"/>
  <c r="B73" i="154"/>
  <c r="B72" i="154"/>
  <c r="B71" i="154"/>
  <c r="B70" i="154"/>
  <c r="B69" i="154"/>
  <c r="B68" i="154"/>
  <c r="B67" i="154"/>
  <c r="B66" i="154"/>
  <c r="B65" i="154"/>
  <c r="B64" i="154"/>
  <c r="B63" i="154"/>
  <c r="B62" i="154"/>
  <c r="B61" i="154"/>
  <c r="B60" i="154"/>
  <c r="B59" i="154"/>
  <c r="B58" i="154"/>
  <c r="B57" i="154"/>
  <c r="B56" i="154"/>
  <c r="B55" i="154"/>
  <c r="B54" i="154"/>
  <c r="B53" i="154"/>
  <c r="B52" i="154"/>
  <c r="B51" i="154"/>
  <c r="B50" i="154"/>
  <c r="B49" i="154"/>
  <c r="B48" i="154"/>
  <c r="B47" i="154"/>
  <c r="B46" i="154"/>
  <c r="B45" i="154"/>
  <c r="B44" i="154"/>
  <c r="B43" i="154"/>
  <c r="B42" i="154"/>
  <c r="B41" i="154"/>
  <c r="B40" i="154"/>
  <c r="B39" i="154"/>
  <c r="B38" i="154"/>
  <c r="B37" i="154"/>
  <c r="B36" i="154"/>
  <c r="B35" i="154"/>
  <c r="B34" i="154"/>
  <c r="B33" i="154"/>
  <c r="B32" i="154"/>
  <c r="B31" i="154"/>
  <c r="B30" i="154"/>
  <c r="B29" i="154"/>
  <c r="B28" i="154"/>
  <c r="B27" i="154"/>
  <c r="B26" i="154"/>
  <c r="B25" i="154"/>
  <c r="B24" i="154"/>
  <c r="B23" i="154"/>
  <c r="B22" i="154"/>
  <c r="B21" i="154"/>
  <c r="B20" i="154"/>
  <c r="B19" i="154"/>
  <c r="J13" i="154"/>
  <c r="H13" i="154"/>
  <c r="J12" i="154"/>
  <c r="H12" i="154"/>
  <c r="J11" i="154"/>
  <c r="H11" i="154"/>
  <c r="J10" i="154"/>
  <c r="H10" i="154"/>
  <c r="J9" i="154"/>
  <c r="H9" i="154"/>
  <c r="B18" i="154"/>
  <c r="D14" i="154"/>
  <c r="F13" i="154" s="1"/>
  <c r="J8" i="154"/>
  <c r="H8" i="154"/>
  <c r="K49" i="153"/>
  <c r="J49" i="153"/>
  <c r="I49" i="153"/>
  <c r="H49" i="153"/>
  <c r="G49" i="153"/>
  <c r="F49" i="153"/>
  <c r="E49" i="153"/>
  <c r="D49" i="153"/>
  <c r="K48" i="153"/>
  <c r="J48" i="153"/>
  <c r="I48" i="153"/>
  <c r="H48" i="153"/>
  <c r="G48" i="153"/>
  <c r="F48" i="153"/>
  <c r="E48" i="153"/>
  <c r="D48" i="153"/>
  <c r="K47" i="153"/>
  <c r="J47" i="153"/>
  <c r="I47" i="153"/>
  <c r="H47" i="153"/>
  <c r="G47" i="153"/>
  <c r="F47" i="153"/>
  <c r="E47" i="153"/>
  <c r="D47" i="153"/>
  <c r="K46" i="153"/>
  <c r="J46" i="153"/>
  <c r="I46" i="153"/>
  <c r="H46" i="153"/>
  <c r="G46" i="153"/>
  <c r="F46" i="153"/>
  <c r="E46" i="153"/>
  <c r="D46" i="153"/>
  <c r="K45" i="153"/>
  <c r="J45" i="153"/>
  <c r="I45" i="153"/>
  <c r="H45" i="153"/>
  <c r="G45" i="153"/>
  <c r="F45" i="153"/>
  <c r="E45" i="153"/>
  <c r="D45" i="153"/>
  <c r="K44" i="153"/>
  <c r="J44" i="153"/>
  <c r="I44" i="153"/>
  <c r="H44" i="153"/>
  <c r="G44" i="153"/>
  <c r="F44" i="153"/>
  <c r="E44" i="153"/>
  <c r="D44" i="153"/>
  <c r="K43" i="153"/>
  <c r="J43" i="153"/>
  <c r="I43" i="153"/>
  <c r="H43" i="153"/>
  <c r="G43" i="153"/>
  <c r="F43" i="153"/>
  <c r="E43" i="153"/>
  <c r="D43" i="153"/>
  <c r="K42" i="153"/>
  <c r="J42" i="153"/>
  <c r="I42" i="153"/>
  <c r="H42" i="153"/>
  <c r="G42" i="153"/>
  <c r="F42" i="153"/>
  <c r="E42" i="153"/>
  <c r="D42" i="153"/>
  <c r="K41" i="153"/>
  <c r="J41" i="153"/>
  <c r="I41" i="153"/>
  <c r="H41" i="153"/>
  <c r="G41" i="153"/>
  <c r="F41" i="153"/>
  <c r="E41" i="153"/>
  <c r="D41" i="153"/>
  <c r="K40" i="153"/>
  <c r="J40" i="153"/>
  <c r="I40" i="153"/>
  <c r="H40" i="153"/>
  <c r="G40" i="153"/>
  <c r="F40" i="153"/>
  <c r="E40" i="153"/>
  <c r="D40" i="153"/>
  <c r="K39" i="153"/>
  <c r="J39" i="153"/>
  <c r="I39" i="153"/>
  <c r="H39" i="153"/>
  <c r="G39" i="153"/>
  <c r="F39" i="153"/>
  <c r="E39" i="153"/>
  <c r="D39" i="153"/>
  <c r="K38" i="153"/>
  <c r="J38" i="153"/>
  <c r="I38" i="153"/>
  <c r="H38" i="153"/>
  <c r="G38" i="153"/>
  <c r="F38" i="153"/>
  <c r="E38" i="153"/>
  <c r="D38" i="153"/>
  <c r="K37" i="153"/>
  <c r="J37" i="153"/>
  <c r="I37" i="153"/>
  <c r="H37" i="153"/>
  <c r="G37" i="153"/>
  <c r="F37" i="153"/>
  <c r="E37" i="153"/>
  <c r="D37" i="153"/>
  <c r="K36" i="153"/>
  <c r="J36" i="153"/>
  <c r="I36" i="153"/>
  <c r="H36" i="153"/>
  <c r="G36" i="153"/>
  <c r="F36" i="153"/>
  <c r="E36" i="153"/>
  <c r="D36" i="153"/>
  <c r="K35" i="153"/>
  <c r="J35" i="153"/>
  <c r="I35" i="153"/>
  <c r="H35" i="153"/>
  <c r="G35" i="153"/>
  <c r="F35" i="153"/>
  <c r="E35" i="153"/>
  <c r="D35" i="153"/>
  <c r="K34" i="153"/>
  <c r="J34" i="153"/>
  <c r="I34" i="153"/>
  <c r="H34" i="153"/>
  <c r="G34" i="153"/>
  <c r="F34" i="153"/>
  <c r="E34" i="153"/>
  <c r="D34" i="153"/>
  <c r="K33" i="153"/>
  <c r="J33" i="153"/>
  <c r="I33" i="153"/>
  <c r="H33" i="153"/>
  <c r="G33" i="153"/>
  <c r="F33" i="153"/>
  <c r="E33" i="153"/>
  <c r="D33" i="153"/>
  <c r="K32" i="153"/>
  <c r="J32" i="153"/>
  <c r="I32" i="153"/>
  <c r="H32" i="153"/>
  <c r="G32" i="153"/>
  <c r="F32" i="153"/>
  <c r="E32" i="153"/>
  <c r="D32" i="153"/>
  <c r="K31" i="153"/>
  <c r="J31" i="153"/>
  <c r="I31" i="153"/>
  <c r="H31" i="153"/>
  <c r="G31" i="153"/>
  <c r="F31" i="153"/>
  <c r="E31" i="153"/>
  <c r="D31" i="153"/>
  <c r="K30" i="153"/>
  <c r="J30" i="153"/>
  <c r="I30" i="153"/>
  <c r="H30" i="153"/>
  <c r="G30" i="153"/>
  <c r="F30" i="153"/>
  <c r="E30" i="153"/>
  <c r="D30" i="153"/>
  <c r="K29" i="153"/>
  <c r="J29" i="153"/>
  <c r="I29" i="153"/>
  <c r="H29" i="153"/>
  <c r="G29" i="153"/>
  <c r="F29" i="153"/>
  <c r="E29" i="153"/>
  <c r="D29" i="153"/>
  <c r="K28" i="153"/>
  <c r="J28" i="153"/>
  <c r="I28" i="153"/>
  <c r="H28" i="153"/>
  <c r="G28" i="153"/>
  <c r="F28" i="153"/>
  <c r="E28" i="153"/>
  <c r="D28" i="153"/>
  <c r="K27" i="153"/>
  <c r="J27" i="153"/>
  <c r="I27" i="153"/>
  <c r="H27" i="153"/>
  <c r="G27" i="153"/>
  <c r="F27" i="153"/>
  <c r="E27" i="153"/>
  <c r="D27" i="153"/>
  <c r="K26" i="153"/>
  <c r="J26" i="153"/>
  <c r="I26" i="153"/>
  <c r="H26" i="153"/>
  <c r="G26" i="153"/>
  <c r="F26" i="153"/>
  <c r="E26" i="153"/>
  <c r="D26" i="153"/>
  <c r="K25" i="153"/>
  <c r="J25" i="153"/>
  <c r="I25" i="153"/>
  <c r="H25" i="153"/>
  <c r="G25" i="153"/>
  <c r="F25" i="153"/>
  <c r="E25" i="153"/>
  <c r="D25" i="153"/>
  <c r="K24" i="153"/>
  <c r="J24" i="153"/>
  <c r="I24" i="153"/>
  <c r="H24" i="153"/>
  <c r="G24" i="153"/>
  <c r="F24" i="153"/>
  <c r="E24" i="153"/>
  <c r="D24" i="153"/>
  <c r="K23" i="153"/>
  <c r="H23" i="153"/>
  <c r="G23" i="153"/>
  <c r="F23" i="153"/>
  <c r="E23" i="153"/>
  <c r="D23" i="153"/>
  <c r="K22" i="153"/>
  <c r="H22" i="153"/>
  <c r="G22" i="153"/>
  <c r="F22" i="153"/>
  <c r="E22" i="153"/>
  <c r="D22" i="153"/>
  <c r="K21" i="153"/>
  <c r="H21" i="153"/>
  <c r="G21" i="153"/>
  <c r="F21" i="153"/>
  <c r="E21" i="153"/>
  <c r="D21" i="153"/>
  <c r="K20" i="153"/>
  <c r="H20" i="153"/>
  <c r="G20" i="153"/>
  <c r="F20" i="153"/>
  <c r="E20" i="153"/>
  <c r="D20" i="153"/>
  <c r="H19" i="153"/>
  <c r="F19" i="153"/>
  <c r="E19" i="153"/>
  <c r="D19" i="153"/>
  <c r="H18" i="153"/>
  <c r="I18" i="153" s="1"/>
  <c r="F18" i="153"/>
  <c r="G18" i="153" s="1"/>
  <c r="E18" i="153"/>
  <c r="D18" i="153"/>
  <c r="C49" i="153"/>
  <c r="B49" i="153"/>
  <c r="C48" i="153"/>
  <c r="B48" i="153"/>
  <c r="C47" i="153"/>
  <c r="B47" i="153"/>
  <c r="C46" i="153"/>
  <c r="B46" i="153"/>
  <c r="C45" i="153"/>
  <c r="B45" i="153"/>
  <c r="C44" i="153"/>
  <c r="B44" i="153"/>
  <c r="C43" i="153"/>
  <c r="B43" i="153"/>
  <c r="C42" i="153"/>
  <c r="B42" i="153"/>
  <c r="C41" i="153"/>
  <c r="B41" i="153"/>
  <c r="C40" i="153"/>
  <c r="B40" i="153"/>
  <c r="C39" i="153"/>
  <c r="B39" i="153"/>
  <c r="C38" i="153"/>
  <c r="B38" i="153"/>
  <c r="C37" i="153"/>
  <c r="B37" i="153"/>
  <c r="C36" i="153"/>
  <c r="B36" i="153"/>
  <c r="C35" i="153"/>
  <c r="B35" i="153"/>
  <c r="C34" i="153"/>
  <c r="B34" i="153"/>
  <c r="C33" i="153"/>
  <c r="B33" i="153"/>
  <c r="C32" i="153"/>
  <c r="B32" i="153"/>
  <c r="C31" i="153"/>
  <c r="B31" i="153"/>
  <c r="C30" i="153"/>
  <c r="B30" i="153"/>
  <c r="C29" i="153"/>
  <c r="B29" i="153"/>
  <c r="C28" i="153"/>
  <c r="B28" i="153"/>
  <c r="C27" i="153"/>
  <c r="B27" i="153"/>
  <c r="C26" i="153"/>
  <c r="B26" i="153"/>
  <c r="C25" i="153"/>
  <c r="B25" i="153"/>
  <c r="C24" i="153"/>
  <c r="B24" i="153"/>
  <c r="A13" i="152"/>
  <c r="E10" i="152"/>
  <c r="E11" i="152" s="1"/>
  <c r="E8" i="152"/>
  <c r="E9" i="152" s="1"/>
  <c r="E7" i="152"/>
  <c r="E12" i="152" s="1"/>
  <c r="A19" i="151"/>
  <c r="A20" i="151" s="1"/>
  <c r="A21" i="151" s="1"/>
  <c r="A22" i="151" s="1"/>
  <c r="A13" i="151"/>
  <c r="E7" i="151"/>
  <c r="F61" i="151"/>
  <c r="B61" i="151"/>
  <c r="D61" i="151" s="1"/>
  <c r="F60" i="151"/>
  <c r="B60" i="151"/>
  <c r="D60" i="151" s="1"/>
  <c r="F59" i="151"/>
  <c r="B59" i="151"/>
  <c r="D59" i="151" s="1"/>
  <c r="F58" i="151"/>
  <c r="B58" i="151"/>
  <c r="D58" i="151" s="1"/>
  <c r="F57" i="151"/>
  <c r="B57" i="151"/>
  <c r="D57" i="151" s="1"/>
  <c r="F56" i="151"/>
  <c r="B56" i="151"/>
  <c r="D56" i="151" s="1"/>
  <c r="F55" i="151"/>
  <c r="B55" i="151"/>
  <c r="D55" i="151" s="1"/>
  <c r="F54" i="151"/>
  <c r="B54" i="151"/>
  <c r="D54" i="151" s="1"/>
  <c r="F53" i="151"/>
  <c r="B53" i="151"/>
  <c r="D53" i="151" s="1"/>
  <c r="F52" i="151"/>
  <c r="D52" i="151"/>
  <c r="B52" i="151"/>
  <c r="F51" i="151"/>
  <c r="B51" i="151"/>
  <c r="D51" i="151" s="1"/>
  <c r="F50" i="151"/>
  <c r="B50" i="151"/>
  <c r="D50" i="151" s="1"/>
  <c r="F49" i="151"/>
  <c r="B49" i="151"/>
  <c r="D49" i="151" s="1"/>
  <c r="F48" i="151"/>
  <c r="B48" i="151"/>
  <c r="D48" i="151" s="1"/>
  <c r="F47" i="151"/>
  <c r="B47" i="151"/>
  <c r="D47" i="151" s="1"/>
  <c r="F46" i="151"/>
  <c r="B46" i="151"/>
  <c r="D46" i="151" s="1"/>
  <c r="F45" i="151"/>
  <c r="B45" i="151"/>
  <c r="D45" i="151" s="1"/>
  <c r="F44" i="151"/>
  <c r="B44" i="151"/>
  <c r="D44" i="151" s="1"/>
  <c r="F43" i="151"/>
  <c r="B43" i="151"/>
  <c r="D43" i="151" s="1"/>
  <c r="F42" i="151"/>
  <c r="B42" i="151"/>
  <c r="D42" i="151" s="1"/>
  <c r="F41" i="151"/>
  <c r="B41" i="151"/>
  <c r="D41" i="151" s="1"/>
  <c r="F40" i="151"/>
  <c r="C40" i="151"/>
  <c r="B40" i="151"/>
  <c r="C42" i="151" s="1"/>
  <c r="A20" i="150"/>
  <c r="A21" i="150" s="1"/>
  <c r="A22" i="150" s="1"/>
  <c r="A23" i="150" s="1"/>
  <c r="A24" i="150" s="1"/>
  <c r="A25" i="150" s="1"/>
  <c r="A26" i="150" s="1"/>
  <c r="A27" i="150" s="1"/>
  <c r="A28" i="150" s="1"/>
  <c r="A29" i="150" s="1"/>
  <c r="A30" i="150" s="1"/>
  <c r="A31" i="150" s="1"/>
  <c r="A32" i="150" s="1"/>
  <c r="A33" i="150" s="1"/>
  <c r="A34" i="150" s="1"/>
  <c r="A35" i="150" s="1"/>
  <c r="A36" i="150" s="1"/>
  <c r="A37" i="150" s="1"/>
  <c r="A38" i="150" s="1"/>
  <c r="A39" i="150" s="1"/>
  <c r="C19" i="150"/>
  <c r="B19" i="150"/>
  <c r="B20" i="150" s="1"/>
  <c r="B21" i="150" s="1"/>
  <c r="B22" i="150" s="1"/>
  <c r="B23" i="150" s="1"/>
  <c r="B24" i="150" s="1"/>
  <c r="B25" i="150" s="1"/>
  <c r="B26" i="150" s="1"/>
  <c r="B27" i="150" s="1"/>
  <c r="B28" i="150" s="1"/>
  <c r="B29" i="150" s="1"/>
  <c r="B30" i="150" s="1"/>
  <c r="B31" i="150" s="1"/>
  <c r="B32" i="150" s="1"/>
  <c r="B33" i="150" s="1"/>
  <c r="B34" i="150" s="1"/>
  <c r="B35" i="150" s="1"/>
  <c r="B36" i="150" s="1"/>
  <c r="B37" i="150" s="1"/>
  <c r="B38" i="150" s="1"/>
  <c r="B39" i="150" s="1"/>
  <c r="A13" i="150"/>
  <c r="E11" i="150"/>
  <c r="E10" i="150"/>
  <c r="E9" i="150"/>
  <c r="E8" i="150"/>
  <c r="E7" i="150"/>
  <c r="E12" i="150" s="1"/>
  <c r="F136" i="149"/>
  <c r="E136" i="149"/>
  <c r="D136" i="149"/>
  <c r="C136" i="149"/>
  <c r="A115" i="149"/>
  <c r="F111" i="149"/>
  <c r="E111" i="149"/>
  <c r="D111" i="149"/>
  <c r="C111" i="149"/>
  <c r="B111" i="149"/>
  <c r="A111" i="149"/>
  <c r="A147" i="149" s="1"/>
  <c r="F110" i="149"/>
  <c r="E110" i="149"/>
  <c r="D110" i="149"/>
  <c r="C110" i="149"/>
  <c r="B110" i="149"/>
  <c r="A110" i="149"/>
  <c r="A134" i="149" s="1"/>
  <c r="F109" i="149"/>
  <c r="E109" i="149"/>
  <c r="D109" i="149"/>
  <c r="C109" i="149"/>
  <c r="B109" i="149"/>
  <c r="A109" i="149"/>
  <c r="A121" i="149" s="1"/>
  <c r="F108" i="149"/>
  <c r="E108" i="149"/>
  <c r="D108" i="149"/>
  <c r="C108" i="149"/>
  <c r="B108" i="149"/>
  <c r="A108" i="149"/>
  <c r="A120" i="149" s="1"/>
  <c r="F107" i="149"/>
  <c r="E107" i="149"/>
  <c r="D107" i="149"/>
  <c r="C107" i="149"/>
  <c r="B107" i="149"/>
  <c r="A107" i="149"/>
  <c r="F106" i="149"/>
  <c r="E106" i="149"/>
  <c r="D106" i="149"/>
  <c r="C106" i="149"/>
  <c r="B106" i="149"/>
  <c r="H118" i="149" s="1"/>
  <c r="A106" i="149"/>
  <c r="A118" i="149" s="1"/>
  <c r="F105" i="149"/>
  <c r="E105" i="149"/>
  <c r="D105" i="149"/>
  <c r="C105" i="149"/>
  <c r="B105" i="149"/>
  <c r="A105" i="149"/>
  <c r="F104" i="149"/>
  <c r="E104" i="149"/>
  <c r="D104" i="149"/>
  <c r="C104" i="149"/>
  <c r="B104" i="149"/>
  <c r="A104" i="149"/>
  <c r="F103" i="149"/>
  <c r="E103" i="149"/>
  <c r="D103" i="149"/>
  <c r="C103" i="149"/>
  <c r="B103" i="149"/>
  <c r="A103" i="149"/>
  <c r="F85" i="149"/>
  <c r="E85" i="149"/>
  <c r="D85" i="149"/>
  <c r="C85" i="149"/>
  <c r="F60" i="149"/>
  <c r="E60" i="149"/>
  <c r="D60" i="149"/>
  <c r="C60" i="149"/>
  <c r="B60" i="149"/>
  <c r="A60" i="149"/>
  <c r="J87" i="149" s="1"/>
  <c r="F59" i="149"/>
  <c r="E59" i="149"/>
  <c r="D59" i="149"/>
  <c r="C59" i="149"/>
  <c r="B59" i="149"/>
  <c r="A59" i="149"/>
  <c r="A71" i="149" s="1"/>
  <c r="F58" i="149"/>
  <c r="E58" i="149"/>
  <c r="D58" i="149"/>
  <c r="C58" i="149"/>
  <c r="B58" i="149"/>
  <c r="A58" i="149"/>
  <c r="F57" i="149"/>
  <c r="E57" i="149"/>
  <c r="D57" i="149"/>
  <c r="C57" i="149"/>
  <c r="B57" i="149"/>
  <c r="A57" i="149"/>
  <c r="A93" i="149" s="1"/>
  <c r="F56" i="149"/>
  <c r="E56" i="149"/>
  <c r="D56" i="149"/>
  <c r="C56" i="149"/>
  <c r="B56" i="149"/>
  <c r="A56" i="149"/>
  <c r="F87" i="149" s="1"/>
  <c r="F55" i="149"/>
  <c r="E55" i="149"/>
  <c r="D55" i="149"/>
  <c r="C55" i="149"/>
  <c r="B55" i="149"/>
  <c r="A55" i="149"/>
  <c r="F54" i="149"/>
  <c r="E54" i="149"/>
  <c r="D54" i="149"/>
  <c r="C54" i="149"/>
  <c r="B54" i="149"/>
  <c r="A54" i="149"/>
  <c r="A90" i="149" s="1"/>
  <c r="F53" i="149"/>
  <c r="E53" i="149"/>
  <c r="D53" i="149"/>
  <c r="C53" i="149"/>
  <c r="B53" i="149"/>
  <c r="A53" i="149"/>
  <c r="F52" i="149"/>
  <c r="E52" i="149"/>
  <c r="D52" i="149"/>
  <c r="C52" i="149"/>
  <c r="B52" i="149"/>
  <c r="A52" i="149"/>
  <c r="B87" i="149" s="1"/>
  <c r="J48" i="149"/>
  <c r="I48" i="149"/>
  <c r="H48" i="149"/>
  <c r="G48" i="149"/>
  <c r="F48" i="149"/>
  <c r="E48" i="149"/>
  <c r="D48" i="149"/>
  <c r="C48" i="149"/>
  <c r="B40" i="149" a="1"/>
  <c r="B47" i="149" s="1"/>
  <c r="A40" i="149" a="1"/>
  <c r="A47" i="149" s="1"/>
  <c r="J38" i="149"/>
  <c r="I38" i="149"/>
  <c r="H38" i="149"/>
  <c r="G38" i="149"/>
  <c r="F38" i="149"/>
  <c r="E38" i="149"/>
  <c r="D38" i="149"/>
  <c r="C38" i="149"/>
  <c r="B38" i="149"/>
  <c r="H34" i="149"/>
  <c r="B34" i="149" a="1"/>
  <c r="C34" i="149" s="1"/>
  <c r="A32" i="149"/>
  <c r="A31" i="149"/>
  <c r="A30" i="149"/>
  <c r="A29" i="149"/>
  <c r="A28" i="149"/>
  <c r="A27" i="149"/>
  <c r="A26" i="149"/>
  <c r="A25" i="149"/>
  <c r="A24" i="149"/>
  <c r="M20" i="149"/>
  <c r="L20" i="149"/>
  <c r="M19" i="149"/>
  <c r="L19" i="149"/>
  <c r="M18" i="149"/>
  <c r="L18" i="149"/>
  <c r="M17" i="149"/>
  <c r="L17" i="149"/>
  <c r="M16" i="149"/>
  <c r="L16" i="149"/>
  <c r="M15" i="149"/>
  <c r="L15" i="149"/>
  <c r="M14" i="149"/>
  <c r="L14" i="149"/>
  <c r="M13" i="149"/>
  <c r="L13" i="149"/>
  <c r="M12" i="149"/>
  <c r="L12" i="149"/>
  <c r="K12" i="149" a="1"/>
  <c r="K13" i="149" s="1"/>
  <c r="A68" i="148"/>
  <c r="F63" i="148"/>
  <c r="F64" i="148" s="1"/>
  <c r="F62" i="148"/>
  <c r="A57" i="148"/>
  <c r="A53" i="148"/>
  <c r="A46" i="148"/>
  <c r="A35" i="148"/>
  <c r="A32" i="148"/>
  <c r="A31" i="148"/>
  <c r="A25" i="148"/>
  <c r="I50" i="148" s="1"/>
  <c r="A24" i="148"/>
  <c r="H50" i="148" s="1"/>
  <c r="A23" i="148"/>
  <c r="G50" i="148" s="1"/>
  <c r="A22" i="148"/>
  <c r="A66" i="148" s="1"/>
  <c r="A21" i="148"/>
  <c r="E50" i="148" s="1"/>
  <c r="A20" i="148"/>
  <c r="A42" i="148" s="1"/>
  <c r="A19" i="148"/>
  <c r="A63" i="148" s="1"/>
  <c r="A18" i="148"/>
  <c r="A40" i="148" s="1"/>
  <c r="G15" i="148"/>
  <c r="H15" i="148" s="1"/>
  <c r="H36" i="148" s="1"/>
  <c r="F15" i="148"/>
  <c r="B25" i="148" s="1"/>
  <c r="G14" i="148"/>
  <c r="H14" i="148" s="1"/>
  <c r="H35" i="148" s="1"/>
  <c r="F14" i="148"/>
  <c r="B24" i="148" s="1"/>
  <c r="G13" i="148"/>
  <c r="H13" i="148" s="1"/>
  <c r="H34" i="148" s="1"/>
  <c r="F13" i="148"/>
  <c r="B23" i="148" s="1"/>
  <c r="G12" i="148"/>
  <c r="H12" i="148" s="1"/>
  <c r="H33" i="148" s="1"/>
  <c r="F12" i="148"/>
  <c r="B22" i="148" s="1"/>
  <c r="G11" i="148"/>
  <c r="H11" i="148" s="1"/>
  <c r="H32" i="148" s="1"/>
  <c r="F11" i="148"/>
  <c r="B21" i="148" s="1"/>
  <c r="G10" i="148"/>
  <c r="H10" i="148" s="1"/>
  <c r="H31" i="148" s="1"/>
  <c r="F10" i="148"/>
  <c r="B20" i="148" s="1"/>
  <c r="G9" i="148"/>
  <c r="H9" i="148" s="1"/>
  <c r="H30" i="148" s="1"/>
  <c r="F9" i="148"/>
  <c r="B19" i="148" s="1"/>
  <c r="G8" i="148"/>
  <c r="H8" i="148" s="1"/>
  <c r="H29" i="148" s="1"/>
  <c r="F8" i="148"/>
  <c r="B18" i="148" s="1"/>
  <c r="E16" i="147"/>
  <c r="D16" i="147"/>
  <c r="C16" i="147"/>
  <c r="B16" i="147"/>
  <c r="A20" i="147"/>
  <c r="A19" i="147"/>
  <c r="A18" i="147"/>
  <c r="A17" i="147"/>
  <c r="F20" i="147"/>
  <c r="F19" i="147"/>
  <c r="F18" i="147"/>
  <c r="E21" i="147"/>
  <c r="D21" i="147"/>
  <c r="C21" i="147"/>
  <c r="B23" i="147"/>
  <c r="B21" i="147"/>
  <c r="F17" i="147"/>
  <c r="D16" i="146"/>
  <c r="C16" i="146"/>
  <c r="B16" i="146"/>
  <c r="A19" i="146"/>
  <c r="A18" i="146"/>
  <c r="A17" i="146"/>
  <c r="E19" i="146"/>
  <c r="E18" i="146"/>
  <c r="D20" i="146"/>
  <c r="C20" i="146"/>
  <c r="E13" i="146"/>
  <c r="B22" i="146"/>
  <c r="B20" i="146"/>
  <c r="E17" i="146"/>
  <c r="B8" i="146"/>
  <c r="G22" i="145"/>
  <c r="G21" i="145"/>
  <c r="G17" i="145"/>
  <c r="G14" i="145"/>
  <c r="G10" i="145"/>
  <c r="G15" i="145"/>
  <c r="G11" i="145"/>
  <c r="H26" i="144"/>
  <c r="G28" i="144" s="1"/>
  <c r="G27" i="144"/>
  <c r="H25" i="144"/>
  <c r="F28" i="144" s="1"/>
  <c r="F27" i="144"/>
  <c r="H24" i="144"/>
  <c r="E28" i="144" s="1"/>
  <c r="E27" i="144"/>
  <c r="H23" i="144"/>
  <c r="D28" i="144" s="1"/>
  <c r="D27" i="144"/>
  <c r="H22" i="144"/>
  <c r="C28" i="144" s="1"/>
  <c r="C27" i="144"/>
  <c r="H21" i="144"/>
  <c r="B28" i="144" s="1"/>
  <c r="B27" i="144"/>
  <c r="A26" i="144"/>
  <c r="A25" i="144"/>
  <c r="A24" i="144"/>
  <c r="A23" i="144"/>
  <c r="A22" i="144"/>
  <c r="A21" i="144"/>
  <c r="G9" i="144"/>
  <c r="G20" i="144" s="1"/>
  <c r="F9" i="144"/>
  <c r="F20" i="144" s="1"/>
  <c r="E9" i="144"/>
  <c r="E20" i="144" s="1"/>
  <c r="D9" i="144"/>
  <c r="D20" i="144" s="1"/>
  <c r="C9" i="144"/>
  <c r="C20" i="144" s="1"/>
  <c r="B9" i="144"/>
  <c r="B20" i="144" s="1"/>
  <c r="B31" i="144"/>
  <c r="H26" i="143"/>
  <c r="G28" i="143" s="1"/>
  <c r="G27" i="143"/>
  <c r="H25" i="143"/>
  <c r="F28" i="143" s="1"/>
  <c r="F27" i="143"/>
  <c r="H24" i="143"/>
  <c r="E28" i="143" s="1"/>
  <c r="E27" i="143"/>
  <c r="H23" i="143"/>
  <c r="D28" i="143" s="1"/>
  <c r="D27" i="143"/>
  <c r="H22" i="143"/>
  <c r="C28" i="143" s="1"/>
  <c r="C27" i="143"/>
  <c r="H21" i="143"/>
  <c r="B28" i="143" s="1"/>
  <c r="B27" i="143"/>
  <c r="A26" i="143"/>
  <c r="A25" i="143"/>
  <c r="A24" i="143"/>
  <c r="A23" i="143"/>
  <c r="A22" i="143"/>
  <c r="A21" i="143"/>
  <c r="G9" i="143"/>
  <c r="G20" i="143" s="1"/>
  <c r="F9" i="143"/>
  <c r="F20" i="143" s="1"/>
  <c r="E9" i="143"/>
  <c r="E20" i="143" s="1"/>
  <c r="D9" i="143"/>
  <c r="D20" i="143" s="1"/>
  <c r="C9" i="143"/>
  <c r="C20" i="143" s="1"/>
  <c r="B9" i="143"/>
  <c r="B20" i="143" s="1"/>
  <c r="B31" i="143"/>
  <c r="U19" i="142"/>
  <c r="S19" i="142"/>
  <c r="O19" i="142"/>
  <c r="T19" i="142" s="1"/>
  <c r="U18" i="142"/>
  <c r="S18" i="142"/>
  <c r="O18" i="142"/>
  <c r="P18" i="142" s="1"/>
  <c r="U17" i="142"/>
  <c r="S17" i="142"/>
  <c r="O17" i="142"/>
  <c r="P17" i="142" s="1"/>
  <c r="U16" i="142"/>
  <c r="S16" i="142"/>
  <c r="O16" i="142"/>
  <c r="T16" i="142" s="1"/>
  <c r="U15" i="142"/>
  <c r="S15" i="142"/>
  <c r="O15" i="142"/>
  <c r="T15" i="142" s="1"/>
  <c r="U14" i="142"/>
  <c r="T14" i="142"/>
  <c r="S14" i="142"/>
  <c r="O14" i="142"/>
  <c r="P14" i="142" s="1"/>
  <c r="U13" i="142"/>
  <c r="T13" i="142"/>
  <c r="S13" i="142"/>
  <c r="O13" i="142"/>
  <c r="P13" i="142" s="1"/>
  <c r="O12" i="142"/>
  <c r="M23" i="142" s="1"/>
  <c r="D15" i="141"/>
  <c r="C15" i="141"/>
  <c r="B15" i="141"/>
  <c r="A18" i="141"/>
  <c r="A17" i="141"/>
  <c r="A16" i="141"/>
  <c r="E18" i="141"/>
  <c r="E17" i="141"/>
  <c r="D19" i="141"/>
  <c r="C19" i="141"/>
  <c r="B21" i="141"/>
  <c r="B19" i="141"/>
  <c r="E16" i="141"/>
  <c r="D16" i="140"/>
  <c r="C16" i="140"/>
  <c r="B16" i="140"/>
  <c r="A19" i="140"/>
  <c r="A18" i="140"/>
  <c r="A17" i="140"/>
  <c r="E19" i="140"/>
  <c r="E18" i="140"/>
  <c r="D20" i="140"/>
  <c r="C20" i="140"/>
  <c r="E13" i="140"/>
  <c r="B22" i="140"/>
  <c r="B20" i="140"/>
  <c r="E17" i="140"/>
  <c r="B8" i="140"/>
  <c r="B24" i="139"/>
  <c r="E22" i="139"/>
  <c r="D22" i="139"/>
  <c r="C22" i="139"/>
  <c r="B22" i="139"/>
  <c r="F21" i="139"/>
  <c r="A21" i="139"/>
  <c r="F20" i="139"/>
  <c r="A20" i="139"/>
  <c r="F19" i="139"/>
  <c r="A19" i="139"/>
  <c r="F18" i="139"/>
  <c r="A18" i="139"/>
  <c r="E17" i="139"/>
  <c r="D17" i="139"/>
  <c r="C17" i="139"/>
  <c r="B17" i="139"/>
  <c r="F14" i="139"/>
  <c r="B8" i="139"/>
  <c r="E17" i="137"/>
  <c r="D17" i="137"/>
  <c r="C17" i="137"/>
  <c r="B17" i="137"/>
  <c r="A21" i="137"/>
  <c r="A20" i="137"/>
  <c r="A19" i="137"/>
  <c r="A18" i="137"/>
  <c r="F21" i="137"/>
  <c r="F20" i="137"/>
  <c r="F19" i="137"/>
  <c r="E22" i="137"/>
  <c r="D22" i="137"/>
  <c r="C22" i="137"/>
  <c r="F14" i="137"/>
  <c r="B24" i="137"/>
  <c r="B22" i="137"/>
  <c r="F18" i="137"/>
  <c r="B8" i="137"/>
  <c r="M14" i="135"/>
  <c r="L14" i="135"/>
  <c r="K14" i="135"/>
  <c r="G14" i="135"/>
  <c r="H14" i="135" s="1"/>
  <c r="M13" i="135"/>
  <c r="L13" i="135"/>
  <c r="K13" i="135"/>
  <c r="G13" i="135"/>
  <c r="J13" i="135" s="1"/>
  <c r="G12" i="135"/>
  <c r="E18" i="135" s="1"/>
  <c r="B34" i="134"/>
  <c r="B33" i="134"/>
  <c r="B32" i="134"/>
  <c r="H17" i="134"/>
  <c r="H16" i="134"/>
  <c r="H15" i="134"/>
  <c r="B15" i="134"/>
  <c r="B16" i="134" s="1"/>
  <c r="D18" i="133"/>
  <c r="D19" i="133" s="1"/>
  <c r="C18" i="133"/>
  <c r="C19" i="133" s="1"/>
  <c r="D17" i="133"/>
  <c r="C17" i="133"/>
  <c r="B18" i="133"/>
  <c r="B19" i="133" s="1"/>
  <c r="B17" i="133"/>
  <c r="B24" i="132"/>
  <c r="B16" i="132"/>
  <c r="B31" i="132" s="1"/>
  <c r="B22" i="130"/>
  <c r="B14" i="130"/>
  <c r="B16" i="130" s="1"/>
  <c r="B19" i="130" s="1"/>
  <c r="F22" i="129"/>
  <c r="E22" i="129"/>
  <c r="D22" i="129"/>
  <c r="C22" i="129"/>
  <c r="B22" i="129"/>
  <c r="H22" i="128"/>
  <c r="H23" i="128" s="1"/>
  <c r="H20" i="128"/>
  <c r="B19" i="128"/>
  <c r="B18" i="128"/>
  <c r="D11" i="127"/>
  <c r="F11" i="127" s="1"/>
  <c r="C8" i="127"/>
  <c r="C7" i="127"/>
  <c r="B25" i="126"/>
  <c r="E20" i="126"/>
  <c r="F20" i="126" s="1"/>
  <c r="E19" i="126"/>
  <c r="F19" i="126" s="1"/>
  <c r="E18" i="126"/>
  <c r="F18" i="126" s="1"/>
  <c r="E17" i="126"/>
  <c r="F17" i="126" s="1"/>
  <c r="E16" i="126"/>
  <c r="F16" i="126" s="1"/>
  <c r="E15" i="126"/>
  <c r="F15" i="126" s="1"/>
  <c r="H15" i="126" s="1"/>
  <c r="E14" i="126"/>
  <c r="F14" i="126" s="1"/>
  <c r="E13" i="126"/>
  <c r="F13" i="126" s="1"/>
  <c r="E12" i="126"/>
  <c r="F12" i="126" s="1"/>
  <c r="C16" i="125"/>
  <c r="B16" i="125"/>
  <c r="C21" i="124"/>
  <c r="C20" i="124"/>
  <c r="B21" i="124"/>
  <c r="B20" i="124"/>
  <c r="A24" i="124"/>
  <c r="A23" i="124"/>
  <c r="A22" i="124"/>
  <c r="A21" i="124"/>
  <c r="C15" i="124"/>
  <c r="C22" i="124" s="1"/>
  <c r="B15" i="124"/>
  <c r="B22" i="124" s="1"/>
  <c r="E8" i="124"/>
  <c r="G11" i="124"/>
  <c r="F11" i="124"/>
  <c r="E11" i="124"/>
  <c r="G10" i="124"/>
  <c r="F10" i="124"/>
  <c r="E10" i="124"/>
  <c r="G9" i="124"/>
  <c r="F9" i="124"/>
  <c r="E9" i="124"/>
  <c r="C27" i="122"/>
  <c r="B27" i="122"/>
  <c r="B22" i="122"/>
  <c r="B21" i="122"/>
  <c r="B20" i="122"/>
  <c r="B17" i="122"/>
  <c r="B18" i="122" s="1"/>
  <c r="A34" i="148" l="1"/>
  <c r="A51" i="148"/>
  <c r="A67" i="148"/>
  <c r="G11" i="158"/>
  <c r="G16" i="158" s="1"/>
  <c r="E19" i="141"/>
  <c r="B50" i="148"/>
  <c r="A62" i="148"/>
  <c r="A43" i="148"/>
  <c r="G62" i="148"/>
  <c r="A55" i="148"/>
  <c r="A76" i="149"/>
  <c r="A64" i="148"/>
  <c r="J96" i="149"/>
  <c r="G24" i="145"/>
  <c r="A29" i="148"/>
  <c r="A36" i="148"/>
  <c r="A44" i="148"/>
  <c r="A52" i="148"/>
  <c r="A54" i="148"/>
  <c r="A56" i="148"/>
  <c r="A58" i="148"/>
  <c r="A65" i="148"/>
  <c r="A69" i="148"/>
  <c r="A64" i="149"/>
  <c r="A96" i="149"/>
  <c r="H14" i="154"/>
  <c r="G11" i="159"/>
  <c r="A41" i="148"/>
  <c r="A47" i="148"/>
  <c r="D50" i="148"/>
  <c r="F50" i="148"/>
  <c r="A88" i="149"/>
  <c r="H18" i="134"/>
  <c r="H19" i="134" s="1"/>
  <c r="F22" i="139"/>
  <c r="A30" i="148"/>
  <c r="A33" i="148"/>
  <c r="A45" i="148"/>
  <c r="C50" i="148"/>
  <c r="A68" i="149"/>
  <c r="G12" i="159"/>
  <c r="G15" i="159" s="1"/>
  <c r="G16" i="159"/>
  <c r="B35" i="158"/>
  <c r="B43" i="158"/>
  <c r="B51" i="158"/>
  <c r="F16" i="156"/>
  <c r="F14" i="156"/>
  <c r="G14" i="156"/>
  <c r="G12" i="156"/>
  <c r="G15" i="156"/>
  <c r="F16" i="155"/>
  <c r="F14" i="155"/>
  <c r="F9" i="154"/>
  <c r="F10" i="154"/>
  <c r="F8" i="154"/>
  <c r="G8" i="154" s="1"/>
  <c r="F12" i="154"/>
  <c r="F11" i="154"/>
  <c r="G19" i="153"/>
  <c r="I20" i="153"/>
  <c r="I21" i="153"/>
  <c r="I22" i="153"/>
  <c r="I23" i="153"/>
  <c r="I16" i="153" s="1"/>
  <c r="I19" i="153"/>
  <c r="K18" i="153"/>
  <c r="C59" i="151"/>
  <c r="E59" i="151" s="1"/>
  <c r="G59" i="151" s="1"/>
  <c r="I59" i="151" s="1"/>
  <c r="J59" i="151" s="1"/>
  <c r="C52" i="151"/>
  <c r="C54" i="151"/>
  <c r="E54" i="151" s="1"/>
  <c r="G54" i="151" s="1"/>
  <c r="C47" i="151"/>
  <c r="E47" i="151" s="1"/>
  <c r="G47" i="151" s="1"/>
  <c r="I47" i="151" s="1"/>
  <c r="J47" i="151" s="1"/>
  <c r="E52" i="151"/>
  <c r="G52" i="151" s="1"/>
  <c r="H52" i="151" s="1"/>
  <c r="C57" i="151"/>
  <c r="E57" i="151" s="1"/>
  <c r="G57" i="151" s="1"/>
  <c r="I57" i="151" s="1"/>
  <c r="J57" i="151" s="1"/>
  <c r="C45" i="151"/>
  <c r="E45" i="151" s="1"/>
  <c r="G45" i="151" s="1"/>
  <c r="I45" i="151" s="1"/>
  <c r="J45" i="151" s="1"/>
  <c r="C50" i="151"/>
  <c r="C60" i="151"/>
  <c r="E60" i="151" s="1"/>
  <c r="G60" i="151" s="1"/>
  <c r="D40" i="151"/>
  <c r="E40" i="151" s="1"/>
  <c r="G40" i="151" s="1"/>
  <c r="C41" i="151"/>
  <c r="E41" i="151" s="1"/>
  <c r="C51" i="151"/>
  <c r="E51" i="151" s="1"/>
  <c r="G51" i="151" s="1"/>
  <c r="I51" i="151" s="1"/>
  <c r="J51" i="151" s="1"/>
  <c r="C55" i="151"/>
  <c r="E55" i="151" s="1"/>
  <c r="G55" i="151" s="1"/>
  <c r="C48" i="151"/>
  <c r="E48" i="151" s="1"/>
  <c r="G48" i="151" s="1"/>
  <c r="H48" i="151" s="1"/>
  <c r="C53" i="151"/>
  <c r="E53" i="151" s="1"/>
  <c r="G53" i="151" s="1"/>
  <c r="I53" i="151" s="1"/>
  <c r="J53" i="151" s="1"/>
  <c r="C44" i="151"/>
  <c r="E44" i="151" s="1"/>
  <c r="G44" i="151" s="1"/>
  <c r="C46" i="151"/>
  <c r="E46" i="151" s="1"/>
  <c r="G46" i="151" s="1"/>
  <c r="I46" i="151" s="1"/>
  <c r="J46" i="151" s="1"/>
  <c r="C56" i="151"/>
  <c r="E56" i="151" s="1"/>
  <c r="G56" i="151" s="1"/>
  <c r="H56" i="151" s="1"/>
  <c r="C61" i="151"/>
  <c r="E61" i="151" s="1"/>
  <c r="G61" i="151" s="1"/>
  <c r="I61" i="151" s="1"/>
  <c r="J61" i="151" s="1"/>
  <c r="C43" i="151"/>
  <c r="E43" i="151" s="1"/>
  <c r="G43" i="151" s="1"/>
  <c r="C58" i="151"/>
  <c r="E58" i="151" s="1"/>
  <c r="G58" i="151" s="1"/>
  <c r="I58" i="151" s="1"/>
  <c r="J58" i="151" s="1"/>
  <c r="C49" i="151"/>
  <c r="A23" i="151"/>
  <c r="E50" i="151"/>
  <c r="G50" i="151" s="1"/>
  <c r="H58" i="151"/>
  <c r="E49" i="151"/>
  <c r="G49" i="151" s="1"/>
  <c r="I56" i="151"/>
  <c r="J56" i="151" s="1"/>
  <c r="E42" i="151"/>
  <c r="G42" i="151" s="1"/>
  <c r="C20" i="150"/>
  <c r="C21" i="150" s="1"/>
  <c r="C22" i="150" s="1"/>
  <c r="C23" i="150" s="1"/>
  <c r="C24" i="150" s="1"/>
  <c r="C25" i="150" s="1"/>
  <c r="C26" i="150" s="1"/>
  <c r="C27" i="150" s="1"/>
  <c r="C28" i="150" s="1"/>
  <c r="C29" i="150" s="1"/>
  <c r="C30" i="150" s="1"/>
  <c r="C31" i="150" s="1"/>
  <c r="C32" i="150" s="1"/>
  <c r="C33" i="150" s="1"/>
  <c r="C34" i="150" s="1"/>
  <c r="C35" i="150" s="1"/>
  <c r="C36" i="150" s="1"/>
  <c r="C37" i="150" s="1"/>
  <c r="C38" i="150" s="1"/>
  <c r="C39" i="150" s="1"/>
  <c r="K17" i="149"/>
  <c r="K18" i="149"/>
  <c r="A40" i="149"/>
  <c r="A48" i="149"/>
  <c r="G34" i="149"/>
  <c r="B46" i="149"/>
  <c r="A72" i="149"/>
  <c r="B72" i="149" s="1"/>
  <c r="A41" i="149"/>
  <c r="A84" i="149"/>
  <c r="K14" i="149"/>
  <c r="D34" i="149"/>
  <c r="A45" i="149"/>
  <c r="K16" i="149"/>
  <c r="F34" i="149"/>
  <c r="A83" i="149"/>
  <c r="I138" i="149"/>
  <c r="A95" i="149"/>
  <c r="A146" i="149"/>
  <c r="A69" i="149"/>
  <c r="A92" i="149"/>
  <c r="A80" i="149"/>
  <c r="E138" i="149"/>
  <c r="A142" i="149"/>
  <c r="A130" i="149"/>
  <c r="B37" i="149" a="1"/>
  <c r="E37" i="149" s="1"/>
  <c r="B23" i="149" a="1"/>
  <c r="C23" i="149" s="1"/>
  <c r="C25" i="149" s="1"/>
  <c r="M7" i="149"/>
  <c r="D138" i="149"/>
  <c r="A117" i="149"/>
  <c r="A129" i="149"/>
  <c r="E121" i="149"/>
  <c r="D121" i="149" s="1"/>
  <c r="A79" i="149"/>
  <c r="A67" i="149"/>
  <c r="C72" i="149"/>
  <c r="I87" i="149"/>
  <c r="A91" i="149"/>
  <c r="E118" i="149"/>
  <c r="D118" i="149" s="1"/>
  <c r="E120" i="149"/>
  <c r="D120" i="149" s="1"/>
  <c r="A65" i="149"/>
  <c r="A77" i="149"/>
  <c r="G87" i="149"/>
  <c r="A81" i="149"/>
  <c r="A133" i="149"/>
  <c r="B42" i="149"/>
  <c r="B41" i="149"/>
  <c r="B48" i="149"/>
  <c r="B40" i="149"/>
  <c r="B44" i="149"/>
  <c r="C87" i="149"/>
  <c r="C138" i="149"/>
  <c r="A128" i="149"/>
  <c r="A116" i="149"/>
  <c r="A140" i="149"/>
  <c r="A132" i="149"/>
  <c r="A144" i="149"/>
  <c r="G138" i="149"/>
  <c r="A141" i="149"/>
  <c r="B43" i="149"/>
  <c r="A66" i="149"/>
  <c r="A78" i="149"/>
  <c r="D84" i="149"/>
  <c r="D87" i="149"/>
  <c r="E115" i="149"/>
  <c r="D115" i="149" s="1"/>
  <c r="H138" i="149"/>
  <c r="H87" i="149"/>
  <c r="A94" i="149"/>
  <c r="A82" i="149"/>
  <c r="A70" i="149"/>
  <c r="A44" i="149"/>
  <c r="A43" i="149"/>
  <c r="A42" i="149"/>
  <c r="A46" i="149"/>
  <c r="B45" i="149"/>
  <c r="E84" i="149"/>
  <c r="E87" i="149"/>
  <c r="A89" i="149"/>
  <c r="A127" i="149"/>
  <c r="A139" i="149"/>
  <c r="B138" i="149"/>
  <c r="A143" i="149"/>
  <c r="A119" i="149"/>
  <c r="F138" i="149"/>
  <c r="A131" i="149"/>
  <c r="A145" i="149"/>
  <c r="K15" i="149"/>
  <c r="E34" i="149"/>
  <c r="K19" i="149"/>
  <c r="I34" i="149"/>
  <c r="A123" i="149"/>
  <c r="J138" i="149"/>
  <c r="A135" i="149"/>
  <c r="K12" i="149"/>
  <c r="K20" i="149"/>
  <c r="B34" i="149"/>
  <c r="J34" i="149"/>
  <c r="A122" i="149"/>
  <c r="F65" i="148"/>
  <c r="G64" i="148"/>
  <c r="G63" i="148"/>
  <c r="F21" i="147"/>
  <c r="E20" i="146"/>
  <c r="B29" i="144"/>
  <c r="F29" i="144"/>
  <c r="E29" i="144"/>
  <c r="D29" i="144"/>
  <c r="C29" i="144"/>
  <c r="G29" i="144"/>
  <c r="T18" i="142"/>
  <c r="R18" i="142"/>
  <c r="R19" i="142"/>
  <c r="T17" i="142"/>
  <c r="R17" i="142"/>
  <c r="R16" i="142"/>
  <c r="R15" i="142"/>
  <c r="R14" i="142"/>
  <c r="R13" i="142"/>
  <c r="P15" i="142"/>
  <c r="P19" i="142"/>
  <c r="P16" i="142"/>
  <c r="E20" i="140"/>
  <c r="F22" i="137"/>
  <c r="J14" i="135"/>
  <c r="H13" i="135"/>
  <c r="B35" i="134"/>
  <c r="B36" i="134" s="1"/>
  <c r="B24" i="133"/>
  <c r="C24" i="133"/>
  <c r="C22" i="133"/>
  <c r="C21" i="133"/>
  <c r="D21" i="133"/>
  <c r="D24" i="133"/>
  <c r="D22" i="133"/>
  <c r="B21" i="133"/>
  <c r="B22" i="133"/>
  <c r="C31" i="132"/>
  <c r="D31" i="132"/>
  <c r="B17" i="132"/>
  <c r="B18" i="132" s="1"/>
  <c r="B21" i="132" s="1"/>
  <c r="E28" i="132"/>
  <c r="B32" i="132" s="1"/>
  <c r="C28" i="132"/>
  <c r="B19" i="132"/>
  <c r="B22" i="132" s="1"/>
  <c r="B15" i="130"/>
  <c r="B17" i="130"/>
  <c r="B20" i="130" s="1"/>
  <c r="B23" i="130" s="1"/>
  <c r="H15" i="129"/>
  <c r="I15" i="129" s="1"/>
  <c r="K15" i="129" s="1"/>
  <c r="H14" i="129"/>
  <c r="I14" i="129" s="1"/>
  <c r="K14" i="129" s="1"/>
  <c r="H16" i="129"/>
  <c r="I16" i="129" s="1"/>
  <c r="H17" i="129"/>
  <c r="I17" i="129" s="1"/>
  <c r="H13" i="129"/>
  <c r="I13" i="129" s="1"/>
  <c r="B25" i="129"/>
  <c r="H20" i="129"/>
  <c r="I20" i="129" s="1"/>
  <c r="H11" i="129"/>
  <c r="I11" i="129" s="1"/>
  <c r="H19" i="129"/>
  <c r="I19" i="129" s="1"/>
  <c r="H10" i="129"/>
  <c r="I10" i="129" s="1"/>
  <c r="H18" i="129"/>
  <c r="I18" i="129" s="1"/>
  <c r="H12" i="129"/>
  <c r="I12" i="129" s="1"/>
  <c r="H9" i="129"/>
  <c r="E16" i="128"/>
  <c r="F16" i="128" s="1"/>
  <c r="H16" i="128" s="1"/>
  <c r="E11" i="128"/>
  <c r="F11" i="128" s="1"/>
  <c r="H11" i="128" s="1"/>
  <c r="E13" i="128"/>
  <c r="F13" i="128" s="1"/>
  <c r="E10" i="128"/>
  <c r="F10" i="128" s="1"/>
  <c r="E15" i="128"/>
  <c r="F15" i="128" s="1"/>
  <c r="E14" i="128"/>
  <c r="F14" i="128" s="1"/>
  <c r="E12" i="128"/>
  <c r="F12" i="128" s="1"/>
  <c r="B21" i="128"/>
  <c r="G11" i="127"/>
  <c r="D12" i="127"/>
  <c r="E12" i="127" s="1"/>
  <c r="F12" i="127" s="1"/>
  <c r="D13" i="127" s="1"/>
  <c r="E13" i="127"/>
  <c r="H16" i="126"/>
  <c r="G16" i="126"/>
  <c r="I16" i="126" s="1"/>
  <c r="H19" i="126"/>
  <c r="G19" i="126"/>
  <c r="I19" i="126" s="1"/>
  <c r="H20" i="126"/>
  <c r="G20" i="126"/>
  <c r="I20" i="126" s="1"/>
  <c r="H17" i="126"/>
  <c r="G17" i="126"/>
  <c r="I17" i="126" s="1"/>
  <c r="H18" i="126"/>
  <c r="G18" i="126"/>
  <c r="I18" i="126" s="1"/>
  <c r="H12" i="126"/>
  <c r="F21" i="126"/>
  <c r="F22" i="126"/>
  <c r="G12" i="126"/>
  <c r="G13" i="126"/>
  <c r="I13" i="126" s="1"/>
  <c r="H13" i="126"/>
  <c r="G14" i="126"/>
  <c r="I14" i="126" s="1"/>
  <c r="H14" i="126"/>
  <c r="G15" i="126"/>
  <c r="I15" i="126" s="1"/>
  <c r="E12" i="125"/>
  <c r="F12" i="125" s="1"/>
  <c r="H12" i="125" s="1"/>
  <c r="E11" i="125"/>
  <c r="F11" i="125" s="1"/>
  <c r="E9" i="125"/>
  <c r="E14" i="125"/>
  <c r="F14" i="125" s="1"/>
  <c r="B19" i="125"/>
  <c r="E13" i="125"/>
  <c r="F13" i="125" s="1"/>
  <c r="E10" i="125"/>
  <c r="F10" i="125" s="1"/>
  <c r="C23" i="124"/>
  <c r="F12" i="124"/>
  <c r="C24" i="124"/>
  <c r="G12" i="124"/>
  <c r="E12" i="124"/>
  <c r="E16" i="124" s="1"/>
  <c r="E15" i="124"/>
  <c r="E17" i="124" s="1"/>
  <c r="F22" i="124"/>
  <c r="E22" i="124"/>
  <c r="B23" i="124"/>
  <c r="B24" i="124"/>
  <c r="B23" i="122"/>
  <c r="A28" i="122"/>
  <c r="H53" i="151" l="1"/>
  <c r="G12" i="158"/>
  <c r="G17" i="158" s="1"/>
  <c r="F13" i="127"/>
  <c r="B26" i="133"/>
  <c r="F134" i="149"/>
  <c r="G12" i="127"/>
  <c r="D26" i="133"/>
  <c r="H47" i="151"/>
  <c r="G41" i="151"/>
  <c r="E8" i="151" s="1"/>
  <c r="B18" i="151"/>
  <c r="C18" i="151" s="1"/>
  <c r="E12" i="151"/>
  <c r="D45" i="148"/>
  <c r="D41" i="148"/>
  <c r="C43" i="148"/>
  <c r="D42" i="148"/>
  <c r="D44" i="148"/>
  <c r="D40" i="148"/>
  <c r="C41" i="148"/>
  <c r="D43" i="148"/>
  <c r="C40" i="148"/>
  <c r="C26" i="133"/>
  <c r="D10" i="156"/>
  <c r="G17" i="159"/>
  <c r="E32" i="159"/>
  <c r="E24" i="159"/>
  <c r="C14" i="159"/>
  <c r="C18" i="159"/>
  <c r="E27" i="159"/>
  <c r="C13" i="159"/>
  <c r="E28" i="159"/>
  <c r="C17" i="159"/>
  <c r="E29" i="159"/>
  <c r="C15" i="159"/>
  <c r="E30" i="159"/>
  <c r="C12" i="159"/>
  <c r="E31" i="159"/>
  <c r="E26" i="159"/>
  <c r="E25" i="159"/>
  <c r="C11" i="159"/>
  <c r="C10" i="159"/>
  <c r="C16" i="159"/>
  <c r="D29" i="159"/>
  <c r="D28" i="159"/>
  <c r="D31" i="159"/>
  <c r="D32" i="159"/>
  <c r="D24" i="159"/>
  <c r="D27" i="159"/>
  <c r="D26" i="159"/>
  <c r="D30" i="159"/>
  <c r="D25" i="159"/>
  <c r="C26" i="159"/>
  <c r="C29" i="159"/>
  <c r="C28" i="159"/>
  <c r="C32" i="159"/>
  <c r="C24" i="159"/>
  <c r="C30" i="159"/>
  <c r="C27" i="159"/>
  <c r="C25" i="159"/>
  <c r="C31" i="159"/>
  <c r="C48" i="158"/>
  <c r="C40" i="158"/>
  <c r="C39" i="158"/>
  <c r="C51" i="158"/>
  <c r="C43" i="158"/>
  <c r="C35" i="158"/>
  <c r="C44" i="158"/>
  <c r="C42" i="158"/>
  <c r="C54" i="158"/>
  <c r="C46" i="158"/>
  <c r="C38" i="158"/>
  <c r="C52" i="158"/>
  <c r="C36" i="158"/>
  <c r="C50" i="158"/>
  <c r="C45" i="158"/>
  <c r="C37" i="158"/>
  <c r="C49" i="158"/>
  <c r="C41" i="158"/>
  <c r="C47" i="158"/>
  <c r="C53" i="158"/>
  <c r="G15" i="158"/>
  <c r="D51" i="158"/>
  <c r="D43" i="158"/>
  <c r="D35" i="158"/>
  <c r="D48" i="158"/>
  <c r="D54" i="158"/>
  <c r="D46" i="158"/>
  <c r="D38" i="158"/>
  <c r="D50" i="158"/>
  <c r="D49" i="158"/>
  <c r="D41" i="158"/>
  <c r="D42" i="158"/>
  <c r="D52" i="158"/>
  <c r="D44" i="158"/>
  <c r="D36" i="158"/>
  <c r="D47" i="158"/>
  <c r="D39" i="158"/>
  <c r="D53" i="158"/>
  <c r="D45" i="158"/>
  <c r="D37" i="158"/>
  <c r="D40" i="158"/>
  <c r="A9" i="154"/>
  <c r="G9" i="154"/>
  <c r="A10" i="154" s="1"/>
  <c r="J18" i="153"/>
  <c r="J19" i="153"/>
  <c r="K19" i="153" s="1"/>
  <c r="E12" i="153" s="1"/>
  <c r="J23" i="153"/>
  <c r="J22" i="153"/>
  <c r="J21" i="153"/>
  <c r="J20" i="153"/>
  <c r="H60" i="151"/>
  <c r="I60" i="151"/>
  <c r="J60" i="151" s="1"/>
  <c r="H59" i="151"/>
  <c r="I52" i="151"/>
  <c r="J52" i="151" s="1"/>
  <c r="H46" i="151"/>
  <c r="H61" i="151"/>
  <c r="H44" i="151"/>
  <c r="I44" i="151"/>
  <c r="J44" i="151" s="1"/>
  <c r="H43" i="151"/>
  <c r="I43" i="151"/>
  <c r="J43" i="151" s="1"/>
  <c r="H51" i="151"/>
  <c r="H57" i="151"/>
  <c r="I48" i="151"/>
  <c r="J48" i="151" s="1"/>
  <c r="H45" i="151"/>
  <c r="I40" i="151"/>
  <c r="J40" i="151" s="1"/>
  <c r="H40" i="151"/>
  <c r="B23" i="151"/>
  <c r="A24" i="151"/>
  <c r="H49" i="151"/>
  <c r="I49" i="151"/>
  <c r="J49" i="151" s="1"/>
  <c r="I41" i="151"/>
  <c r="J41" i="151" s="1"/>
  <c r="I54" i="151"/>
  <c r="J54" i="151" s="1"/>
  <c r="H54" i="151"/>
  <c r="H55" i="151"/>
  <c r="I55" i="151"/>
  <c r="J55" i="151" s="1"/>
  <c r="I42" i="151"/>
  <c r="J42" i="151" s="1"/>
  <c r="H42" i="151"/>
  <c r="I50" i="151"/>
  <c r="J50" i="151" s="1"/>
  <c r="H50" i="151"/>
  <c r="D41" i="149"/>
  <c r="F83" i="149"/>
  <c r="C84" i="149"/>
  <c r="F84" i="149"/>
  <c r="B23" i="149"/>
  <c r="B27" i="149" s="1"/>
  <c r="C43" i="149" s="1"/>
  <c r="C37" i="149"/>
  <c r="C30" i="149"/>
  <c r="D46" i="149" s="1"/>
  <c r="F130" i="149"/>
  <c r="C24" i="149"/>
  <c r="D40" i="149" s="1"/>
  <c r="H37" i="149"/>
  <c r="D37" i="149"/>
  <c r="J37" i="149"/>
  <c r="F37" i="149"/>
  <c r="D23" i="149"/>
  <c r="D25" i="149" s="1"/>
  <c r="E41" i="149" s="1"/>
  <c r="G37" i="149"/>
  <c r="C28" i="149"/>
  <c r="D44" i="149" s="1"/>
  <c r="I37" i="149"/>
  <c r="C29" i="149"/>
  <c r="D45" i="149" s="1"/>
  <c r="C32" i="149"/>
  <c r="J23" i="149"/>
  <c r="J27" i="149" s="1"/>
  <c r="F80" i="149"/>
  <c r="E23" i="149"/>
  <c r="E28" i="149" s="1"/>
  <c r="F44" i="149" s="1"/>
  <c r="C26" i="149"/>
  <c r="D42" i="149" s="1"/>
  <c r="H23" i="149"/>
  <c r="H24" i="149" s="1"/>
  <c r="I40" i="149" s="1"/>
  <c r="B37" i="149"/>
  <c r="G23" i="149"/>
  <c r="G31" i="149" s="1"/>
  <c r="H47" i="149" s="1"/>
  <c r="C76" i="149"/>
  <c r="C27" i="149"/>
  <c r="D43" i="149" s="1"/>
  <c r="I23" i="149"/>
  <c r="I31" i="149" s="1"/>
  <c r="J47" i="149" s="1"/>
  <c r="C31" i="149"/>
  <c r="D47" i="149" s="1"/>
  <c r="F23" i="149"/>
  <c r="F27" i="149" s="1"/>
  <c r="G43" i="149" s="1"/>
  <c r="E122" i="149"/>
  <c r="D122" i="149" s="1"/>
  <c r="F132" i="149"/>
  <c r="E132" i="149"/>
  <c r="F81" i="149"/>
  <c r="E81" i="149"/>
  <c r="C123" i="149"/>
  <c r="B123" i="149"/>
  <c r="E123" i="149"/>
  <c r="F123" i="149"/>
  <c r="D123" i="149"/>
  <c r="E129" i="149"/>
  <c r="F129" i="149"/>
  <c r="E117" i="149"/>
  <c r="D117" i="149" s="1"/>
  <c r="E127" i="149"/>
  <c r="D127" i="149"/>
  <c r="C127" i="149"/>
  <c r="F127" i="149"/>
  <c r="F131" i="149"/>
  <c r="E131" i="149"/>
  <c r="D24" i="149"/>
  <c r="E40" i="149" s="1"/>
  <c r="D29" i="149"/>
  <c r="E45" i="149" s="1"/>
  <c r="E76" i="149"/>
  <c r="E116" i="149"/>
  <c r="D116" i="149" s="1"/>
  <c r="F133" i="149"/>
  <c r="D77" i="149"/>
  <c r="C77" i="149"/>
  <c r="F77" i="149"/>
  <c r="E77" i="149"/>
  <c r="E135" i="149"/>
  <c r="D135" i="149"/>
  <c r="C135" i="149"/>
  <c r="F135" i="149"/>
  <c r="E80" i="149"/>
  <c r="F76" i="149"/>
  <c r="F82" i="149"/>
  <c r="E119" i="149"/>
  <c r="D119" i="149" s="1"/>
  <c r="F78" i="149"/>
  <c r="E78" i="149"/>
  <c r="E128" i="149"/>
  <c r="F128" i="149"/>
  <c r="D128" i="149"/>
  <c r="C128" i="149"/>
  <c r="D76" i="149"/>
  <c r="E130" i="149"/>
  <c r="F79" i="149"/>
  <c r="E79" i="149"/>
  <c r="G65" i="148"/>
  <c r="F66" i="148"/>
  <c r="C32" i="132"/>
  <c r="B33" i="132"/>
  <c r="D32" i="132"/>
  <c r="B26" i="132"/>
  <c r="E31" i="132"/>
  <c r="J14" i="129"/>
  <c r="L14" i="129" s="1"/>
  <c r="J15" i="129"/>
  <c r="L15" i="129" s="1"/>
  <c r="K12" i="129"/>
  <c r="J12" i="129"/>
  <c r="L12" i="129" s="1"/>
  <c r="J13" i="129"/>
  <c r="L13" i="129" s="1"/>
  <c r="K13" i="129"/>
  <c r="K18" i="129"/>
  <c r="J18" i="129"/>
  <c r="L18" i="129" s="1"/>
  <c r="K19" i="129"/>
  <c r="J19" i="129"/>
  <c r="L19" i="129" s="1"/>
  <c r="K26" i="129"/>
  <c r="I9" i="129"/>
  <c r="K16" i="129"/>
  <c r="J16" i="129"/>
  <c r="L16" i="129" s="1"/>
  <c r="K11" i="129"/>
  <c r="J11" i="129"/>
  <c r="L11" i="129" s="1"/>
  <c r="J17" i="129"/>
  <c r="L17" i="129" s="1"/>
  <c r="K17" i="129"/>
  <c r="K10" i="129"/>
  <c r="J10" i="129"/>
  <c r="L10" i="129" s="1"/>
  <c r="K20" i="129"/>
  <c r="J20" i="129"/>
  <c r="L20" i="129" s="1"/>
  <c r="G16" i="128"/>
  <c r="I16" i="128" s="1"/>
  <c r="G11" i="128"/>
  <c r="I11" i="128" s="1"/>
  <c r="G14" i="128"/>
  <c r="I14" i="128" s="1"/>
  <c r="H14" i="128"/>
  <c r="H15" i="128"/>
  <c r="G15" i="128"/>
  <c r="I15" i="128" s="1"/>
  <c r="G10" i="128"/>
  <c r="F17" i="128"/>
  <c r="H10" i="128"/>
  <c r="F18" i="128"/>
  <c r="H13" i="128"/>
  <c r="G13" i="128"/>
  <c r="I13" i="128" s="1"/>
  <c r="H12" i="128"/>
  <c r="G12" i="128"/>
  <c r="I12" i="128" s="1"/>
  <c r="H11" i="127"/>
  <c r="J11" i="127" s="1"/>
  <c r="I11" i="127"/>
  <c r="D14" i="127"/>
  <c r="E14" i="127" s="1"/>
  <c r="F14" i="127" s="1"/>
  <c r="G13" i="127"/>
  <c r="H25" i="126"/>
  <c r="H21" i="126"/>
  <c r="H24" i="126" s="1"/>
  <c r="H22" i="126"/>
  <c r="G21" i="126"/>
  <c r="I12" i="126"/>
  <c r="G22" i="126"/>
  <c r="G12" i="125"/>
  <c r="I12" i="125" s="1"/>
  <c r="H10" i="125"/>
  <c r="G10" i="125"/>
  <c r="I10" i="125" s="1"/>
  <c r="H13" i="125"/>
  <c r="G13" i="125"/>
  <c r="I13" i="125" s="1"/>
  <c r="H14" i="125"/>
  <c r="G14" i="125"/>
  <c r="I14" i="125" s="1"/>
  <c r="H20" i="125"/>
  <c r="F9" i="125"/>
  <c r="G11" i="125"/>
  <c r="I11" i="125" s="1"/>
  <c r="H11" i="125"/>
  <c r="F24" i="124"/>
  <c r="E24" i="124"/>
  <c r="E23" i="124"/>
  <c r="F23" i="124"/>
  <c r="B28" i="122"/>
  <c r="C28" i="122"/>
  <c r="D27" i="149" l="1"/>
  <c r="E43" i="149" s="1"/>
  <c r="D28" i="149"/>
  <c r="E44" i="149" s="1"/>
  <c r="D31" i="149"/>
  <c r="E47" i="149" s="1"/>
  <c r="D30" i="149"/>
  <c r="E46" i="149" s="1"/>
  <c r="D32" i="149"/>
  <c r="E32" i="149"/>
  <c r="D26" i="149"/>
  <c r="E42" i="149" s="1"/>
  <c r="E9" i="151"/>
  <c r="E10" i="151"/>
  <c r="E11" i="151" s="1"/>
  <c r="H41" i="151"/>
  <c r="B29" i="148"/>
  <c r="F25" i="124"/>
  <c r="B20" i="151"/>
  <c r="B19" i="151"/>
  <c r="C19" i="151" s="1"/>
  <c r="C20" i="151" s="1"/>
  <c r="C21" i="151" s="1"/>
  <c r="B21" i="151"/>
  <c r="B22" i="151"/>
  <c r="E25" i="124"/>
  <c r="H30" i="149"/>
  <c r="I46" i="149" s="1"/>
  <c r="B30" i="148"/>
  <c r="B32" i="148"/>
  <c r="I12" i="127"/>
  <c r="H12" i="127"/>
  <c r="J12" i="127" s="1"/>
  <c r="E54" i="158"/>
  <c r="E46" i="158"/>
  <c r="E38" i="158"/>
  <c r="E49" i="158"/>
  <c r="E41" i="158"/>
  <c r="E50" i="158"/>
  <c r="E48" i="158"/>
  <c r="E35" i="158"/>
  <c r="E23" i="158"/>
  <c r="E11" i="158"/>
  <c r="E52" i="158"/>
  <c r="E44" i="158"/>
  <c r="E36" i="158"/>
  <c r="E42" i="158"/>
  <c r="E53" i="158"/>
  <c r="E40" i="158"/>
  <c r="E51" i="158"/>
  <c r="E27" i="158"/>
  <c r="E15" i="158"/>
  <c r="E47" i="158"/>
  <c r="E39" i="158"/>
  <c r="E45" i="158"/>
  <c r="E37" i="158"/>
  <c r="E43" i="158"/>
  <c r="E19" i="158"/>
  <c r="E14" i="158"/>
  <c r="E10" i="158"/>
  <c r="E20" i="158"/>
  <c r="E22" i="158"/>
  <c r="E18" i="158"/>
  <c r="E12" i="158"/>
  <c r="E17" i="158"/>
  <c r="E26" i="158"/>
  <c r="E13" i="158"/>
  <c r="E29" i="158"/>
  <c r="E25" i="158"/>
  <c r="E16" i="158"/>
  <c r="E28" i="158"/>
  <c r="E21" i="158"/>
  <c r="E24" i="158"/>
  <c r="G10" i="154"/>
  <c r="B19" i="153"/>
  <c r="B22" i="153"/>
  <c r="B21" i="153"/>
  <c r="B20" i="153"/>
  <c r="B23" i="153"/>
  <c r="C18" i="153"/>
  <c r="B18" i="153"/>
  <c r="A25" i="151"/>
  <c r="B24" i="151"/>
  <c r="J30" i="149"/>
  <c r="B25" i="149"/>
  <c r="C41" i="149" s="1"/>
  <c r="E30" i="149"/>
  <c r="F46" i="149" s="1"/>
  <c r="B32" i="149"/>
  <c r="B26" i="149"/>
  <c r="C42" i="149" s="1"/>
  <c r="B31" i="149"/>
  <c r="C47" i="149" s="1"/>
  <c r="G25" i="149"/>
  <c r="H41" i="149" s="1"/>
  <c r="B24" i="149"/>
  <c r="C40" i="149" s="1"/>
  <c r="B28" i="149"/>
  <c r="C44" i="149" s="1"/>
  <c r="B29" i="149"/>
  <c r="C45" i="149" s="1"/>
  <c r="B30" i="149"/>
  <c r="C46" i="149" s="1"/>
  <c r="H29" i="149"/>
  <c r="I45" i="149" s="1"/>
  <c r="H32" i="149"/>
  <c r="H26" i="149"/>
  <c r="I42" i="149" s="1"/>
  <c r="J29" i="149"/>
  <c r="H28" i="149"/>
  <c r="I44" i="149" s="1"/>
  <c r="J28" i="149"/>
  <c r="G26" i="149"/>
  <c r="H42" i="149" s="1"/>
  <c r="H31" i="149"/>
  <c r="I47" i="149" s="1"/>
  <c r="G24" i="149"/>
  <c r="H40" i="149" s="1"/>
  <c r="J24" i="149"/>
  <c r="G30" i="149"/>
  <c r="H46" i="149" s="1"/>
  <c r="H27" i="149"/>
  <c r="I43" i="149" s="1"/>
  <c r="J26" i="149"/>
  <c r="G28" i="149"/>
  <c r="H44" i="149" s="1"/>
  <c r="G32" i="149"/>
  <c r="E113" i="149"/>
  <c r="J31" i="149"/>
  <c r="G27" i="149"/>
  <c r="H43" i="149" s="1"/>
  <c r="F25" i="149"/>
  <c r="G41" i="149" s="1"/>
  <c r="H25" i="149"/>
  <c r="I41" i="149" s="1"/>
  <c r="J25" i="149"/>
  <c r="J32" i="149"/>
  <c r="G29" i="149"/>
  <c r="H45" i="149" s="1"/>
  <c r="F31" i="149"/>
  <c r="G47" i="149" s="1"/>
  <c r="E29" i="149"/>
  <c r="F45" i="149" s="1"/>
  <c r="I25" i="149"/>
  <c r="J41" i="149" s="1"/>
  <c r="E27" i="149"/>
  <c r="F43" i="149" s="1"/>
  <c r="E26" i="149"/>
  <c r="F42" i="149" s="1"/>
  <c r="E25" i="149"/>
  <c r="F41" i="149" s="1"/>
  <c r="I26" i="149"/>
  <c r="J42" i="149" s="1"/>
  <c r="E31" i="149"/>
  <c r="F47" i="149" s="1"/>
  <c r="I30" i="149"/>
  <c r="J46" i="149" s="1"/>
  <c r="E24" i="149"/>
  <c r="F40" i="149" s="1"/>
  <c r="F24" i="149"/>
  <c r="G40" i="149" s="1"/>
  <c r="F26" i="149"/>
  <c r="G42" i="149" s="1"/>
  <c r="F28" i="149"/>
  <c r="G44" i="149" s="1"/>
  <c r="I28" i="149"/>
  <c r="J44" i="149" s="1"/>
  <c r="F29" i="149"/>
  <c r="G45" i="149" s="1"/>
  <c r="F32" i="149"/>
  <c r="F30" i="149"/>
  <c r="G46" i="149" s="1"/>
  <c r="I24" i="149"/>
  <c r="J40" i="149" s="1"/>
  <c r="I29" i="149"/>
  <c r="J45" i="149" s="1"/>
  <c r="I32" i="149"/>
  <c r="B64" i="149"/>
  <c r="C64" i="149" s="1"/>
  <c r="I27" i="149"/>
  <c r="J43" i="149" s="1"/>
  <c r="B115" i="149"/>
  <c r="C115" i="149" s="1"/>
  <c r="B116" i="149"/>
  <c r="C116" i="149" s="1"/>
  <c r="B65" i="149"/>
  <c r="C65" i="149" s="1"/>
  <c r="J147" i="149"/>
  <c r="F67" i="148"/>
  <c r="G66" i="148"/>
  <c r="D33" i="132"/>
  <c r="B34" i="132"/>
  <c r="C33" i="132"/>
  <c r="E33" i="132" s="1"/>
  <c r="E32" i="132"/>
  <c r="I22" i="129"/>
  <c r="I21" i="129"/>
  <c r="J9" i="129"/>
  <c r="K9" i="129"/>
  <c r="H17" i="128"/>
  <c r="H18" i="128"/>
  <c r="G17" i="128"/>
  <c r="G18" i="128"/>
  <c r="I10" i="128"/>
  <c r="D15" i="127"/>
  <c r="G14" i="127"/>
  <c r="I13" i="127"/>
  <c r="H13" i="127"/>
  <c r="J13" i="127" s="1"/>
  <c r="E15" i="127"/>
  <c r="F15" i="127" s="1"/>
  <c r="I22" i="126"/>
  <c r="I21" i="126"/>
  <c r="F16" i="125"/>
  <c r="F15" i="125"/>
  <c r="G9" i="125"/>
  <c r="H9" i="125"/>
  <c r="E22" i="34"/>
  <c r="E21" i="34"/>
  <c r="E20" i="34"/>
  <c r="K19" i="34"/>
  <c r="E19" i="34"/>
  <c r="K18" i="34"/>
  <c r="E18" i="34"/>
  <c r="K17" i="34"/>
  <c r="J17" i="34"/>
  <c r="J18" i="34"/>
  <c r="J19" i="34" s="1"/>
  <c r="I17" i="34"/>
  <c r="I18" i="34" s="1"/>
  <c r="E17" i="34"/>
  <c r="D17" i="34"/>
  <c r="D18" i="34" s="1"/>
  <c r="D19" i="34" s="1"/>
  <c r="D20" i="34" s="1"/>
  <c r="D21" i="34" s="1"/>
  <c r="D22" i="34" s="1"/>
  <c r="C17" i="34"/>
  <c r="C18" i="34" s="1"/>
  <c r="C19" i="34" s="1"/>
  <c r="C20" i="34" s="1"/>
  <c r="C21" i="34" s="1"/>
  <c r="F13" i="34"/>
  <c r="B13" i="34"/>
  <c r="F12" i="34"/>
  <c r="B12" i="34"/>
  <c r="F11" i="34"/>
  <c r="B11" i="34"/>
  <c r="F10" i="34"/>
  <c r="B10" i="34"/>
  <c r="F9" i="34"/>
  <c r="B9" i="34"/>
  <c r="F8" i="34"/>
  <c r="B8" i="34"/>
  <c r="F7" i="34"/>
  <c r="B7" i="34"/>
  <c r="F6" i="34"/>
  <c r="B6" i="34"/>
  <c r="F5" i="34"/>
  <c r="B5" i="34"/>
  <c r="F4" i="34"/>
  <c r="B4" i="34"/>
  <c r="B217" i="113"/>
  <c r="B216" i="113"/>
  <c r="B215" i="113"/>
  <c r="B214" i="113"/>
  <c r="B213" i="113"/>
  <c r="B212" i="113"/>
  <c r="B211" i="113"/>
  <c r="B210" i="113"/>
  <c r="B209" i="113"/>
  <c r="B208" i="113"/>
  <c r="B207" i="113"/>
  <c r="B206" i="113"/>
  <c r="B205" i="113"/>
  <c r="B204" i="113"/>
  <c r="B203" i="113"/>
  <c r="B202" i="113"/>
  <c r="B201" i="113"/>
  <c r="B200" i="113"/>
  <c r="B199" i="113"/>
  <c r="B198" i="113"/>
  <c r="B197" i="113"/>
  <c r="B196" i="113"/>
  <c r="B195" i="113"/>
  <c r="B194" i="113"/>
  <c r="B193" i="113"/>
  <c r="B192" i="113"/>
  <c r="B191" i="113"/>
  <c r="B190" i="113"/>
  <c r="B189" i="113"/>
  <c r="B188" i="113"/>
  <c r="B187" i="113"/>
  <c r="B186" i="113"/>
  <c r="B185" i="113"/>
  <c r="B184" i="113"/>
  <c r="B183" i="113"/>
  <c r="B182" i="113"/>
  <c r="B181" i="113"/>
  <c r="B180" i="113"/>
  <c r="B179" i="113"/>
  <c r="B178" i="113"/>
  <c r="B177" i="113"/>
  <c r="B176" i="113"/>
  <c r="B175" i="113"/>
  <c r="B174" i="113"/>
  <c r="B173" i="113"/>
  <c r="B172" i="113"/>
  <c r="B171" i="113"/>
  <c r="B170" i="113"/>
  <c r="B169" i="113"/>
  <c r="B168" i="113"/>
  <c r="B167" i="113"/>
  <c r="B166" i="113"/>
  <c r="B165" i="113"/>
  <c r="B164" i="113"/>
  <c r="B163" i="113"/>
  <c r="B162" i="113"/>
  <c r="B161" i="113"/>
  <c r="B160" i="113"/>
  <c r="B159" i="113"/>
  <c r="B158" i="113"/>
  <c r="B157" i="113"/>
  <c r="B156" i="113"/>
  <c r="B155" i="113"/>
  <c r="B154" i="113"/>
  <c r="B153" i="113"/>
  <c r="B152" i="113"/>
  <c r="B151" i="113"/>
  <c r="B150" i="113"/>
  <c r="B149" i="113"/>
  <c r="B148" i="113"/>
  <c r="B147" i="113"/>
  <c r="B146" i="113"/>
  <c r="B145" i="113"/>
  <c r="B144" i="113"/>
  <c r="B143" i="113"/>
  <c r="B142" i="113"/>
  <c r="B141" i="113"/>
  <c r="B140" i="113"/>
  <c r="B139" i="113"/>
  <c r="B138" i="113"/>
  <c r="B137" i="113"/>
  <c r="B136" i="113"/>
  <c r="B135" i="113"/>
  <c r="B134" i="113"/>
  <c r="B133" i="113"/>
  <c r="B132" i="113"/>
  <c r="B131" i="113"/>
  <c r="B130" i="113"/>
  <c r="B129" i="113"/>
  <c r="B128" i="113"/>
  <c r="B127" i="113"/>
  <c r="B126" i="113"/>
  <c r="B125" i="113"/>
  <c r="B124" i="113"/>
  <c r="B123" i="113"/>
  <c r="B122" i="113"/>
  <c r="B121" i="113"/>
  <c r="B120" i="113"/>
  <c r="B119" i="113"/>
  <c r="B118" i="113"/>
  <c r="B117" i="113"/>
  <c r="B116" i="113"/>
  <c r="B115" i="113"/>
  <c r="B114" i="113"/>
  <c r="B113" i="113"/>
  <c r="B112" i="113"/>
  <c r="B111" i="113"/>
  <c r="B110" i="113"/>
  <c r="B109" i="113"/>
  <c r="B108" i="113"/>
  <c r="B107" i="113"/>
  <c r="B106" i="113"/>
  <c r="B105" i="113"/>
  <c r="B104" i="113"/>
  <c r="B103" i="113"/>
  <c r="B102" i="113"/>
  <c r="B101" i="113"/>
  <c r="B100" i="113"/>
  <c r="B99" i="113"/>
  <c r="B98" i="113"/>
  <c r="B97" i="113"/>
  <c r="B96" i="113"/>
  <c r="B95" i="113"/>
  <c r="B94" i="113"/>
  <c r="B93" i="113"/>
  <c r="B92" i="113"/>
  <c r="B91" i="113"/>
  <c r="B90" i="113"/>
  <c r="B89" i="113"/>
  <c r="B88" i="113"/>
  <c r="B87" i="113"/>
  <c r="B86" i="113"/>
  <c r="B85" i="113"/>
  <c r="B84" i="113"/>
  <c r="B83" i="113"/>
  <c r="B82" i="113"/>
  <c r="B81" i="113"/>
  <c r="B80" i="113"/>
  <c r="B79" i="113"/>
  <c r="B78" i="113"/>
  <c r="B77" i="113"/>
  <c r="B76" i="113"/>
  <c r="B75" i="113"/>
  <c r="B74" i="113"/>
  <c r="B73" i="113"/>
  <c r="B72" i="113"/>
  <c r="B71" i="113"/>
  <c r="B70" i="113"/>
  <c r="B69" i="113"/>
  <c r="B68" i="113"/>
  <c r="B67" i="113"/>
  <c r="B66" i="113"/>
  <c r="B65" i="113"/>
  <c r="B64" i="113"/>
  <c r="B63" i="113"/>
  <c r="B62" i="113"/>
  <c r="B61" i="113"/>
  <c r="B60" i="113"/>
  <c r="B59" i="113"/>
  <c r="B58" i="113"/>
  <c r="B57" i="113"/>
  <c r="B56" i="113"/>
  <c r="B55" i="113"/>
  <c r="B54" i="113"/>
  <c r="B53" i="113"/>
  <c r="B52" i="113"/>
  <c r="B51" i="113"/>
  <c r="B50" i="113"/>
  <c r="B49" i="113"/>
  <c r="B48" i="113"/>
  <c r="B47" i="113"/>
  <c r="B46" i="113"/>
  <c r="B45" i="113"/>
  <c r="B44" i="113"/>
  <c r="B43" i="113"/>
  <c r="B42" i="113"/>
  <c r="B41" i="113"/>
  <c r="B40" i="113"/>
  <c r="B39" i="113"/>
  <c r="B38" i="113"/>
  <c r="B37" i="113"/>
  <c r="B36" i="113"/>
  <c r="B35" i="113"/>
  <c r="B34" i="113"/>
  <c r="B33" i="113"/>
  <c r="B32" i="113"/>
  <c r="B31" i="113"/>
  <c r="B30" i="113"/>
  <c r="B29" i="113"/>
  <c r="B28" i="113"/>
  <c r="B27" i="113"/>
  <c r="B26" i="113"/>
  <c r="B25" i="113"/>
  <c r="B24" i="113"/>
  <c r="B23" i="113"/>
  <c r="B22" i="113"/>
  <c r="B21" i="113"/>
  <c r="B20" i="113"/>
  <c r="B19" i="113"/>
  <c r="B18" i="113"/>
  <c r="D14" i="113"/>
  <c r="F13" i="113" s="1"/>
  <c r="J13" i="113"/>
  <c r="H13" i="113"/>
  <c r="J12" i="113"/>
  <c r="H12" i="113"/>
  <c r="J11" i="113"/>
  <c r="H11" i="113"/>
  <c r="F11" i="113"/>
  <c r="J10" i="113"/>
  <c r="H10" i="113"/>
  <c r="J9" i="113"/>
  <c r="H9" i="113"/>
  <c r="J8" i="113"/>
  <c r="H8" i="113"/>
  <c r="F8" i="113"/>
  <c r="G8" i="113" s="1"/>
  <c r="C6" i="108"/>
  <c r="C5" i="108"/>
  <c r="E11" i="107"/>
  <c r="E10" i="107"/>
  <c r="E9" i="107"/>
  <c r="E8" i="107"/>
  <c r="E5" i="107"/>
  <c r="F8" i="106"/>
  <c r="E8" i="106"/>
  <c r="D8" i="106"/>
  <c r="C8" i="106"/>
  <c r="B8" i="106"/>
  <c r="D5" i="106"/>
  <c r="G7" i="105"/>
  <c r="F7" i="105"/>
  <c r="E7" i="105"/>
  <c r="D7" i="105"/>
  <c r="C7" i="105"/>
  <c r="B7" i="105"/>
  <c r="E12" i="104"/>
  <c r="E11" i="104"/>
  <c r="D7" i="104"/>
  <c r="C7" i="104"/>
  <c r="B7" i="104"/>
  <c r="I10" i="103"/>
  <c r="I9" i="103"/>
  <c r="I8" i="103"/>
  <c r="I7" i="103"/>
  <c r="I5" i="103"/>
  <c r="H11" i="102"/>
  <c r="H10" i="102"/>
  <c r="H9" i="102"/>
  <c r="H8" i="102"/>
  <c r="H5" i="102"/>
  <c r="E9" i="101"/>
  <c r="E8" i="101"/>
  <c r="E5" i="101"/>
  <c r="D10" i="100"/>
  <c r="D9" i="100"/>
  <c r="D8" i="100"/>
  <c r="D5" i="100"/>
  <c r="D9" i="99"/>
  <c r="D8" i="99"/>
  <c r="D5" i="99"/>
  <c r="F12" i="92"/>
  <c r="J12" i="92" s="1"/>
  <c r="F11" i="92"/>
  <c r="J11" i="92" s="1"/>
  <c r="F10" i="92"/>
  <c r="J10" i="92" s="1"/>
  <c r="F9" i="92"/>
  <c r="J9" i="92" s="1"/>
  <c r="F6" i="92"/>
  <c r="E6" i="91"/>
  <c r="E9" i="91"/>
  <c r="I9" i="91" s="1"/>
  <c r="E10" i="91"/>
  <c r="I10" i="91" s="1"/>
  <c r="E11" i="91"/>
  <c r="I11" i="91" s="1"/>
  <c r="E12" i="91"/>
  <c r="I12" i="91" s="1"/>
  <c r="E13" i="91"/>
  <c r="I13" i="91" s="1"/>
  <c r="F14" i="90"/>
  <c r="F13" i="90"/>
  <c r="F12" i="90"/>
  <c r="F11" i="90"/>
  <c r="F10" i="90"/>
  <c r="F9" i="90"/>
  <c r="F8" i="90"/>
  <c r="F5" i="90"/>
  <c r="H14" i="89"/>
  <c r="H13" i="89"/>
  <c r="H12" i="89"/>
  <c r="H11" i="89"/>
  <c r="H10" i="89"/>
  <c r="H9" i="89"/>
  <c r="H8" i="89"/>
  <c r="H5" i="89"/>
  <c r="H18" i="88"/>
  <c r="L18" i="88" s="1"/>
  <c r="H17" i="88"/>
  <c r="L17" i="88" s="1"/>
  <c r="H16" i="88"/>
  <c r="L16" i="88" s="1"/>
  <c r="H15" i="88"/>
  <c r="L15" i="88" s="1"/>
  <c r="H14" i="88"/>
  <c r="L14" i="88" s="1"/>
  <c r="H13" i="88"/>
  <c r="L13" i="88" s="1"/>
  <c r="H12" i="88"/>
  <c r="L12" i="88" s="1"/>
  <c r="H11" i="88"/>
  <c r="L11" i="88" s="1"/>
  <c r="H10" i="88"/>
  <c r="L10" i="88" s="1"/>
  <c r="H9" i="88"/>
  <c r="L9" i="88" s="1"/>
  <c r="H6" i="88"/>
  <c r="E38" i="87"/>
  <c r="D38" i="87"/>
  <c r="C38" i="87"/>
  <c r="B38" i="87"/>
  <c r="E37" i="87"/>
  <c r="D37" i="87"/>
  <c r="C37" i="87"/>
  <c r="B37" i="87"/>
  <c r="E36" i="87"/>
  <c r="D36" i="87"/>
  <c r="C36" i="87"/>
  <c r="B36" i="87"/>
  <c r="E35" i="87"/>
  <c r="D35" i="87"/>
  <c r="C35" i="87"/>
  <c r="C39" i="87" s="1"/>
  <c r="B35" i="87"/>
  <c r="B39" i="87" s="1"/>
  <c r="R31" i="87"/>
  <c r="R30" i="87"/>
  <c r="R29" i="87"/>
  <c r="R28" i="87"/>
  <c r="R26" i="87"/>
  <c r="V26" i="87" s="1"/>
  <c r="R25" i="87"/>
  <c r="V25" i="87" s="1"/>
  <c r="R24" i="87"/>
  <c r="V24" i="87" s="1"/>
  <c r="R23" i="87"/>
  <c r="V23" i="87" s="1"/>
  <c r="V22" i="87"/>
  <c r="R22" i="87"/>
  <c r="R21" i="87"/>
  <c r="V21" i="87" s="1"/>
  <c r="R20" i="87"/>
  <c r="V20" i="87" s="1"/>
  <c r="R19" i="87"/>
  <c r="V19" i="87" s="1"/>
  <c r="R17" i="87"/>
  <c r="R16" i="87"/>
  <c r="R15" i="87"/>
  <c r="R14" i="87"/>
  <c r="R13" i="87"/>
  <c r="R12" i="87"/>
  <c r="R11" i="87"/>
  <c r="R10" i="87"/>
  <c r="R9" i="87"/>
  <c r="R8" i="87"/>
  <c r="R5" i="87"/>
  <c r="E28" i="86"/>
  <c r="D28" i="86"/>
  <c r="C28" i="86"/>
  <c r="B28" i="86"/>
  <c r="E27" i="86"/>
  <c r="D27" i="86"/>
  <c r="C27" i="86"/>
  <c r="B27" i="86"/>
  <c r="E26" i="86"/>
  <c r="E29" i="86" s="1"/>
  <c r="E30" i="86" s="1"/>
  <c r="E6" i="86" s="1"/>
  <c r="D26" i="86"/>
  <c r="C26" i="86"/>
  <c r="C29" i="86" s="1"/>
  <c r="C30" i="86" s="1"/>
  <c r="C6" i="86" s="1"/>
  <c r="B26" i="86"/>
  <c r="B29" i="86"/>
  <c r="B30" i="86" s="1"/>
  <c r="B6" i="86" s="1"/>
  <c r="F19" i="86"/>
  <c r="J19" i="86" s="1"/>
  <c r="F18" i="86"/>
  <c r="J18" i="86" s="1"/>
  <c r="F17" i="86"/>
  <c r="J17" i="86"/>
  <c r="F16" i="86"/>
  <c r="J16" i="86"/>
  <c r="F15" i="86"/>
  <c r="J15" i="86" s="1"/>
  <c r="F14" i="86"/>
  <c r="J14" i="86" s="1"/>
  <c r="F13" i="86"/>
  <c r="J13" i="86" s="1"/>
  <c r="F12" i="86"/>
  <c r="J12" i="86" s="1"/>
  <c r="F11" i="86"/>
  <c r="J11" i="86" s="1"/>
  <c r="F10" i="86"/>
  <c r="J10" i="86" s="1"/>
  <c r="F9" i="86"/>
  <c r="J9" i="86" s="1"/>
  <c r="H12" i="85"/>
  <c r="H11" i="85"/>
  <c r="H10" i="85"/>
  <c r="H9" i="85"/>
  <c r="H8" i="85"/>
  <c r="H5" i="85"/>
  <c r="F15" i="84"/>
  <c r="F14" i="84"/>
  <c r="F13" i="84"/>
  <c r="F12" i="84"/>
  <c r="F11" i="84"/>
  <c r="F10" i="84"/>
  <c r="F9" i="84"/>
  <c r="F6" i="84"/>
  <c r="D9" i="82"/>
  <c r="D8" i="82"/>
  <c r="D5" i="82"/>
  <c r="D10" i="81"/>
  <c r="D9" i="81"/>
  <c r="D8" i="81"/>
  <c r="D5" i="81"/>
  <c r="D9" i="80"/>
  <c r="D8" i="80"/>
  <c r="D5" i="80"/>
  <c r="B14" i="75"/>
  <c r="C13" i="75"/>
  <c r="B13" i="75"/>
  <c r="C8" i="75"/>
  <c r="D8" i="75" s="1"/>
  <c r="D7" i="75"/>
  <c r="B4" i="74"/>
  <c r="C4" i="74"/>
  <c r="B5" i="74"/>
  <c r="B6" i="74" s="1"/>
  <c r="C5" i="74"/>
  <c r="C6" i="74"/>
  <c r="B4" i="73"/>
  <c r="B5" i="73" s="1"/>
  <c r="B12" i="72"/>
  <c r="B6" i="72"/>
  <c r="B6" i="71"/>
  <c r="B7" i="71" s="1"/>
  <c r="C8" i="57"/>
  <c r="C7" i="57"/>
  <c r="C6" i="56"/>
  <c r="C5" i="56"/>
  <c r="C4" i="56"/>
  <c r="C3" i="56"/>
  <c r="C2" i="56"/>
  <c r="A6" i="42"/>
  <c r="A4" i="42"/>
  <c r="A22" i="42"/>
  <c r="A12" i="42"/>
  <c r="A5" i="42"/>
  <c r="A7" i="42"/>
  <c r="A8" i="42"/>
  <c r="A9" i="42"/>
  <c r="A10" i="42"/>
  <c r="A11" i="42"/>
  <c r="A13" i="42"/>
  <c r="A14" i="42"/>
  <c r="A15" i="42"/>
  <c r="A16" i="42"/>
  <c r="A17" i="42"/>
  <c r="A18" i="42"/>
  <c r="A19" i="42"/>
  <c r="A20" i="42"/>
  <c r="A21" i="42"/>
  <c r="A23" i="42"/>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62" i="42"/>
  <c r="A63" i="42"/>
  <c r="A64" i="42"/>
  <c r="A65" i="42"/>
  <c r="A66" i="42"/>
  <c r="A67" i="42"/>
  <c r="A68" i="42"/>
  <c r="A69" i="42"/>
  <c r="A70" i="42"/>
  <c r="A71" i="42"/>
  <c r="A72" i="42"/>
  <c r="A73" i="42"/>
  <c r="A74" i="42"/>
  <c r="A75" i="42"/>
  <c r="A76" i="42"/>
  <c r="A77" i="42"/>
  <c r="A78" i="42"/>
  <c r="A79" i="42"/>
  <c r="A80" i="42"/>
  <c r="A81" i="42"/>
  <c r="A82" i="42"/>
  <c r="A83" i="42"/>
  <c r="A84" i="42"/>
  <c r="A85" i="42"/>
  <c r="A86" i="42"/>
  <c r="A87" i="42"/>
  <c r="A88" i="42"/>
  <c r="A89" i="42"/>
  <c r="A90" i="42"/>
  <c r="A91" i="42"/>
  <c r="A92" i="42"/>
  <c r="A93" i="42"/>
  <c r="A94" i="42"/>
  <c r="A95" i="42"/>
  <c r="A96" i="42"/>
  <c r="A97" i="42"/>
  <c r="A98" i="42"/>
  <c r="A99" i="42"/>
  <c r="A100" i="42"/>
  <c r="A101" i="42"/>
  <c r="A102" i="42"/>
  <c r="A103" i="42"/>
  <c r="A104" i="42"/>
  <c r="A105" i="42"/>
  <c r="A106" i="42"/>
  <c r="A107" i="42"/>
  <c r="A108" i="42"/>
  <c r="A109" i="42"/>
  <c r="A110" i="42"/>
  <c r="A111" i="42"/>
  <c r="A112" i="42"/>
  <c r="A113" i="42"/>
  <c r="A114" i="42"/>
  <c r="A115" i="42"/>
  <c r="A116" i="42"/>
  <c r="A117" i="42"/>
  <c r="A118" i="42"/>
  <c r="A119" i="42"/>
  <c r="A120" i="42"/>
  <c r="A121" i="42"/>
  <c r="A122" i="42"/>
  <c r="A123" i="42"/>
  <c r="A124" i="42"/>
  <c r="A125" i="42"/>
  <c r="A126" i="42"/>
  <c r="A127" i="42"/>
  <c r="A128" i="42"/>
  <c r="A129" i="42"/>
  <c r="A130" i="42"/>
  <c r="A131" i="42"/>
  <c r="A132" i="42"/>
  <c r="A133" i="42"/>
  <c r="A134" i="42"/>
  <c r="A135" i="42"/>
  <c r="A136" i="42"/>
  <c r="A137" i="42"/>
  <c r="A138" i="42"/>
  <c r="A139" i="42"/>
  <c r="A140" i="42"/>
  <c r="A141" i="42"/>
  <c r="A142" i="42"/>
  <c r="A143" i="42"/>
  <c r="A144" i="42"/>
  <c r="A145" i="42"/>
  <c r="A146" i="42"/>
  <c r="A147" i="42"/>
  <c r="A148" i="42"/>
  <c r="A149" i="42"/>
  <c r="A150" i="42"/>
  <c r="A151" i="42"/>
  <c r="A152" i="42"/>
  <c r="A153" i="42"/>
  <c r="A154" i="42"/>
  <c r="A155" i="42"/>
  <c r="A156" i="42"/>
  <c r="A157" i="42"/>
  <c r="A158" i="42"/>
  <c r="A159" i="42"/>
  <c r="A160" i="42"/>
  <c r="A161" i="42"/>
  <c r="A162" i="42"/>
  <c r="A163" i="42"/>
  <c r="A164" i="42"/>
  <c r="A165" i="42"/>
  <c r="A166" i="42"/>
  <c r="A167" i="42"/>
  <c r="A168" i="42"/>
  <c r="A169" i="42"/>
  <c r="A170" i="42"/>
  <c r="A171" i="42"/>
  <c r="A172" i="42"/>
  <c r="A173" i="42"/>
  <c r="A174" i="42"/>
  <c r="A175" i="42"/>
  <c r="A176" i="42"/>
  <c r="A177" i="42"/>
  <c r="A178" i="42"/>
  <c r="A179" i="42"/>
  <c r="A180" i="42"/>
  <c r="A181" i="42"/>
  <c r="A182" i="42"/>
  <c r="A183" i="42"/>
  <c r="A184" i="42"/>
  <c r="A185" i="42"/>
  <c r="A186" i="42"/>
  <c r="A187" i="42"/>
  <c r="A188" i="42"/>
  <c r="A189" i="42"/>
  <c r="A190" i="42"/>
  <c r="A191" i="42"/>
  <c r="A192" i="42"/>
  <c r="A193" i="42"/>
  <c r="A194" i="42"/>
  <c r="A195" i="42"/>
  <c r="A196" i="42"/>
  <c r="A197" i="42"/>
  <c r="A198" i="42"/>
  <c r="A199" i="42"/>
  <c r="A200" i="42"/>
  <c r="A201" i="42"/>
  <c r="A202" i="42"/>
  <c r="A203" i="42"/>
  <c r="T5" i="43"/>
  <c r="T6" i="43"/>
  <c r="T7" i="43"/>
  <c r="T8" i="43"/>
  <c r="T9" i="43"/>
  <c r="T10" i="43"/>
  <c r="T11" i="43"/>
  <c r="T12" i="43"/>
  <c r="T13" i="43"/>
  <c r="T14" i="43"/>
  <c r="T15" i="43"/>
  <c r="T16" i="43"/>
  <c r="T17" i="43"/>
  <c r="T18" i="43"/>
  <c r="T19" i="43"/>
  <c r="T20" i="43"/>
  <c r="T21" i="43"/>
  <c r="T22" i="43"/>
  <c r="T23" i="43"/>
  <c r="T24" i="43"/>
  <c r="T25" i="43"/>
  <c r="T4" i="43"/>
  <c r="C5" i="53"/>
  <c r="C6" i="53"/>
  <c r="C7" i="53"/>
  <c r="C8" i="53"/>
  <c r="C9" i="53"/>
  <c r="C10" i="53"/>
  <c r="C11" i="53"/>
  <c r="C12" i="53"/>
  <c r="C13" i="53"/>
  <c r="C14" i="53"/>
  <c r="C15" i="53"/>
  <c r="C4" i="53"/>
  <c r="H3" i="36"/>
  <c r="D3" i="36"/>
  <c r="C4" i="36" s="1"/>
  <c r="H4" i="36"/>
  <c r="H5" i="36"/>
  <c r="H6" i="36"/>
  <c r="H7" i="36"/>
  <c r="H8" i="36"/>
  <c r="H9" i="36"/>
  <c r="H10" i="36"/>
  <c r="H11" i="36"/>
  <c r="H12" i="36"/>
  <c r="D17" i="35"/>
  <c r="D18" i="35"/>
  <c r="D19" i="35" s="1"/>
  <c r="D20" i="35" s="1"/>
  <c r="D21" i="35" s="1"/>
  <c r="D22" i="35" s="1"/>
  <c r="C17" i="35"/>
  <c r="C18" i="35" s="1"/>
  <c r="C19" i="35" s="1"/>
  <c r="C20" i="35" s="1"/>
  <c r="C21" i="35" s="1"/>
  <c r="J17" i="35"/>
  <c r="J18" i="35" s="1"/>
  <c r="J19" i="35" s="1"/>
  <c r="J20" i="35" s="1"/>
  <c r="J21" i="35" s="1"/>
  <c r="I17" i="35"/>
  <c r="I18" i="35" s="1"/>
  <c r="I19" i="35" s="1"/>
  <c r="I20" i="35" s="1"/>
  <c r="I21" i="35" s="1"/>
  <c r="C4" i="35"/>
  <c r="F4" i="35"/>
  <c r="C5" i="35"/>
  <c r="F5" i="35"/>
  <c r="C6" i="35"/>
  <c r="F6" i="35"/>
  <c r="C7" i="35"/>
  <c r="F7" i="35"/>
  <c r="C8" i="35"/>
  <c r="F8" i="35"/>
  <c r="C9" i="35"/>
  <c r="F9" i="35"/>
  <c r="C10" i="35"/>
  <c r="F10" i="35"/>
  <c r="C11" i="35"/>
  <c r="F11" i="35"/>
  <c r="C12" i="35"/>
  <c r="F12" i="35"/>
  <c r="C13" i="35"/>
  <c r="F13" i="35"/>
  <c r="B7" i="33" a="1"/>
  <c r="C7" i="33" s="1"/>
  <c r="D9" i="32" a="1"/>
  <c r="E10" i="32" s="1"/>
  <c r="B17" i="49"/>
  <c r="B16" i="49"/>
  <c r="C17" i="49"/>
  <c r="D18" i="49"/>
  <c r="I17" i="49" s="1"/>
  <c r="D9" i="49"/>
  <c r="B11" i="49" s="1"/>
  <c r="C9" i="49"/>
  <c r="B10" i="49" s="1"/>
  <c r="D10" i="49"/>
  <c r="B5" i="49"/>
  <c r="B4" i="49"/>
  <c r="B6" i="49" s="1"/>
  <c r="C5" i="49"/>
  <c r="C6" i="49" s="1"/>
  <c r="H4" i="49" s="1"/>
  <c r="D6" i="49"/>
  <c r="I3" i="49" s="1"/>
  <c r="D21" i="49"/>
  <c r="D24" i="49" s="1"/>
  <c r="C21" i="49"/>
  <c r="C24" i="49" s="1"/>
  <c r="C23" i="49"/>
  <c r="I21" i="49"/>
  <c r="F19" i="50"/>
  <c r="F14" i="50" a="1"/>
  <c r="F9" i="50" a="1"/>
  <c r="G10" i="50" s="1"/>
  <c r="G9" i="50"/>
  <c r="I5" i="49"/>
  <c r="D7" i="33"/>
  <c r="C7" i="56" l="1"/>
  <c r="D6" i="56" s="1"/>
  <c r="B23" i="49"/>
  <c r="C22" i="151"/>
  <c r="C23" i="151" s="1"/>
  <c r="C24" i="151" s="1"/>
  <c r="B22" i="49"/>
  <c r="B24" i="49" s="1"/>
  <c r="G21" i="49" s="1"/>
  <c r="B18" i="49"/>
  <c r="G15" i="49" s="1"/>
  <c r="C19" i="153"/>
  <c r="C20" i="153" s="1"/>
  <c r="C21" i="153" s="1"/>
  <c r="C22" i="153" s="1"/>
  <c r="C23" i="153" s="1"/>
  <c r="E8" i="153"/>
  <c r="G3" i="49"/>
  <c r="G5" i="49"/>
  <c r="G4" i="49"/>
  <c r="B12" i="49"/>
  <c r="G11" i="49" s="1"/>
  <c r="D13" i="35"/>
  <c r="B7" i="33"/>
  <c r="B8" i="33" s="1" a="1"/>
  <c r="B8" i="33" s="1"/>
  <c r="H21" i="49"/>
  <c r="F10" i="50"/>
  <c r="I4" i="49"/>
  <c r="G10" i="35"/>
  <c r="G8" i="35"/>
  <c r="G6" i="35"/>
  <c r="D4" i="36"/>
  <c r="C14" i="75"/>
  <c r="D13" i="75"/>
  <c r="E39" i="87"/>
  <c r="F10" i="113"/>
  <c r="E8" i="104"/>
  <c r="B65" i="148"/>
  <c r="H66" i="148" s="1"/>
  <c r="C32" i="148"/>
  <c r="C46" i="148" s="1"/>
  <c r="D9" i="32"/>
  <c r="F9" i="50"/>
  <c r="D4" i="35"/>
  <c r="E4" i="35" s="1"/>
  <c r="D3" i="56"/>
  <c r="C18" i="49"/>
  <c r="H17" i="49" s="1"/>
  <c r="G11" i="35"/>
  <c r="G9" i="35"/>
  <c r="G7" i="35"/>
  <c r="D5" i="56"/>
  <c r="D29" i="86"/>
  <c r="D30" i="86" s="1"/>
  <c r="D6" i="86" s="1"/>
  <c r="F9" i="113"/>
  <c r="F12" i="113"/>
  <c r="E13" i="153"/>
  <c r="B63" i="148"/>
  <c r="C30" i="148"/>
  <c r="B62" i="148"/>
  <c r="C29" i="148"/>
  <c r="C42" i="148" s="1"/>
  <c r="B31" i="148" s="1"/>
  <c r="A11" i="154"/>
  <c r="G11" i="154"/>
  <c r="B25" i="151"/>
  <c r="A26" i="151"/>
  <c r="D78" i="149"/>
  <c r="C78" i="149"/>
  <c r="D79" i="149"/>
  <c r="C79" i="149"/>
  <c r="D130" i="149"/>
  <c r="C130" i="149"/>
  <c r="D129" i="149"/>
  <c r="C129" i="149"/>
  <c r="D80" i="149"/>
  <c r="D81" i="149"/>
  <c r="D132" i="149"/>
  <c r="D131" i="149"/>
  <c r="F116" i="149"/>
  <c r="F115" i="149"/>
  <c r="F68" i="148"/>
  <c r="G67" i="148"/>
  <c r="D34" i="132"/>
  <c r="C34" i="132"/>
  <c r="B35" i="132"/>
  <c r="K22" i="129"/>
  <c r="K21" i="129"/>
  <c r="K24" i="129" s="1"/>
  <c r="J21" i="129"/>
  <c r="J22" i="129"/>
  <c r="L9" i="129"/>
  <c r="I18" i="128"/>
  <c r="I17" i="128"/>
  <c r="D16" i="127"/>
  <c r="E16" i="127" s="1"/>
  <c r="F16" i="127" s="1"/>
  <c r="G15" i="127"/>
  <c r="H15" i="127" s="1"/>
  <c r="I14" i="127"/>
  <c r="H14" i="127"/>
  <c r="J14" i="127" s="1"/>
  <c r="G15" i="125"/>
  <c r="I9" i="125"/>
  <c r="G16" i="125"/>
  <c r="H16" i="125"/>
  <c r="H15" i="125"/>
  <c r="H18" i="125" s="1"/>
  <c r="C22" i="35"/>
  <c r="D11" i="35" s="1"/>
  <c r="D12" i="35"/>
  <c r="D10" i="35"/>
  <c r="E6" i="108"/>
  <c r="D6" i="108"/>
  <c r="C7" i="108" s="1"/>
  <c r="F6" i="86"/>
  <c r="J21" i="49"/>
  <c r="G22" i="49"/>
  <c r="C11" i="49"/>
  <c r="D12" i="49"/>
  <c r="I10" i="49" s="1"/>
  <c r="D4" i="42" a="1"/>
  <c r="G15" i="50"/>
  <c r="G14" i="50"/>
  <c r="F14" i="50"/>
  <c r="F15" i="50"/>
  <c r="I16" i="49"/>
  <c r="I15" i="49"/>
  <c r="H3" i="49"/>
  <c r="H5" i="49"/>
  <c r="J5" i="49" s="1"/>
  <c r="G29" i="49" s="1"/>
  <c r="E9" i="32"/>
  <c r="D10" i="32"/>
  <c r="G23" i="49"/>
  <c r="H22" i="49"/>
  <c r="H23" i="49"/>
  <c r="D8" i="35"/>
  <c r="D6" i="35"/>
  <c r="G17" i="49"/>
  <c r="G11" i="106"/>
  <c r="G10" i="106"/>
  <c r="G12" i="106"/>
  <c r="G16" i="49"/>
  <c r="G12" i="35"/>
  <c r="G4" i="35"/>
  <c r="H13" i="105"/>
  <c r="H8" i="105"/>
  <c r="H12" i="105"/>
  <c r="D9" i="35"/>
  <c r="C22" i="34"/>
  <c r="C7" i="34" s="1"/>
  <c r="C13" i="34"/>
  <c r="C9" i="34"/>
  <c r="C4" i="34"/>
  <c r="D4" i="34" s="1"/>
  <c r="C8" i="34"/>
  <c r="I23" i="49"/>
  <c r="I22" i="49"/>
  <c r="G13" i="35"/>
  <c r="G5" i="35"/>
  <c r="H11" i="105"/>
  <c r="D8" i="33"/>
  <c r="J3" i="49"/>
  <c r="D4" i="56"/>
  <c r="D2" i="56"/>
  <c r="D14" i="75"/>
  <c r="D39" i="87"/>
  <c r="D9" i="75"/>
  <c r="E7" i="75" s="1"/>
  <c r="C6" i="34"/>
  <c r="A9" i="113"/>
  <c r="G9" i="113"/>
  <c r="G13" i="34"/>
  <c r="I19" i="34"/>
  <c r="G8" i="34" s="1"/>
  <c r="G12" i="34"/>
  <c r="G11" i="34"/>
  <c r="C11" i="34"/>
  <c r="C10" i="34"/>
  <c r="C8" i="33" l="1"/>
  <c r="G9" i="34"/>
  <c r="C25" i="151"/>
  <c r="G10" i="34"/>
  <c r="G6" i="34"/>
  <c r="H4" i="35"/>
  <c r="B5" i="35" s="1"/>
  <c r="G9" i="49"/>
  <c r="J23" i="49"/>
  <c r="D12" i="32" a="1"/>
  <c r="D12" i="32" s="1"/>
  <c r="J4" i="49"/>
  <c r="G28" i="49" s="1"/>
  <c r="G10" i="49"/>
  <c r="G5" i="34"/>
  <c r="C12" i="34"/>
  <c r="J17" i="49"/>
  <c r="I29" i="49" s="1"/>
  <c r="E34" i="132"/>
  <c r="C31" i="148"/>
  <c r="B64" i="148"/>
  <c r="H67" i="148" s="1"/>
  <c r="H15" i="49"/>
  <c r="J15" i="49" s="1"/>
  <c r="H16" i="49"/>
  <c r="J16" i="49" s="1"/>
  <c r="I28" i="49" s="1"/>
  <c r="D5" i="36"/>
  <c r="C5" i="36"/>
  <c r="G12" i="154"/>
  <c r="A12" i="154"/>
  <c r="A27" i="151"/>
  <c r="B26" i="151"/>
  <c r="C26" i="151" s="1"/>
  <c r="B67" i="149"/>
  <c r="C67" i="149" s="1"/>
  <c r="B118" i="149"/>
  <c r="B117" i="149"/>
  <c r="C82" i="149"/>
  <c r="B66" i="149"/>
  <c r="C66" i="149" s="1"/>
  <c r="E83" i="149"/>
  <c r="H68" i="148"/>
  <c r="F69" i="148"/>
  <c r="G68" i="148"/>
  <c r="C35" i="132"/>
  <c r="D35" i="132"/>
  <c r="B36" i="132"/>
  <c r="L22" i="129"/>
  <c r="L21" i="129"/>
  <c r="I15" i="127"/>
  <c r="D17" i="127"/>
  <c r="E17" i="127" s="1"/>
  <c r="F17" i="127" s="1"/>
  <c r="G16" i="127"/>
  <c r="I16" i="127" s="1"/>
  <c r="J15" i="127"/>
  <c r="I16" i="125"/>
  <c r="I15" i="125"/>
  <c r="D13" i="32"/>
  <c r="E12" i="32"/>
  <c r="E13" i="32"/>
  <c r="E7" i="108"/>
  <c r="D7" i="108"/>
  <c r="C8" i="108"/>
  <c r="E4" i="34"/>
  <c r="D17" i="42"/>
  <c r="D6" i="42"/>
  <c r="D4" i="42"/>
  <c r="D15" i="42"/>
  <c r="D8" i="42"/>
  <c r="D5" i="42"/>
  <c r="D19" i="42"/>
  <c r="D9" i="42"/>
  <c r="D18" i="42"/>
  <c r="D12" i="42"/>
  <c r="D14" i="42"/>
  <c r="D13" i="42"/>
  <c r="D16" i="42"/>
  <c r="D11" i="42"/>
  <c r="D7" i="42"/>
  <c r="D10" i="42"/>
  <c r="G27" i="49"/>
  <c r="D15" i="75"/>
  <c r="E13" i="75" s="1"/>
  <c r="J22" i="49"/>
  <c r="L21" i="49" s="1" a="1"/>
  <c r="C5" i="34"/>
  <c r="D5" i="34" s="1"/>
  <c r="D5" i="35"/>
  <c r="I9" i="49"/>
  <c r="I11" i="49"/>
  <c r="A10" i="113"/>
  <c r="G10" i="113"/>
  <c r="D7" i="35"/>
  <c r="B9" i="33" a="1"/>
  <c r="G7" i="34"/>
  <c r="G4" i="34"/>
  <c r="D7" i="56"/>
  <c r="D8" i="56" s="1"/>
  <c r="E8" i="75"/>
  <c r="C12" i="49"/>
  <c r="E5" i="35" l="1"/>
  <c r="H5" i="35" s="1"/>
  <c r="B6" i="35" s="1"/>
  <c r="E6" i="35" s="1"/>
  <c r="L15" i="49" a="1"/>
  <c r="I27" i="49"/>
  <c r="C45" i="148"/>
  <c r="B34" i="148" s="1"/>
  <c r="C44" i="148"/>
  <c r="B33" i="148" s="1"/>
  <c r="C6" i="36"/>
  <c r="D6" i="36"/>
  <c r="L3" i="49" a="1"/>
  <c r="L3" i="49" s="1"/>
  <c r="E14" i="75"/>
  <c r="C576" i="154"/>
  <c r="C269" i="154"/>
  <c r="C666" i="154"/>
  <c r="C606" i="154"/>
  <c r="C303" i="154"/>
  <c r="C864" i="154"/>
  <c r="C425" i="154"/>
  <c r="C62" i="154"/>
  <c r="C687" i="154"/>
  <c r="C38" i="154"/>
  <c r="C810" i="154"/>
  <c r="C280" i="154"/>
  <c r="C481" i="154"/>
  <c r="C305" i="154"/>
  <c r="C230" i="154"/>
  <c r="C70" i="154"/>
  <c r="C105" i="154"/>
  <c r="C787" i="154"/>
  <c r="C190" i="154"/>
  <c r="C357" i="154"/>
  <c r="C1007" i="154"/>
  <c r="C85" i="154"/>
  <c r="C100" i="154"/>
  <c r="C647" i="154"/>
  <c r="C583" i="154"/>
  <c r="C995" i="154"/>
  <c r="C551" i="154"/>
  <c r="C677" i="154"/>
  <c r="C672" i="154"/>
  <c r="C656" i="154"/>
  <c r="C360" i="154"/>
  <c r="C239" i="154"/>
  <c r="C266" i="154"/>
  <c r="C943" i="154"/>
  <c r="C301" i="154"/>
  <c r="C641" i="154"/>
  <c r="C358" i="154"/>
  <c r="C60" i="154"/>
  <c r="C185" i="154"/>
  <c r="C420" i="154"/>
  <c r="C19" i="154"/>
  <c r="C43" i="154"/>
  <c r="C832" i="154"/>
  <c r="C802" i="154"/>
  <c r="C532" i="154"/>
  <c r="C188" i="154"/>
  <c r="C580" i="154"/>
  <c r="C282" i="154"/>
  <c r="C89" i="154"/>
  <c r="C229" i="154"/>
  <c r="C21" i="154"/>
  <c r="C509" i="154"/>
  <c r="C751" i="154"/>
  <c r="C545" i="154"/>
  <c r="C210" i="154"/>
  <c r="C108" i="154"/>
  <c r="C106" i="154"/>
  <c r="C930" i="154"/>
  <c r="C876" i="154"/>
  <c r="C319" i="154"/>
  <c r="C827" i="154"/>
  <c r="C665" i="154"/>
  <c r="C88" i="154"/>
  <c r="C569" i="154"/>
  <c r="C560" i="154"/>
  <c r="C894" i="154"/>
  <c r="C527" i="154"/>
  <c r="C238" i="154"/>
  <c r="C845" i="154"/>
  <c r="C850" i="154"/>
  <c r="C334" i="154"/>
  <c r="C39" i="154"/>
  <c r="C201" i="154"/>
  <c r="C534" i="154"/>
  <c r="C349" i="154"/>
  <c r="C125" i="154"/>
  <c r="C311" i="154"/>
  <c r="C584" i="154"/>
  <c r="C429" i="154"/>
  <c r="C727" i="154"/>
  <c r="C77" i="154"/>
  <c r="C477" i="154"/>
  <c r="C900" i="154"/>
  <c r="C904" i="154"/>
  <c r="C695" i="154"/>
  <c r="C529" i="154"/>
  <c r="C83" i="154"/>
  <c r="C215" i="154"/>
  <c r="C298" i="154"/>
  <c r="C830" i="154"/>
  <c r="C440" i="154"/>
  <c r="C749" i="154"/>
  <c r="C149" i="154"/>
  <c r="C770" i="154"/>
  <c r="C704" i="154"/>
  <c r="C819" i="154"/>
  <c r="C761" i="154"/>
  <c r="C98" i="154"/>
  <c r="C144" i="154"/>
  <c r="C176" i="154"/>
  <c r="C398" i="154"/>
  <c r="C1015" i="154"/>
  <c r="C614" i="154"/>
  <c r="C136" i="154"/>
  <c r="C507" i="154"/>
  <c r="C453" i="154"/>
  <c r="C407" i="154"/>
  <c r="C384" i="154"/>
  <c r="C340" i="154"/>
  <c r="C694" i="154"/>
  <c r="C118" i="154"/>
  <c r="C824" i="154"/>
  <c r="C1016" i="154"/>
  <c r="C335" i="154"/>
  <c r="C179" i="154"/>
  <c r="C273" i="154"/>
  <c r="C911" i="154"/>
  <c r="C553" i="154"/>
  <c r="C265" i="154"/>
  <c r="C146" i="154"/>
  <c r="C1004" i="154"/>
  <c r="C261" i="154"/>
  <c r="C702" i="154"/>
  <c r="C20" i="154"/>
  <c r="C902" i="154"/>
  <c r="C1013" i="154"/>
  <c r="C590" i="154"/>
  <c r="C103" i="154"/>
  <c r="C138" i="154"/>
  <c r="C212" i="154"/>
  <c r="C342" i="154"/>
  <c r="C367" i="154"/>
  <c r="C679" i="154"/>
  <c r="C585" i="154"/>
  <c r="C879" i="154"/>
  <c r="C154" i="154"/>
  <c r="C631" i="154"/>
  <c r="C792" i="154"/>
  <c r="C497" i="154"/>
  <c r="C923" i="154"/>
  <c r="C232" i="154"/>
  <c r="C851" i="154"/>
  <c r="C281" i="154"/>
  <c r="C880" i="154"/>
  <c r="C651" i="154"/>
  <c r="C733" i="154"/>
  <c r="C867" i="154"/>
  <c r="C842" i="154"/>
  <c r="C659" i="154"/>
  <c r="C182" i="154"/>
  <c r="C117" i="154"/>
  <c r="C309" i="154"/>
  <c r="C42" i="154"/>
  <c r="C586" i="154"/>
  <c r="C279" i="154"/>
  <c r="C706" i="154"/>
  <c r="C966" i="154"/>
  <c r="C78" i="154"/>
  <c r="C922" i="154"/>
  <c r="C581" i="154"/>
  <c r="C81" i="154"/>
  <c r="C714" i="154"/>
  <c r="C811" i="154"/>
  <c r="C946" i="154"/>
  <c r="C798" i="154"/>
  <c r="C82" i="154"/>
  <c r="C369" i="154"/>
  <c r="C474" i="154"/>
  <c r="C686" i="154"/>
  <c r="C296" i="154"/>
  <c r="C451" i="154"/>
  <c r="C530" i="154"/>
  <c r="C566" i="154"/>
  <c r="C463" i="154"/>
  <c r="C725" i="154"/>
  <c r="C634" i="154"/>
  <c r="C869" i="154"/>
  <c r="C485" i="154"/>
  <c r="C852" i="154"/>
  <c r="C343" i="154"/>
  <c r="C428" i="154"/>
  <c r="C626" i="154"/>
  <c r="C789" i="154"/>
  <c r="C211" i="154"/>
  <c r="C546" i="154"/>
  <c r="C363" i="154"/>
  <c r="C495" i="154"/>
  <c r="C778" i="154"/>
  <c r="C32" i="154"/>
  <c r="C759" i="154"/>
  <c r="C30" i="154"/>
  <c r="C204" i="154"/>
  <c r="C519" i="154"/>
  <c r="C54" i="154"/>
  <c r="C484" i="154"/>
  <c r="C216" i="154"/>
  <c r="C540" i="154"/>
  <c r="C95" i="154"/>
  <c r="C652" i="154"/>
  <c r="C882" i="154"/>
  <c r="C300" i="154"/>
  <c r="C177" i="154"/>
  <c r="C512" i="154"/>
  <c r="C969" i="154"/>
  <c r="C746" i="154"/>
  <c r="C24" i="154"/>
  <c r="C712" i="154"/>
  <c r="C148" i="154"/>
  <c r="C934" i="154"/>
  <c r="C976" i="154"/>
  <c r="C114" i="154"/>
  <c r="C123" i="154"/>
  <c r="C703" i="154"/>
  <c r="C224" i="154"/>
  <c r="C76" i="154"/>
  <c r="C762" i="154"/>
  <c r="C731" i="154"/>
  <c r="C157" i="154"/>
  <c r="C633" i="154"/>
  <c r="C92" i="154"/>
  <c r="C248" i="154"/>
  <c r="C884" i="154"/>
  <c r="C131" i="154"/>
  <c r="C111" i="154"/>
  <c r="C291" i="154"/>
  <c r="C777" i="154"/>
  <c r="C561" i="154"/>
  <c r="C1001" i="154"/>
  <c r="C25" i="154"/>
  <c r="C120" i="154"/>
  <c r="C999" i="154"/>
  <c r="C162" i="154"/>
  <c r="C251" i="154"/>
  <c r="C891" i="154"/>
  <c r="C121" i="154"/>
  <c r="C846" i="154"/>
  <c r="C380" i="154"/>
  <c r="C793" i="154"/>
  <c r="C570" i="154"/>
  <c r="C286" i="154"/>
  <c r="C775" i="154"/>
  <c r="C331" i="154"/>
  <c r="C603" i="154"/>
  <c r="C257" i="154"/>
  <c r="C465" i="154"/>
  <c r="C53" i="154"/>
  <c r="C445" i="154"/>
  <c r="C467" i="154"/>
  <c r="C577" i="154"/>
  <c r="C478" i="154"/>
  <c r="C36" i="154"/>
  <c r="C739" i="154"/>
  <c r="C93" i="154"/>
  <c r="C227" i="154"/>
  <c r="C905" i="154"/>
  <c r="C857" i="154"/>
  <c r="C837" i="154"/>
  <c r="C536" i="154"/>
  <c r="C817" i="154"/>
  <c r="C189" i="154"/>
  <c r="C742" i="154"/>
  <c r="C597" i="154"/>
  <c r="C873" i="154"/>
  <c r="C135" i="154"/>
  <c r="C552" i="154"/>
  <c r="C698" i="154"/>
  <c r="C459" i="154"/>
  <c r="C99" i="154"/>
  <c r="C883" i="154"/>
  <c r="C723" i="154"/>
  <c r="C734" i="154"/>
  <c r="C833" i="154"/>
  <c r="C325" i="154"/>
  <c r="C1005" i="154"/>
  <c r="C691" i="154"/>
  <c r="C26" i="154"/>
  <c r="C965" i="154"/>
  <c r="C313" i="154"/>
  <c r="C572" i="154"/>
  <c r="C688" i="154"/>
  <c r="C449" i="154"/>
  <c r="C554" i="154"/>
  <c r="C348" i="154"/>
  <c r="C96" i="154"/>
  <c r="C178" i="154"/>
  <c r="C886" i="154"/>
  <c r="C578" i="154"/>
  <c r="A13" i="154"/>
  <c r="C535" i="154" s="1"/>
  <c r="G13" i="154"/>
  <c r="A28" i="151"/>
  <c r="B27" i="151"/>
  <c r="C27" i="151" s="1"/>
  <c r="C117" i="149"/>
  <c r="F117" i="149"/>
  <c r="C80" i="149"/>
  <c r="B68" i="149" s="1"/>
  <c r="C68" i="149" s="1"/>
  <c r="C81" i="149"/>
  <c r="B69" i="149" s="1"/>
  <c r="C69" i="149" s="1"/>
  <c r="I118" i="149"/>
  <c r="C118" i="149"/>
  <c r="F118" i="149"/>
  <c r="F94" i="149"/>
  <c r="D93" i="149"/>
  <c r="E94" i="149"/>
  <c r="H95" i="149"/>
  <c r="D92" i="149"/>
  <c r="B90" i="149"/>
  <c r="G95" i="149"/>
  <c r="C91" i="149"/>
  <c r="G69" i="148"/>
  <c r="H69" i="148"/>
  <c r="B37" i="132"/>
  <c r="D36" i="132"/>
  <c r="C36" i="132"/>
  <c r="E35" i="132"/>
  <c r="H16" i="127"/>
  <c r="D18" i="127"/>
  <c r="E18" i="127" s="1"/>
  <c r="F18" i="127" s="1"/>
  <c r="G17" i="127"/>
  <c r="G19" i="127"/>
  <c r="J16" i="127"/>
  <c r="D6" i="34"/>
  <c r="L21" i="49"/>
  <c r="L23" i="49"/>
  <c r="L22" i="49"/>
  <c r="H10" i="49"/>
  <c r="J10" i="49" s="1"/>
  <c r="H28" i="49" s="1"/>
  <c r="H9" i="49"/>
  <c r="J9" i="49" s="1"/>
  <c r="E8" i="108"/>
  <c r="D8" i="108"/>
  <c r="C9" i="108" s="1"/>
  <c r="A11" i="113"/>
  <c r="G11" i="113"/>
  <c r="H4" i="34"/>
  <c r="E5" i="34" s="1"/>
  <c r="H5" i="34" s="1"/>
  <c r="L4" i="49"/>
  <c r="L5" i="49"/>
  <c r="D15" i="32" a="1"/>
  <c r="L17" i="49"/>
  <c r="L15" i="49"/>
  <c r="L16" i="49"/>
  <c r="H11" i="49"/>
  <c r="J11" i="49" s="1"/>
  <c r="H29" i="49" s="1"/>
  <c r="B9" i="33"/>
  <c r="C9" i="33"/>
  <c r="D9" i="33"/>
  <c r="D20" i="42"/>
  <c r="E19" i="42" s="1"/>
  <c r="C610" i="154" l="1"/>
  <c r="C195" i="154"/>
  <c r="C790" i="154"/>
  <c r="C887" i="154"/>
  <c r="C483" i="154"/>
  <c r="C345" i="154"/>
  <c r="C784" i="154"/>
  <c r="C444" i="154"/>
  <c r="C820" i="154"/>
  <c r="C588" i="154"/>
  <c r="C90" i="154"/>
  <c r="C838" i="154"/>
  <c r="C866" i="154"/>
  <c r="C87" i="154"/>
  <c r="C663" i="154"/>
  <c r="C324" i="154"/>
  <c r="C402" i="154"/>
  <c r="C142" i="154"/>
  <c r="C295" i="154"/>
  <c r="C387" i="154"/>
  <c r="C637" i="154"/>
  <c r="C175" i="154"/>
  <c r="C825" i="154"/>
  <c r="C312" i="154"/>
  <c r="C957" i="154"/>
  <c r="C518" i="154"/>
  <c r="C110" i="154"/>
  <c r="C947" i="154"/>
  <c r="C897" i="154"/>
  <c r="C705" i="154"/>
  <c r="C418" i="154"/>
  <c r="C233" i="154"/>
  <c r="C186" i="154"/>
  <c r="C52" i="154"/>
  <c r="C740" i="154"/>
  <c r="C877" i="154"/>
  <c r="C707" i="154"/>
  <c r="C272" i="154"/>
  <c r="C595" i="154"/>
  <c r="C609" i="154"/>
  <c r="C602" i="154"/>
  <c r="C822" i="154"/>
  <c r="C881" i="154"/>
  <c r="C718" i="154"/>
  <c r="C754" i="154"/>
  <c r="C989" i="154"/>
  <c r="C180" i="154"/>
  <c r="C692" i="154"/>
  <c r="C629" i="154"/>
  <c r="C18" i="154"/>
  <c r="C840" i="154"/>
  <c r="C747" i="154"/>
  <c r="C290" i="154"/>
  <c r="C264" i="154"/>
  <c r="C675" i="154"/>
  <c r="C223" i="154"/>
  <c r="C979" i="154"/>
  <c r="C388" i="154"/>
  <c r="C854" i="154"/>
  <c r="C744" i="154"/>
  <c r="C294" i="154"/>
  <c r="C670" i="154"/>
  <c r="C931" i="154"/>
  <c r="C715" i="154"/>
  <c r="C161" i="154"/>
  <c r="C427" i="154"/>
  <c r="C91" i="154"/>
  <c r="E36" i="132"/>
  <c r="C109" i="154"/>
  <c r="C456" i="154"/>
  <c r="C701" i="154"/>
  <c r="C452" i="154"/>
  <c r="C890" i="154"/>
  <c r="C258" i="154"/>
  <c r="C781" i="154"/>
  <c r="C697" i="154"/>
  <c r="C262" i="154"/>
  <c r="C336" i="154"/>
  <c r="C973" i="154"/>
  <c r="C203" i="154"/>
  <c r="C455" i="154"/>
  <c r="C470" i="154"/>
  <c r="C461" i="154"/>
  <c r="C737" i="154"/>
  <c r="C537" i="154"/>
  <c r="C75" i="154"/>
  <c r="C438" i="154"/>
  <c r="C128" i="154"/>
  <c r="C415" i="154"/>
  <c r="C283" i="154"/>
  <c r="C567" i="154"/>
  <c r="C676" i="154"/>
  <c r="C708" i="154"/>
  <c r="C169" i="154"/>
  <c r="C191" i="154"/>
  <c r="C511" i="154"/>
  <c r="C49" i="154"/>
  <c r="C600" i="154"/>
  <c r="C621" i="154"/>
  <c r="C426" i="154"/>
  <c r="C816" i="154"/>
  <c r="G20" i="127"/>
  <c r="H17" i="127"/>
  <c r="J17" i="127" s="1"/>
  <c r="J20" i="127" s="1"/>
  <c r="C442" i="154"/>
  <c r="C489" i="154"/>
  <c r="C955" i="154"/>
  <c r="C1006" i="154"/>
  <c r="C277" i="154"/>
  <c r="C220" i="154"/>
  <c r="C915" i="154"/>
  <c r="C28" i="154"/>
  <c r="C58" i="154"/>
  <c r="C524" i="154"/>
  <c r="C370" i="154"/>
  <c r="C80" i="154"/>
  <c r="C858" i="154"/>
  <c r="C555" i="154"/>
  <c r="C166" i="154"/>
  <c r="C741" i="154"/>
  <c r="C549" i="154"/>
  <c r="C112" i="154"/>
  <c r="C660" i="154"/>
  <c r="C374" i="154"/>
  <c r="C51" i="154"/>
  <c r="C908" i="154"/>
  <c r="C847" i="154"/>
  <c r="C658" i="154"/>
  <c r="C526" i="154"/>
  <c r="C94" i="154"/>
  <c r="C310" i="154"/>
  <c r="C491" i="154"/>
  <c r="C115" i="154"/>
  <c r="C795" i="154"/>
  <c r="C41" i="154"/>
  <c r="C818" i="154"/>
  <c r="C68" i="154"/>
  <c r="C129" i="154"/>
  <c r="C314" i="154"/>
  <c r="C690" i="154"/>
  <c r="C1008" i="154"/>
  <c r="C515" i="154"/>
  <c r="C992" i="154"/>
  <c r="C863" i="154"/>
  <c r="C782" i="154"/>
  <c r="C628" i="154"/>
  <c r="C861" i="154"/>
  <c r="C196" i="154"/>
  <c r="C522" i="154"/>
  <c r="C528" i="154"/>
  <c r="C473" i="154"/>
  <c r="C263" i="154"/>
  <c r="C689" i="154"/>
  <c r="C997" i="154"/>
  <c r="C516" i="154"/>
  <c r="C925" i="154"/>
  <c r="C903" i="154"/>
  <c r="C589" i="154"/>
  <c r="C745" i="154"/>
  <c r="C421" i="154"/>
  <c r="C767" i="154"/>
  <c r="C990" i="154"/>
  <c r="C276" i="154"/>
  <c r="C318" i="154"/>
  <c r="C184" i="154"/>
  <c r="C538" i="154"/>
  <c r="C937" i="154"/>
  <c r="C636" i="154"/>
  <c r="C431" i="154"/>
  <c r="C1000" i="154"/>
  <c r="C834" i="154"/>
  <c r="C918" i="154"/>
  <c r="C368" i="154"/>
  <c r="C776" i="154"/>
  <c r="C259" i="154"/>
  <c r="C892" i="154"/>
  <c r="C630" i="154"/>
  <c r="C200" i="154"/>
  <c r="C412" i="154"/>
  <c r="C760" i="154"/>
  <c r="C417" i="154"/>
  <c r="C1011" i="154"/>
  <c r="C801" i="154"/>
  <c r="C344" i="154"/>
  <c r="C33" i="154"/>
  <c r="C206" i="154"/>
  <c r="C768" i="154"/>
  <c r="C968" i="154"/>
  <c r="C302" i="154"/>
  <c r="C508" i="154"/>
  <c r="C140" i="154"/>
  <c r="C730" i="154"/>
  <c r="C338" i="154"/>
  <c r="C403" i="154"/>
  <c r="C333" i="154"/>
  <c r="C496" i="154"/>
  <c r="C225" i="154"/>
  <c r="C786" i="154"/>
  <c r="C862" i="154"/>
  <c r="C841" i="154"/>
  <c r="C486" i="154"/>
  <c r="C521" i="154"/>
  <c r="C228" i="154"/>
  <c r="C446" i="154"/>
  <c r="C364" i="154"/>
  <c r="C141" i="154"/>
  <c r="C575" i="154"/>
  <c r="C643" i="154"/>
  <c r="C221" i="154"/>
  <c r="C860" i="154"/>
  <c r="C993" i="154"/>
  <c r="C430" i="154"/>
  <c r="C967" i="154"/>
  <c r="C460" i="154"/>
  <c r="C623" i="154"/>
  <c r="C448" i="154"/>
  <c r="C952" i="154"/>
  <c r="C270" i="154"/>
  <c r="C520" i="154"/>
  <c r="C471" i="154"/>
  <c r="C492" i="154"/>
  <c r="C35" i="154"/>
  <c r="C391" i="154"/>
  <c r="C372" i="154"/>
  <c r="C173" i="154"/>
  <c r="C278" i="154"/>
  <c r="C821" i="154"/>
  <c r="C613" i="154"/>
  <c r="C607" i="154"/>
  <c r="C579" i="154"/>
  <c r="C971" i="154"/>
  <c r="C382" i="154"/>
  <c r="C86" i="154"/>
  <c r="C494" i="154"/>
  <c r="C594" i="154"/>
  <c r="C974" i="154"/>
  <c r="C396" i="154"/>
  <c r="C126" i="154"/>
  <c r="C353" i="154"/>
  <c r="C268" i="154"/>
  <c r="C753" i="154"/>
  <c r="C202" i="154"/>
  <c r="C815" i="154"/>
  <c r="C565" i="154"/>
  <c r="C592" i="154"/>
  <c r="C899" i="154"/>
  <c r="C48" i="154"/>
  <c r="C192" i="154"/>
  <c r="C376" i="154"/>
  <c r="C405" i="154"/>
  <c r="C164" i="154"/>
  <c r="C936" i="154"/>
  <c r="C181" i="154"/>
  <c r="C231" i="154"/>
  <c r="C194" i="154"/>
  <c r="C720" i="154"/>
  <c r="C618" i="154"/>
  <c r="C541" i="154"/>
  <c r="C462" i="154"/>
  <c r="C414" i="154"/>
  <c r="C950" i="154"/>
  <c r="C624" i="154"/>
  <c r="C548" i="154"/>
  <c r="C988" i="154"/>
  <c r="C379" i="154"/>
  <c r="C297" i="154"/>
  <c r="C373" i="154"/>
  <c r="C909" i="154"/>
  <c r="C764" i="154"/>
  <c r="C97" i="154"/>
  <c r="C855" i="154"/>
  <c r="C147" i="154"/>
  <c r="C56" i="154"/>
  <c r="C709" i="154"/>
  <c r="C274" i="154"/>
  <c r="C393" i="154"/>
  <c r="C292" i="154"/>
  <c r="C437" i="154"/>
  <c r="C893" i="154"/>
  <c r="C400" i="154"/>
  <c r="C151" i="154"/>
  <c r="C503" i="154"/>
  <c r="C774" i="154"/>
  <c r="C756" i="154"/>
  <c r="C385" i="154"/>
  <c r="C889" i="154"/>
  <c r="C72" i="154"/>
  <c r="C316" i="154"/>
  <c r="C375" i="154"/>
  <c r="C409" i="154"/>
  <c r="C362" i="154"/>
  <c r="C104" i="154"/>
  <c r="C65" i="154"/>
  <c r="C924" i="154"/>
  <c r="C171" i="154"/>
  <c r="C102" i="154"/>
  <c r="C794" i="154"/>
  <c r="C639" i="154"/>
  <c r="D7" i="36"/>
  <c r="C7" i="36"/>
  <c r="C34" i="148"/>
  <c r="C47" i="148" s="1"/>
  <c r="B67" i="148"/>
  <c r="H64" i="148" s="1"/>
  <c r="B66" i="148"/>
  <c r="H65" i="148" s="1"/>
  <c r="C33" i="148"/>
  <c r="D46" i="148" s="1"/>
  <c r="B35" i="148" s="1"/>
  <c r="C130" i="154"/>
  <c r="C355" i="154"/>
  <c r="C150" i="154"/>
  <c r="C208" i="154"/>
  <c r="C758" i="154"/>
  <c r="C332" i="154"/>
  <c r="C351" i="154"/>
  <c r="C635" i="154"/>
  <c r="C752" i="154"/>
  <c r="C381" i="154"/>
  <c r="C475" i="154"/>
  <c r="C604" i="154"/>
  <c r="C287" i="154"/>
  <c r="C543" i="154"/>
  <c r="C447" i="154"/>
  <c r="C763" i="154"/>
  <c r="C987" i="154"/>
  <c r="C326" i="154"/>
  <c r="C685" i="154"/>
  <c r="C237" i="154"/>
  <c r="C163" i="154"/>
  <c r="C853" i="154"/>
  <c r="C434" i="154"/>
  <c r="C669" i="154"/>
  <c r="C533" i="154"/>
  <c r="C383" i="154"/>
  <c r="C750" i="154"/>
  <c r="C346" i="154"/>
  <c r="C356" i="154"/>
  <c r="C601" i="154"/>
  <c r="C304" i="154"/>
  <c r="C174" i="154"/>
  <c r="C243" i="154"/>
  <c r="C728" i="154"/>
  <c r="C299" i="154"/>
  <c r="C896" i="154"/>
  <c r="C40" i="154"/>
  <c r="C217" i="154"/>
  <c r="C662" i="154"/>
  <c r="C617" i="154"/>
  <c r="C668" i="154"/>
  <c r="C933" i="154"/>
  <c r="C27" i="154"/>
  <c r="C664" i="154"/>
  <c r="C226" i="154"/>
  <c r="C505" i="154"/>
  <c r="C153" i="154"/>
  <c r="C986" i="154"/>
  <c r="C856" i="154"/>
  <c r="C406" i="154"/>
  <c r="C64" i="154"/>
  <c r="C271" i="154"/>
  <c r="C788" i="154"/>
  <c r="C814" i="154"/>
  <c r="C644" i="154"/>
  <c r="C165" i="154"/>
  <c r="C726" i="154"/>
  <c r="C506" i="154"/>
  <c r="C640" i="154"/>
  <c r="C432" i="154"/>
  <c r="C359" i="154"/>
  <c r="C638" i="154"/>
  <c r="C970" i="154"/>
  <c r="C558" i="154"/>
  <c r="C941" i="154"/>
  <c r="C156" i="154"/>
  <c r="C696" i="154"/>
  <c r="C960" i="154"/>
  <c r="C859" i="154"/>
  <c r="C757" i="154"/>
  <c r="C605" i="154"/>
  <c r="C472" i="154"/>
  <c r="C1003" i="154"/>
  <c r="C622" i="154"/>
  <c r="C559" i="154"/>
  <c r="C765" i="154"/>
  <c r="C961" i="154"/>
  <c r="C323" i="154"/>
  <c r="C839" i="154"/>
  <c r="C962" i="154"/>
  <c r="C612" i="154"/>
  <c r="C101" i="154"/>
  <c r="C826" i="154"/>
  <c r="C829" i="154"/>
  <c r="C23" i="154"/>
  <c r="C711" i="154"/>
  <c r="C339" i="154"/>
  <c r="C523" i="154"/>
  <c r="C73" i="154"/>
  <c r="C160" i="154"/>
  <c r="C732" i="154"/>
  <c r="C557" i="154"/>
  <c r="C978" i="154"/>
  <c r="C616" i="154"/>
  <c r="C365" i="154"/>
  <c r="C122" i="154"/>
  <c r="C646" i="154"/>
  <c r="C991" i="154"/>
  <c r="C152" i="154"/>
  <c r="C320" i="154"/>
  <c r="C504" i="154"/>
  <c r="C218" i="154"/>
  <c r="C539" i="154"/>
  <c r="C413" i="154"/>
  <c r="C620" i="154"/>
  <c r="C116" i="154"/>
  <c r="C872" i="154"/>
  <c r="C245" i="154"/>
  <c r="C513" i="154"/>
  <c r="C244" i="154"/>
  <c r="C155" i="154"/>
  <c r="C785" i="154"/>
  <c r="C901" i="154"/>
  <c r="C254" i="154"/>
  <c r="C493" i="154"/>
  <c r="C517" i="154"/>
  <c r="C608" i="154"/>
  <c r="C113" i="154"/>
  <c r="C807" i="154"/>
  <c r="C615" i="154"/>
  <c r="C568" i="154"/>
  <c r="C916" i="154"/>
  <c r="C963" i="154"/>
  <c r="C804" i="154"/>
  <c r="C132" i="154"/>
  <c r="C542" i="154"/>
  <c r="C958" i="154"/>
  <c r="C293" i="154"/>
  <c r="C236" i="154"/>
  <c r="C812" i="154"/>
  <c r="C773" i="154"/>
  <c r="C498" i="154"/>
  <c r="C828" i="154"/>
  <c r="C1017" i="154"/>
  <c r="C240" i="154"/>
  <c r="C779" i="154"/>
  <c r="C390" i="154"/>
  <c r="C808" i="154"/>
  <c r="C667" i="154"/>
  <c r="C285" i="154"/>
  <c r="C648" i="154"/>
  <c r="C906" i="154"/>
  <c r="C350" i="154"/>
  <c r="C598" i="154"/>
  <c r="C482" i="154"/>
  <c r="C479" i="154"/>
  <c r="C250" i="154"/>
  <c r="C888" i="154"/>
  <c r="C843" i="154"/>
  <c r="C642" i="154"/>
  <c r="C556" i="154"/>
  <c r="C255" i="154"/>
  <c r="C721" i="154"/>
  <c r="C242" i="154"/>
  <c r="C729" i="154"/>
  <c r="C611" i="154"/>
  <c r="C158" i="154"/>
  <c r="C681" i="154"/>
  <c r="C907" i="154"/>
  <c r="C831" i="154"/>
  <c r="C724" i="154"/>
  <c r="C680" i="154"/>
  <c r="C735" i="154"/>
  <c r="C945" i="154"/>
  <c r="C544" i="154"/>
  <c r="C424" i="154"/>
  <c r="C599" i="154"/>
  <c r="C942" i="154"/>
  <c r="C951" i="154"/>
  <c r="C63" i="154"/>
  <c r="C738" i="154"/>
  <c r="C964" i="154"/>
  <c r="C168" i="154"/>
  <c r="C550" i="154"/>
  <c r="C193" i="154"/>
  <c r="C998" i="154"/>
  <c r="C329" i="154"/>
  <c r="C985" i="154"/>
  <c r="C683" i="154"/>
  <c r="C510" i="154"/>
  <c r="C34" i="154"/>
  <c r="C977" i="154"/>
  <c r="C289" i="154"/>
  <c r="C874" i="154"/>
  <c r="C267" i="154"/>
  <c r="C948" i="154"/>
  <c r="C771" i="154"/>
  <c r="C458" i="154"/>
  <c r="C719" i="154"/>
  <c r="C865" i="154"/>
  <c r="C397" i="154"/>
  <c r="C67" i="154"/>
  <c r="C307" i="154"/>
  <c r="C341" i="154"/>
  <c r="C562" i="154"/>
  <c r="C912" i="154"/>
  <c r="C632" i="154"/>
  <c r="C361" i="154"/>
  <c r="C197" i="154"/>
  <c r="C939" i="154"/>
  <c r="C159" i="154"/>
  <c r="C927" i="154"/>
  <c r="C69" i="154"/>
  <c r="C327" i="154"/>
  <c r="C710" i="154"/>
  <c r="C199" i="154"/>
  <c r="C797" i="154"/>
  <c r="C1010" i="154"/>
  <c r="C66" i="154"/>
  <c r="C582" i="154"/>
  <c r="C499" i="154"/>
  <c r="C167" i="154"/>
  <c r="C354" i="154"/>
  <c r="C488" i="154"/>
  <c r="C919" i="154"/>
  <c r="C769" i="154"/>
  <c r="C207" i="154"/>
  <c r="C799" i="154"/>
  <c r="C205" i="154"/>
  <c r="C404" i="154"/>
  <c r="C441" i="154"/>
  <c r="C848" i="154"/>
  <c r="C929" i="154"/>
  <c r="C940" i="154"/>
  <c r="C37" i="154"/>
  <c r="C50" i="154"/>
  <c r="C844" i="154"/>
  <c r="C959" i="154"/>
  <c r="C547" i="154"/>
  <c r="C661" i="154"/>
  <c r="C678" i="154"/>
  <c r="C693" i="154"/>
  <c r="C457" i="154"/>
  <c r="C416" i="154"/>
  <c r="C813" i="154"/>
  <c r="C423" i="154"/>
  <c r="C139" i="154"/>
  <c r="C500" i="154"/>
  <c r="C419" i="154"/>
  <c r="C145" i="154"/>
  <c r="C246" i="154"/>
  <c r="C252" i="154"/>
  <c r="C466" i="154"/>
  <c r="C71" i="154"/>
  <c r="C352" i="154"/>
  <c r="C1009" i="154"/>
  <c r="C464" i="154"/>
  <c r="C563" i="154"/>
  <c r="C673" i="154"/>
  <c r="C443" i="154"/>
  <c r="C284" i="154"/>
  <c r="C366" i="154"/>
  <c r="C932" i="154"/>
  <c r="C401" i="154"/>
  <c r="C868" i="154"/>
  <c r="C288" i="154"/>
  <c r="C938" i="154"/>
  <c r="C823" i="154"/>
  <c r="C674" i="154"/>
  <c r="C213" i="154"/>
  <c r="C487" i="154"/>
  <c r="C275" i="154"/>
  <c r="C395" i="154"/>
  <c r="C137" i="154"/>
  <c r="C796" i="154"/>
  <c r="C928" i="154"/>
  <c r="C337" i="154"/>
  <c r="C944" i="154"/>
  <c r="C399" i="154"/>
  <c r="C571" i="154"/>
  <c r="C654" i="154"/>
  <c r="C783" i="154"/>
  <c r="C386" i="154"/>
  <c r="C870" i="154"/>
  <c r="C214" i="154"/>
  <c r="C682" i="154"/>
  <c r="C422" i="154"/>
  <c r="C235" i="154"/>
  <c r="C410" i="154"/>
  <c r="C1002" i="154"/>
  <c r="C84" i="154"/>
  <c r="C954" i="154"/>
  <c r="C531" i="154"/>
  <c r="C234" i="154"/>
  <c r="C625" i="154"/>
  <c r="C836" i="154"/>
  <c r="C574" i="154"/>
  <c r="C981" i="154"/>
  <c r="C748" i="154"/>
  <c r="C79" i="154"/>
  <c r="C591" i="154"/>
  <c r="C983" i="154"/>
  <c r="C619" i="154"/>
  <c r="C439" i="154"/>
  <c r="C321" i="154"/>
  <c r="C700" i="154"/>
  <c r="C347" i="154"/>
  <c r="C47" i="154"/>
  <c r="C806" i="154"/>
  <c r="C22" i="154"/>
  <c r="C371" i="154"/>
  <c r="C525" i="154"/>
  <c r="C480" i="154"/>
  <c r="C657" i="154"/>
  <c r="C1014" i="154"/>
  <c r="C650" i="154"/>
  <c r="C308" i="154"/>
  <c r="C119" i="154"/>
  <c r="C435" i="154"/>
  <c r="C713" i="154"/>
  <c r="C315" i="154"/>
  <c r="C655" i="154"/>
  <c r="C436" i="154"/>
  <c r="C476" i="154"/>
  <c r="C935" i="154"/>
  <c r="C994" i="154"/>
  <c r="C780" i="154"/>
  <c r="C717" i="154"/>
  <c r="C914" i="154"/>
  <c r="C885" i="154"/>
  <c r="C913" i="154"/>
  <c r="C653" i="154"/>
  <c r="C716" i="154"/>
  <c r="C45" i="154"/>
  <c r="C322" i="154"/>
  <c r="C573" i="154"/>
  <c r="C408" i="154"/>
  <c r="C198" i="154"/>
  <c r="C377" i="154"/>
  <c r="C1012" i="154"/>
  <c r="C593" i="154"/>
  <c r="C949" i="154"/>
  <c r="C587" i="154"/>
  <c r="C468" i="154"/>
  <c r="C926" i="154"/>
  <c r="C317" i="154"/>
  <c r="C450" i="154"/>
  <c r="C46" i="154"/>
  <c r="C454" i="154"/>
  <c r="C871" i="154"/>
  <c r="C982" i="154"/>
  <c r="C878" i="154"/>
  <c r="C722" i="154"/>
  <c r="C31" i="154"/>
  <c r="C392" i="154"/>
  <c r="C766" i="154"/>
  <c r="C260" i="154"/>
  <c r="C253" i="154"/>
  <c r="C984" i="154"/>
  <c r="C134" i="154"/>
  <c r="C956" i="154"/>
  <c r="C975" i="154"/>
  <c r="C378" i="154"/>
  <c r="C29" i="154"/>
  <c r="C330" i="154"/>
  <c r="C389" i="154"/>
  <c r="C564" i="154"/>
  <c r="C501" i="154"/>
  <c r="C743" i="154"/>
  <c r="C172" i="154"/>
  <c r="C55" i="154"/>
  <c r="C875" i="154"/>
  <c r="C502" i="154"/>
  <c r="C809" i="154"/>
  <c r="C256" i="154"/>
  <c r="C183" i="154"/>
  <c r="C209" i="154"/>
  <c r="C490" i="154"/>
  <c r="C306" i="154"/>
  <c r="C74" i="154"/>
  <c r="C921" i="154"/>
  <c r="C805" i="154"/>
  <c r="C996" i="154"/>
  <c r="C433" i="154"/>
  <c r="C972" i="154"/>
  <c r="C684" i="154"/>
  <c r="C835" i="154"/>
  <c r="C469" i="154"/>
  <c r="C917" i="154"/>
  <c r="C920" i="154"/>
  <c r="C755" i="154"/>
  <c r="C44" i="154"/>
  <c r="C143" i="154"/>
  <c r="C910" i="154"/>
  <c r="C645" i="154"/>
  <c r="C170" i="154"/>
  <c r="C328" i="154"/>
  <c r="C59" i="154"/>
  <c r="C124" i="154"/>
  <c r="C736" i="154"/>
  <c r="C627" i="154"/>
  <c r="C127" i="154"/>
  <c r="C596" i="154"/>
  <c r="C133" i="154"/>
  <c r="C800" i="154"/>
  <c r="C107" i="154"/>
  <c r="C898" i="154"/>
  <c r="C649" i="154"/>
  <c r="C671" i="154"/>
  <c r="C791" i="154"/>
  <c r="C803" i="154"/>
  <c r="C411" i="154"/>
  <c r="C187" i="154"/>
  <c r="C514" i="154"/>
  <c r="C219" i="154"/>
  <c r="C222" i="154"/>
  <c r="C57" i="154"/>
  <c r="C980" i="154"/>
  <c r="C772" i="154"/>
  <c r="C394" i="154"/>
  <c r="C249" i="154"/>
  <c r="C241" i="154"/>
  <c r="C247" i="154"/>
  <c r="C849" i="154"/>
  <c r="C61" i="154"/>
  <c r="C895" i="154"/>
  <c r="C953" i="154"/>
  <c r="C699" i="154"/>
  <c r="B28" i="151"/>
  <c r="C28" i="151" s="1"/>
  <c r="A29" i="151"/>
  <c r="E82" i="149"/>
  <c r="D82" i="149"/>
  <c r="C133" i="149"/>
  <c r="C83" i="149"/>
  <c r="C132" i="149"/>
  <c r="B120" i="149" s="1"/>
  <c r="C131" i="149"/>
  <c r="B119" i="149" s="1"/>
  <c r="E134" i="149"/>
  <c r="B38" i="132"/>
  <c r="D37" i="132"/>
  <c r="C37" i="132"/>
  <c r="I17" i="127"/>
  <c r="I19" i="127" s="1"/>
  <c r="I22" i="127" s="1"/>
  <c r="J19" i="127"/>
  <c r="H20" i="127"/>
  <c r="H19" i="127"/>
  <c r="E4" i="42"/>
  <c r="E16" i="42"/>
  <c r="E14" i="42"/>
  <c r="E9" i="42"/>
  <c r="E10" i="42"/>
  <c r="E17" i="42"/>
  <c r="E7" i="42"/>
  <c r="E6" i="42"/>
  <c r="E18" i="42"/>
  <c r="E5" i="42"/>
  <c r="E9" i="108"/>
  <c r="D9" i="108"/>
  <c r="C10" i="108" s="1"/>
  <c r="N3" i="49" a="1"/>
  <c r="B10" i="33" a="1"/>
  <c r="H6" i="35"/>
  <c r="B7" i="35" s="1"/>
  <c r="E7" i="35" s="1"/>
  <c r="E11" i="42"/>
  <c r="N15" i="49" a="1"/>
  <c r="E12" i="42"/>
  <c r="E15" i="42"/>
  <c r="E8" i="42"/>
  <c r="E16" i="32"/>
  <c r="D16" i="32"/>
  <c r="E15" i="32"/>
  <c r="D15" i="32"/>
  <c r="E13" i="42"/>
  <c r="H27" i="49"/>
  <c r="J27" i="49" s="1" a="1"/>
  <c r="L9" i="49" a="1"/>
  <c r="N21" i="49" a="1"/>
  <c r="E6" i="34"/>
  <c r="H6" i="34" s="1"/>
  <c r="D7" i="34"/>
  <c r="A12" i="113"/>
  <c r="G12" i="113"/>
  <c r="I11" i="36" l="1"/>
  <c r="I3" i="36"/>
  <c r="C96" i="113"/>
  <c r="C99" i="113"/>
  <c r="I23" i="127"/>
  <c r="E37" i="132"/>
  <c r="D8" i="36"/>
  <c r="C8" i="36"/>
  <c r="I20" i="127"/>
  <c r="B68" i="148"/>
  <c r="H63" i="148" s="1"/>
  <c r="C35" i="148"/>
  <c r="D47" i="148" s="1"/>
  <c r="B36" i="148" s="1"/>
  <c r="I6" i="36"/>
  <c r="I8" i="36"/>
  <c r="I12" i="36"/>
  <c r="I7" i="36"/>
  <c r="I10" i="36"/>
  <c r="I9" i="36"/>
  <c r="I4" i="36"/>
  <c r="I5" i="36"/>
  <c r="C185" i="113"/>
  <c r="C97" i="113"/>
  <c r="C47" i="113"/>
  <c r="C86" i="113"/>
  <c r="C199" i="113"/>
  <c r="C140" i="113"/>
  <c r="C142" i="113"/>
  <c r="C63" i="113"/>
  <c r="C50" i="113"/>
  <c r="C112" i="113"/>
  <c r="C208" i="113"/>
  <c r="C58" i="113"/>
  <c r="K8" i="154" a="1"/>
  <c r="K8" i="154" s="1"/>
  <c r="A30" i="151"/>
  <c r="B29" i="151"/>
  <c r="C29" i="151" s="1"/>
  <c r="C119" i="149"/>
  <c r="F119" i="149"/>
  <c r="C120" i="149"/>
  <c r="F120" i="149"/>
  <c r="B70" i="149"/>
  <c r="C70" i="149" s="1"/>
  <c r="D83" i="149" s="1"/>
  <c r="B71" i="149" s="1"/>
  <c r="C71" i="149" s="1"/>
  <c r="C73" i="149" s="1"/>
  <c r="D38" i="132"/>
  <c r="B39" i="132"/>
  <c r="C38" i="132"/>
  <c r="E10" i="108"/>
  <c r="D10" i="108"/>
  <c r="C11" i="108" s="1"/>
  <c r="C207" i="113"/>
  <c r="C34" i="113"/>
  <c r="C85" i="113"/>
  <c r="C170" i="113"/>
  <c r="C195" i="113"/>
  <c r="C102" i="113"/>
  <c r="C136" i="113"/>
  <c r="C80" i="113"/>
  <c r="C128" i="113"/>
  <c r="C70" i="113"/>
  <c r="C204" i="113"/>
  <c r="C135" i="113"/>
  <c r="C43" i="113"/>
  <c r="C158" i="113"/>
  <c r="C194" i="113"/>
  <c r="C215" i="113"/>
  <c r="C176" i="113"/>
  <c r="C109" i="113"/>
  <c r="C95" i="113"/>
  <c r="C62" i="113"/>
  <c r="C178" i="113"/>
  <c r="C161" i="113"/>
  <c r="C177" i="113"/>
  <c r="C114" i="113"/>
  <c r="C41" i="113"/>
  <c r="C118" i="113"/>
  <c r="C211" i="113"/>
  <c r="C51" i="113"/>
  <c r="C75" i="113"/>
  <c r="C183" i="113"/>
  <c r="C76" i="113"/>
  <c r="C148" i="113"/>
  <c r="C172" i="113"/>
  <c r="C130" i="113"/>
  <c r="C71" i="113"/>
  <c r="C72" i="113"/>
  <c r="C200" i="113"/>
  <c r="C69" i="113"/>
  <c r="C28" i="113"/>
  <c r="C29" i="113"/>
  <c r="C45" i="113"/>
  <c r="C212" i="113"/>
  <c r="C44" i="113"/>
  <c r="C123" i="113"/>
  <c r="C180" i="113"/>
  <c r="C52" i="113"/>
  <c r="C209" i="113"/>
  <c r="C106" i="113"/>
  <c r="C27" i="113"/>
  <c r="C184" i="113"/>
  <c r="C139" i="113"/>
  <c r="C171" i="113"/>
  <c r="C35" i="113"/>
  <c r="C175" i="113"/>
  <c r="C116" i="113"/>
  <c r="C133" i="113"/>
  <c r="C100" i="113"/>
  <c r="C165" i="113"/>
  <c r="C56" i="113"/>
  <c r="C190" i="113"/>
  <c r="C147" i="113"/>
  <c r="C163" i="113"/>
  <c r="C40" i="113"/>
  <c r="C98" i="113"/>
  <c r="C197" i="113"/>
  <c r="C162" i="113"/>
  <c r="C108" i="113"/>
  <c r="C124" i="113"/>
  <c r="C125" i="113"/>
  <c r="C121" i="113"/>
  <c r="C110" i="113"/>
  <c r="C151" i="113"/>
  <c r="C164" i="113"/>
  <c r="C189" i="113"/>
  <c r="C143" i="113"/>
  <c r="C18" i="113"/>
  <c r="C79" i="113"/>
  <c r="C187" i="113"/>
  <c r="C137" i="113"/>
  <c r="C191" i="113"/>
  <c r="C202" i="113"/>
  <c r="C93" i="113"/>
  <c r="C87" i="113"/>
  <c r="C188" i="113"/>
  <c r="C64" i="113"/>
  <c r="C150" i="113"/>
  <c r="N3" i="49"/>
  <c r="N5" i="49"/>
  <c r="N4" i="49"/>
  <c r="N23" i="49"/>
  <c r="N21" i="49"/>
  <c r="N22" i="49"/>
  <c r="L11" i="49"/>
  <c r="L9" i="49"/>
  <c r="L10" i="49"/>
  <c r="N15" i="49"/>
  <c r="N16" i="49"/>
  <c r="N17" i="49"/>
  <c r="A13" i="113"/>
  <c r="C213" i="113" s="1"/>
  <c r="G13" i="113"/>
  <c r="H7" i="35"/>
  <c r="B8" i="35" s="1"/>
  <c r="E8" i="35" s="1"/>
  <c r="E7" i="34"/>
  <c r="H7" i="34" s="1"/>
  <c r="D8" i="34"/>
  <c r="J29" i="49"/>
  <c r="J27" i="49"/>
  <c r="J28" i="49"/>
  <c r="C10" i="33"/>
  <c r="B10" i="33"/>
  <c r="D10" i="33"/>
  <c r="C119" i="113" l="1"/>
  <c r="C181" i="113"/>
  <c r="C39" i="113"/>
  <c r="C104" i="113"/>
  <c r="C113" i="113"/>
  <c r="C174" i="113"/>
  <c r="C115" i="113"/>
  <c r="C19" i="113"/>
  <c r="C81" i="113"/>
  <c r="C154" i="113"/>
  <c r="C159" i="113"/>
  <c r="C160" i="113"/>
  <c r="C131" i="113"/>
  <c r="C157" i="113"/>
  <c r="C20" i="113"/>
  <c r="C167" i="113"/>
  <c r="C53" i="113"/>
  <c r="C82" i="113"/>
  <c r="C198" i="113"/>
  <c r="C78" i="113"/>
  <c r="C22" i="113"/>
  <c r="C173" i="113"/>
  <c r="C83" i="113"/>
  <c r="C169" i="113"/>
  <c r="C156" i="113"/>
  <c r="C21" i="113"/>
  <c r="C192" i="113"/>
  <c r="C210" i="113"/>
  <c r="C65" i="113"/>
  <c r="C77" i="113"/>
  <c r="C196" i="113"/>
  <c r="C146" i="113"/>
  <c r="C129" i="113"/>
  <c r="C38" i="113"/>
  <c r="C111" i="113"/>
  <c r="C36" i="148"/>
  <c r="C37" i="148" s="1"/>
  <c r="B69" i="148"/>
  <c r="H62" i="148" s="1"/>
  <c r="C205" i="113"/>
  <c r="C55" i="113"/>
  <c r="C25" i="113"/>
  <c r="E38" i="132"/>
  <c r="C203" i="113"/>
  <c r="C105" i="113"/>
  <c r="C186" i="113"/>
  <c r="C16" i="36" a="1"/>
  <c r="I13" i="36"/>
  <c r="C90" i="113"/>
  <c r="C33" i="113"/>
  <c r="C103" i="113"/>
  <c r="C149" i="113"/>
  <c r="C126" i="113"/>
  <c r="C48" i="113"/>
  <c r="C120" i="113"/>
  <c r="C153" i="113"/>
  <c r="C141" i="113"/>
  <c r="C144" i="113"/>
  <c r="C152" i="113"/>
  <c r="C216" i="113"/>
  <c r="C32" i="113"/>
  <c r="C66" i="113"/>
  <c r="C67" i="113"/>
  <c r="C166" i="113"/>
  <c r="C26" i="113"/>
  <c r="C37" i="113"/>
  <c r="K9" i="154"/>
  <c r="M9" i="154" s="1"/>
  <c r="K10" i="154"/>
  <c r="M10" i="154" s="1"/>
  <c r="K12" i="154"/>
  <c r="M12" i="154" s="1"/>
  <c r="K13" i="154"/>
  <c r="M13" i="154" s="1"/>
  <c r="K11" i="154"/>
  <c r="M8" i="154"/>
  <c r="B30" i="151"/>
  <c r="C30" i="151" s="1"/>
  <c r="A31" i="151"/>
  <c r="I93" i="149"/>
  <c r="F95" i="149"/>
  <c r="G96" i="149"/>
  <c r="J95" i="149"/>
  <c r="E89" i="149"/>
  <c r="B96" i="149"/>
  <c r="E96" i="149"/>
  <c r="D90" i="149"/>
  <c r="I90" i="149"/>
  <c r="B94" i="149"/>
  <c r="D96" i="149"/>
  <c r="F91" i="149"/>
  <c r="F90" i="149"/>
  <c r="J93" i="149"/>
  <c r="B95" i="149"/>
  <c r="F93" i="149"/>
  <c r="C93" i="149"/>
  <c r="I96" i="149"/>
  <c r="F92" i="149"/>
  <c r="B89" i="149"/>
  <c r="J88" i="149"/>
  <c r="F89" i="149"/>
  <c r="I95" i="149"/>
  <c r="F96" i="149"/>
  <c r="E95" i="149"/>
  <c r="I92" i="149"/>
  <c r="J89" i="149"/>
  <c r="I91" i="149"/>
  <c r="H91" i="149"/>
  <c r="E90" i="149"/>
  <c r="H93" i="149"/>
  <c r="G91" i="149"/>
  <c r="E88" i="149"/>
  <c r="C95" i="149"/>
  <c r="C89" i="149"/>
  <c r="E91" i="149"/>
  <c r="G90" i="149"/>
  <c r="B93" i="149"/>
  <c r="D91" i="149"/>
  <c r="D94" i="149"/>
  <c r="C88" i="149"/>
  <c r="C90" i="149"/>
  <c r="B92" i="149"/>
  <c r="I94" i="149"/>
  <c r="D95" i="149"/>
  <c r="C94" i="149"/>
  <c r="H92" i="149"/>
  <c r="F7" i="149"/>
  <c r="H90" i="149"/>
  <c r="H96" i="149"/>
  <c r="I89" i="149"/>
  <c r="D88" i="149"/>
  <c r="J91" i="149"/>
  <c r="C96" i="149"/>
  <c r="G89" i="149"/>
  <c r="H88" i="149"/>
  <c r="B88" i="149"/>
  <c r="H89" i="149"/>
  <c r="E92" i="149"/>
  <c r="J92" i="149"/>
  <c r="G88" i="149"/>
  <c r="B91" i="149"/>
  <c r="C92" i="149"/>
  <c r="F88" i="149"/>
  <c r="G94" i="149"/>
  <c r="I88" i="149"/>
  <c r="J90" i="149"/>
  <c r="D89" i="149"/>
  <c r="E93" i="149"/>
  <c r="H94" i="149"/>
  <c r="G92" i="149"/>
  <c r="J94" i="149"/>
  <c r="G93" i="149"/>
  <c r="C134" i="149"/>
  <c r="E133" i="149"/>
  <c r="D133" i="149"/>
  <c r="B121" i="149" s="1"/>
  <c r="D144" i="149"/>
  <c r="G146" i="149"/>
  <c r="C142" i="149"/>
  <c r="B141" i="149"/>
  <c r="D143" i="149"/>
  <c r="H146" i="149"/>
  <c r="E145" i="149"/>
  <c r="F145" i="149"/>
  <c r="B40" i="132"/>
  <c r="D39" i="132"/>
  <c r="C39" i="132"/>
  <c r="H8" i="35"/>
  <c r="B9" i="35" s="1"/>
  <c r="E9" i="35" s="1"/>
  <c r="D11" i="108"/>
  <c r="C12" i="108" s="1"/>
  <c r="E11" i="108"/>
  <c r="P15" i="49"/>
  <c r="P16" i="49" s="1"/>
  <c r="P17" i="49" s="1"/>
  <c r="P3" i="49"/>
  <c r="P4" i="49" s="1"/>
  <c r="P5" i="49" s="1"/>
  <c r="E8" i="34"/>
  <c r="H8" i="34" s="1"/>
  <c r="D9" i="34"/>
  <c r="C138" i="113"/>
  <c r="C30" i="113"/>
  <c r="C57" i="113"/>
  <c r="C89" i="113"/>
  <c r="C217" i="113"/>
  <c r="C206" i="113"/>
  <c r="C31" i="113"/>
  <c r="C92" i="113"/>
  <c r="C132" i="113"/>
  <c r="E12" i="108"/>
  <c r="C46" i="113"/>
  <c r="C117" i="113"/>
  <c r="P21" i="49"/>
  <c r="P22" i="49" s="1"/>
  <c r="P23" i="49" s="1"/>
  <c r="C134" i="113"/>
  <c r="C36" i="113"/>
  <c r="C193" i="113"/>
  <c r="C91" i="113"/>
  <c r="C94" i="113"/>
  <c r="C54" i="113"/>
  <c r="C145" i="113"/>
  <c r="B11" i="33" a="1"/>
  <c r="N9" i="49" a="1"/>
  <c r="C101" i="113"/>
  <c r="C155" i="113"/>
  <c r="C60" i="113"/>
  <c r="C23" i="113"/>
  <c r="C24" i="113"/>
  <c r="C84" i="113"/>
  <c r="C122" i="113"/>
  <c r="C61" i="113"/>
  <c r="C68" i="113"/>
  <c r="C107" i="113"/>
  <c r="C42" i="113"/>
  <c r="C59" i="113"/>
  <c r="C182" i="113"/>
  <c r="C179" i="113"/>
  <c r="C201" i="113"/>
  <c r="C49" i="113"/>
  <c r="C74" i="113"/>
  <c r="C73" i="113"/>
  <c r="C88" i="113"/>
  <c r="C168" i="113"/>
  <c r="C214" i="113"/>
  <c r="C127" i="113"/>
  <c r="C56" i="148" l="1"/>
  <c r="I56" i="148"/>
  <c r="F53" i="148"/>
  <c r="I54" i="148"/>
  <c r="F55" i="148"/>
  <c r="E56" i="148"/>
  <c r="H53" i="148"/>
  <c r="G54" i="148"/>
  <c r="D54" i="148"/>
  <c r="B56" i="148"/>
  <c r="E58" i="148"/>
  <c r="H51" i="148"/>
  <c r="H57" i="148"/>
  <c r="H56" i="148"/>
  <c r="G56" i="148"/>
  <c r="E54" i="148"/>
  <c r="I57" i="148"/>
  <c r="G57" i="148"/>
  <c r="G52" i="148"/>
  <c r="E52" i="148"/>
  <c r="F54" i="148"/>
  <c r="D57" i="148"/>
  <c r="D53" i="148"/>
  <c r="D52" i="148"/>
  <c r="F58" i="148"/>
  <c r="H54" i="148"/>
  <c r="F52" i="148"/>
  <c r="D51" i="148"/>
  <c r="E55" i="148"/>
  <c r="B58" i="148"/>
  <c r="B55" i="148"/>
  <c r="I52" i="148"/>
  <c r="E53" i="148"/>
  <c r="B52" i="148"/>
  <c r="C57" i="148"/>
  <c r="F51" i="148"/>
  <c r="C55" i="148"/>
  <c r="I55" i="148"/>
  <c r="G51" i="148"/>
  <c r="I53" i="148"/>
  <c r="C52" i="148"/>
  <c r="B57" i="148"/>
  <c r="H52" i="148"/>
  <c r="G53" i="148"/>
  <c r="C53" i="148"/>
  <c r="E51" i="148"/>
  <c r="C54" i="148"/>
  <c r="D58" i="148"/>
  <c r="C51" i="148"/>
  <c r="B51" i="148"/>
  <c r="B54" i="148"/>
  <c r="I58" i="148"/>
  <c r="I51" i="148"/>
  <c r="H55" i="148"/>
  <c r="F56" i="148"/>
  <c r="G55" i="148"/>
  <c r="C58" i="148"/>
  <c r="E39" i="132"/>
  <c r="C19" i="36"/>
  <c r="C17" i="36"/>
  <c r="C20" i="36"/>
  <c r="C16" i="36"/>
  <c r="C21" i="36"/>
  <c r="C18" i="36"/>
  <c r="K14" i="154"/>
  <c r="L8" i="154" s="1"/>
  <c r="M11" i="154"/>
  <c r="M14" i="154" s="1"/>
  <c r="B31" i="151"/>
  <c r="C31" i="151" s="1"/>
  <c r="A32" i="151"/>
  <c r="F121" i="149"/>
  <c r="C121" i="149"/>
  <c r="D134" i="149" s="1"/>
  <c r="B122" i="149" s="1"/>
  <c r="D40" i="132"/>
  <c r="C40" i="132"/>
  <c r="B41" i="132"/>
  <c r="K8" i="113" a="1"/>
  <c r="K10" i="113" s="1"/>
  <c r="N10" i="49"/>
  <c r="N9" i="49"/>
  <c r="N11" i="49"/>
  <c r="D10" i="34"/>
  <c r="E9" i="34"/>
  <c r="H9" i="34" s="1"/>
  <c r="H9" i="35"/>
  <c r="B10" i="35" s="1"/>
  <c r="E10" i="35" s="1"/>
  <c r="C11" i="33"/>
  <c r="B11" i="33"/>
  <c r="D11" i="33"/>
  <c r="E40" i="132" l="1"/>
  <c r="I59" i="148"/>
  <c r="E36" i="148" s="1"/>
  <c r="D36" i="148" s="1"/>
  <c r="C59" i="148"/>
  <c r="E30" i="148" s="1"/>
  <c r="D30" i="148" s="1"/>
  <c r="F30" i="148" s="1"/>
  <c r="F36" i="148"/>
  <c r="I36" i="148" s="1"/>
  <c r="C22" i="36"/>
  <c r="D18" i="36" s="1"/>
  <c r="M15" i="154"/>
  <c r="L10" i="154"/>
  <c r="L9" i="154"/>
  <c r="L12" i="154"/>
  <c r="L13" i="154"/>
  <c r="L11" i="154"/>
  <c r="B32" i="151"/>
  <c r="C32" i="151" s="1"/>
  <c r="A33" i="151"/>
  <c r="C122" i="149"/>
  <c r="C124" i="149" s="1"/>
  <c r="F122" i="149"/>
  <c r="C69" i="148"/>
  <c r="I62" i="148" s="1"/>
  <c r="B42" i="132"/>
  <c r="C41" i="132"/>
  <c r="D41" i="132"/>
  <c r="K8" i="113"/>
  <c r="K12" i="113"/>
  <c r="M12" i="113" s="1"/>
  <c r="K9" i="113"/>
  <c r="M9" i="113" s="1"/>
  <c r="K11" i="113"/>
  <c r="M11" i="113" s="1"/>
  <c r="K13" i="113"/>
  <c r="H10" i="35"/>
  <c r="B11" i="35" s="1"/>
  <c r="E11" i="35" s="1"/>
  <c r="B12" i="33" a="1"/>
  <c r="E10" i="34"/>
  <c r="H10" i="34" s="1"/>
  <c r="D11" i="34"/>
  <c r="P9" i="49"/>
  <c r="P10" i="49" s="1"/>
  <c r="P11" i="49" s="1"/>
  <c r="M10" i="113"/>
  <c r="D69" i="148" l="1"/>
  <c r="J62" i="148" s="1"/>
  <c r="E69" i="148"/>
  <c r="K62" i="148" s="1"/>
  <c r="H58" i="148"/>
  <c r="H59" i="148" s="1"/>
  <c r="E35" i="148" s="1"/>
  <c r="D35" i="148" s="1"/>
  <c r="G58" i="148"/>
  <c r="G59" i="148" s="1"/>
  <c r="E34" i="148" s="1"/>
  <c r="D34" i="148" s="1"/>
  <c r="D20" i="36"/>
  <c r="D19" i="36"/>
  <c r="D16" i="36"/>
  <c r="E16" i="36" s="1"/>
  <c r="D21" i="36"/>
  <c r="E63" i="148"/>
  <c r="K68" i="148" s="1"/>
  <c r="D63" i="148"/>
  <c r="J68" i="148" s="1"/>
  <c r="I30" i="148"/>
  <c r="C63" i="148"/>
  <c r="I68" i="148" s="1"/>
  <c r="D17" i="36"/>
  <c r="B33" i="151"/>
  <c r="C33" i="151" s="1"/>
  <c r="A34" i="151"/>
  <c r="D146" i="149"/>
  <c r="E147" i="149"/>
  <c r="J140" i="149"/>
  <c r="H144" i="149"/>
  <c r="D140" i="149"/>
  <c r="F140" i="149"/>
  <c r="J145" i="149"/>
  <c r="G140" i="149"/>
  <c r="E144" i="149"/>
  <c r="C144" i="149"/>
  <c r="H143" i="149"/>
  <c r="E141" i="149"/>
  <c r="F143" i="149"/>
  <c r="G147" i="149"/>
  <c r="B147" i="149"/>
  <c r="B140" i="149"/>
  <c r="J144" i="149"/>
  <c r="C139" i="149"/>
  <c r="J142" i="149"/>
  <c r="J143" i="149"/>
  <c r="H139" i="149"/>
  <c r="C143" i="149"/>
  <c r="I142" i="149"/>
  <c r="E142" i="149"/>
  <c r="J139" i="149"/>
  <c r="C147" i="149"/>
  <c r="C141" i="149"/>
  <c r="D142" i="149"/>
  <c r="I139" i="149"/>
  <c r="I146" i="149"/>
  <c r="F142" i="149"/>
  <c r="C140" i="149"/>
  <c r="J146" i="149"/>
  <c r="C145" i="149"/>
  <c r="I144" i="149"/>
  <c r="B146" i="149"/>
  <c r="G142" i="149"/>
  <c r="J141" i="149"/>
  <c r="I140" i="149"/>
  <c r="B139" i="149"/>
  <c r="B145" i="149"/>
  <c r="F8" i="149"/>
  <c r="A9" i="149" s="1"/>
  <c r="G143" i="149"/>
  <c r="B143" i="149"/>
  <c r="I145" i="149"/>
  <c r="D147" i="149"/>
  <c r="G139" i="149"/>
  <c r="G141" i="149"/>
  <c r="C146" i="149"/>
  <c r="E140" i="149"/>
  <c r="B144" i="149"/>
  <c r="E146" i="149"/>
  <c r="D145" i="149"/>
  <c r="E143" i="149"/>
  <c r="G145" i="149"/>
  <c r="F139" i="149"/>
  <c r="I141" i="149"/>
  <c r="F144" i="149"/>
  <c r="H145" i="149"/>
  <c r="F147" i="149"/>
  <c r="I143" i="149"/>
  <c r="F141" i="149"/>
  <c r="B142" i="149"/>
  <c r="G144" i="149"/>
  <c r="H142" i="149"/>
  <c r="D141" i="149"/>
  <c r="H140" i="149"/>
  <c r="H147" i="149"/>
  <c r="I147" i="149"/>
  <c r="H141" i="149"/>
  <c r="E139" i="149"/>
  <c r="F146" i="149"/>
  <c r="D139" i="149"/>
  <c r="E41" i="132"/>
  <c r="C42" i="132"/>
  <c r="D42" i="132"/>
  <c r="B43" i="132"/>
  <c r="K14" i="113"/>
  <c r="L9" i="113" s="1"/>
  <c r="M8" i="113"/>
  <c r="M13" i="113"/>
  <c r="C12" i="33"/>
  <c r="D12" i="33"/>
  <c r="B12" i="33"/>
  <c r="E11" i="34"/>
  <c r="H11" i="34" s="1"/>
  <c r="D12" i="34"/>
  <c r="H11" i="35"/>
  <c r="B12" i="35" s="1"/>
  <c r="E12" i="35" s="1"/>
  <c r="F34" i="148" l="1"/>
  <c r="D56" i="148"/>
  <c r="F57" i="148"/>
  <c r="F59" i="148" s="1"/>
  <c r="E33" i="148" s="1"/>
  <c r="D33" i="148" s="1"/>
  <c r="F35" i="148"/>
  <c r="E57" i="148"/>
  <c r="E59" i="148" s="1"/>
  <c r="E32" i="148" s="1"/>
  <c r="D32" i="148" s="1"/>
  <c r="F32" i="148" s="1"/>
  <c r="E17" i="36"/>
  <c r="E18" i="36" s="1"/>
  <c r="E19" i="36" s="1"/>
  <c r="E20" i="36" s="1"/>
  <c r="E21" i="36" s="1"/>
  <c r="A35" i="151"/>
  <c r="B34" i="151"/>
  <c r="C34" i="151" s="1"/>
  <c r="E42" i="132"/>
  <c r="D43" i="132"/>
  <c r="B44" i="132"/>
  <c r="C43" i="132"/>
  <c r="L11" i="113"/>
  <c r="L12" i="113"/>
  <c r="L10" i="113"/>
  <c r="L8" i="113"/>
  <c r="L13" i="113"/>
  <c r="M14" i="113"/>
  <c r="M15" i="113" s="1"/>
  <c r="H12" i="35"/>
  <c r="B13" i="35" s="1"/>
  <c r="E13" i="35" s="1"/>
  <c r="H13" i="35" s="1"/>
  <c r="D13" i="34"/>
  <c r="E12" i="34"/>
  <c r="H12" i="34" s="1"/>
  <c r="F33" i="148" l="1"/>
  <c r="D55" i="148"/>
  <c r="D59" i="148" s="1"/>
  <c r="E31" i="148" s="1"/>
  <c r="D31" i="148" s="1"/>
  <c r="I35" i="148"/>
  <c r="E68" i="148"/>
  <c r="K63" i="148" s="1"/>
  <c r="D68" i="148"/>
  <c r="J63" i="148" s="1"/>
  <c r="C68" i="148"/>
  <c r="I63" i="148" s="1"/>
  <c r="E43" i="132"/>
  <c r="D65" i="148"/>
  <c r="J66" i="148" s="1"/>
  <c r="C65" i="148"/>
  <c r="I66" i="148" s="1"/>
  <c r="E65" i="148"/>
  <c r="K66" i="148" s="1"/>
  <c r="I32" i="148"/>
  <c r="C67" i="148"/>
  <c r="I64" i="148" s="1"/>
  <c r="I34" i="148"/>
  <c r="E67" i="148"/>
  <c r="K64" i="148" s="1"/>
  <c r="D67" i="148"/>
  <c r="J64" i="148" s="1"/>
  <c r="A36" i="151"/>
  <c r="B35" i="151"/>
  <c r="C35" i="151" s="1"/>
  <c r="D44" i="132"/>
  <c r="B45" i="132"/>
  <c r="C44" i="132"/>
  <c r="E13" i="34"/>
  <c r="H13" i="34" s="1"/>
  <c r="F31" i="148" l="1"/>
  <c r="B53" i="148"/>
  <c r="B59" i="148" s="1"/>
  <c r="E29" i="148" s="1"/>
  <c r="D29" i="148" s="1"/>
  <c r="F29" i="148" s="1"/>
  <c r="D66" i="148"/>
  <c r="J65" i="148" s="1"/>
  <c r="I33" i="148"/>
  <c r="E66" i="148"/>
  <c r="K65" i="148" s="1"/>
  <c r="C66" i="148"/>
  <c r="I65" i="148" s="1"/>
  <c r="B36" i="151"/>
  <c r="C36" i="151" s="1"/>
  <c r="A37" i="151"/>
  <c r="B46" i="132"/>
  <c r="C45" i="132"/>
  <c r="D45" i="132"/>
  <c r="E44" i="132"/>
  <c r="E62" i="148" l="1"/>
  <c r="K69" i="148" s="1"/>
  <c r="D62" i="148"/>
  <c r="J69" i="148" s="1"/>
  <c r="C62" i="148"/>
  <c r="I69" i="148" s="1"/>
  <c r="I29" i="148"/>
  <c r="I37" i="148" s="1"/>
  <c r="I38" i="148" s="1"/>
  <c r="E64" i="148"/>
  <c r="K67" i="148" s="1"/>
  <c r="C64" i="148"/>
  <c r="I67" i="148" s="1"/>
  <c r="I31" i="148"/>
  <c r="D64" i="148"/>
  <c r="J67" i="148" s="1"/>
  <c r="E45" i="132"/>
  <c r="A38" i="151"/>
  <c r="B38" i="151" s="1"/>
  <c r="B37" i="151"/>
  <c r="C37" i="151" s="1"/>
  <c r="C46" i="132"/>
  <c r="D46" i="132"/>
  <c r="B47" i="132"/>
  <c r="C38" i="151" l="1"/>
  <c r="C47" i="132"/>
  <c r="B48" i="132"/>
  <c r="D47" i="132"/>
  <c r="E46" i="132"/>
  <c r="C48" i="132" l="1"/>
  <c r="B49" i="132"/>
  <c r="D48" i="132"/>
  <c r="E47" i="132"/>
  <c r="B50" i="132" l="1"/>
  <c r="D49" i="132"/>
  <c r="C49" i="132"/>
  <c r="E49" i="132" s="1"/>
  <c r="E48" i="132"/>
  <c r="B51" i="132" l="1"/>
  <c r="C50" i="132"/>
  <c r="D50" i="132"/>
  <c r="E50" i="132" l="1"/>
  <c r="B52" i="132"/>
  <c r="C51" i="132"/>
  <c r="D51" i="132"/>
  <c r="E51" i="132" l="1"/>
  <c r="D52" i="132"/>
  <c r="B53" i="132"/>
  <c r="C52" i="132"/>
  <c r="E52" i="132" s="1"/>
  <c r="B54" i="132" l="1"/>
  <c r="D53" i="132"/>
  <c r="C53" i="132"/>
  <c r="E53" i="132" s="1"/>
  <c r="D54" i="132" l="1"/>
  <c r="C54" i="132"/>
  <c r="E54" i="132" s="1"/>
  <c r="E7" i="153"/>
  <c r="E9" i="153"/>
  <c r="E10" i="153"/>
  <c r="E11" i="15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0100-000001000000}">
      <text>
        <r>
          <rPr>
            <sz val="9"/>
            <color indexed="81"/>
            <rFont val="Tahoma"/>
            <family val="2"/>
          </rPr>
          <t>Breakeven Analysis: Submodel =  0; Problem size @  2 by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0800-000001000000}">
      <text>
        <r>
          <rPr>
            <sz val="9"/>
            <color indexed="81"/>
            <rFont val="Tahoma"/>
            <family val="2"/>
          </rPr>
          <t>Decision Tables: Submodel =  0; Problem size @  3 by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0B00-000001000000}">
      <text>
        <r>
          <rPr>
            <sz val="9"/>
            <color indexed="81"/>
            <rFont val="Tahoma"/>
            <family val="2"/>
          </rPr>
          <t>Forecasting: Submodel =  2; Problem size @  6 by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1100-000001000000}">
      <text>
        <r>
          <rPr>
            <sz val="9"/>
            <color indexed="81"/>
            <rFont val="Tahoma"/>
            <family val="2"/>
          </rPr>
          <t>Forecasting: Submodel =  12; Problem size @  12 by 3</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9" authorId="0" shapeId="0" xr:uid="{00000000-0006-0000-1200-000001000000}">
      <text>
        <r>
          <rPr>
            <sz val="9"/>
            <color indexed="81"/>
            <rFont val="Tahoma"/>
            <family val="2"/>
          </rPr>
          <t>Forecasting: Submodel =  14; Problem size @  7 by 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1300-000001000000}">
      <text>
        <r>
          <rPr>
            <sz val="9"/>
            <color indexed="81"/>
            <rFont val="Tahoma"/>
            <family val="2"/>
          </rPr>
          <t>Forecasting: Submodel =  15; Problem size @  7 by 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1400-000001000000}">
      <text>
        <r>
          <rPr>
            <sz val="9"/>
            <color indexed="81"/>
            <rFont val="Tahoma"/>
            <family val="2"/>
          </rPr>
          <t>Forecasting: Submodel =  2; Problem size @  12 by 4</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1500-000001000000}">
      <text>
        <r>
          <rPr>
            <sz val="9"/>
            <color indexed="81"/>
            <rFont val="Tahoma"/>
            <family val="2"/>
          </rPr>
          <t>Inventory: Submodel =  0; Problem size @  4 by 2</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1600-000001000000}">
      <text>
        <r>
          <rPr>
            <sz val="9"/>
            <color indexed="81"/>
            <rFont val="Tahoma"/>
            <family val="2"/>
          </rPr>
          <t>Inventory: Submodel =  0; Problem size @  12 by 4</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1700-000001000000}">
      <text>
        <r>
          <rPr>
            <sz val="9"/>
            <color indexed="81"/>
            <rFont val="Tahoma"/>
            <family val="2"/>
          </rPr>
          <t>Inventory: Submodel =  5; Problem size @  3 by 4</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10" authorId="0" shapeId="0" xr:uid="{00000000-0006-0000-1A00-000001000000}">
      <text>
        <r>
          <rPr>
            <sz val="9"/>
            <color indexed="81"/>
            <rFont val="Tahoma"/>
            <family val="2"/>
          </rPr>
          <t>Linear, Integer and Mixed Integer Programming: Submodel =  0; Problem size @  2 by 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600-000001000000}">
      <text>
        <r>
          <rPr>
            <sz val="9"/>
            <color indexed="81"/>
            <rFont val="Tahoma"/>
            <family val="2"/>
          </rPr>
          <t>Transportation: Submodel =  0; Problem size @  3 by 3</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700-000001000000}">
      <text>
        <r>
          <rPr>
            <sz val="9"/>
            <color indexed="81"/>
            <rFont val="Tahoma"/>
            <family val="2"/>
          </rPr>
          <t>Transportation: Submodel =  0; Problem size @  4 by 4</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800-000001000000}">
      <text>
        <r>
          <rPr>
            <sz val="9"/>
            <color indexed="81"/>
            <rFont val="Tahoma"/>
            <family val="2"/>
          </rPr>
          <t>Transportation: Submodel =  0; Problem size @  4 by 4</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900-000001000000}">
      <text>
        <r>
          <rPr>
            <sz val="9"/>
            <color indexed="81"/>
            <rFont val="Tahoma"/>
            <family val="2"/>
          </rPr>
          <t>Assignment: Submodel =  0; Problem size @  3 by 3</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10" authorId="0" shapeId="0" xr:uid="{00000000-0006-0000-2A00-000001000000}">
      <text>
        <r>
          <rPr>
            <sz val="9"/>
            <color indexed="81"/>
            <rFont val="Tahoma"/>
            <family val="2"/>
          </rPr>
          <t>Linear, Integer and Mixed Integer Programming: Submodel =  0; Problem size @  7 by 10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D00-000001000000}">
      <text>
        <r>
          <rPr>
            <sz val="9"/>
            <color indexed="81"/>
            <rFont val="Tahoma"/>
            <family val="2"/>
          </rPr>
          <t>Network Analysis: Submodel =  0; Problem size @  13 by 3</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E00-000001000000}">
      <text>
        <r>
          <rPr>
            <sz val="9"/>
            <color indexed="81"/>
            <rFont val="Tahoma"/>
            <family val="2"/>
          </rPr>
          <t>Transportation: Submodel =  0; Problem size @  3 by 3</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2F00-000001000000}">
      <text>
        <r>
          <rPr>
            <sz val="9"/>
            <color indexed="81"/>
            <rFont val="Tahoma"/>
            <family val="2"/>
          </rPr>
          <t>Assignment: Submodel =  0; Problem size @  4 by 4</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3A00-000001000000}">
      <text>
        <r>
          <rPr>
            <sz val="9"/>
            <color indexed="81"/>
            <rFont val="Tahoma"/>
            <family val="2"/>
          </rPr>
          <t>Project Management: Submodel =  2; Problem size @  8 by 2</t>
        </r>
      </text>
    </comment>
    <comment ref="A16" authorId="0" shapeId="0" xr:uid="{00000000-0006-0000-3A00-000002000000}">
      <text>
        <r>
          <rPr>
            <sz val="9"/>
            <color indexed="81"/>
            <rFont val="Tahoma"/>
            <family val="2"/>
          </rPr>
          <t>Project Management: Submodel =  2; Problem size @  8 by 2</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7" authorId="0" shapeId="0" xr:uid="{00000000-0006-0000-3C00-000001000000}">
      <text>
        <r>
          <rPr>
            <sz val="9"/>
            <color indexed="81"/>
            <rFont val="Tahoma"/>
            <family val="2"/>
          </rPr>
          <t>Project Management: Submodel =  3; Problem size @  8 by 2</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3D00-000001000000}">
      <text>
        <r>
          <rPr>
            <sz val="9"/>
            <color indexed="81"/>
            <rFont val="Tahoma"/>
            <family val="2"/>
          </rPr>
          <t>Waiting Lines: Submodel =  0; Problem size @  2 by 2</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3E00-000001000000}">
      <text>
        <r>
          <rPr>
            <sz val="9"/>
            <color indexed="81"/>
            <rFont val="Tahoma"/>
            <family val="2"/>
          </rPr>
          <t>Waiting Lines: Submodel =  0; Problem size @  2 by 2</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3F00-000001000000}">
      <text>
        <r>
          <rPr>
            <sz val="9"/>
            <color indexed="81"/>
            <rFont val="Tahoma"/>
            <family val="2"/>
          </rPr>
          <t>Waiting Lines: Submodel =  0; Problem size @  2 by 2</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6" authorId="0" shapeId="0" xr:uid="{00000000-0006-0000-4000-000001000000}">
      <text>
        <r>
          <rPr>
            <sz val="9"/>
            <color indexed="81"/>
            <rFont val="Tahoma"/>
            <family val="2"/>
          </rPr>
          <t>Waiting Lines: Submodel =  0; Problem size @  2 by 2</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B6" authorId="0" shapeId="0" xr:uid="{00000000-0006-0000-4200-000001000000}">
      <text>
        <r>
          <rPr>
            <sz val="9"/>
            <color indexed="81"/>
            <rFont val="Tahoma"/>
            <family val="2"/>
          </rPr>
          <t>Simulation: Submodel =  0; Problem size @  6 by 1000</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4900-000001000000}">
      <text>
        <r>
          <rPr>
            <sz val="9"/>
            <color indexed="81"/>
            <rFont val="Tahoma"/>
            <family val="2"/>
          </rPr>
          <t>Quality Control: Submodel =  5; Problem size @  1 by 36</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4A00-000001000000}">
      <text>
        <r>
          <rPr>
            <sz val="9"/>
            <color indexed="81"/>
            <rFont val="Tahoma"/>
            <family val="2"/>
          </rPr>
          <t>Quality Control: Submodel =  5; Problem size @  1 by 5</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4B00-000001000000}">
      <text>
        <r>
          <rPr>
            <sz val="9"/>
            <color indexed="81"/>
            <rFont val="Tahoma"/>
            <family val="2"/>
          </rPr>
          <t>Quality Control: Submodel =  4; Problem size @  20 by 1</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Hanna</author>
  </authors>
  <commentList>
    <comment ref="A8" authorId="0" shapeId="0" xr:uid="{00000000-0006-0000-4C00-000001000000}">
      <text>
        <r>
          <rPr>
            <sz val="9"/>
            <color indexed="81"/>
            <rFont val="Tahoma"/>
            <family val="2"/>
          </rPr>
          <t>Quality Control: Submodel =  6; Problem size @  9 by 1</t>
        </r>
      </text>
    </comment>
  </commentList>
</comments>
</file>

<file path=xl/sharedStrings.xml><?xml version="1.0" encoding="utf-8"?>
<sst xmlns="http://schemas.openxmlformats.org/spreadsheetml/2006/main" count="2318" uniqueCount="1041">
  <si>
    <t>Waiting Lines</t>
  </si>
  <si>
    <t>Pritchett Clock Repair Shop</t>
  </si>
  <si>
    <t>Thompson Lumber</t>
  </si>
  <si>
    <t>Wallace Garden Supply Shed Sales</t>
  </si>
  <si>
    <t>Midwestern Manufacturing's Demand</t>
  </si>
  <si>
    <t>Triple A Construction Company Sales</t>
  </si>
  <si>
    <t>Sumco Pump Company</t>
  </si>
  <si>
    <t>Brown Manufacturing</t>
  </si>
  <si>
    <t>Brass Department Store</t>
  </si>
  <si>
    <t>Flair Furniture</t>
  </si>
  <si>
    <t>Holiday Meal Turkey Ranch</t>
  </si>
  <si>
    <t>High note sound company</t>
  </si>
  <si>
    <t>Win Big Gambling Club</t>
  </si>
  <si>
    <t>Fifth Avenue Industries</t>
  </si>
  <si>
    <t>Top Speed Bicycle Company</t>
  </si>
  <si>
    <t>Goodman Shipping</t>
  </si>
  <si>
    <t>Executive Furniture Company</t>
  </si>
  <si>
    <t>Transportation</t>
  </si>
  <si>
    <t>Assignment</t>
  </si>
  <si>
    <t>Harrison Electric IP Analysis</t>
  </si>
  <si>
    <t>Bagwell Chemical Company</t>
  </si>
  <si>
    <t>Simkin, Simkin and Steinberg</t>
  </si>
  <si>
    <t>Great Western Appliance</t>
  </si>
  <si>
    <t>Hospicare Corp</t>
  </si>
  <si>
    <t>Thermlock Gaskets</t>
  </si>
  <si>
    <t>Arnold's Muffler Shop</t>
  </si>
  <si>
    <t>Breakeven Analysis</t>
  </si>
  <si>
    <t>Data</t>
  </si>
  <si>
    <t>Fixed cost</t>
  </si>
  <si>
    <t>Variable cost</t>
  </si>
  <si>
    <t>Revenue</t>
  </si>
  <si>
    <t>Results</t>
  </si>
  <si>
    <t>Breakeven points</t>
  </si>
  <si>
    <t>Units</t>
  </si>
  <si>
    <t>Dollars</t>
  </si>
  <si>
    <t>Graph</t>
  </si>
  <si>
    <t>Costs</t>
  </si>
  <si>
    <t>Decision Tables</t>
  </si>
  <si>
    <t>Profit</t>
  </si>
  <si>
    <t>EMV</t>
  </si>
  <si>
    <t>Minimum</t>
  </si>
  <si>
    <t>Maximum</t>
  </si>
  <si>
    <t>Probability</t>
  </si>
  <si>
    <t>Expected Value of Perfect Information</t>
  </si>
  <si>
    <t>Column best</t>
  </si>
  <si>
    <t>&lt;-Best expected value</t>
  </si>
  <si>
    <t>Regret</t>
  </si>
  <si>
    <t>Expected</t>
  </si>
  <si>
    <t>Value</t>
  </si>
  <si>
    <t>Forecasting</t>
  </si>
  <si>
    <t>Period</t>
  </si>
  <si>
    <t>Demand</t>
  </si>
  <si>
    <t>Weights</t>
  </si>
  <si>
    <t>Forecast</t>
  </si>
  <si>
    <t>Error</t>
  </si>
  <si>
    <t>Absolute</t>
  </si>
  <si>
    <t>Squared</t>
  </si>
  <si>
    <t>Total</t>
  </si>
  <si>
    <t>Average</t>
  </si>
  <si>
    <t>Bias</t>
  </si>
  <si>
    <t>MAD</t>
  </si>
  <si>
    <t>MSE</t>
  </si>
  <si>
    <t>SE</t>
  </si>
  <si>
    <t>Next period</t>
  </si>
  <si>
    <t>Alpha</t>
  </si>
  <si>
    <t>Demand (y)</t>
  </si>
  <si>
    <t>Period(x)</t>
  </si>
  <si>
    <t>Intercept</t>
  </si>
  <si>
    <t>Slope</t>
  </si>
  <si>
    <t>Correlation</t>
  </si>
  <si>
    <t>Inventory</t>
  </si>
  <si>
    <t>Economic Order Quantity Model</t>
  </si>
  <si>
    <t>Demand rate, D</t>
  </si>
  <si>
    <t>Holding cost, H</t>
  </si>
  <si>
    <t>(fixed amount)</t>
  </si>
  <si>
    <t>Unit Price, P</t>
  </si>
  <si>
    <t>Optimal Order Quantity, Q*</t>
  </si>
  <si>
    <t>Maximum Inventory</t>
  </si>
  <si>
    <t>Average Inventory</t>
  </si>
  <si>
    <t>Number of Setups</t>
  </si>
  <si>
    <t>Holding cost</t>
  </si>
  <si>
    <t>Setup cost</t>
  </si>
  <si>
    <t>Unit costs</t>
  </si>
  <si>
    <t>COST TABLE</t>
  </si>
  <si>
    <t>Start at</t>
  </si>
  <si>
    <t>Increment by</t>
  </si>
  <si>
    <t>Q</t>
  </si>
  <si>
    <t>Total cost</t>
  </si>
  <si>
    <t>Production Order Quantity Model</t>
  </si>
  <si>
    <t>Daily production rate, p</t>
  </si>
  <si>
    <t>Daily demand rate, d</t>
  </si>
  <si>
    <t>Unit price, P</t>
  </si>
  <si>
    <t>Optimal production quantity, Q*</t>
  </si>
  <si>
    <t>Quantity Discount Model</t>
  </si>
  <si>
    <t>Holding cost %, I</t>
  </si>
  <si>
    <t>Range 1</t>
  </si>
  <si>
    <t>Range 2</t>
  </si>
  <si>
    <t>Range 3</t>
  </si>
  <si>
    <t>Minimum quantity</t>
  </si>
  <si>
    <t>Q* (Square root formula)</t>
  </si>
  <si>
    <t>Order Quantity</t>
  </si>
  <si>
    <t>=</t>
  </si>
  <si>
    <t>Carpentry</t>
  </si>
  <si>
    <t>Painting</t>
  </si>
  <si>
    <t>Brand 1</t>
  </si>
  <si>
    <t>Brand 2</t>
  </si>
  <si>
    <t>Ingredient A</t>
  </si>
  <si>
    <t>Ingredient B</t>
  </si>
  <si>
    <t>Ingredient C</t>
  </si>
  <si>
    <t>Receivers</t>
  </si>
  <si>
    <t>Sign</t>
  </si>
  <si>
    <t>Totals</t>
  </si>
  <si>
    <t>Radio dollars</t>
  </si>
  <si>
    <t>Radio spots</t>
  </si>
  <si>
    <t>All silk</t>
  </si>
  <si>
    <t>Cost</t>
  </si>
  <si>
    <t>Silk</t>
  </si>
  <si>
    <t>Polyester</t>
  </si>
  <si>
    <t>Total Cost</t>
  </si>
  <si>
    <t>Total Profit</t>
  </si>
  <si>
    <t>COSTS</t>
  </si>
  <si>
    <t>Supply</t>
  </si>
  <si>
    <t>Shipments</t>
  </si>
  <si>
    <t>Row Total</t>
  </si>
  <si>
    <t xml:space="preserve"> </t>
  </si>
  <si>
    <t>Column Total</t>
  </si>
  <si>
    <t>&lt;</t>
  </si>
  <si>
    <t>Albuquerque</t>
  </si>
  <si>
    <t>Boston</t>
  </si>
  <si>
    <t>Cleveland</t>
  </si>
  <si>
    <t>Des Moines</t>
  </si>
  <si>
    <t>Evansville</t>
  </si>
  <si>
    <t>Fort Lauderdale</t>
  </si>
  <si>
    <t>Detroit</t>
  </si>
  <si>
    <t>Birmingham</t>
  </si>
  <si>
    <t>Project 1</t>
  </si>
  <si>
    <t>Project 2</t>
  </si>
  <si>
    <t>Project 3</t>
  </si>
  <si>
    <t>Adams</t>
  </si>
  <si>
    <t>Brown</t>
  </si>
  <si>
    <t>Cooper</t>
  </si>
  <si>
    <t>Assignments</t>
  </si>
  <si>
    <t>Chandeliers</t>
  </si>
  <si>
    <t>Fans</t>
  </si>
  <si>
    <t>Solution</t>
  </si>
  <si>
    <t>sign</t>
  </si>
  <si>
    <t>Return</t>
  </si>
  <si>
    <t>Number</t>
  </si>
  <si>
    <t>Constraint 1</t>
  </si>
  <si>
    <t>&gt;</t>
  </si>
  <si>
    <t>Constraint 2</t>
  </si>
  <si>
    <t>Constraint 3</t>
  </si>
  <si>
    <t>M/M/1 (Single Server Model)</t>
  </si>
  <si>
    <t>Average number of customers in the system(L)</t>
  </si>
  <si>
    <t>Average time in the system(W)</t>
  </si>
  <si>
    <t>Probabilities</t>
  </si>
  <si>
    <t>Cumulative Probability</t>
  </si>
  <si>
    <t>M/M/s</t>
  </si>
  <si>
    <t>Number of servers(s)</t>
  </si>
  <si>
    <t>term2</t>
  </si>
  <si>
    <t>P0(s)</t>
  </si>
  <si>
    <t>Rho(s)</t>
  </si>
  <si>
    <t>Lq(s)</t>
  </si>
  <si>
    <t>L(s)</t>
  </si>
  <si>
    <t>Wq(s)</t>
  </si>
  <si>
    <t>W(S)</t>
  </si>
  <si>
    <t>M/D/1 (Constant Service Times)</t>
  </si>
  <si>
    <t>Probability Range (Lower)</t>
  </si>
  <si>
    <t>Tires Demand</t>
  </si>
  <si>
    <t>Day</t>
  </si>
  <si>
    <t xml:space="preserve">Random Number </t>
  </si>
  <si>
    <t>Simulated Demand</t>
  </si>
  <si>
    <t>Results (Frequency table)</t>
  </si>
  <si>
    <t>Tires Demanded</t>
  </si>
  <si>
    <t>Frequency</t>
  </si>
  <si>
    <t>Percentage</t>
  </si>
  <si>
    <t>Cum %</t>
  </si>
  <si>
    <t>Previously delayed</t>
  </si>
  <si>
    <t>Random number</t>
  </si>
  <si>
    <t>Arrivals</t>
  </si>
  <si>
    <t>Total to be unoaded</t>
  </si>
  <si>
    <t>Random Number</t>
  </si>
  <si>
    <t>Possibly unloaded</t>
  </si>
  <si>
    <t>Unloaded</t>
  </si>
  <si>
    <t>Barge Arrivals</t>
  </si>
  <si>
    <t>Unloading rates</t>
  </si>
  <si>
    <t>Lower</t>
  </si>
  <si>
    <t>Cumulative</t>
  </si>
  <si>
    <t>Unloading</t>
  </si>
  <si>
    <r>
      <t>Total cost, T</t>
    </r>
    <r>
      <rPr>
        <vertAlign val="subscript"/>
        <sz val="10"/>
        <rFont val="Arial"/>
        <family val="2"/>
      </rPr>
      <t>c</t>
    </r>
  </si>
  <si>
    <r>
      <t>Arrival rate (</t>
    </r>
    <r>
      <rPr>
        <sz val="10"/>
        <rFont val="Symbol"/>
        <family val="1"/>
        <charset val="2"/>
      </rPr>
      <t>l</t>
    </r>
    <r>
      <rPr>
        <sz val="10"/>
        <rFont val="Arial"/>
        <family val="2"/>
      </rPr>
      <t>)</t>
    </r>
  </si>
  <si>
    <r>
      <t>Service rate (</t>
    </r>
    <r>
      <rPr>
        <sz val="10"/>
        <rFont val="Symbol"/>
        <family val="1"/>
        <charset val="2"/>
      </rPr>
      <t>m</t>
    </r>
    <r>
      <rPr>
        <sz val="10"/>
        <rFont val="Arial"/>
        <family val="2"/>
      </rPr>
      <t>)</t>
    </r>
  </si>
  <si>
    <t>Garcia-Golding Recycling</t>
  </si>
  <si>
    <t>Harry's Tire Shop</t>
  </si>
  <si>
    <t>Port of New Orleans Barge Unloadings</t>
  </si>
  <si>
    <t>Bayes Theorem for Thompson Lumber Example</t>
  </si>
  <si>
    <t>Fill in cells B7, B8, and C7</t>
  </si>
  <si>
    <t>Probability Revisions Given a Positive Survey</t>
  </si>
  <si>
    <t>State of Nature</t>
  </si>
  <si>
    <t>FM</t>
  </si>
  <si>
    <t>UM</t>
  </si>
  <si>
    <t>Probability Revisions Given a Negative Survey</t>
  </si>
  <si>
    <t>P(Sur.Pos.|state of nature)</t>
  </si>
  <si>
    <t>Prior Prob.</t>
  </si>
  <si>
    <t>Joint Prob.</t>
  </si>
  <si>
    <t>Posterior Probability</t>
  </si>
  <si>
    <t>P(Sur.pos.)=</t>
  </si>
  <si>
    <t>P(Sur.neg.)=</t>
  </si>
  <si>
    <t>Crashing General Foundry Problem</t>
  </si>
  <si>
    <t>YA</t>
  </si>
  <si>
    <t>YB</t>
  </si>
  <si>
    <t>YC</t>
  </si>
  <si>
    <t>YD</t>
  </si>
  <si>
    <t>YE</t>
  </si>
  <si>
    <t>YF</t>
  </si>
  <si>
    <t>YG</t>
  </si>
  <si>
    <t>YH</t>
  </si>
  <si>
    <t>XST</t>
  </si>
  <si>
    <t>XA</t>
  </si>
  <si>
    <t>XB</t>
  </si>
  <si>
    <t>XC</t>
  </si>
  <si>
    <t>XD</t>
  </si>
  <si>
    <t>XE</t>
  </si>
  <si>
    <t>XF</t>
  </si>
  <si>
    <t>XG</t>
  </si>
  <si>
    <t>XH</t>
  </si>
  <si>
    <t>XFIN</t>
  </si>
  <si>
    <t>Values</t>
  </si>
  <si>
    <t>Minimize cost</t>
  </si>
  <si>
    <t>A crash max.</t>
  </si>
  <si>
    <t>B crash max.</t>
  </si>
  <si>
    <t>C crash max.</t>
  </si>
  <si>
    <t>D crash max.</t>
  </si>
  <si>
    <t>E crash max.</t>
  </si>
  <si>
    <t>G crash max.</t>
  </si>
  <si>
    <t>F crash max.</t>
  </si>
  <si>
    <t>H crash max.</t>
  </si>
  <si>
    <t>Due date</t>
  </si>
  <si>
    <t>Start</t>
  </si>
  <si>
    <t>A constraint</t>
  </si>
  <si>
    <t>B constraint</t>
  </si>
  <si>
    <t>C constraint</t>
  </si>
  <si>
    <t>D constraint</t>
  </si>
  <si>
    <t>E constraint</t>
  </si>
  <si>
    <t>F constraint</t>
  </si>
  <si>
    <t>G constraint 1</t>
  </si>
  <si>
    <t>G constraint 2</t>
  </si>
  <si>
    <t>H constraint 1</t>
  </si>
  <si>
    <t>H constraint 2</t>
  </si>
  <si>
    <t>Finish constraint</t>
  </si>
  <si>
    <t>Department of Commerce</t>
  </si>
  <si>
    <t>M/M/s with a finite population</t>
  </si>
  <si>
    <t>Number of servers</t>
  </si>
  <si>
    <t>Population size (N)</t>
  </si>
  <si>
    <t>Effective arrival rate</t>
  </si>
  <si>
    <t>Number, n</t>
  </si>
  <si>
    <t>Probability, P(n)</t>
  </si>
  <si>
    <t>Number waiting</t>
  </si>
  <si>
    <t>Arrival rate(n)</t>
  </si>
  <si>
    <t>Term 1</t>
  </si>
  <si>
    <t>Sum term 1</t>
  </si>
  <si>
    <t>Term 2</t>
  </si>
  <si>
    <t>Sum term 2</t>
  </si>
  <si>
    <t>Decum term 2</t>
  </si>
  <si>
    <t>Generating Normal Random Numbers</t>
  </si>
  <si>
    <t>Frenquency</t>
  </si>
  <si>
    <t>Breakdown number</t>
  </si>
  <si>
    <t>Time between breakdowns</t>
  </si>
  <si>
    <t>Time of breakdowns</t>
  </si>
  <si>
    <t>Time repairperson is free</t>
  </si>
  <si>
    <t>Repair time</t>
  </si>
  <si>
    <t>Repair ends</t>
  </si>
  <si>
    <t>Demand Table</t>
  </si>
  <si>
    <t>Repair times</t>
  </si>
  <si>
    <t>Time</t>
  </si>
  <si>
    <t>Lead time</t>
  </si>
  <si>
    <t>Three Grocery Example</t>
  </si>
  <si>
    <t>State Probabilities</t>
  </si>
  <si>
    <t>Food Mart</t>
  </si>
  <si>
    <t>Atlas Foods</t>
  </si>
  <si>
    <t>#1</t>
  </si>
  <si>
    <t>#2</t>
  </si>
  <si>
    <t>#3</t>
  </si>
  <si>
    <t>Matrix of Transition Probabilities</t>
  </si>
  <si>
    <t>American Food Store</t>
  </si>
  <si>
    <t>AHP</t>
  </si>
  <si>
    <t>n=</t>
  </si>
  <si>
    <t>Hardware</t>
  </si>
  <si>
    <t>Sys.1</t>
  </si>
  <si>
    <t>Sys.2</t>
  </si>
  <si>
    <t>Sys.3</t>
  </si>
  <si>
    <t>Priority</t>
  </si>
  <si>
    <t>Wt. sum vector</t>
  </si>
  <si>
    <t>Consistency vector</t>
  </si>
  <si>
    <t xml:space="preserve">Lambda </t>
  </si>
  <si>
    <t>CI</t>
  </si>
  <si>
    <t>CR</t>
  </si>
  <si>
    <t>Software</t>
  </si>
  <si>
    <t>Vendor</t>
  </si>
  <si>
    <t>Factor</t>
  </si>
  <si>
    <t>Hard.</t>
  </si>
  <si>
    <t>Soft.</t>
  </si>
  <si>
    <t>n</t>
  </si>
  <si>
    <t>RI</t>
  </si>
  <si>
    <t>Matrix Multiplication</t>
  </si>
  <si>
    <t>A=</t>
  </si>
  <si>
    <t>B=</t>
  </si>
  <si>
    <t>AxB =</t>
  </si>
  <si>
    <t>Matrix Inverse</t>
  </si>
  <si>
    <t>A-inverse=</t>
  </si>
  <si>
    <t>Matrix Determinant</t>
  </si>
  <si>
    <t>det(A)=</t>
  </si>
  <si>
    <t>P=</t>
  </si>
  <si>
    <t>I : 0</t>
  </si>
  <si>
    <t>A : B</t>
  </si>
  <si>
    <t>I - B =</t>
  </si>
  <si>
    <t>F = (I - B) inverse</t>
  </si>
  <si>
    <t>FA =</t>
  </si>
  <si>
    <t xml:space="preserve">ARCO </t>
  </si>
  <si>
    <t>Quality Control</t>
  </si>
  <si>
    <t>Number of samples</t>
  </si>
  <si>
    <t>Sample size</t>
  </si>
  <si>
    <t># Defects</t>
  </si>
  <si>
    <t>% Defects</t>
  </si>
  <si>
    <t>Total Sample Size</t>
  </si>
  <si>
    <t>Sample 1</t>
  </si>
  <si>
    <t>Total Defects</t>
  </si>
  <si>
    <t>Sample 2</t>
  </si>
  <si>
    <t>Percentage defects</t>
  </si>
  <si>
    <t>Sample 3</t>
  </si>
  <si>
    <t>Std dev of p-bar</t>
  </si>
  <si>
    <t>Sample 4</t>
  </si>
  <si>
    <t>Sample 5</t>
  </si>
  <si>
    <t>Upper Control Limit</t>
  </si>
  <si>
    <t>Sample 6</t>
  </si>
  <si>
    <t>Center Line</t>
  </si>
  <si>
    <t>Sample 7</t>
  </si>
  <si>
    <t>Lower Control Limit</t>
  </si>
  <si>
    <t>Sample 8</t>
  </si>
  <si>
    <t>Sample 9</t>
  </si>
  <si>
    <t>Sample 10</t>
  </si>
  <si>
    <t>Sample 11</t>
  </si>
  <si>
    <t>Sample 12</t>
  </si>
  <si>
    <t>Sample 13</t>
  </si>
  <si>
    <t>Sample 14</t>
  </si>
  <si>
    <t>Sample 15</t>
  </si>
  <si>
    <t>Sample 16</t>
  </si>
  <si>
    <t>Sample 17</t>
  </si>
  <si>
    <t>Sample 18</t>
  </si>
  <si>
    <t>Sample 19</t>
  </si>
  <si>
    <t>Sample 20</t>
  </si>
  <si>
    <t>Graph information</t>
  </si>
  <si>
    <t>Program</t>
  </si>
  <si>
    <t>Name</t>
  </si>
  <si>
    <t>Source</t>
  </si>
  <si>
    <t>Content</t>
  </si>
  <si>
    <t>M1.1</t>
  </si>
  <si>
    <t>M5.1</t>
  </si>
  <si>
    <t>Multiple Regression</t>
  </si>
  <si>
    <t>Module</t>
  </si>
  <si>
    <t>Excel QM</t>
  </si>
  <si>
    <t>Goal Seek</t>
  </si>
  <si>
    <t>Decision Table</t>
  </si>
  <si>
    <t>Excel</t>
  </si>
  <si>
    <t>Jenny Wilson Realty</t>
  </si>
  <si>
    <t>Regression</t>
  </si>
  <si>
    <t>Bayes Theorem</t>
  </si>
  <si>
    <t>MPG Data</t>
  </si>
  <si>
    <t>Nonlinear Regression</t>
  </si>
  <si>
    <t>Linear Regression</t>
  </si>
  <si>
    <t>Trend Analysis</t>
  </si>
  <si>
    <t>EOQ Model</t>
  </si>
  <si>
    <t>Production Run Model</t>
  </si>
  <si>
    <t>Linear Programming</t>
  </si>
  <si>
    <t>Integer programming</t>
  </si>
  <si>
    <t>Nonlinear programming</t>
  </si>
  <si>
    <t>0-1 programming</t>
  </si>
  <si>
    <t>Crashing</t>
  </si>
  <si>
    <t>Simulation (inventory)</t>
  </si>
  <si>
    <t>Random #s and Frequency</t>
  </si>
  <si>
    <t>Simulation (waiting line)</t>
  </si>
  <si>
    <t>Markov Analysis</t>
  </si>
  <si>
    <t>Fundamental Matrix &amp; Absorbing States</t>
  </si>
  <si>
    <t>p-Chart Analysis</t>
  </si>
  <si>
    <t>x</t>
  </si>
  <si>
    <t>The Binomial Distribution</t>
  </si>
  <si>
    <t>p=</t>
  </si>
  <si>
    <t>r=</t>
  </si>
  <si>
    <t>Cumulative probability</t>
  </si>
  <si>
    <t>Triple A Construction Company</t>
  </si>
  <si>
    <t>Sales (Y)</t>
  </si>
  <si>
    <t>Payroll (X)</t>
  </si>
  <si>
    <t>SUMMARY OUTPUT</t>
  </si>
  <si>
    <t>Regression Statistics</t>
  </si>
  <si>
    <t>Multiple R</t>
  </si>
  <si>
    <t>R Square</t>
  </si>
  <si>
    <t>Adjusted R Square</t>
  </si>
  <si>
    <t>Standard Error</t>
  </si>
  <si>
    <t>Observations</t>
  </si>
  <si>
    <t>ANOVA</t>
  </si>
  <si>
    <t>Residual</t>
  </si>
  <si>
    <t>df</t>
  </si>
  <si>
    <t>SS</t>
  </si>
  <si>
    <t>MS</t>
  </si>
  <si>
    <t>F</t>
  </si>
  <si>
    <t>Significance F</t>
  </si>
  <si>
    <t>Coefficients</t>
  </si>
  <si>
    <t>t Stat</t>
  </si>
  <si>
    <t>P-value</t>
  </si>
  <si>
    <t>Lower 95%</t>
  </si>
  <si>
    <t>Upper 95%</t>
  </si>
  <si>
    <t>Lower 95.0%</t>
  </si>
  <si>
    <t>Upper 95.0%</t>
  </si>
  <si>
    <t>SELL PRICE</t>
  </si>
  <si>
    <t>SF</t>
  </si>
  <si>
    <t>AGE</t>
  </si>
  <si>
    <t>Condition</t>
  </si>
  <si>
    <t>Good</t>
  </si>
  <si>
    <t>Excellent</t>
  </si>
  <si>
    <t>Mint</t>
  </si>
  <si>
    <t>Automobile Weight vs. MPG</t>
  </si>
  <si>
    <t>MPG (Y)</t>
  </si>
  <si>
    <t>Weight (X1)</t>
  </si>
  <si>
    <t>WeightSq.(X2)</t>
  </si>
  <si>
    <t>Sales X</t>
  </si>
  <si>
    <t>Advertising ($100) Y</t>
  </si>
  <si>
    <t>Solved Problem 4-2</t>
  </si>
  <si>
    <t>Midwestern Manufacturing</t>
  </si>
  <si>
    <t>NOTE: The random numbers appearing here may not be the same as the ones in the book, but the formulas are the same.</t>
  </si>
  <si>
    <t>Expected Value and Variance</t>
  </si>
  <si>
    <t>Binomial Probabilities</t>
  </si>
  <si>
    <t>Dummy Variables - Regression</t>
  </si>
  <si>
    <t>Weighted Moving Average</t>
  </si>
  <si>
    <t>Turner Industries</t>
  </si>
  <si>
    <t>Single Server (M/M/1) system</t>
  </si>
  <si>
    <t>Multi-Server (M/M/m) system</t>
  </si>
  <si>
    <t>Golding Recycling, Inc.</t>
  </si>
  <si>
    <t>Constant Service Rate (M/D/1)</t>
  </si>
  <si>
    <t>Three Hills Power Company</t>
  </si>
  <si>
    <t>Maintenance Simulation</t>
  </si>
  <si>
    <t>Accounts Receivable Example</t>
  </si>
  <si>
    <t>Variables</t>
  </si>
  <si>
    <t>X1</t>
  </si>
  <si>
    <t>X2</t>
  </si>
  <si>
    <t>X3</t>
  </si>
  <si>
    <t>X4</t>
  </si>
  <si>
    <t>RHS</t>
  </si>
  <si>
    <t>X3 (Exc.)</t>
  </si>
  <si>
    <t>X4 (Mint)</t>
  </si>
  <si>
    <t>Weighted moving averages -  3 period moving average</t>
  </si>
  <si>
    <t>Abs Pct Err</t>
  </si>
  <si>
    <t>MAPE</t>
  </si>
  <si>
    <t>Forecasts and Error Analysis</t>
  </si>
  <si>
    <t>Wallace Garden Supply</t>
  </si>
  <si>
    <t>Year 1</t>
  </si>
  <si>
    <t>Year 2</t>
  </si>
  <si>
    <t>Period 1</t>
  </si>
  <si>
    <t>Period 2</t>
  </si>
  <si>
    <t>Period 3</t>
  </si>
  <si>
    <t>Period 4</t>
  </si>
  <si>
    <t>Period 5</t>
  </si>
  <si>
    <t>Period 6</t>
  </si>
  <si>
    <t>Period 7</t>
  </si>
  <si>
    <t>Period 8</t>
  </si>
  <si>
    <t>Period 9</t>
  </si>
  <si>
    <t>Period 10</t>
  </si>
  <si>
    <t>Period 11</t>
  </si>
  <si>
    <t>Period 12</t>
  </si>
  <si>
    <t>X</t>
  </si>
  <si>
    <t>P(X)</t>
  </si>
  <si>
    <t>XP(X)</t>
  </si>
  <si>
    <r>
      <t>(X - E(X))</t>
    </r>
    <r>
      <rPr>
        <b/>
        <vertAlign val="superscript"/>
        <sz val="12"/>
        <rFont val="Calibri"/>
        <family val="2"/>
      </rPr>
      <t>2</t>
    </r>
    <r>
      <rPr>
        <b/>
        <sz val="12"/>
        <rFont val="Calibri"/>
        <family val="2"/>
      </rPr>
      <t>P(X)</t>
    </r>
  </si>
  <si>
    <t>E(X) =  ΣXP(X) =</t>
  </si>
  <si>
    <t>= Variance</t>
  </si>
  <si>
    <t>= Standard deviation</t>
  </si>
  <si>
    <t>To see the formulas, hold down the CTRL key and press the ` (Grave accent) key</t>
  </si>
  <si>
    <t>X = random variable for number of successes</t>
  </si>
  <si>
    <t>number of trials</t>
  </si>
  <si>
    <t>probability of a succes</t>
  </si>
  <si>
    <t>specific number of successes</t>
  </si>
  <si>
    <r>
      <t xml:space="preserve">P(X </t>
    </r>
    <r>
      <rPr>
        <u/>
        <sz val="12"/>
        <rFont val="Calibri"/>
        <family val="2"/>
      </rPr>
      <t>&lt;</t>
    </r>
    <r>
      <rPr>
        <sz val="12"/>
        <rFont val="Calibri"/>
        <family val="2"/>
      </rPr>
      <t xml:space="preserve"> r) =</t>
    </r>
  </si>
  <si>
    <r>
      <t xml:space="preserve">Probability of exactly </t>
    </r>
    <r>
      <rPr>
        <i/>
        <sz val="12"/>
        <rFont val="Calibri"/>
        <family val="2"/>
      </rPr>
      <t>r</t>
    </r>
    <r>
      <rPr>
        <sz val="12"/>
        <rFont val="Calibri"/>
        <family val="2"/>
      </rPr>
      <t xml:space="preserve"> successes</t>
    </r>
  </si>
  <si>
    <t>P(X = r) =</t>
  </si>
  <si>
    <t xml:space="preserve">X is a normal random variable </t>
  </si>
  <si>
    <t xml:space="preserve"> with mean, μ, and standard deviation, σ.</t>
  </si>
  <si>
    <t xml:space="preserve">μ = </t>
  </si>
  <si>
    <t xml:space="preserve">σ = </t>
  </si>
  <si>
    <r>
      <rPr>
        <i/>
        <sz val="12"/>
        <color indexed="8"/>
        <rFont val="Calibri"/>
        <family val="2"/>
      </rPr>
      <t>x</t>
    </r>
    <r>
      <rPr>
        <sz val="10"/>
        <rFont val="Arial"/>
      </rPr>
      <t xml:space="preserve"> = </t>
    </r>
  </si>
  <si>
    <r>
      <t xml:space="preserve">P(X </t>
    </r>
    <r>
      <rPr>
        <u/>
        <sz val="12"/>
        <color indexed="8"/>
        <rFont val="Calibri"/>
        <family val="2"/>
      </rPr>
      <t>&lt;</t>
    </r>
    <r>
      <rPr>
        <sz val="10"/>
        <rFont val="Arial"/>
      </rPr>
      <t xml:space="preserve"> </t>
    </r>
    <r>
      <rPr>
        <i/>
        <sz val="12"/>
        <color indexed="8"/>
        <rFont val="Calibri"/>
        <family val="2"/>
      </rPr>
      <t>x</t>
    </r>
    <r>
      <rPr>
        <sz val="10"/>
        <rFont val="Arial"/>
      </rPr>
      <t>) =</t>
    </r>
    <r>
      <rPr>
        <u/>
        <sz val="12"/>
        <color indexed="8"/>
        <rFont val="Calibri"/>
        <family val="2"/>
      </rPr>
      <t xml:space="preserve"> </t>
    </r>
    <r>
      <rPr>
        <sz val="10"/>
        <rFont val="Arial"/>
      </rPr>
      <t xml:space="preserve"> </t>
    </r>
  </si>
  <si>
    <r>
      <t xml:space="preserve">P(X &gt; </t>
    </r>
    <r>
      <rPr>
        <i/>
        <sz val="12"/>
        <color indexed="8"/>
        <rFont val="Calibri"/>
        <family val="2"/>
      </rPr>
      <t>x</t>
    </r>
    <r>
      <rPr>
        <sz val="10"/>
        <rFont val="Arial"/>
      </rPr>
      <t>) =</t>
    </r>
  </si>
  <si>
    <t>F Distribution with df1 and df2 degrees of freedom</t>
  </si>
  <si>
    <r>
      <t xml:space="preserve">To find F given </t>
    </r>
    <r>
      <rPr>
        <sz val="12"/>
        <color indexed="8"/>
        <rFont val="Arial"/>
        <family val="2"/>
      </rPr>
      <t>α</t>
    </r>
  </si>
  <si>
    <t>df1 =</t>
  </si>
  <si>
    <t xml:space="preserve">df2 = </t>
  </si>
  <si>
    <r>
      <rPr>
        <sz val="12"/>
        <color indexed="8"/>
        <rFont val="Arial"/>
        <family val="2"/>
      </rPr>
      <t>α</t>
    </r>
    <r>
      <rPr>
        <sz val="12"/>
        <color indexed="8"/>
        <rFont val="Calibri"/>
        <family val="2"/>
      </rPr>
      <t xml:space="preserve"> =</t>
    </r>
  </si>
  <si>
    <t>F-value =</t>
  </si>
  <si>
    <r>
      <t xml:space="preserve">To find the probability to the right of a calculated value, </t>
    </r>
    <r>
      <rPr>
        <i/>
        <sz val="12"/>
        <color indexed="8"/>
        <rFont val="Calibri"/>
        <family val="2"/>
      </rPr>
      <t>f</t>
    </r>
  </si>
  <si>
    <r>
      <rPr>
        <i/>
        <sz val="12"/>
        <color indexed="8"/>
        <rFont val="Calibri"/>
        <family val="2"/>
      </rPr>
      <t>f</t>
    </r>
    <r>
      <rPr>
        <sz val="12"/>
        <color indexed="8"/>
        <rFont val="Calibri"/>
        <family val="2"/>
      </rPr>
      <t xml:space="preserve"> =</t>
    </r>
  </si>
  <si>
    <t>P(F &gt; f) =</t>
  </si>
  <si>
    <t>Exponential distribution - the random variable (X) is time</t>
  </si>
  <si>
    <r>
      <t xml:space="preserve">Average number per time period = </t>
    </r>
    <r>
      <rPr>
        <sz val="11"/>
        <color indexed="8"/>
        <rFont val="Calibri"/>
        <family val="2"/>
      </rPr>
      <t>μ =</t>
    </r>
  </si>
  <si>
    <t>per hour</t>
  </si>
  <si>
    <r>
      <t xml:space="preserve"> </t>
    </r>
    <r>
      <rPr>
        <i/>
        <sz val="11"/>
        <color indexed="8"/>
        <rFont val="Calibri"/>
        <family val="2"/>
      </rPr>
      <t>t</t>
    </r>
    <r>
      <rPr>
        <sz val="10"/>
        <rFont val="Arial"/>
      </rPr>
      <t xml:space="preserve"> =</t>
    </r>
  </si>
  <si>
    <t>hours</t>
  </si>
  <si>
    <r>
      <t xml:space="preserve">P(X </t>
    </r>
    <r>
      <rPr>
        <u/>
        <sz val="11"/>
        <color indexed="8"/>
        <rFont val="Calibri"/>
        <family val="2"/>
      </rPr>
      <t>&lt;</t>
    </r>
    <r>
      <rPr>
        <sz val="10"/>
        <rFont val="Arial"/>
      </rPr>
      <t xml:space="preserve"> t) =</t>
    </r>
  </si>
  <si>
    <t>P(X &gt; t) =</t>
  </si>
  <si>
    <t>Poisson distribution - the random variable is the number of occurrences per time period</t>
  </si>
  <si>
    <t>P(X &lt; x)</t>
  </si>
  <si>
    <r>
      <rPr>
        <sz val="10"/>
        <rFont val="Calibri"/>
        <family val="2"/>
      </rPr>
      <t>λ</t>
    </r>
    <r>
      <rPr>
        <sz val="10"/>
        <rFont val="Arial"/>
      </rPr>
      <t xml:space="preserve"> =</t>
    </r>
  </si>
  <si>
    <t>Trend adjusted exponential smoothing</t>
  </si>
  <si>
    <t>Beta</t>
  </si>
  <si>
    <r>
      <t>Smoothed Forecast, F</t>
    </r>
    <r>
      <rPr>
        <vertAlign val="subscript"/>
        <sz val="10"/>
        <color indexed="63"/>
        <rFont val="Arial"/>
        <family val="2"/>
      </rPr>
      <t>t</t>
    </r>
  </si>
  <si>
    <r>
      <t>Smoothed Trend, T</t>
    </r>
    <r>
      <rPr>
        <vertAlign val="subscript"/>
        <sz val="10"/>
        <color indexed="63"/>
        <rFont val="Arial"/>
        <family val="2"/>
      </rPr>
      <t>t</t>
    </r>
  </si>
  <si>
    <r>
      <t>Forecast Including Trend, FIT</t>
    </r>
    <r>
      <rPr>
        <vertAlign val="subscript"/>
        <sz val="10"/>
        <color indexed="63"/>
        <rFont val="Arial"/>
        <family val="2"/>
      </rPr>
      <t>t</t>
    </r>
  </si>
  <si>
    <t>Safety stock - Normal distribution</t>
  </si>
  <si>
    <t>Model: Demand during leadtime and its standard deviation given</t>
  </si>
  <si>
    <t>Model: Daily demand and its standard deviation are given</t>
  </si>
  <si>
    <t>Average demand during lead time, µ</t>
  </si>
  <si>
    <t>Average daily demand</t>
  </si>
  <si>
    <t>Service level (% of demand met)</t>
  </si>
  <si>
    <t>Lead time days</t>
  </si>
  <si>
    <t>Z-value</t>
  </si>
  <si>
    <t>Safety stock</t>
  </si>
  <si>
    <t>Average demand during lead time</t>
  </si>
  <si>
    <t>Reorder Point</t>
  </si>
  <si>
    <t>Models: Either daily demand, lead time or both are variable</t>
  </si>
  <si>
    <t xml:space="preserve">Average daily demand </t>
  </si>
  <si>
    <t>Standard deviation of daily demand</t>
  </si>
  <si>
    <t>Enter 0 if demand is constant</t>
  </si>
  <si>
    <t>Average lead time (in days)</t>
  </si>
  <si>
    <t>Enter 0 if lead time is constant</t>
  </si>
  <si>
    <t>Reorder point</t>
  </si>
  <si>
    <t>Hinsdale Company Safety Stock</t>
  </si>
  <si>
    <t>T (Tables)</t>
  </si>
  <si>
    <t>C (Chairs)</t>
  </si>
  <si>
    <t>Units Produced</t>
  </si>
  <si>
    <t xml:space="preserve">Objective function </t>
  </si>
  <si>
    <t>Constraints</t>
  </si>
  <si>
    <t>LHS (Hours used)</t>
  </si>
  <si>
    <t>LHS (Amt. of Ing.)</t>
  </si>
  <si>
    <t>High Note Sound Company</t>
  </si>
  <si>
    <t>LHS (Hrs. Used)</t>
  </si>
  <si>
    <t>Electrician Hours</t>
  </si>
  <si>
    <t>Audio Tech Hours</t>
  </si>
  <si>
    <t>Signs</t>
  </si>
  <si>
    <t>less than or equal to</t>
  </si>
  <si>
    <t>equals (You need to enter an apostrophe first.)</t>
  </si>
  <si>
    <t>greater than or equal to</t>
  </si>
  <si>
    <t>Problem setup area</t>
  </si>
  <si>
    <t>x 1</t>
  </si>
  <si>
    <t>x 2</t>
  </si>
  <si>
    <t>LHS</t>
  </si>
  <si>
    <t>Slack/Surplus</t>
  </si>
  <si>
    <t>Objective</t>
  </si>
  <si>
    <t>&lt; constraints</t>
  </si>
  <si>
    <t>&gt; constraints</t>
  </si>
  <si>
    <t>Radio</t>
  </si>
  <si>
    <t xml:space="preserve">TV </t>
  </si>
  <si>
    <t xml:space="preserve">Newspaper </t>
  </si>
  <si>
    <t>30 sec.</t>
  </si>
  <si>
    <t xml:space="preserve"> 1 min. </t>
  </si>
  <si>
    <t>Total Audience</t>
  </si>
  <si>
    <t>Audience per ad</t>
  </si>
  <si>
    <t>Max. TV</t>
  </si>
  <si>
    <t>Max. Newspaper</t>
  </si>
  <si>
    <t>Max. 30-sec. radio</t>
  </si>
  <si>
    <t>Max. 1 min. radio</t>
  </si>
  <si>
    <t>Management Science Associates</t>
  </si>
  <si>
    <t>Variable</t>
  </si>
  <si>
    <t>X5</t>
  </si>
  <si>
    <t>X6</t>
  </si>
  <si>
    <t>Min. Cost</t>
  </si>
  <si>
    <t>Total Households</t>
  </si>
  <si>
    <t>30 and Younger</t>
  </si>
  <si>
    <t>31-50</t>
  </si>
  <si>
    <t>Border States</t>
  </si>
  <si>
    <t>51+ Border States</t>
  </si>
  <si>
    <t>All poly.</t>
  </si>
  <si>
    <t>Blend 1</t>
  </si>
  <si>
    <t>Blend 2</t>
  </si>
  <si>
    <t>Silk available</t>
  </si>
  <si>
    <t>Polyester available</t>
  </si>
  <si>
    <t>Cotton available</t>
  </si>
  <si>
    <t>Maximum silk</t>
  </si>
  <si>
    <t>Maximum polyester</t>
  </si>
  <si>
    <t>Maximum blend 1</t>
  </si>
  <si>
    <t>Maximum blend 2</t>
  </si>
  <si>
    <t>Minimum silk</t>
  </si>
  <si>
    <t>Minimum polyester</t>
  </si>
  <si>
    <t>Minimum blend 1</t>
  </si>
  <si>
    <t>Minimum blend 2</t>
  </si>
  <si>
    <t>Calculations to determine the profit per tie.</t>
  </si>
  <si>
    <t>Selling Price per tie</t>
  </si>
  <si>
    <t>Cost of material per yard</t>
  </si>
  <si>
    <t>Yards of silk used in tie</t>
  </si>
  <si>
    <t>Yards of polyester used in tie</t>
  </si>
  <si>
    <t>Yards of cotton used in tie</t>
  </si>
  <si>
    <t>Material cost per tie</t>
  </si>
  <si>
    <t>Profit per tie</t>
  </si>
  <si>
    <t>Greenberg Motors</t>
  </si>
  <si>
    <t>A1</t>
  </si>
  <si>
    <t>A2</t>
  </si>
  <si>
    <t>A3</t>
  </si>
  <si>
    <t>A4</t>
  </si>
  <si>
    <t>B1</t>
  </si>
  <si>
    <t>B2</t>
  </si>
  <si>
    <t>B3</t>
  </si>
  <si>
    <t>B4</t>
  </si>
  <si>
    <t>IA1</t>
  </si>
  <si>
    <t>IA2</t>
  </si>
  <si>
    <t>IA3</t>
  </si>
  <si>
    <t>IA4</t>
  </si>
  <si>
    <t>IB1</t>
  </si>
  <si>
    <t>IB2</t>
  </si>
  <si>
    <t>IB3</t>
  </si>
  <si>
    <t>IB4</t>
  </si>
  <si>
    <t>Demand Constraints</t>
  </si>
  <si>
    <t>Jan.   GM3A</t>
  </si>
  <si>
    <t>Feb.   GM3A</t>
  </si>
  <si>
    <t>Mar.   GM3A</t>
  </si>
  <si>
    <t>Apr.   GM3A</t>
  </si>
  <si>
    <t>Jan.   GM3B</t>
  </si>
  <si>
    <t>Feb.   GM3B</t>
  </si>
  <si>
    <t>Mar.   GM3B</t>
  </si>
  <si>
    <t>Apr.   GM3B</t>
  </si>
  <si>
    <t>Inv.GM3A Apr.</t>
  </si>
  <si>
    <t>Inv.GM3B Apr.</t>
  </si>
  <si>
    <t>Labor Hour Constraints</t>
  </si>
  <si>
    <t xml:space="preserve">Hrs Min. Jan. </t>
  </si>
  <si>
    <t xml:space="preserve">Hrs Min. Feb. </t>
  </si>
  <si>
    <t xml:space="preserve">Hrs Min. Mar. </t>
  </si>
  <si>
    <t xml:space="preserve">Hrs Min. Apr. </t>
  </si>
  <si>
    <t xml:space="preserve">Hrs Max. Jan. </t>
  </si>
  <si>
    <t xml:space="preserve">Hrs Max. Feb. </t>
  </si>
  <si>
    <t xml:space="preserve">Hrs Max.Mar. </t>
  </si>
  <si>
    <t xml:space="preserve">Hrs Max. Apr. </t>
  </si>
  <si>
    <t>Storage Constraints</t>
  </si>
  <si>
    <t>Jan. Inv. Limit</t>
  </si>
  <si>
    <t>Feb. Inv. Limit</t>
  </si>
  <si>
    <t>Mar. Inv. Limit</t>
  </si>
  <si>
    <t>Apr. Inv. Limit</t>
  </si>
  <si>
    <t>Jan</t>
  </si>
  <si>
    <t>Feb</t>
  </si>
  <si>
    <t>Mar</t>
  </si>
  <si>
    <t>Apr</t>
  </si>
  <si>
    <t>GM3A Units Produced</t>
  </si>
  <si>
    <t>GMBA Units Produced</t>
  </si>
  <si>
    <t>GM3A Inventory</t>
  </si>
  <si>
    <t>GM3B Inventory</t>
  </si>
  <si>
    <t>Labor Hours Used</t>
  </si>
  <si>
    <t>Labor Planning Example</t>
  </si>
  <si>
    <t>P1</t>
  </si>
  <si>
    <t>P2</t>
  </si>
  <si>
    <t>P3</t>
  </si>
  <si>
    <t>P4</t>
  </si>
  <si>
    <t>P5</t>
  </si>
  <si>
    <t>9 a.m. - 10 a.m.</t>
  </si>
  <si>
    <t>10 a.m. - 11 a.m.</t>
  </si>
  <si>
    <t>11 a.m. - noon</t>
  </si>
  <si>
    <t>noon - 1 p.m.</t>
  </si>
  <si>
    <t>1 p.m. - 2 p.m.</t>
  </si>
  <si>
    <t xml:space="preserve">2 p.m. - 3 p.m. </t>
  </si>
  <si>
    <t>3 p.m. - 4 p.m.</t>
  </si>
  <si>
    <t>4 p.m. - 5 p.m.</t>
  </si>
  <si>
    <t>Max. Full time</t>
  </si>
  <si>
    <t>Total PT hours</t>
  </si>
  <si>
    <t>Total Value</t>
  </si>
  <si>
    <t>Load Value $</t>
  </si>
  <si>
    <t>Total weight</t>
  </si>
  <si>
    <t>% Item 1</t>
  </si>
  <si>
    <t>% Item 2</t>
  </si>
  <si>
    <t>% Item 3</t>
  </si>
  <si>
    <t>% Item 4</t>
  </si>
  <si>
    <t>% Item 5</t>
  </si>
  <si>
    <t>% Item 6</t>
  </si>
  <si>
    <t>ICT Portfolio Selection</t>
  </si>
  <si>
    <t>Total Return</t>
  </si>
  <si>
    <t>Max. Return</t>
  </si>
  <si>
    <t>Trade</t>
  </si>
  <si>
    <t>Bonds</t>
  </si>
  <si>
    <t>Gold</t>
  </si>
  <si>
    <t>Construction</t>
  </si>
  <si>
    <t>Min. Gold+Constr.</t>
  </si>
  <si>
    <t>Min. Trade</t>
  </si>
  <si>
    <t>Total Invested</t>
  </si>
  <si>
    <t>Total Weight</t>
  </si>
  <si>
    <t>Magnesium</t>
  </si>
  <si>
    <t>Phosphorus</t>
  </si>
  <si>
    <t>Riboflavin</t>
  </si>
  <si>
    <t>Protein</t>
  </si>
  <si>
    <t>Minimize</t>
  </si>
  <si>
    <t xml:space="preserve">Solution </t>
  </si>
  <si>
    <t>Xc</t>
  </si>
  <si>
    <t>Xb</t>
  </si>
  <si>
    <t>Xa</t>
  </si>
  <si>
    <t>Grain C</t>
  </si>
  <si>
    <t>Grain B</t>
  </si>
  <si>
    <t>Grain A</t>
  </si>
  <si>
    <t>Whole Foods Nutrition Problem</t>
  </si>
  <si>
    <t>Low Knock Oil Company</t>
  </si>
  <si>
    <t>X100 Reg</t>
  </si>
  <si>
    <t>X100 Econ</t>
  </si>
  <si>
    <t>X220 Reg</t>
  </si>
  <si>
    <t>X220 Econ</t>
  </si>
  <si>
    <t>Demand Regular</t>
  </si>
  <si>
    <t>Demand Economy</t>
  </si>
  <si>
    <t>Ing. A in Regular</t>
  </si>
  <si>
    <t>Ing. B in Economy</t>
  </si>
  <si>
    <t>NY</t>
  </si>
  <si>
    <t>X13</t>
  </si>
  <si>
    <t>X23</t>
  </si>
  <si>
    <t>Frosty Machines Transshipment Problem</t>
  </si>
  <si>
    <t>Harrison Electric Integer Programming Analysis</t>
  </si>
  <si>
    <t xml:space="preserve">Variables </t>
  </si>
  <si>
    <t>Wiring hours</t>
  </si>
  <si>
    <t>Assembly hours</t>
  </si>
  <si>
    <t>Xyline (bags)</t>
  </si>
  <si>
    <t>Hexall (lbs)</t>
  </si>
  <si>
    <t xml:space="preserve">X </t>
  </si>
  <si>
    <t xml:space="preserve">Y </t>
  </si>
  <si>
    <t>Quemo Chemical Company</t>
  </si>
  <si>
    <t>Catalytic Conv.</t>
  </si>
  <si>
    <t>Warehouse Expan.</t>
  </si>
  <si>
    <t>NPV</t>
  </si>
  <si>
    <t>Net Present Value</t>
  </si>
  <si>
    <t>Sitka Manufacturing Company</t>
  </si>
  <si>
    <t>Baytown</t>
  </si>
  <si>
    <t>Lake Charles</t>
  </si>
  <si>
    <t>Mobile</t>
  </si>
  <si>
    <t>Baytown units</t>
  </si>
  <si>
    <t>L. Charles units</t>
  </si>
  <si>
    <t>Mobile units</t>
  </si>
  <si>
    <t>Minimum capacity</t>
  </si>
  <si>
    <t>Maximum in Baytown</t>
  </si>
  <si>
    <t>Maximum in L. C.</t>
  </si>
  <si>
    <t>Maximum in Mobile</t>
  </si>
  <si>
    <t>`</t>
  </si>
  <si>
    <t>X7</t>
  </si>
  <si>
    <r>
      <rPr>
        <b/>
        <sz val="12"/>
        <color indexed="8"/>
        <rFont val="Calibri"/>
        <family val="2"/>
      </rPr>
      <t>Return</t>
    </r>
    <r>
      <rPr>
        <b/>
        <sz val="10"/>
        <color indexed="8"/>
        <rFont val="Calibri"/>
        <family val="2"/>
      </rPr>
      <t xml:space="preserve"> ($1,000s)</t>
    </r>
  </si>
  <si>
    <t xml:space="preserve">Texas </t>
  </si>
  <si>
    <t>Foreigh Oil</t>
  </si>
  <si>
    <t>California</t>
  </si>
  <si>
    <t xml:space="preserve">$3 Million </t>
  </si>
  <si>
    <t>Micro</t>
  </si>
  <si>
    <t>Self-Clean</t>
  </si>
  <si>
    <t>Terms</t>
  </si>
  <si>
    <r>
      <t>X2</t>
    </r>
    <r>
      <rPr>
        <b/>
        <vertAlign val="superscript"/>
        <sz val="12"/>
        <color indexed="8"/>
        <rFont val="Calibri"/>
        <family val="2"/>
      </rPr>
      <t>2</t>
    </r>
  </si>
  <si>
    <t>Calculated Values</t>
  </si>
  <si>
    <t>Capacity</t>
  </si>
  <si>
    <t>Hours Available</t>
  </si>
  <si>
    <r>
      <t>X1</t>
    </r>
    <r>
      <rPr>
        <b/>
        <vertAlign val="superscript"/>
        <sz val="14"/>
        <color indexed="8"/>
        <rFont val="Calibri"/>
        <family val="2"/>
      </rPr>
      <t>2</t>
    </r>
  </si>
  <si>
    <t>X1*X2</t>
  </si>
  <si>
    <r>
      <t>X2</t>
    </r>
    <r>
      <rPr>
        <b/>
        <vertAlign val="superscript"/>
        <sz val="14"/>
        <color indexed="8"/>
        <rFont val="Calibri"/>
        <family val="2"/>
      </rPr>
      <t>3</t>
    </r>
  </si>
  <si>
    <t>1/X2</t>
  </si>
  <si>
    <t>Nursing</t>
  </si>
  <si>
    <t>X-Ray</t>
  </si>
  <si>
    <t>Budget</t>
  </si>
  <si>
    <r>
      <t>X1</t>
    </r>
    <r>
      <rPr>
        <b/>
        <vertAlign val="superscript"/>
        <sz val="14"/>
        <color indexed="8"/>
        <rFont val="Calibri"/>
        <family val="2"/>
      </rPr>
      <t>3</t>
    </r>
  </si>
  <si>
    <r>
      <t>X2</t>
    </r>
    <r>
      <rPr>
        <b/>
        <vertAlign val="superscript"/>
        <sz val="14"/>
        <color indexed="8"/>
        <rFont val="Calibri"/>
        <family val="2"/>
      </rPr>
      <t>2</t>
    </r>
  </si>
  <si>
    <t>Hardness</t>
  </si>
  <si>
    <t>Tensile Strength</t>
  </si>
  <si>
    <t>Elasticity</t>
  </si>
  <si>
    <t>Solved Problem 10-1</t>
  </si>
  <si>
    <t>Maximize</t>
  </si>
  <si>
    <t>Constraint 4</t>
  </si>
  <si>
    <t>Forecasting - Exponential Smoothing</t>
  </si>
  <si>
    <r>
      <rPr>
        <sz val="16"/>
        <color indexed="8"/>
        <rFont val="Calibri"/>
        <family val="2"/>
      </rPr>
      <t>α</t>
    </r>
    <r>
      <rPr>
        <sz val="16"/>
        <color indexed="8"/>
        <rFont val="Calibri"/>
        <family val="2"/>
      </rPr>
      <t xml:space="preserve"> =</t>
    </r>
  </si>
  <si>
    <r>
      <t>F</t>
    </r>
    <r>
      <rPr>
        <vertAlign val="subscript"/>
        <sz val="14"/>
        <color indexed="8"/>
        <rFont val="Calibri"/>
        <family val="2"/>
      </rPr>
      <t>t+1</t>
    </r>
    <r>
      <rPr>
        <sz val="14"/>
        <color indexed="8"/>
        <rFont val="Calibri"/>
        <family val="2"/>
      </rPr>
      <t xml:space="preserve"> = F</t>
    </r>
    <r>
      <rPr>
        <vertAlign val="subscript"/>
        <sz val="14"/>
        <color indexed="8"/>
        <rFont val="Calibri"/>
        <family val="2"/>
      </rPr>
      <t>t</t>
    </r>
    <r>
      <rPr>
        <sz val="14"/>
        <color indexed="8"/>
        <rFont val="Calibri"/>
        <family val="2"/>
      </rPr>
      <t xml:space="preserve"> + </t>
    </r>
    <r>
      <rPr>
        <sz val="14"/>
        <color indexed="8"/>
        <rFont val="Calibri"/>
        <family val="2"/>
      </rPr>
      <t>α</t>
    </r>
    <r>
      <rPr>
        <sz val="14"/>
        <color indexed="8"/>
        <rFont val="Calibri"/>
        <family val="2"/>
      </rPr>
      <t>(Y</t>
    </r>
    <r>
      <rPr>
        <vertAlign val="subscript"/>
        <sz val="14"/>
        <color indexed="8"/>
        <rFont val="Calibri"/>
        <family val="2"/>
      </rPr>
      <t>t</t>
    </r>
    <r>
      <rPr>
        <sz val="14"/>
        <color indexed="8"/>
        <rFont val="Calibri"/>
        <family val="2"/>
      </rPr>
      <t>-F</t>
    </r>
    <r>
      <rPr>
        <vertAlign val="subscript"/>
        <sz val="14"/>
        <color indexed="8"/>
        <rFont val="Calibri"/>
        <family val="2"/>
      </rPr>
      <t>t</t>
    </r>
    <r>
      <rPr>
        <sz val="14"/>
        <color indexed="8"/>
        <rFont val="Calibri"/>
        <family val="2"/>
      </rPr>
      <t xml:space="preserve">) </t>
    </r>
  </si>
  <si>
    <t>Time Period (t)</t>
  </si>
  <si>
    <r>
      <t>Demand (Y</t>
    </r>
    <r>
      <rPr>
        <vertAlign val="subscript"/>
        <sz val="14"/>
        <color indexed="8"/>
        <rFont val="Calibri"/>
        <family val="2"/>
      </rPr>
      <t>t</t>
    </r>
    <r>
      <rPr>
        <sz val="14"/>
        <color indexed="8"/>
        <rFont val="Calibri"/>
        <family val="2"/>
      </rPr>
      <t>)</t>
    </r>
  </si>
  <si>
    <r>
      <t>Forecast (F</t>
    </r>
    <r>
      <rPr>
        <vertAlign val="subscript"/>
        <sz val="14"/>
        <color indexed="8"/>
        <rFont val="Calibri"/>
        <family val="2"/>
      </rPr>
      <t>t</t>
    </r>
    <r>
      <rPr>
        <sz val="14"/>
        <color indexed="8"/>
        <rFont val="Calibri"/>
        <family val="2"/>
      </rPr>
      <t>)</t>
    </r>
  </si>
  <si>
    <r>
      <t>Error = Y</t>
    </r>
    <r>
      <rPr>
        <vertAlign val="subscript"/>
        <sz val="14"/>
        <color indexed="8"/>
        <rFont val="Calibri"/>
        <family val="2"/>
      </rPr>
      <t>t</t>
    </r>
    <r>
      <rPr>
        <sz val="14"/>
        <color indexed="8"/>
        <rFont val="Calibri"/>
        <family val="2"/>
      </rPr>
      <t xml:space="preserve"> - F</t>
    </r>
    <r>
      <rPr>
        <vertAlign val="subscript"/>
        <sz val="14"/>
        <color indexed="8"/>
        <rFont val="Calibri"/>
        <family val="2"/>
      </rPr>
      <t>t</t>
    </r>
  </si>
  <si>
    <t>|error|</t>
  </si>
  <si>
    <t>-</t>
  </si>
  <si>
    <t>MAD=</t>
  </si>
  <si>
    <r>
      <t>F</t>
    </r>
    <r>
      <rPr>
        <vertAlign val="subscript"/>
        <sz val="12"/>
        <color indexed="8"/>
        <rFont val="Calibri"/>
        <family val="2"/>
      </rPr>
      <t>1</t>
    </r>
    <r>
      <rPr>
        <sz val="10"/>
        <rFont val="Arial"/>
      </rPr>
      <t xml:space="preserve"> is assumed to be a perfect forecast.</t>
    </r>
  </si>
  <si>
    <t>MAD is based on time periods 2 through 7</t>
  </si>
  <si>
    <t>Early Start</t>
  </si>
  <si>
    <t>Project Management</t>
  </si>
  <si>
    <t>Optimistic</t>
  </si>
  <si>
    <t>Likely</t>
  </si>
  <si>
    <t>Mean</t>
  </si>
  <si>
    <t>Std dev</t>
  </si>
  <si>
    <t>Variance</t>
  </si>
  <si>
    <t>General Foundry</t>
  </si>
  <si>
    <t>Precedences; 3 time estimates</t>
  </si>
  <si>
    <t>Activity</t>
  </si>
  <si>
    <t>Pessimistic</t>
  </si>
  <si>
    <t>A</t>
  </si>
  <si>
    <t>B</t>
  </si>
  <si>
    <t>C</t>
  </si>
  <si>
    <t>D</t>
  </si>
  <si>
    <t>E</t>
  </si>
  <si>
    <t>G</t>
  </si>
  <si>
    <t>H</t>
  </si>
  <si>
    <t>Precedences</t>
  </si>
  <si>
    <t>Immediate Predecessors (1 per column)</t>
  </si>
  <si>
    <t>Pred 1</t>
  </si>
  <si>
    <t>Pred 2</t>
  </si>
  <si>
    <t xml:space="preserve"> B</t>
  </si>
  <si>
    <t>Early Finish</t>
  </si>
  <si>
    <t>Late  Start</t>
  </si>
  <si>
    <t>Late Finish</t>
  </si>
  <si>
    <t>Slack</t>
  </si>
  <si>
    <t>Project</t>
  </si>
  <si>
    <t>Std.dev</t>
  </si>
  <si>
    <t>Early start computations</t>
  </si>
  <si>
    <t>Late finish computations</t>
  </si>
  <si>
    <t>Critical Activity</t>
  </si>
  <si>
    <t>Noncritical Activity</t>
  </si>
  <si>
    <t>Normal time</t>
  </si>
  <si>
    <t>Minimum crash cost to meet project goal</t>
  </si>
  <si>
    <t>Project goal</t>
  </si>
  <si>
    <t>Minimum time</t>
  </si>
  <si>
    <t>Project time</t>
  </si>
  <si>
    <t>Intermediate Computations</t>
  </si>
  <si>
    <t>Normal Cost</t>
  </si>
  <si>
    <t>Pred 3</t>
  </si>
  <si>
    <t>Pred 4</t>
  </si>
  <si>
    <t>Crash days</t>
  </si>
  <si>
    <t>Crash cost/day</t>
  </si>
  <si>
    <t>Crash limit</t>
  </si>
  <si>
    <t>Precedence computations</t>
  </si>
  <si>
    <t>1 if col precedes row</t>
  </si>
  <si>
    <t>TimeFinish (variable)</t>
  </si>
  <si>
    <t>crash days (variable)</t>
  </si>
  <si>
    <t>limit</t>
  </si>
  <si>
    <t>Finish Times for Tasks must be greater than finish for all predecessors</t>
  </si>
  <si>
    <t>Finish A + T(row)-crash row</t>
  </si>
  <si>
    <t>Finish B + T(row)-crash row</t>
  </si>
  <si>
    <t>Finish C + T(row)-crash row</t>
  </si>
  <si>
    <t>Finish D + T(row)-crash row</t>
  </si>
  <si>
    <t>Finish E + T(row)-crash row</t>
  </si>
  <si>
    <t>Finish F + T(row)-crash row</t>
  </si>
  <si>
    <t>Finish G + T(row)-crash row</t>
  </si>
  <si>
    <t>Precedence 1</t>
  </si>
  <si>
    <t>Precedence 2</t>
  </si>
  <si>
    <t>Precedence 3</t>
  </si>
  <si>
    <t>Precedence 4</t>
  </si>
  <si>
    <t>Task</t>
  </si>
  <si>
    <t>Simulation</t>
  </si>
  <si>
    <t>Expected Value</t>
  </si>
  <si>
    <t>Simulation results</t>
  </si>
  <si>
    <t>Random Number Sorter</t>
  </si>
  <si>
    <t>Category name</t>
  </si>
  <si>
    <t>Value * Frequency</t>
  </si>
  <si>
    <t>Simulation Occurrences</t>
  </si>
  <si>
    <t>Occurences * Value</t>
  </si>
  <si>
    <t>Category 1</t>
  </si>
  <si>
    <t>Category 2</t>
  </si>
  <si>
    <t>Simulation trials</t>
  </si>
  <si>
    <t>Trial</t>
  </si>
  <si>
    <t>Category 3</t>
  </si>
  <si>
    <t>Category 4</t>
  </si>
  <si>
    <t>Category 5</t>
  </si>
  <si>
    <t>Category 6</t>
  </si>
  <si>
    <t>Harry's Auto Tire</t>
  </si>
  <si>
    <t>Time between
breakdowns</t>
  </si>
  <si>
    <t>Box Filling Example</t>
  </si>
  <si>
    <t>x bar chart</t>
  </si>
  <si>
    <t>Population standard deviation</t>
  </si>
  <si>
    <t>x-bar value</t>
  </si>
  <si>
    <t>z value</t>
  </si>
  <si>
    <t>Sigma x bar</t>
  </si>
  <si>
    <t>Upper control limit</t>
  </si>
  <si>
    <t>Center line</t>
  </si>
  <si>
    <t>Lower control limit</t>
  </si>
  <si>
    <t>Super Cola Example</t>
  </si>
  <si>
    <t>Range</t>
  </si>
  <si>
    <t>Xbar</t>
  </si>
  <si>
    <t>R bar</t>
  </si>
  <si>
    <t xml:space="preserve">Table </t>
  </si>
  <si>
    <t>Sample size, n</t>
  </si>
  <si>
    <t>Mean Factor, A2</t>
  </si>
  <si>
    <t>Upper Range, D4</t>
  </si>
  <si>
    <t>Lower Range, D3</t>
  </si>
  <si>
    <t>ARCO</t>
  </si>
  <si>
    <t>p chart</t>
  </si>
  <si>
    <t>Red Top Cab Company</t>
  </si>
  <si>
    <t>c chart</t>
  </si>
  <si>
    <t>Total units sampled</t>
  </si>
  <si>
    <t>Standard deviation</t>
  </si>
  <si>
    <t>Triple A Construction</t>
  </si>
  <si>
    <t>Normal distribution</t>
  </si>
  <si>
    <t>F Distribution</t>
  </si>
  <si>
    <t>F  distribution probabilities</t>
  </si>
  <si>
    <t>Exponential Distribution</t>
  </si>
  <si>
    <t>Exponential probabilities</t>
  </si>
  <si>
    <t>Poisson distribution</t>
  </si>
  <si>
    <t>Poisson probabilities</t>
  </si>
  <si>
    <t>Expo. Smoothing with Trend</t>
  </si>
  <si>
    <t>Multiplicative Decomposition</t>
  </si>
  <si>
    <t>Safety Stock</t>
  </si>
  <si>
    <t>8.10</t>
  </si>
  <si>
    <t xml:space="preserve">Fix-It Shop </t>
  </si>
  <si>
    <t>10.10</t>
  </si>
  <si>
    <t>10.13</t>
  </si>
  <si>
    <t>Solved Problem 10-3</t>
  </si>
  <si>
    <t>PERT - General Foundry Example</t>
  </si>
  <si>
    <t xml:space="preserve">Excel </t>
  </si>
  <si>
    <t xml:space="preserve">Finite population </t>
  </si>
  <si>
    <t>Quality = x-bar chart</t>
  </si>
  <si>
    <t>c-Chart Analysis</t>
  </si>
  <si>
    <t>Option 1</t>
  </si>
  <si>
    <t>Pritchett Time Pieces</t>
  </si>
  <si>
    <t>Volume(optional)</t>
  </si>
  <si>
    <t>Volume Analysis @</t>
  </si>
  <si>
    <t>units</t>
  </si>
  <si>
    <t>Decision 1</t>
  </si>
  <si>
    <t>Decision 2</t>
  </si>
  <si>
    <t>Scenario 1</t>
  </si>
  <si>
    <t>Scenario 2</t>
  </si>
  <si>
    <t>&lt;-Expected value WITH perfect information</t>
  </si>
  <si>
    <t>&lt;-Expected value OF perfect information</t>
  </si>
  <si>
    <t>Decision 3</t>
  </si>
  <si>
    <t>Multiple regression</t>
  </si>
  <si>
    <t>Y</t>
  </si>
  <si>
    <t>Simple linear regression</t>
  </si>
  <si>
    <t>Coefficient of determination</t>
  </si>
  <si>
    <t>x 3</t>
  </si>
  <si>
    <t>x 4</t>
  </si>
  <si>
    <t>Ordering/Setup cost, S</t>
  </si>
  <si>
    <t>Number of Orders</t>
  </si>
  <si>
    <t>Order cost</t>
  </si>
  <si>
    <r>
      <t>Total cost, T</t>
    </r>
    <r>
      <rPr>
        <b/>
        <vertAlign val="subscript"/>
        <sz val="10"/>
        <color rgb="FF3F3F3F"/>
        <rFont val="Arial"/>
        <family val="2"/>
      </rPr>
      <t>c</t>
    </r>
  </si>
  <si>
    <t>Setup/Order cost</t>
  </si>
  <si>
    <t>Order cost, S</t>
  </si>
  <si>
    <t>(percentage)</t>
  </si>
  <si>
    <r>
      <t>Standard deviation of σ</t>
    </r>
    <r>
      <rPr>
        <vertAlign val="subscript"/>
        <sz val="10"/>
        <rFont val="Calibri"/>
        <family val="2"/>
      </rPr>
      <t>dLT</t>
    </r>
  </si>
  <si>
    <r>
      <t>Standard deviation of daily demand, σ</t>
    </r>
    <r>
      <rPr>
        <vertAlign val="subscript"/>
        <sz val="10"/>
        <rFont val="Calibri"/>
        <family val="2"/>
      </rPr>
      <t>d</t>
    </r>
  </si>
  <si>
    <r>
      <t>Standard deviation of demand during lead time, σ</t>
    </r>
    <r>
      <rPr>
        <b/>
        <vertAlign val="subscript"/>
        <sz val="10"/>
        <rFont val="Calibri"/>
        <family val="2"/>
      </rPr>
      <t>dLT</t>
    </r>
  </si>
  <si>
    <r>
      <t>Standard deviation of lead time, σ</t>
    </r>
    <r>
      <rPr>
        <vertAlign val="subscript"/>
        <sz val="10"/>
        <rFont val="Calibri"/>
        <family val="2"/>
      </rPr>
      <t>LT</t>
    </r>
  </si>
  <si>
    <t>Linear, Integer and Mixed Integer Programming</t>
  </si>
  <si>
    <t>Speakers</t>
  </si>
  <si>
    <t>Hardgrave Machine</t>
  </si>
  <si>
    <t>Hargrave Machine</t>
  </si>
  <si>
    <t>Dallas</t>
  </si>
  <si>
    <t>New York</t>
  </si>
  <si>
    <t>Los Angeles</t>
  </si>
  <si>
    <t>Cincinnati</t>
  </si>
  <si>
    <t>Salt Lake City</t>
  </si>
  <si>
    <t>Pittsburgh</t>
  </si>
  <si>
    <t>Seattle</t>
  </si>
  <si>
    <t>Executive Furniture</t>
  </si>
  <si>
    <t>Fix-It Shop</t>
  </si>
  <si>
    <t>Constraint 5</t>
  </si>
  <si>
    <t>Constraint 6</t>
  </si>
  <si>
    <t>Constraint 7</t>
  </si>
  <si>
    <t>Frosty Machines</t>
  </si>
  <si>
    <t>X24</t>
  </si>
  <si>
    <t>X35</t>
  </si>
  <si>
    <t>X37</t>
  </si>
  <si>
    <t>X45</t>
  </si>
  <si>
    <t>X46</t>
  </si>
  <si>
    <t>X47</t>
  </si>
  <si>
    <t>X14</t>
  </si>
  <si>
    <t>X36</t>
  </si>
  <si>
    <t>From\to</t>
  </si>
  <si>
    <t>City 1</t>
  </si>
  <si>
    <t>City 2</t>
  </si>
  <si>
    <t>Flows</t>
  </si>
  <si>
    <t>Max Flow</t>
  </si>
  <si>
    <t>Maximal Flow</t>
  </si>
  <si>
    <t>Data - Arc capacities</t>
  </si>
  <si>
    <t>Node 1</t>
  </si>
  <si>
    <t>Node 2</t>
  </si>
  <si>
    <t>Node 3</t>
  </si>
  <si>
    <t>Node 4</t>
  </si>
  <si>
    <t>Node 5</t>
  </si>
  <si>
    <t>Node 6</t>
  </si>
  <si>
    <t>Outflow</t>
  </si>
  <si>
    <t>Inflow</t>
  </si>
  <si>
    <t>Waukesha</t>
  </si>
  <si>
    <t>Minimum distance</t>
  </si>
  <si>
    <t>Shortest Path</t>
  </si>
  <si>
    <t>Data - Distance Table</t>
  </si>
  <si>
    <t>Start=1,Finish=-1</t>
  </si>
  <si>
    <t>City 3</t>
  </si>
  <si>
    <t>City 4</t>
  </si>
  <si>
    <t>City 5</t>
  </si>
  <si>
    <t>City 6</t>
  </si>
  <si>
    <t>Net Outflow</t>
  </si>
  <si>
    <t>Ray Design</t>
  </si>
  <si>
    <t>Network Analysis</t>
  </si>
  <si>
    <t>Minimum Spanning Tree</t>
  </si>
  <si>
    <t>Branch name</t>
  </si>
  <si>
    <t>Start node</t>
  </si>
  <si>
    <t>End node</t>
  </si>
  <si>
    <t>Include</t>
  </si>
  <si>
    <t>Sum</t>
  </si>
  <si>
    <t>Branch 1</t>
  </si>
  <si>
    <t>Branch 2</t>
  </si>
  <si>
    <t>Branch 3</t>
  </si>
  <si>
    <t>Branch 4</t>
  </si>
  <si>
    <t>Branch 5</t>
  </si>
  <si>
    <t>Branch 6</t>
  </si>
  <si>
    <t>Branch 7</t>
  </si>
  <si>
    <t>Branch 8</t>
  </si>
  <si>
    <t>Branch 9</t>
  </si>
  <si>
    <t>Branch 10</t>
  </si>
  <si>
    <t>Branch 11</t>
  </si>
  <si>
    <t>Branch 12</t>
  </si>
  <si>
    <t>Branch 13</t>
  </si>
  <si>
    <t>Lauderdale Construction</t>
  </si>
  <si>
    <t>Iterations</t>
  </si>
  <si>
    <t>Plant 1</t>
  </si>
  <si>
    <t>Plant 2</t>
  </si>
  <si>
    <t>Plant 3</t>
  </si>
  <si>
    <t>Solved Problem 9-1</t>
  </si>
  <si>
    <t>Solved Problem 9-2</t>
  </si>
  <si>
    <t>Omaha</t>
  </si>
  <si>
    <t>Miami</t>
  </si>
  <si>
    <t>Jones</t>
  </si>
  <si>
    <t>Smith</t>
  </si>
  <si>
    <t>Wilson</t>
  </si>
  <si>
    <t>Dummy</t>
  </si>
  <si>
    <t>Critical Variance</t>
  </si>
  <si>
    <t>Normal Time (weeks)</t>
  </si>
  <si>
    <t>Crash Time (weeks)</t>
  </si>
  <si>
    <t>Total Cost with Crashing</t>
  </si>
  <si>
    <t>Immediate Predecessor(s)</t>
  </si>
  <si>
    <t>Crashing General Foundry</t>
  </si>
  <si>
    <r>
      <t>Average server utilization(</t>
    </r>
    <r>
      <rPr>
        <b/>
        <sz val="10"/>
        <color rgb="FF3F3F3F"/>
        <rFont val="Symbol"/>
        <family val="1"/>
        <charset val="2"/>
      </rPr>
      <t>r</t>
    </r>
    <r>
      <rPr>
        <b/>
        <sz val="10"/>
        <color rgb="FF3F3F3F"/>
        <rFont val="Arial"/>
        <family val="2"/>
      </rPr>
      <t>)</t>
    </r>
  </si>
  <si>
    <r>
      <t>Average number of customers in the queue(L</t>
    </r>
    <r>
      <rPr>
        <b/>
        <vertAlign val="subscript"/>
        <sz val="10"/>
        <color rgb="FF3F3F3F"/>
        <rFont val="Arial"/>
        <family val="2"/>
      </rPr>
      <t>q</t>
    </r>
    <r>
      <rPr>
        <b/>
        <sz val="10"/>
        <color rgb="FF3F3F3F"/>
        <rFont val="Arial"/>
        <family val="2"/>
      </rPr>
      <t>)</t>
    </r>
  </si>
  <si>
    <r>
      <t>Average waiting time in the queue(W</t>
    </r>
    <r>
      <rPr>
        <b/>
        <vertAlign val="subscript"/>
        <sz val="10"/>
        <color rgb="FF3F3F3F"/>
        <rFont val="Arial"/>
        <family val="2"/>
      </rPr>
      <t>q</t>
    </r>
    <r>
      <rPr>
        <b/>
        <sz val="10"/>
        <color rgb="FF3F3F3F"/>
        <rFont val="Arial"/>
        <family val="2"/>
      </rPr>
      <t>)</t>
    </r>
  </si>
  <si>
    <r>
      <t>Probability (% of time) system is empty (P</t>
    </r>
    <r>
      <rPr>
        <b/>
        <vertAlign val="subscript"/>
        <sz val="10"/>
        <color rgb="FF3F3F3F"/>
        <rFont val="Arial"/>
        <family val="2"/>
      </rPr>
      <t>0</t>
    </r>
    <r>
      <rPr>
        <b/>
        <sz val="10"/>
        <color rgb="FF3F3F3F"/>
        <rFont val="Arial"/>
        <family val="2"/>
      </rPr>
      <t>)</t>
    </r>
  </si>
  <si>
    <r>
      <t>Arrival rate (</t>
    </r>
    <r>
      <rPr>
        <sz val="10"/>
        <rFont val="Symbol"/>
        <family val="1"/>
        <charset val="2"/>
      </rPr>
      <t>l</t>
    </r>
    <r>
      <rPr>
        <sz val="10"/>
        <rFont val="Arial"/>
        <family val="2"/>
      </rPr>
      <t>) per customer</t>
    </r>
  </si>
  <si>
    <r>
      <t xml:space="preserve">Defect rate, </t>
    </r>
    <r>
      <rPr>
        <sz val="10"/>
        <color rgb="FF3F3F3F"/>
        <rFont val="Symbol"/>
        <family val="1"/>
        <charset val="2"/>
      </rPr>
      <t>l</t>
    </r>
  </si>
  <si>
    <t>Transportation/Linear Programming</t>
  </si>
  <si>
    <t>9.2, 9.3</t>
  </si>
  <si>
    <t>Waukesha Maximal Flow</t>
  </si>
  <si>
    <t>Maximal-Flow Network</t>
  </si>
  <si>
    <t>Shortest-Route Network</t>
  </si>
  <si>
    <t>Minimal-Spanning-Tree Network</t>
  </si>
  <si>
    <t>SP9-1</t>
  </si>
  <si>
    <t>Hardrock Concrete</t>
  </si>
  <si>
    <t>SP9-2</t>
  </si>
  <si>
    <t>PH, Inc.</t>
  </si>
  <si>
    <t>11.2extra</t>
  </si>
  <si>
    <t xml:space="preserve">This workbook contains the Excel and Excel QM worksheets for the examples in </t>
  </si>
  <si>
    <r>
      <rPr>
        <b/>
        <i/>
        <sz val="10"/>
        <rFont val="Arial"/>
        <family val="2"/>
      </rPr>
      <t>Quantitative Analysis for Management</t>
    </r>
    <r>
      <rPr>
        <b/>
        <sz val="10"/>
        <rFont val="Arial"/>
        <family val="2"/>
      </rPr>
      <t>, 14th edition.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</si>
</sst>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_);[Red]\(&quot;$&quot;#,##0\)"/>
    <numFmt numFmtId="7" formatCode="&quot;$&quot;#,##0.00_);\(&quot;$&quot;#,##0.00\)"/>
    <numFmt numFmtId="42" formatCode="_(&quot;$&quot;* #,##0_);_(&quot;$&quot;* \(#,##0\);_(&quot;$&quot;* &quot;-&quot;_);_(@_)"/>
    <numFmt numFmtId="44" formatCode="_(&quot;$&quot;* #,##0.00_);_(&quot;$&quot;* \(#,##0.00\);_(&quot;$&quot;* &quot;-&quot;??_);_(@_)"/>
    <numFmt numFmtId="164" formatCode="0.000000"/>
    <numFmt numFmtId="165" formatCode="General_)"/>
    <numFmt numFmtId="166" formatCode="0.0000"/>
    <numFmt numFmtId="167" formatCode="0.0%"/>
    <numFmt numFmtId="168" formatCode="0.000"/>
    <numFmt numFmtId="169" formatCode="0.00000"/>
    <numFmt numFmtId="170" formatCode="00.00%"/>
    <numFmt numFmtId="171" formatCode="0.0"/>
    <numFmt numFmtId="172" formatCode="##"/>
    <numFmt numFmtId="173" formatCode="_(&quot;$&quot;* #,##0_);_(&quot;$&quot;* \(#,##0\);_(&quot;$&quot;* &quot;-&quot;??_);_(@_)"/>
    <numFmt numFmtId="174" formatCode="###########"/>
    <numFmt numFmtId="175" formatCode="#"/>
  </numFmts>
  <fonts count="113" x14ac:knownFonts="1">
    <font>
      <sz val="10"/>
      <name val="Arial"/>
    </font>
    <font>
      <sz val="10"/>
      <name val="Arial"/>
      <family val="2"/>
    </font>
    <font>
      <sz val="8"/>
      <name val="Arial"/>
      <family val="2"/>
    </font>
    <font>
      <b/>
      <sz val="14"/>
      <color indexed="16"/>
      <name val="Arial"/>
      <family val="2"/>
    </font>
    <font>
      <sz val="10"/>
      <color indexed="12"/>
      <name val="Arial"/>
      <family val="2"/>
    </font>
    <font>
      <b/>
      <sz val="10"/>
      <name val="Arial"/>
      <family val="2"/>
    </font>
    <font>
      <vertAlign val="subscript"/>
      <sz val="10"/>
      <name val="Arial"/>
      <family val="2"/>
    </font>
    <font>
      <b/>
      <sz val="12"/>
      <name val="Arial"/>
      <family val="2"/>
    </font>
    <font>
      <sz val="10"/>
      <name val="Arial"/>
      <family val="2"/>
    </font>
    <font>
      <sz val="10"/>
      <color indexed="8"/>
      <name val="Arial"/>
      <family val="2"/>
    </font>
    <font>
      <sz val="10"/>
      <name val="Symbol"/>
      <family val="1"/>
      <charset val="2"/>
    </font>
    <font>
      <b/>
      <sz val="8"/>
      <name val="Arial"/>
      <family val="2"/>
    </font>
    <font>
      <b/>
      <sz val="10"/>
      <color indexed="61"/>
      <name val="Arial"/>
      <family val="2"/>
    </font>
    <font>
      <sz val="8"/>
      <name val="Arial"/>
      <family val="2"/>
    </font>
    <font>
      <sz val="12"/>
      <name val="Arial"/>
      <family val="2"/>
    </font>
    <font>
      <i/>
      <sz val="10"/>
      <name val="Arial"/>
      <family val="2"/>
    </font>
    <font>
      <sz val="10"/>
      <color indexed="10"/>
      <name val="Arial"/>
      <family val="2"/>
    </font>
    <font>
      <b/>
      <sz val="12"/>
      <name val="Calibri"/>
      <family val="2"/>
    </font>
    <font>
      <b/>
      <sz val="12"/>
      <color indexed="8"/>
      <name val="Calibri"/>
      <family val="2"/>
    </font>
    <font>
      <sz val="14"/>
      <color indexed="8"/>
      <name val="Calibri"/>
      <family val="2"/>
    </font>
    <font>
      <b/>
      <vertAlign val="superscript"/>
      <sz val="12"/>
      <name val="Calibri"/>
      <family val="2"/>
    </font>
    <font>
      <u/>
      <sz val="12"/>
      <name val="Calibri"/>
      <family val="2"/>
    </font>
    <font>
      <sz val="12"/>
      <name val="Calibri"/>
      <family val="2"/>
    </font>
    <font>
      <i/>
      <sz val="12"/>
      <name val="Calibri"/>
      <family val="2"/>
    </font>
    <font>
      <i/>
      <sz val="12"/>
      <color indexed="8"/>
      <name val="Calibri"/>
      <family val="2"/>
    </font>
    <font>
      <u/>
      <sz val="12"/>
      <color indexed="8"/>
      <name val="Calibri"/>
      <family val="2"/>
    </font>
    <font>
      <sz val="12"/>
      <color indexed="8"/>
      <name val="Arial"/>
      <family val="2"/>
    </font>
    <font>
      <sz val="12"/>
      <color indexed="8"/>
      <name val="Calibri"/>
      <family val="2"/>
    </font>
    <font>
      <sz val="11"/>
      <color indexed="8"/>
      <name val="Calibri"/>
      <family val="2"/>
    </font>
    <font>
      <i/>
      <sz val="11"/>
      <color indexed="8"/>
      <name val="Calibri"/>
      <family val="2"/>
    </font>
    <font>
      <u/>
      <sz val="11"/>
      <color indexed="8"/>
      <name val="Calibri"/>
      <family val="2"/>
    </font>
    <font>
      <sz val="10"/>
      <name val="Calibri"/>
      <family val="2"/>
    </font>
    <font>
      <sz val="10"/>
      <color indexed="63"/>
      <name val="Arial"/>
      <family val="2"/>
    </font>
    <font>
      <vertAlign val="subscript"/>
      <sz val="10"/>
      <color indexed="63"/>
      <name val="Arial"/>
      <family val="2"/>
    </font>
    <font>
      <sz val="11"/>
      <name val="Calibri"/>
      <family val="2"/>
    </font>
    <font>
      <b/>
      <sz val="10"/>
      <color indexed="8"/>
      <name val="Calibri"/>
      <family val="2"/>
    </font>
    <font>
      <b/>
      <vertAlign val="superscript"/>
      <sz val="12"/>
      <color indexed="8"/>
      <name val="Calibri"/>
      <family val="2"/>
    </font>
    <font>
      <b/>
      <vertAlign val="superscript"/>
      <sz val="14"/>
      <color indexed="8"/>
      <name val="Calibri"/>
      <family val="2"/>
    </font>
    <font>
      <sz val="16"/>
      <color indexed="8"/>
      <name val="Calibri"/>
      <family val="2"/>
    </font>
    <font>
      <vertAlign val="subscript"/>
      <sz val="14"/>
      <color indexed="8"/>
      <name val="Calibri"/>
      <family val="2"/>
    </font>
    <font>
      <vertAlign val="subscript"/>
      <sz val="12"/>
      <color indexed="8"/>
      <name val="Calibri"/>
      <family val="2"/>
    </font>
    <font>
      <sz val="10"/>
      <color indexed="8"/>
      <name val="Calibri"/>
      <family val="2"/>
    </font>
    <font>
      <b/>
      <sz val="10"/>
      <name val="Calibri"/>
      <family val="2"/>
    </font>
    <font>
      <u/>
      <sz val="10"/>
      <name val="Arial"/>
      <family val="2"/>
    </font>
    <font>
      <b/>
      <sz val="10"/>
      <color indexed="63"/>
      <name val="Calibri"/>
      <family val="2"/>
    </font>
    <font>
      <b/>
      <sz val="10"/>
      <color indexed="53"/>
      <name val="Calibri"/>
      <family val="2"/>
    </font>
    <font>
      <sz val="11"/>
      <color theme="1"/>
      <name val="Calibri"/>
      <family val="2"/>
      <scheme val="minor"/>
    </font>
    <font>
      <sz val="10"/>
      <color rgb="FF000000"/>
      <name val="Arial"/>
      <family val="2"/>
    </font>
    <font>
      <sz val="12"/>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i/>
      <sz val="11"/>
      <color theme="1"/>
      <name val="Calibri"/>
      <family val="2"/>
      <scheme val="minor"/>
    </font>
    <font>
      <i/>
      <sz val="12"/>
      <color theme="1"/>
      <name val="Calibri"/>
      <family val="2"/>
      <scheme val="minor"/>
    </font>
    <font>
      <sz val="14"/>
      <color theme="1"/>
      <name val="Calibri"/>
      <family val="2"/>
      <scheme val="minor"/>
    </font>
    <font>
      <b/>
      <sz val="10"/>
      <color rgb="FF000000"/>
      <name val="Arial"/>
      <family val="2"/>
    </font>
    <font>
      <b/>
      <sz val="14"/>
      <color rgb="FF000000"/>
      <name val="Arial"/>
      <family val="2"/>
    </font>
    <font>
      <sz val="10"/>
      <color rgb="FF3F3F3F"/>
      <name val="Arial"/>
      <family val="2"/>
    </font>
    <font>
      <b/>
      <sz val="10"/>
      <color rgb="FF3F3F3F"/>
      <name val="Arial"/>
      <family val="2"/>
    </font>
    <font>
      <b/>
      <sz val="10"/>
      <color rgb="FFFF0000"/>
      <name val="Arial"/>
      <family val="2"/>
    </font>
    <font>
      <sz val="12"/>
      <name val="Calibri"/>
      <family val="2"/>
      <scheme val="minor"/>
    </font>
    <font>
      <b/>
      <sz val="12"/>
      <color rgb="FFFF0000"/>
      <name val="Calibri"/>
      <family val="2"/>
      <scheme val="minor"/>
    </font>
    <font>
      <i/>
      <sz val="12"/>
      <name val="Calibri"/>
      <family val="2"/>
      <scheme val="minor"/>
    </font>
    <font>
      <sz val="12"/>
      <color theme="1"/>
      <name val="Calibri"/>
      <family val="2"/>
    </font>
    <font>
      <sz val="12"/>
      <color rgb="FFFF0000"/>
      <name val="Calibri"/>
      <family val="2"/>
      <scheme val="minor"/>
    </font>
    <font>
      <b/>
      <sz val="14"/>
      <name val="Calibri"/>
      <family val="2"/>
      <scheme val="minor"/>
    </font>
    <font>
      <sz val="12"/>
      <color indexed="10"/>
      <name val="Calibri"/>
      <family val="2"/>
      <scheme val="minor"/>
    </font>
    <font>
      <b/>
      <u/>
      <sz val="12"/>
      <name val="Calibri"/>
      <family val="2"/>
      <scheme val="minor"/>
    </font>
    <font>
      <u/>
      <sz val="12"/>
      <name val="Calibri"/>
      <family val="2"/>
      <scheme val="minor"/>
    </font>
    <font>
      <b/>
      <sz val="11"/>
      <name val="Calibri"/>
      <family val="2"/>
      <scheme val="minor"/>
    </font>
    <font>
      <b/>
      <sz val="14"/>
      <color rgb="FF000000"/>
      <name val="Calibri"/>
      <family val="2"/>
    </font>
    <font>
      <sz val="11"/>
      <color rgb="FF000000"/>
      <name val="Calibri"/>
      <family val="2"/>
    </font>
    <font>
      <b/>
      <sz val="11"/>
      <color rgb="FF000000"/>
      <name val="Calibri"/>
      <family val="2"/>
    </font>
    <font>
      <b/>
      <u/>
      <sz val="11"/>
      <color rgb="FF000000"/>
      <name val="Calibri"/>
      <family val="2"/>
    </font>
    <font>
      <sz val="14"/>
      <name val="Calibri"/>
      <family val="2"/>
      <scheme val="minor"/>
    </font>
    <font>
      <u/>
      <sz val="12"/>
      <color theme="1"/>
      <name val="Calibri"/>
      <family val="2"/>
      <scheme val="minor"/>
    </font>
    <font>
      <b/>
      <u/>
      <sz val="12"/>
      <color theme="1"/>
      <name val="Calibri"/>
      <family val="2"/>
      <scheme val="minor"/>
    </font>
    <font>
      <b/>
      <sz val="10"/>
      <name val="Calibri"/>
      <family val="2"/>
      <scheme val="minor"/>
    </font>
    <font>
      <b/>
      <sz val="10"/>
      <color theme="1"/>
      <name val="Calibri"/>
      <family val="2"/>
      <scheme val="minor"/>
    </font>
    <font>
      <sz val="10"/>
      <name val="Calibri"/>
      <family val="2"/>
      <scheme val="minor"/>
    </font>
    <font>
      <sz val="16"/>
      <color theme="1"/>
      <name val="Calibri"/>
      <family val="2"/>
      <scheme val="minor"/>
    </font>
    <font>
      <sz val="10"/>
      <color rgb="FFFF0000"/>
      <name val="Arial"/>
      <family val="2"/>
    </font>
    <font>
      <sz val="10"/>
      <color theme="1"/>
      <name val="Calibri"/>
      <family val="2"/>
      <scheme val="minor"/>
    </font>
    <font>
      <sz val="10"/>
      <color indexed="10"/>
      <name val="Calibri"/>
      <family val="2"/>
      <scheme val="minor"/>
    </font>
    <font>
      <sz val="10"/>
      <color rgb="FF0000FF"/>
      <name val="Arial"/>
      <family val="2"/>
    </font>
    <font>
      <b/>
      <sz val="12"/>
      <color rgb="FF1F497D"/>
      <name val="Arial"/>
      <family val="2"/>
    </font>
    <font>
      <sz val="9"/>
      <color indexed="81"/>
      <name val="Tahoma"/>
      <family val="2"/>
    </font>
    <font>
      <b/>
      <sz val="10"/>
      <color rgb="FFFF6600"/>
      <name val="Arial"/>
      <family val="2"/>
    </font>
    <font>
      <b/>
      <sz val="14"/>
      <color rgb="FF800000"/>
      <name val="Arial"/>
      <family val="2"/>
    </font>
    <font>
      <b/>
      <vertAlign val="subscript"/>
      <sz val="10"/>
      <color rgb="FF3F3F3F"/>
      <name val="Arial"/>
      <family val="2"/>
    </font>
    <font>
      <sz val="10"/>
      <color indexed="12"/>
      <name val="Calibri"/>
      <family val="2"/>
    </font>
    <font>
      <vertAlign val="subscript"/>
      <sz val="10"/>
      <name val="Calibri"/>
      <family val="2"/>
    </font>
    <font>
      <b/>
      <vertAlign val="subscript"/>
      <sz val="10"/>
      <name val="Calibri"/>
      <family val="2"/>
    </font>
    <font>
      <b/>
      <sz val="10"/>
      <color rgb="FF3F3F3F"/>
      <name val="Calibri"/>
      <family val="2"/>
    </font>
    <font>
      <b/>
      <sz val="8"/>
      <color indexed="62"/>
      <name val="Calibri"/>
      <family val="2"/>
    </font>
    <font>
      <sz val="8"/>
      <name val="Calibri"/>
      <family val="2"/>
    </font>
    <font>
      <b/>
      <sz val="14"/>
      <color rgb="FF800000"/>
      <name val="Calibri"/>
      <family val="2"/>
    </font>
    <font>
      <b/>
      <sz val="10"/>
      <color indexed="21"/>
      <name val="Calibri"/>
      <family val="2"/>
    </font>
    <font>
      <b/>
      <sz val="10"/>
      <color indexed="20"/>
      <name val="Calibri"/>
      <family val="2"/>
    </font>
    <font>
      <sz val="12"/>
      <color rgb="FF1F497D"/>
      <name val="Calibri"/>
      <family val="2"/>
    </font>
    <font>
      <sz val="10"/>
      <color rgb="FF0000FF"/>
      <name val="Calibri"/>
      <family val="2"/>
    </font>
    <font>
      <b/>
      <sz val="10"/>
      <color rgb="FFFF6600"/>
      <name val="Calibri"/>
      <family val="2"/>
    </font>
    <font>
      <sz val="10"/>
      <color rgb="FF3F3F3F"/>
      <name val="Calibri"/>
      <family val="2"/>
    </font>
    <font>
      <b/>
      <sz val="12"/>
      <color rgb="FF1F497D"/>
      <name val="Calibri"/>
      <family val="2"/>
    </font>
    <font>
      <b/>
      <sz val="10"/>
      <color indexed="10"/>
      <name val="Calibri"/>
      <family val="2"/>
    </font>
    <font>
      <b/>
      <sz val="10"/>
      <color indexed="16"/>
      <name val="Calibri"/>
      <family val="2"/>
    </font>
    <font>
      <b/>
      <sz val="10"/>
      <color rgb="FF000000"/>
      <name val="Calibri"/>
      <family val="2"/>
    </font>
    <font>
      <sz val="10"/>
      <color indexed="16"/>
      <name val="Calibri"/>
      <family val="2"/>
    </font>
    <font>
      <b/>
      <sz val="10"/>
      <color rgb="FF3F3F3F"/>
      <name val="Symbol"/>
      <family val="1"/>
      <charset val="2"/>
    </font>
    <font>
      <b/>
      <sz val="8"/>
      <name val="Calibri"/>
      <family val="2"/>
    </font>
    <font>
      <sz val="10"/>
      <color rgb="FF3F3F3F"/>
      <name val="Symbol"/>
      <family val="1"/>
      <charset val="2"/>
    </font>
    <font>
      <b/>
      <i/>
      <sz val="10"/>
      <name val="Arial"/>
      <family val="2"/>
    </font>
  </fonts>
  <fills count="19">
    <fill>
      <patternFill patternType="none"/>
    </fill>
    <fill>
      <patternFill patternType="gray125"/>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8"/>
        <bgColor indexed="64"/>
      </patternFill>
    </fill>
    <fill>
      <patternFill patternType="solid">
        <fgColor indexed="47"/>
        <bgColor indexed="64"/>
      </patternFill>
    </fill>
    <fill>
      <patternFill patternType="solid">
        <fgColor rgb="FFF0F0F0"/>
        <bgColor indexed="64"/>
      </patternFill>
    </fill>
    <fill>
      <patternFill patternType="solid">
        <fgColor rgb="FFF2F2F2"/>
        <bgColor indexed="64"/>
      </patternFill>
    </fill>
    <fill>
      <patternFill patternType="solid">
        <fgColor rgb="FFFF6600"/>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D9D9D9"/>
        <bgColor rgb="FFD9D9D9"/>
      </patternFill>
    </fill>
    <fill>
      <patternFill patternType="solid">
        <fgColor theme="0" tint="-4.9989318521683403E-2"/>
        <bgColor indexed="64"/>
      </patternFill>
    </fill>
    <fill>
      <patternFill patternType="solid">
        <fgColor rgb="FFFFC7CE"/>
        <bgColor indexed="64"/>
      </patternFill>
    </fill>
    <fill>
      <patternFill patternType="solid">
        <fgColor rgb="FFFFCC99"/>
        <bgColor indexed="64"/>
      </patternFill>
    </fill>
  </fills>
  <borders count="141">
    <border>
      <left/>
      <right/>
      <top/>
      <bottom/>
      <diagonal/>
    </border>
    <border>
      <left style="hair">
        <color indexed="64"/>
      </left>
      <right style="hair">
        <color indexed="64"/>
      </right>
      <top style="hair">
        <color indexed="64"/>
      </top>
      <bottom style="hair">
        <color indexed="64"/>
      </bottom>
      <diagonal/>
    </border>
    <border>
      <left style="medium">
        <color indexed="21"/>
      </left>
      <right/>
      <top style="medium">
        <color indexed="21"/>
      </top>
      <bottom/>
      <diagonal/>
    </border>
    <border>
      <left style="medium">
        <color indexed="21"/>
      </left>
      <right/>
      <top/>
      <bottom/>
      <diagonal/>
    </border>
    <border>
      <left style="medium">
        <color indexed="20"/>
      </left>
      <right/>
      <top style="medium">
        <color indexed="20"/>
      </top>
      <bottom/>
      <diagonal/>
    </border>
    <border>
      <left/>
      <right style="medium">
        <color indexed="20"/>
      </right>
      <top style="medium">
        <color indexed="20"/>
      </top>
      <bottom/>
      <diagonal/>
    </border>
    <border>
      <left style="medium">
        <color indexed="20"/>
      </left>
      <right/>
      <top/>
      <bottom/>
      <diagonal/>
    </border>
    <border>
      <left/>
      <right style="medium">
        <color indexed="20"/>
      </right>
      <top/>
      <bottom/>
      <diagonal/>
    </border>
    <border>
      <left style="medium">
        <color indexed="20"/>
      </left>
      <right/>
      <top/>
      <bottom style="medium">
        <color indexed="20"/>
      </bottom>
      <diagonal/>
    </border>
    <border>
      <left/>
      <right style="medium">
        <color indexed="20"/>
      </right>
      <top/>
      <bottom style="medium">
        <color indexed="2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20"/>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20"/>
      </bottom>
      <diagonal/>
    </border>
    <border>
      <left/>
      <right/>
      <top/>
      <bottom style="double">
        <color indexed="64"/>
      </bottom>
      <diagonal/>
    </border>
    <border>
      <left/>
      <right/>
      <top style="medium">
        <color indexed="21"/>
      </top>
      <bottom/>
      <diagonal/>
    </border>
    <border>
      <left/>
      <right style="medium">
        <color indexed="21"/>
      </right>
      <top style="medium">
        <color indexed="21"/>
      </top>
      <bottom/>
      <diagonal/>
    </border>
    <border>
      <left style="medium">
        <color indexed="12"/>
      </left>
      <right/>
      <top style="medium">
        <color indexed="12"/>
      </top>
      <bottom/>
      <diagonal/>
    </border>
    <border>
      <left/>
      <right/>
      <top style="medium">
        <color indexed="12"/>
      </top>
      <bottom/>
      <diagonal/>
    </border>
    <border>
      <left/>
      <right style="medium">
        <color indexed="12"/>
      </right>
      <top style="medium">
        <color indexed="12"/>
      </top>
      <bottom/>
      <diagonal/>
    </border>
    <border>
      <left style="medium">
        <color indexed="12"/>
      </left>
      <right/>
      <top/>
      <bottom/>
      <diagonal/>
    </border>
    <border>
      <left/>
      <right style="medium">
        <color indexed="12"/>
      </right>
      <top/>
      <bottom/>
      <diagonal/>
    </border>
    <border>
      <left style="medium">
        <color indexed="12"/>
      </left>
      <right/>
      <top/>
      <bottom style="medium">
        <color indexed="12"/>
      </bottom>
      <diagonal/>
    </border>
    <border>
      <left/>
      <right/>
      <top/>
      <bottom style="medium">
        <color indexed="12"/>
      </bottom>
      <diagonal/>
    </border>
    <border>
      <left/>
      <right style="medium">
        <color indexed="12"/>
      </right>
      <top/>
      <bottom style="medium">
        <color indexed="12"/>
      </bottom>
      <diagonal/>
    </border>
    <border>
      <left style="medium">
        <color indexed="36"/>
      </left>
      <right/>
      <top style="medium">
        <color indexed="36"/>
      </top>
      <bottom/>
      <diagonal/>
    </border>
    <border>
      <left/>
      <right style="medium">
        <color indexed="36"/>
      </right>
      <top style="medium">
        <color indexed="36"/>
      </top>
      <bottom/>
      <diagonal/>
    </border>
    <border>
      <left style="medium">
        <color indexed="36"/>
      </left>
      <right/>
      <top/>
      <bottom/>
      <diagonal/>
    </border>
    <border>
      <left/>
      <right style="medium">
        <color indexed="36"/>
      </right>
      <top/>
      <bottom/>
      <diagonal/>
    </border>
    <border>
      <left style="medium">
        <color indexed="36"/>
      </left>
      <right/>
      <top/>
      <bottom style="medium">
        <color indexed="36"/>
      </bottom>
      <diagonal/>
    </border>
    <border>
      <left/>
      <right style="medium">
        <color indexed="36"/>
      </right>
      <top/>
      <bottom style="medium">
        <color indexed="36"/>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Dashed">
        <color indexed="64"/>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right/>
      <top style="medium">
        <color indexed="64"/>
      </top>
      <bottom style="medium">
        <color indexed="64"/>
      </bottom>
      <diagonal/>
    </border>
    <border>
      <left style="hair">
        <color indexed="64"/>
      </left>
      <right style="hair">
        <color indexed="64"/>
      </right>
      <top style="hair">
        <color indexed="64"/>
      </top>
      <bottom/>
      <diagonal/>
    </border>
    <border>
      <left style="thin">
        <color indexed="64"/>
      </left>
      <right style="thin">
        <color indexed="64"/>
      </right>
      <top style="medium">
        <color indexed="64"/>
      </top>
      <bottom/>
      <diagonal/>
    </border>
    <border>
      <left/>
      <right style="hair">
        <color indexed="64"/>
      </right>
      <top style="hair">
        <color indexed="64"/>
      </top>
      <bottom style="hair">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hair">
        <color indexed="64"/>
      </left>
      <right style="hair">
        <color indexed="64"/>
      </right>
      <top/>
      <bottom style="hair">
        <color indexed="64"/>
      </bottom>
      <diagonal/>
    </border>
    <border>
      <left style="slantDashDot">
        <color indexed="64"/>
      </left>
      <right/>
      <top style="slantDashDot">
        <color indexed="64"/>
      </top>
      <bottom/>
      <diagonal/>
    </border>
    <border>
      <left/>
      <right style="slantDashDot">
        <color indexed="64"/>
      </right>
      <top style="slantDashDot">
        <color indexed="64"/>
      </top>
      <bottom/>
      <diagonal/>
    </border>
    <border>
      <left style="thin">
        <color indexed="64"/>
      </left>
      <right/>
      <top/>
      <bottom/>
      <diagonal/>
    </border>
    <border>
      <left/>
      <right style="medium">
        <color indexed="64"/>
      </right>
      <top style="medium">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indexed="64"/>
      </left>
      <right style="medium">
        <color rgb="FF000000"/>
      </right>
      <top style="thin">
        <color indexed="64"/>
      </top>
      <bottom style="thin">
        <color indexed="64"/>
      </bottom>
      <diagonal/>
    </border>
    <border>
      <left style="medium">
        <color rgb="FF000000"/>
      </left>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Dashed">
        <color rgb="FF000000"/>
      </left>
      <right/>
      <top style="mediumDashed">
        <color rgb="FF000000"/>
      </top>
      <bottom/>
      <diagonal/>
    </border>
    <border>
      <left/>
      <right/>
      <top style="mediumDashed">
        <color rgb="FF000000"/>
      </top>
      <bottom/>
      <diagonal/>
    </border>
    <border>
      <left/>
      <right style="mediumDashed">
        <color rgb="FF000000"/>
      </right>
      <top style="mediumDashed">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top style="thin">
        <color indexed="64"/>
      </top>
      <bottom style="thin">
        <color indexed="64"/>
      </bottom>
      <diagonal/>
    </border>
    <border>
      <left style="medium">
        <color rgb="FF000000"/>
      </left>
      <right style="medium">
        <color rgb="FFFF6600"/>
      </right>
      <top style="medium">
        <color rgb="FF000000"/>
      </top>
      <bottom style="medium">
        <color rgb="FFFF6600"/>
      </bottom>
      <diagonal/>
    </border>
    <border>
      <left/>
      <right/>
      <top style="medium">
        <color rgb="FF000000"/>
      </top>
      <bottom style="medium">
        <color rgb="FFFF6600"/>
      </bottom>
      <diagonal/>
    </border>
    <border>
      <left/>
      <right style="medium">
        <color rgb="FF000000"/>
      </right>
      <top style="medium">
        <color rgb="FF000000"/>
      </top>
      <bottom style="medium">
        <color rgb="FFFF6600"/>
      </bottom>
      <diagonal/>
    </border>
    <border>
      <left style="medium">
        <color rgb="FF000000"/>
      </left>
      <right style="medium">
        <color rgb="FFFF6600"/>
      </right>
      <top/>
      <bottom style="double">
        <color indexed="64"/>
      </bottom>
      <diagonal/>
    </border>
    <border>
      <left style="thin">
        <color indexed="64"/>
      </left>
      <right style="medium">
        <color rgb="FF000000"/>
      </right>
      <top style="thin">
        <color indexed="64"/>
      </top>
      <bottom style="double">
        <color indexed="64"/>
      </bottom>
      <diagonal/>
    </border>
    <border>
      <left style="medium">
        <color rgb="FF000000"/>
      </left>
      <right style="medium">
        <color rgb="FFFF6600"/>
      </right>
      <top/>
      <bottom/>
      <diagonal/>
    </border>
    <border>
      <left style="medium">
        <color rgb="FF000000"/>
      </left>
      <right style="medium">
        <color rgb="FFFF6600"/>
      </right>
      <top/>
      <bottom style="medium">
        <color rgb="FF000000"/>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rgb="FF3F3F3F"/>
      </bottom>
      <diagonal/>
    </border>
    <border>
      <left style="medium">
        <color indexed="64"/>
      </left>
      <right style="medium">
        <color rgb="FF3F3F3F"/>
      </right>
      <top style="medium">
        <color indexed="64"/>
      </top>
      <bottom style="medium">
        <color rgb="FF3F3F3F"/>
      </bottom>
      <diagonal/>
    </border>
    <border>
      <left style="medium">
        <color indexed="64"/>
      </left>
      <right style="medium">
        <color rgb="FF3F3F3F"/>
      </right>
      <top style="thin">
        <color indexed="64"/>
      </top>
      <bottom style="double">
        <color indexed="64"/>
      </bottom>
      <diagonal/>
    </border>
    <border>
      <left style="medium">
        <color indexed="64"/>
      </left>
      <right style="medium">
        <color rgb="FF3F3F3F"/>
      </right>
      <top style="thin">
        <color indexed="64"/>
      </top>
      <bottom style="thin">
        <color indexed="64"/>
      </bottom>
      <diagonal/>
    </border>
    <border>
      <left style="medium">
        <color indexed="64"/>
      </left>
      <right style="medium">
        <color rgb="FF3F3F3F"/>
      </right>
      <top style="thin">
        <color indexed="64"/>
      </top>
      <bottom style="medium">
        <color indexed="64"/>
      </bottom>
      <diagonal/>
    </border>
    <border>
      <left style="thin">
        <color indexed="64"/>
      </left>
      <right style="medium">
        <color rgb="FF000000"/>
      </right>
      <top style="thin">
        <color indexed="64"/>
      </top>
      <bottom/>
      <diagonal/>
    </border>
    <border>
      <left style="medium">
        <color rgb="FF000000"/>
      </left>
      <right/>
      <top style="medium">
        <color rgb="FF000000"/>
      </top>
      <bottom style="thin">
        <color indexed="64"/>
      </bottom>
      <diagonal/>
    </border>
    <border>
      <left style="thin">
        <color indexed="64"/>
      </left>
      <right/>
      <top style="medium">
        <color rgb="FF000000"/>
      </top>
      <bottom style="thin">
        <color indexed="64"/>
      </bottom>
      <diagonal/>
    </border>
    <border>
      <left style="thin">
        <color indexed="64"/>
      </left>
      <right/>
      <top style="medium">
        <color rgb="FF000000"/>
      </top>
      <bottom/>
      <diagonal/>
    </border>
    <border>
      <left style="thin">
        <color indexed="64"/>
      </left>
      <right style="medium">
        <color rgb="FF000000"/>
      </right>
      <top style="medium">
        <color rgb="FF000000"/>
      </top>
      <bottom/>
      <diagonal/>
    </border>
    <border>
      <left style="medium">
        <color rgb="FF000000"/>
      </left>
      <right/>
      <top/>
      <bottom style="thin">
        <color indexed="64"/>
      </bottom>
      <diagonal/>
    </border>
  </borders>
  <cellStyleXfs count="12">
    <xf numFmtId="0" fontId="0" fillId="0" borderId="0"/>
    <xf numFmtId="44" fontId="1" fillId="0" borderId="0" applyFont="0" applyFill="0" applyBorder="0" applyAlignment="0" applyProtection="0"/>
    <xf numFmtId="0" fontId="46" fillId="0" borderId="0"/>
    <xf numFmtId="0" fontId="1" fillId="0" borderId="0"/>
    <xf numFmtId="0" fontId="1" fillId="0" borderId="0"/>
    <xf numFmtId="0" fontId="47" fillId="0" borderId="0"/>
    <xf numFmtId="0" fontId="46" fillId="0" borderId="0"/>
    <xf numFmtId="0" fontId="48" fillId="0" borderId="0"/>
    <xf numFmtId="165" fontId="9" fillId="0" borderId="1"/>
    <xf numFmtId="165" fontId="9" fillId="0" borderId="1"/>
    <xf numFmtId="44" fontId="1" fillId="0" borderId="0" applyFont="0" applyFill="0" applyBorder="0" applyAlignment="0" applyProtection="0"/>
    <xf numFmtId="0" fontId="46" fillId="0" borderId="0"/>
  </cellStyleXfs>
  <cellXfs count="814">
    <xf numFmtId="0" fontId="0" fillId="0" borderId="0" xfId="0"/>
    <xf numFmtId="0" fontId="3" fillId="0" borderId="0" xfId="0" applyFont="1"/>
    <xf numFmtId="0" fontId="4" fillId="0" borderId="0" xfId="0" applyFont="1"/>
    <xf numFmtId="0" fontId="0" fillId="0" borderId="5" xfId="0" applyBorder="1"/>
    <xf numFmtId="0" fontId="5"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6" xfId="0" applyBorder="1"/>
    <xf numFmtId="0" fontId="0" fillId="2" borderId="0" xfId="0" applyFill="1"/>
    <xf numFmtId="0" fontId="0" fillId="0" borderId="8" xfId="0" applyBorder="1"/>
    <xf numFmtId="0" fontId="0" fillId="0" borderId="21" xfId="0" applyBorder="1"/>
    <xf numFmtId="0" fontId="0" fillId="0" borderId="22" xfId="0" applyBorder="1"/>
    <xf numFmtId="0" fontId="0" fillId="0" borderId="0" xfId="0" applyAlignment="1">
      <alignment horizontal="right"/>
    </xf>
    <xf numFmtId="0" fontId="0" fillId="0" borderId="0" xfId="0" applyAlignment="1">
      <alignment wrapText="1"/>
    </xf>
    <xf numFmtId="0" fontId="0" fillId="2" borderId="25" xfId="0" applyFill="1" applyBorder="1"/>
    <xf numFmtId="0" fontId="0" fillId="0" borderId="26" xfId="0" applyBorder="1"/>
    <xf numFmtId="0" fontId="0" fillId="2" borderId="27" xfId="0" applyFill="1" applyBorder="1"/>
    <xf numFmtId="0" fontId="0" fillId="2" borderId="28" xfId="0" applyFill="1" applyBorder="1"/>
    <xf numFmtId="0" fontId="0" fillId="2" borderId="29" xfId="0" applyFill="1" applyBorder="1"/>
    <xf numFmtId="0" fontId="0" fillId="2" borderId="30" xfId="0" applyFill="1" applyBorder="1"/>
    <xf numFmtId="0" fontId="0" fillId="0" borderId="31" xfId="0" applyBorder="1"/>
    <xf numFmtId="0" fontId="0" fillId="2" borderId="32" xfId="0" applyFill="1" applyBorder="1"/>
    <xf numFmtId="0" fontId="7" fillId="0" borderId="0" xfId="0" applyFont="1"/>
    <xf numFmtId="0" fontId="8"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4" xfId="0" applyBorder="1" applyAlignment="1">
      <alignment wrapText="1"/>
    </xf>
    <xf numFmtId="9" fontId="0" fillId="0" borderId="0" xfId="0" applyNumberFormat="1"/>
    <xf numFmtId="9" fontId="0" fillId="0" borderId="7" xfId="0" applyNumberFormat="1" applyBorder="1"/>
    <xf numFmtId="9" fontId="0" fillId="0" borderId="21" xfId="0" applyNumberFormat="1" applyBorder="1"/>
    <xf numFmtId="9" fontId="0" fillId="0" borderId="9" xfId="0" applyNumberFormat="1"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167" fontId="0" fillId="0" borderId="0" xfId="0" applyNumberFormat="1"/>
    <xf numFmtId="0" fontId="11" fillId="0" borderId="0" xfId="0" applyFont="1"/>
    <xf numFmtId="0" fontId="2" fillId="0" borderId="0" xfId="0" applyFont="1" applyAlignment="1">
      <alignment horizontal="center"/>
    </xf>
    <xf numFmtId="0" fontId="2" fillId="0" borderId="0" xfId="0" applyFont="1"/>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166" fontId="2" fillId="0" borderId="10" xfId="0" applyNumberFormat="1" applyFont="1" applyBorder="1" applyAlignment="1">
      <alignment horizontal="center"/>
    </xf>
    <xf numFmtId="166" fontId="2" fillId="0" borderId="11" xfId="0" applyNumberFormat="1" applyFont="1" applyBorder="1" applyAlignment="1">
      <alignment horizontal="center"/>
    </xf>
    <xf numFmtId="166" fontId="2" fillId="0" borderId="12" xfId="0" applyNumberFormat="1" applyFont="1" applyBorder="1" applyAlignment="1">
      <alignment horizontal="center"/>
    </xf>
    <xf numFmtId="166" fontId="2" fillId="0" borderId="49" xfId="0" applyNumberFormat="1" applyFont="1" applyBorder="1" applyAlignment="1">
      <alignment horizontal="center"/>
    </xf>
    <xf numFmtId="166" fontId="2" fillId="0" borderId="0" xfId="0" applyNumberFormat="1" applyFont="1"/>
    <xf numFmtId="166" fontId="2" fillId="0" borderId="49" xfId="0" applyNumberFormat="1" applyFont="1" applyBorder="1"/>
    <xf numFmtId="166" fontId="2" fillId="0" borderId="50" xfId="0" applyNumberFormat="1" applyFont="1" applyBorder="1"/>
    <xf numFmtId="166" fontId="2" fillId="0" borderId="51" xfId="0" applyNumberFormat="1" applyFont="1" applyBorder="1"/>
    <xf numFmtId="0" fontId="2" fillId="0" borderId="10" xfId="0" applyFont="1" applyBorder="1"/>
    <xf numFmtId="166" fontId="2" fillId="0" borderId="12" xfId="0" applyNumberFormat="1" applyFont="1" applyBorder="1"/>
    <xf numFmtId="0" fontId="2" fillId="0" borderId="13" xfId="0" applyFont="1" applyBorder="1" applyAlignment="1">
      <alignment horizontal="center"/>
    </xf>
    <xf numFmtId="0" fontId="2" fillId="0" borderId="14" xfId="0" applyFont="1" applyBorder="1" applyAlignment="1">
      <alignment horizontal="center"/>
    </xf>
    <xf numFmtId="166" fontId="2" fillId="0" borderId="13" xfId="0" applyNumberFormat="1" applyFont="1" applyBorder="1" applyAlignment="1">
      <alignment horizontal="center"/>
    </xf>
    <xf numFmtId="166" fontId="2" fillId="0" borderId="0" xfId="0" applyNumberFormat="1" applyFont="1" applyAlignment="1">
      <alignment horizontal="center"/>
    </xf>
    <xf numFmtId="166" fontId="2" fillId="0" borderId="14" xfId="0" applyNumberFormat="1" applyFont="1" applyBorder="1" applyAlignment="1">
      <alignment horizontal="center"/>
    </xf>
    <xf numFmtId="166" fontId="2" fillId="0" borderId="50" xfId="0" applyNumberFormat="1" applyFont="1" applyBorder="1" applyAlignment="1">
      <alignment horizontal="center"/>
    </xf>
    <xf numFmtId="0" fontId="2" fillId="0" borderId="13" xfId="0" applyFont="1" applyBorder="1"/>
    <xf numFmtId="166" fontId="2" fillId="0" borderId="14" xfId="0" applyNumberFormat="1" applyFont="1" applyBorder="1"/>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166" fontId="2" fillId="0" borderId="15" xfId="0" applyNumberFormat="1" applyFont="1" applyBorder="1" applyAlignment="1">
      <alignment horizontal="center"/>
    </xf>
    <xf numFmtId="166" fontId="2" fillId="0" borderId="16" xfId="0" applyNumberFormat="1" applyFont="1" applyBorder="1" applyAlignment="1">
      <alignment horizontal="center"/>
    </xf>
    <xf numFmtId="166" fontId="2" fillId="0" borderId="17" xfId="0" applyNumberFormat="1" applyFont="1" applyBorder="1" applyAlignment="1">
      <alignment horizontal="center"/>
    </xf>
    <xf numFmtId="166" fontId="2" fillId="0" borderId="51" xfId="0" applyNumberFormat="1" applyFont="1" applyBorder="1" applyAlignment="1">
      <alignment horizontal="center"/>
    </xf>
    <xf numFmtId="0" fontId="2" fillId="0" borderId="15" xfId="0" applyFont="1" applyBorder="1"/>
    <xf numFmtId="166" fontId="2" fillId="0" borderId="17" xfId="0" applyNumberFormat="1" applyFont="1" applyBorder="1"/>
    <xf numFmtId="0" fontId="2" fillId="0" borderId="12" xfId="0" applyFont="1" applyBorder="1"/>
    <xf numFmtId="0" fontId="2" fillId="0" borderId="52" xfId="0" applyFont="1" applyBorder="1" applyAlignment="1">
      <alignment horizontal="center"/>
    </xf>
    <xf numFmtId="0" fontId="2" fillId="0" borderId="53" xfId="0" applyFont="1" applyBorder="1" applyAlignment="1">
      <alignment horizontal="center"/>
    </xf>
    <xf numFmtId="2" fontId="2" fillId="0" borderId="14" xfId="0" applyNumberFormat="1" applyFont="1" applyBorder="1" applyAlignment="1">
      <alignment horizontal="center"/>
    </xf>
    <xf numFmtId="168" fontId="2" fillId="0" borderId="10" xfId="0" applyNumberFormat="1" applyFont="1" applyBorder="1" applyAlignment="1">
      <alignment horizontal="center"/>
    </xf>
    <xf numFmtId="168" fontId="2" fillId="0" borderId="11" xfId="0" applyNumberFormat="1" applyFont="1" applyBorder="1" applyAlignment="1">
      <alignment horizontal="center"/>
    </xf>
    <xf numFmtId="168" fontId="2" fillId="0" borderId="12" xfId="0" applyNumberFormat="1" applyFont="1" applyBorder="1" applyAlignment="1">
      <alignment horizontal="center"/>
    </xf>
    <xf numFmtId="168" fontId="2" fillId="0" borderId="0" xfId="0" applyNumberFormat="1" applyFont="1" applyAlignment="1">
      <alignment horizontal="center"/>
    </xf>
    <xf numFmtId="168" fontId="2" fillId="0" borderId="13" xfId="0" applyNumberFormat="1" applyFont="1" applyBorder="1" applyAlignment="1">
      <alignment horizontal="center"/>
    </xf>
    <xf numFmtId="168" fontId="2" fillId="0" borderId="14" xfId="0" applyNumberFormat="1" applyFont="1" applyBorder="1" applyAlignment="1">
      <alignment horizontal="center"/>
    </xf>
    <xf numFmtId="168" fontId="2" fillId="0" borderId="15" xfId="0" applyNumberFormat="1" applyFont="1" applyBorder="1" applyAlignment="1">
      <alignment horizontal="center"/>
    </xf>
    <xf numFmtId="168" fontId="2" fillId="0" borderId="16" xfId="0" applyNumberFormat="1" applyFont="1" applyBorder="1" applyAlignment="1">
      <alignment horizontal="center"/>
    </xf>
    <xf numFmtId="168" fontId="2" fillId="0" borderId="17" xfId="0" applyNumberFormat="1" applyFont="1" applyBorder="1" applyAlignment="1">
      <alignment horizontal="center"/>
    </xf>
    <xf numFmtId="2" fontId="2" fillId="0" borderId="17" xfId="0" applyNumberFormat="1" applyFont="1" applyBorder="1" applyAlignment="1">
      <alignment horizontal="center"/>
    </xf>
    <xf numFmtId="0" fontId="0" fillId="0" borderId="0" xfId="0" applyAlignment="1">
      <alignment horizontal="center"/>
    </xf>
    <xf numFmtId="0" fontId="0" fillId="0" borderId="54" xfId="0" applyBorder="1"/>
    <xf numFmtId="0" fontId="0" fillId="0" borderId="49" xfId="0" applyBorder="1"/>
    <xf numFmtId="0" fontId="0" fillId="0" borderId="51" xfId="0" applyBorder="1"/>
    <xf numFmtId="0" fontId="0" fillId="0" borderId="50" xfId="0" applyBorder="1" applyAlignment="1">
      <alignment horizontal="center"/>
    </xf>
    <xf numFmtId="0" fontId="12" fillId="0" borderId="0" xfId="0" applyFont="1" applyAlignment="1">
      <alignment wrapText="1"/>
    </xf>
    <xf numFmtId="0" fontId="12" fillId="0" borderId="0" xfId="0" applyFont="1"/>
    <xf numFmtId="0" fontId="12" fillId="0" borderId="0" xfId="0" applyFont="1" applyAlignment="1">
      <alignment horizontal="center"/>
    </xf>
    <xf numFmtId="0" fontId="0" fillId="0" borderId="0" xfId="0" quotePrefix="1" applyAlignment="1">
      <alignment horizontal="center"/>
    </xf>
    <xf numFmtId="0" fontId="14" fillId="0" borderId="0" xfId="0" applyFont="1"/>
    <xf numFmtId="0" fontId="8" fillId="0" borderId="0" xfId="0" applyFont="1" applyAlignment="1">
      <alignment horizontal="center"/>
    </xf>
    <xf numFmtId="0" fontId="15" fillId="0" borderId="55" xfId="0" applyFont="1" applyBorder="1" applyAlignment="1">
      <alignment horizontal="center"/>
    </xf>
    <xf numFmtId="0" fontId="15" fillId="0" borderId="55" xfId="0" applyFont="1" applyBorder="1" applyAlignment="1">
      <alignment horizontal="centerContinuous"/>
    </xf>
    <xf numFmtId="2" fontId="0" fillId="0" borderId="0" xfId="0" applyNumberFormat="1" applyAlignment="1">
      <alignment horizontal="center"/>
    </xf>
    <xf numFmtId="166" fontId="0" fillId="0" borderId="0" xfId="0" applyNumberFormat="1"/>
    <xf numFmtId="166" fontId="0" fillId="0" borderId="16" xfId="0" applyNumberFormat="1" applyBorder="1"/>
    <xf numFmtId="0" fontId="16" fillId="0" borderId="0" xfId="0" applyFont="1"/>
    <xf numFmtId="0" fontId="5" fillId="0" borderId="16" xfId="0" applyFont="1" applyBorder="1" applyAlignment="1">
      <alignment horizontal="center"/>
    </xf>
    <xf numFmtId="0" fontId="48" fillId="0" borderId="0" xfId="2" applyFont="1" applyAlignment="1">
      <alignment horizontal="center"/>
    </xf>
    <xf numFmtId="0" fontId="50" fillId="0" borderId="16" xfId="2" applyFont="1" applyBorder="1" applyAlignment="1">
      <alignment horizontal="center"/>
    </xf>
    <xf numFmtId="0" fontId="46" fillId="0" borderId="0" xfId="2"/>
    <xf numFmtId="0" fontId="48" fillId="0" borderId="0" xfId="2" applyFont="1"/>
    <xf numFmtId="0" fontId="51" fillId="0" borderId="0" xfId="2" applyFont="1"/>
    <xf numFmtId="0" fontId="52" fillId="0" borderId="16" xfId="2" applyFont="1" applyBorder="1" applyAlignment="1">
      <alignment horizontal="center"/>
    </xf>
    <xf numFmtId="0" fontId="51" fillId="0" borderId="56" xfId="2" applyFont="1" applyBorder="1"/>
    <xf numFmtId="0" fontId="46" fillId="0" borderId="16" xfId="2" applyBorder="1"/>
    <xf numFmtId="0" fontId="53" fillId="0" borderId="55" xfId="2" applyFont="1" applyBorder="1" applyAlignment="1">
      <alignment horizontal="center"/>
    </xf>
    <xf numFmtId="0" fontId="53" fillId="0" borderId="55" xfId="2" applyFont="1" applyBorder="1" applyAlignment="1">
      <alignment horizontal="centerContinuous"/>
    </xf>
    <xf numFmtId="2" fontId="46" fillId="0" borderId="0" xfId="2" applyNumberFormat="1"/>
    <xf numFmtId="2" fontId="46" fillId="0" borderId="16" xfId="2" applyNumberFormat="1" applyBorder="1"/>
    <xf numFmtId="166" fontId="46" fillId="0" borderId="0" xfId="2" applyNumberFormat="1"/>
    <xf numFmtId="164" fontId="46" fillId="0" borderId="0" xfId="2" applyNumberFormat="1"/>
    <xf numFmtId="168" fontId="46" fillId="0" borderId="0" xfId="2" applyNumberFormat="1"/>
    <xf numFmtId="168" fontId="46" fillId="0" borderId="16" xfId="2" applyNumberFormat="1" applyBorder="1"/>
    <xf numFmtId="0" fontId="54" fillId="0" borderId="55" xfId="2" applyFont="1" applyBorder="1" applyAlignment="1">
      <alignment horizontal="centerContinuous"/>
    </xf>
    <xf numFmtId="0" fontId="48" fillId="0" borderId="16" xfId="2" applyFont="1" applyBorder="1"/>
    <xf numFmtId="0" fontId="54" fillId="0" borderId="55" xfId="2" applyFont="1" applyBorder="1" applyAlignment="1">
      <alignment horizontal="center"/>
    </xf>
    <xf numFmtId="166" fontId="48" fillId="0" borderId="0" xfId="2" applyNumberFormat="1" applyFont="1"/>
    <xf numFmtId="166" fontId="48" fillId="0" borderId="16" xfId="2" applyNumberFormat="1" applyFont="1" applyBorder="1"/>
    <xf numFmtId="0" fontId="50" fillId="0" borderId="0" xfId="2" applyFont="1"/>
    <xf numFmtId="0" fontId="55" fillId="0" borderId="0" xfId="2" applyFont="1"/>
    <xf numFmtId="0" fontId="55" fillId="0" borderId="0" xfId="2" applyFont="1" applyAlignment="1">
      <alignment horizontal="center"/>
    </xf>
    <xf numFmtId="166" fontId="46" fillId="0" borderId="16" xfId="2" applyNumberFormat="1" applyBorder="1"/>
    <xf numFmtId="0" fontId="56" fillId="0" borderId="0" xfId="0" applyFont="1"/>
    <xf numFmtId="0" fontId="58" fillId="9" borderId="20" xfId="0" applyFont="1" applyFill="1" applyBorder="1"/>
    <xf numFmtId="0" fontId="58" fillId="9" borderId="57" xfId="0" applyFont="1" applyFill="1" applyBorder="1"/>
    <xf numFmtId="0" fontId="59" fillId="9" borderId="20" xfId="0" applyFont="1" applyFill="1" applyBorder="1"/>
    <xf numFmtId="0" fontId="59" fillId="9" borderId="57" xfId="0" applyFont="1" applyFill="1" applyBorder="1"/>
    <xf numFmtId="0" fontId="59" fillId="9" borderId="60" xfId="0" applyFont="1" applyFill="1" applyBorder="1"/>
    <xf numFmtId="0" fontId="59" fillId="9" borderId="61" xfId="0" applyFont="1" applyFill="1" applyBorder="1"/>
    <xf numFmtId="0" fontId="59" fillId="9" borderId="62" xfId="0" applyFont="1" applyFill="1" applyBorder="1"/>
    <xf numFmtId="0" fontId="59" fillId="9" borderId="63" xfId="0" applyFont="1" applyFill="1" applyBorder="1"/>
    <xf numFmtId="170" fontId="59" fillId="9" borderId="47" xfId="0" applyNumberFormat="1" applyFont="1" applyFill="1" applyBorder="1"/>
    <xf numFmtId="170" fontId="59" fillId="9" borderId="48" xfId="0" applyNumberFormat="1" applyFont="1" applyFill="1" applyBorder="1"/>
    <xf numFmtId="0" fontId="59" fillId="9" borderId="48" xfId="0" applyFont="1" applyFill="1" applyBorder="1"/>
    <xf numFmtId="0" fontId="59" fillId="9" borderId="64" xfId="0" applyFont="1" applyFill="1" applyBorder="1"/>
    <xf numFmtId="170" fontId="58" fillId="9" borderId="48" xfId="0" applyNumberFormat="1" applyFont="1" applyFill="1" applyBorder="1"/>
    <xf numFmtId="0" fontId="60" fillId="0" borderId="0" xfId="0" applyFont="1"/>
    <xf numFmtId="0" fontId="59" fillId="9" borderId="20" xfId="0" applyFont="1" applyFill="1" applyBorder="1" applyAlignment="1">
      <alignment horizontal="center"/>
    </xf>
    <xf numFmtId="0" fontId="59" fillId="9" borderId="57" xfId="0" applyFont="1" applyFill="1" applyBorder="1" applyAlignment="1">
      <alignment horizontal="right"/>
    </xf>
    <xf numFmtId="0" fontId="59" fillId="9" borderId="63" xfId="0" applyFont="1" applyFill="1" applyBorder="1" applyAlignment="1">
      <alignment horizontal="right"/>
    </xf>
    <xf numFmtId="0" fontId="58" fillId="9" borderId="48" xfId="0" applyFont="1" applyFill="1" applyBorder="1"/>
    <xf numFmtId="0" fontId="1" fillId="0" borderId="0" xfId="0" applyFont="1"/>
    <xf numFmtId="170" fontId="1" fillId="0" borderId="0" xfId="0" applyNumberFormat="1" applyFont="1"/>
    <xf numFmtId="0" fontId="1" fillId="10" borderId="0" xfId="0" applyFont="1" applyFill="1"/>
    <xf numFmtId="0" fontId="58" fillId="9" borderId="60" xfId="0" applyFont="1" applyFill="1" applyBorder="1"/>
    <xf numFmtId="0" fontId="58" fillId="9" borderId="61" xfId="0" applyFont="1" applyFill="1" applyBorder="1"/>
    <xf numFmtId="170" fontId="58" fillId="9" borderId="47" xfId="0" applyNumberFormat="1" applyFont="1" applyFill="1" applyBorder="1"/>
    <xf numFmtId="170" fontId="58" fillId="9" borderId="65" xfId="0" applyNumberFormat="1" applyFont="1" applyFill="1" applyBorder="1"/>
    <xf numFmtId="0" fontId="59" fillId="9" borderId="47" xfId="0" applyFont="1" applyFill="1" applyBorder="1"/>
    <xf numFmtId="0" fontId="1" fillId="0" borderId="0" xfId="0" applyFont="1" applyAlignment="1">
      <alignment horizontal="center"/>
    </xf>
    <xf numFmtId="0" fontId="52" fillId="0" borderId="0" xfId="2" applyFont="1"/>
    <xf numFmtId="0" fontId="61" fillId="0" borderId="0" xfId="2" applyFont="1" applyAlignment="1">
      <alignment horizontal="center"/>
    </xf>
    <xf numFmtId="0" fontId="61" fillId="0" borderId="0" xfId="2" applyFont="1"/>
    <xf numFmtId="0" fontId="61" fillId="0" borderId="16" xfId="2" applyFont="1" applyBorder="1" applyAlignment="1">
      <alignment horizontal="center"/>
    </xf>
    <xf numFmtId="0" fontId="52" fillId="0" borderId="0" xfId="2" applyFont="1" applyAlignment="1">
      <alignment horizontal="right"/>
    </xf>
    <xf numFmtId="168" fontId="61" fillId="0" borderId="0" xfId="2" applyNumberFormat="1" applyFont="1" applyAlignment="1">
      <alignment horizontal="center"/>
    </xf>
    <xf numFmtId="0" fontId="52" fillId="0" borderId="0" xfId="2" quotePrefix="1" applyFont="1"/>
    <xf numFmtId="0" fontId="62" fillId="0" borderId="0" xfId="2" applyFont="1" applyAlignment="1">
      <alignment horizontal="left"/>
    </xf>
    <xf numFmtId="0" fontId="52" fillId="0" borderId="0" xfId="4" applyFont="1"/>
    <xf numFmtId="0" fontId="1" fillId="0" borderId="0" xfId="4"/>
    <xf numFmtId="0" fontId="61" fillId="0" borderId="0" xfId="4" applyFont="1"/>
    <xf numFmtId="0" fontId="63" fillId="0" borderId="0" xfId="4" applyFont="1" applyAlignment="1">
      <alignment horizontal="right"/>
    </xf>
    <xf numFmtId="0" fontId="61" fillId="0" borderId="0" xfId="4" applyFont="1" applyAlignment="1">
      <alignment horizontal="center"/>
    </xf>
    <xf numFmtId="0" fontId="61" fillId="0" borderId="0" xfId="4" applyFont="1" applyAlignment="1">
      <alignment horizontal="left"/>
    </xf>
    <xf numFmtId="169" fontId="0" fillId="0" borderId="0" xfId="0" applyNumberFormat="1" applyAlignment="1">
      <alignment horizontal="center"/>
    </xf>
    <xf numFmtId="169" fontId="61" fillId="0" borderId="0" xfId="4" applyNumberFormat="1" applyFont="1" applyAlignment="1">
      <alignment horizontal="center"/>
    </xf>
    <xf numFmtId="0" fontId="64" fillId="0" borderId="0" xfId="0" applyFont="1" applyAlignment="1">
      <alignment horizontal="right"/>
    </xf>
    <xf numFmtId="0" fontId="64" fillId="0" borderId="0" xfId="0" applyFont="1" applyAlignment="1">
      <alignment horizontal="left"/>
    </xf>
    <xf numFmtId="166" fontId="0" fillId="0" borderId="0" xfId="0" applyNumberFormat="1" applyAlignment="1">
      <alignment horizontal="center"/>
    </xf>
    <xf numFmtId="0" fontId="49" fillId="0" borderId="0" xfId="0" applyFont="1" applyAlignment="1">
      <alignment horizontal="left"/>
    </xf>
    <xf numFmtId="0" fontId="49" fillId="0" borderId="0" xfId="0" applyFont="1"/>
    <xf numFmtId="0" fontId="0" fillId="0" borderId="56" xfId="0" applyBorder="1" applyAlignment="1">
      <alignment horizontal="center"/>
    </xf>
    <xf numFmtId="0" fontId="0" fillId="0" borderId="56" xfId="0" applyBorder="1"/>
    <xf numFmtId="0" fontId="48" fillId="0" borderId="0" xfId="0" applyFont="1"/>
    <xf numFmtId="0" fontId="48" fillId="0" borderId="0" xfId="0" applyFont="1" applyAlignment="1">
      <alignment wrapText="1"/>
    </xf>
    <xf numFmtId="0" fontId="65" fillId="0" borderId="0" xfId="0" applyFont="1"/>
    <xf numFmtId="2" fontId="48" fillId="0" borderId="0" xfId="0" applyNumberFormat="1" applyFont="1"/>
    <xf numFmtId="0" fontId="48" fillId="0" borderId="56" xfId="0" applyFont="1" applyBorder="1"/>
    <xf numFmtId="0" fontId="51" fillId="0" borderId="0" xfId="0" applyFont="1"/>
    <xf numFmtId="0" fontId="58" fillId="9" borderId="68" xfId="0" applyFont="1" applyFill="1" applyBorder="1"/>
    <xf numFmtId="0" fontId="59" fillId="9" borderId="68" xfId="0" applyFont="1" applyFill="1" applyBorder="1" applyAlignment="1">
      <alignment horizontal="right"/>
    </xf>
    <xf numFmtId="0" fontId="59" fillId="9" borderId="68" xfId="0" applyFont="1" applyFill="1" applyBorder="1"/>
    <xf numFmtId="0" fontId="59" fillId="9" borderId="69" xfId="0" applyFont="1" applyFill="1" applyBorder="1"/>
    <xf numFmtId="0" fontId="1" fillId="0" borderId="0" xfId="0" applyFont="1" applyAlignment="1">
      <alignment wrapText="1"/>
    </xf>
    <xf numFmtId="0" fontId="58" fillId="9" borderId="61" xfId="0" applyFont="1" applyFill="1" applyBorder="1" applyAlignment="1">
      <alignment wrapText="1"/>
    </xf>
    <xf numFmtId="170" fontId="58" fillId="9" borderId="47" xfId="0" applyNumberFormat="1" applyFont="1" applyFill="1" applyBorder="1" applyAlignment="1">
      <alignment wrapText="1"/>
    </xf>
    <xf numFmtId="0" fontId="58" fillId="9" borderId="66" xfId="0" applyFont="1" applyFill="1" applyBorder="1"/>
    <xf numFmtId="0" fontId="58" fillId="9" borderId="70" xfId="0" applyFont="1" applyFill="1" applyBorder="1"/>
    <xf numFmtId="0" fontId="58" fillId="9" borderId="71" xfId="0" applyFont="1" applyFill="1" applyBorder="1" applyAlignment="1">
      <alignment horizontal="right"/>
    </xf>
    <xf numFmtId="0" fontId="58" fillId="9" borderId="72" xfId="0" applyFont="1" applyFill="1" applyBorder="1" applyAlignment="1">
      <alignment horizontal="right"/>
    </xf>
    <xf numFmtId="0" fontId="59" fillId="9" borderId="58" xfId="0" applyFont="1" applyFill="1" applyBorder="1"/>
    <xf numFmtId="0" fontId="59" fillId="9" borderId="73" xfId="0" applyFont="1" applyFill="1" applyBorder="1"/>
    <xf numFmtId="0" fontId="59" fillId="9" borderId="59" xfId="0" applyFont="1" applyFill="1" applyBorder="1"/>
    <xf numFmtId="0" fontId="32" fillId="9" borderId="60" xfId="0" applyFont="1" applyFill="1" applyBorder="1" applyAlignment="1">
      <alignment wrapText="1"/>
    </xf>
    <xf numFmtId="0" fontId="32" fillId="9" borderId="74" xfId="0" applyFont="1" applyFill="1" applyBorder="1" applyAlignment="1">
      <alignment wrapText="1"/>
    </xf>
    <xf numFmtId="0" fontId="50" fillId="0" borderId="0" xfId="6" applyFont="1"/>
    <xf numFmtId="0" fontId="51" fillId="0" borderId="0" xfId="6" applyFont="1" applyAlignment="1">
      <alignment horizontal="center"/>
    </xf>
    <xf numFmtId="0" fontId="51" fillId="0" borderId="0" xfId="6" applyFont="1"/>
    <xf numFmtId="0" fontId="51" fillId="11" borderId="81" xfId="6" applyFont="1" applyFill="1" applyBorder="1" applyAlignment="1">
      <alignment horizontal="center"/>
    </xf>
    <xf numFmtId="0" fontId="51" fillId="11" borderId="82" xfId="6" applyFont="1" applyFill="1" applyBorder="1" applyAlignment="1">
      <alignment horizontal="center"/>
    </xf>
    <xf numFmtId="0" fontId="51" fillId="12" borderId="83" xfId="6" applyFont="1" applyFill="1" applyBorder="1" applyAlignment="1">
      <alignment horizontal="center"/>
    </xf>
    <xf numFmtId="0" fontId="51" fillId="12" borderId="84" xfId="6" applyFont="1" applyFill="1" applyBorder="1" applyAlignment="1">
      <alignment horizontal="center"/>
    </xf>
    <xf numFmtId="0" fontId="51" fillId="13" borderId="0" xfId="6" applyFont="1" applyFill="1" applyAlignment="1">
      <alignment horizontal="center"/>
    </xf>
    <xf numFmtId="0" fontId="51" fillId="12" borderId="10" xfId="6" applyFont="1" applyFill="1" applyBorder="1" applyAlignment="1">
      <alignment horizontal="center"/>
    </xf>
    <xf numFmtId="0" fontId="51" fillId="12" borderId="12" xfId="6" applyFont="1" applyFill="1" applyBorder="1" applyAlignment="1">
      <alignment horizontal="center"/>
    </xf>
    <xf numFmtId="0" fontId="51" fillId="12" borderId="49" xfId="6" applyFont="1" applyFill="1" applyBorder="1" applyAlignment="1">
      <alignment horizontal="center"/>
    </xf>
    <xf numFmtId="0" fontId="51" fillId="12" borderId="15" xfId="6" applyFont="1" applyFill="1" applyBorder="1" applyAlignment="1">
      <alignment horizontal="center"/>
    </xf>
    <xf numFmtId="0" fontId="51" fillId="12" borderId="17" xfId="6" applyFont="1" applyFill="1" applyBorder="1" applyAlignment="1">
      <alignment horizontal="center"/>
    </xf>
    <xf numFmtId="0" fontId="51" fillId="12" borderId="51" xfId="6" applyFont="1" applyFill="1" applyBorder="1" applyAlignment="1">
      <alignment horizontal="center"/>
    </xf>
    <xf numFmtId="0" fontId="51" fillId="12" borderId="13" xfId="6" applyFont="1" applyFill="1" applyBorder="1" applyAlignment="1">
      <alignment horizontal="center"/>
    </xf>
    <xf numFmtId="0" fontId="51" fillId="12" borderId="14" xfId="6" applyFont="1" applyFill="1" applyBorder="1" applyAlignment="1">
      <alignment horizontal="center"/>
    </xf>
    <xf numFmtId="0" fontId="51" fillId="12" borderId="50" xfId="6" applyFont="1" applyFill="1" applyBorder="1" applyAlignment="1">
      <alignment horizontal="center"/>
    </xf>
    <xf numFmtId="0" fontId="48" fillId="0" borderId="0" xfId="6" applyFont="1"/>
    <xf numFmtId="0" fontId="50" fillId="13" borderId="0" xfId="6" applyFont="1" applyFill="1" applyAlignment="1">
      <alignment horizontal="center"/>
    </xf>
    <xf numFmtId="0" fontId="57" fillId="0" borderId="0" xfId="3" applyFont="1"/>
    <xf numFmtId="0" fontId="1" fillId="0" borderId="0" xfId="3"/>
    <xf numFmtId="0" fontId="1" fillId="5" borderId="0" xfId="3" applyFill="1"/>
    <xf numFmtId="0" fontId="1" fillId="8" borderId="20" xfId="3" applyFill="1" applyBorder="1"/>
    <xf numFmtId="0" fontId="1" fillId="8" borderId="104" xfId="3" applyFill="1" applyBorder="1"/>
    <xf numFmtId="0" fontId="1" fillId="8" borderId="106" xfId="3" applyFill="1" applyBorder="1"/>
    <xf numFmtId="0" fontId="1" fillId="8" borderId="107" xfId="3" applyFill="1" applyBorder="1"/>
    <xf numFmtId="0" fontId="66" fillId="0" borderId="0" xfId="3" applyFont="1"/>
    <xf numFmtId="0" fontId="61" fillId="0" borderId="0" xfId="3" applyFont="1"/>
    <xf numFmtId="0" fontId="67" fillId="0" borderId="0" xfId="3" applyFont="1"/>
    <xf numFmtId="0" fontId="61" fillId="0" borderId="0" xfId="3" applyFont="1" applyAlignment="1">
      <alignment horizontal="center"/>
    </xf>
    <xf numFmtId="0" fontId="61" fillId="0" borderId="0" xfId="3" applyFont="1" applyAlignment="1">
      <alignment wrapText="1"/>
    </xf>
    <xf numFmtId="0" fontId="52" fillId="0" borderId="0" xfId="3" applyFont="1" applyAlignment="1">
      <alignment horizontal="center"/>
    </xf>
    <xf numFmtId="0" fontId="52" fillId="0" borderId="0" xfId="3" applyFont="1" applyAlignment="1">
      <alignment horizontal="center" wrapText="1"/>
    </xf>
    <xf numFmtId="0" fontId="52" fillId="0" borderId="0" xfId="3" applyFont="1" applyAlignment="1">
      <alignment wrapText="1"/>
    </xf>
    <xf numFmtId="166" fontId="61" fillId="14" borderId="85" xfId="3" applyNumberFormat="1" applyFont="1" applyFill="1" applyBorder="1" applyAlignment="1">
      <alignment horizontal="center" wrapText="1"/>
    </xf>
    <xf numFmtId="0" fontId="61" fillId="14" borderId="86" xfId="3" applyFont="1" applyFill="1" applyBorder="1" applyAlignment="1">
      <alignment horizontal="center" wrapText="1"/>
    </xf>
    <xf numFmtId="166" fontId="61" fillId="14" borderId="86" xfId="3" applyNumberFormat="1" applyFont="1" applyFill="1" applyBorder="1" applyAlignment="1">
      <alignment horizontal="center" wrapText="1"/>
    </xf>
    <xf numFmtId="0" fontId="61" fillId="14" borderId="87" xfId="3" applyFont="1" applyFill="1" applyBorder="1" applyAlignment="1">
      <alignment horizontal="center" wrapText="1"/>
    </xf>
    <xf numFmtId="0" fontId="61" fillId="0" borderId="83" xfId="3" applyFont="1" applyBorder="1" applyAlignment="1">
      <alignment horizontal="center"/>
    </xf>
    <xf numFmtId="0" fontId="61" fillId="0" borderId="88" xfId="3" applyFont="1" applyBorder="1" applyAlignment="1">
      <alignment horizontal="center"/>
    </xf>
    <xf numFmtId="0" fontId="61" fillId="0" borderId="84" xfId="3" applyFont="1" applyBorder="1" applyAlignment="1">
      <alignment horizontal="center"/>
    </xf>
    <xf numFmtId="166" fontId="61" fillId="14" borderId="0" xfId="3" applyNumberFormat="1" applyFont="1" applyFill="1"/>
    <xf numFmtId="0" fontId="61" fillId="0" borderId="0" xfId="3" applyFont="1" applyAlignment="1">
      <alignment horizontal="left"/>
    </xf>
    <xf numFmtId="0" fontId="52" fillId="0" borderId="0" xfId="3" applyFont="1"/>
    <xf numFmtId="0" fontId="52" fillId="0" borderId="0" xfId="3" applyFont="1" applyAlignment="1">
      <alignment horizontal="right"/>
    </xf>
    <xf numFmtId="0" fontId="61" fillId="0" borderId="10" xfId="3" applyFont="1" applyBorder="1" applyAlignment="1">
      <alignment horizontal="center"/>
    </xf>
    <xf numFmtId="0" fontId="61" fillId="0" borderId="11" xfId="3" applyFont="1" applyBorder="1" applyAlignment="1">
      <alignment horizontal="center"/>
    </xf>
    <xf numFmtId="0" fontId="61" fillId="0" borderId="12" xfId="3" applyFont="1" applyBorder="1" applyAlignment="1">
      <alignment horizontal="center"/>
    </xf>
    <xf numFmtId="166" fontId="61" fillId="0" borderId="0" xfId="3" applyNumberFormat="1" applyFont="1"/>
    <xf numFmtId="0" fontId="68" fillId="0" borderId="0" xfId="3" applyFont="1" applyAlignment="1">
      <alignment horizontal="center"/>
    </xf>
    <xf numFmtId="0" fontId="61" fillId="0" borderId="49" xfId="3" applyFont="1" applyBorder="1"/>
    <xf numFmtId="0" fontId="61" fillId="0" borderId="13" xfId="3" applyFont="1" applyBorder="1" applyAlignment="1">
      <alignment horizontal="center"/>
    </xf>
    <xf numFmtId="0" fontId="61" fillId="0" borderId="14" xfId="3" applyFont="1" applyBorder="1" applyAlignment="1">
      <alignment horizontal="center"/>
    </xf>
    <xf numFmtId="0" fontId="61" fillId="0" borderId="50" xfId="3" applyFont="1" applyBorder="1"/>
    <xf numFmtId="0" fontId="61" fillId="0" borderId="15" xfId="3" applyFont="1" applyBorder="1" applyAlignment="1">
      <alignment horizontal="center"/>
    </xf>
    <xf numFmtId="0" fontId="61" fillId="0" borderId="16" xfId="3" applyFont="1" applyBorder="1" applyAlignment="1">
      <alignment horizontal="center"/>
    </xf>
    <xf numFmtId="0" fontId="61" fillId="0" borderId="17" xfId="3" applyFont="1" applyBorder="1" applyAlignment="1">
      <alignment horizontal="center"/>
    </xf>
    <xf numFmtId="0" fontId="61" fillId="0" borderId="51" xfId="3" applyFont="1" applyBorder="1"/>
    <xf numFmtId="0" fontId="52" fillId="14" borderId="85" xfId="3" applyFont="1" applyFill="1" applyBorder="1" applyAlignment="1">
      <alignment horizontal="right"/>
    </xf>
    <xf numFmtId="0" fontId="52" fillId="14" borderId="86" xfId="3" applyFont="1" applyFill="1" applyBorder="1" applyAlignment="1">
      <alignment horizontal="right"/>
    </xf>
    <xf numFmtId="0" fontId="52" fillId="14" borderId="87" xfId="3" applyFont="1" applyFill="1" applyBorder="1" applyAlignment="1">
      <alignment horizontal="right"/>
    </xf>
    <xf numFmtId="0" fontId="61" fillId="0" borderId="83" xfId="3" applyFont="1" applyBorder="1" applyAlignment="1">
      <alignment horizontal="right"/>
    </xf>
    <xf numFmtId="0" fontId="61" fillId="0" borderId="88" xfId="3" applyFont="1" applyBorder="1" applyAlignment="1">
      <alignment horizontal="right"/>
    </xf>
    <xf numFmtId="0" fontId="61" fillId="0" borderId="84" xfId="3" applyFont="1" applyBorder="1" applyAlignment="1">
      <alignment horizontal="right"/>
    </xf>
    <xf numFmtId="0" fontId="61" fillId="14" borderId="0" xfId="3" applyFont="1" applyFill="1"/>
    <xf numFmtId="0" fontId="61" fillId="0" borderId="0" xfId="3" applyFont="1" applyAlignment="1">
      <alignment horizontal="right"/>
    </xf>
    <xf numFmtId="0" fontId="61" fillId="0" borderId="10" xfId="3" applyFont="1" applyBorder="1" applyAlignment="1">
      <alignment horizontal="right"/>
    </xf>
    <xf numFmtId="0" fontId="61" fillId="0" borderId="11" xfId="3" applyFont="1" applyBorder="1" applyAlignment="1">
      <alignment horizontal="right"/>
    </xf>
    <xf numFmtId="0" fontId="61" fillId="0" borderId="12" xfId="3" applyFont="1" applyBorder="1" applyAlignment="1">
      <alignment horizontal="right"/>
    </xf>
    <xf numFmtId="0" fontId="69" fillId="0" borderId="0" xfId="3" applyFont="1" applyAlignment="1">
      <alignment horizontal="center"/>
    </xf>
    <xf numFmtId="3" fontId="61" fillId="0" borderId="49" xfId="3" applyNumberFormat="1" applyFont="1" applyBorder="1"/>
    <xf numFmtId="0" fontId="52" fillId="0" borderId="0" xfId="3" quotePrefix="1" applyFont="1"/>
    <xf numFmtId="0" fontId="61" fillId="0" borderId="13" xfId="3" applyFont="1" applyBorder="1" applyAlignment="1">
      <alignment horizontal="right"/>
    </xf>
    <xf numFmtId="0" fontId="61" fillId="0" borderId="14" xfId="3" applyFont="1" applyBorder="1" applyAlignment="1">
      <alignment horizontal="right"/>
    </xf>
    <xf numFmtId="3" fontId="61" fillId="0" borderId="50" xfId="3" applyNumberFormat="1" applyFont="1" applyBorder="1"/>
    <xf numFmtId="0" fontId="61" fillId="0" borderId="15" xfId="3" applyFont="1" applyBorder="1" applyAlignment="1">
      <alignment horizontal="right"/>
    </xf>
    <xf numFmtId="0" fontId="61" fillId="0" borderId="16" xfId="3" applyFont="1" applyBorder="1" applyAlignment="1">
      <alignment horizontal="right"/>
    </xf>
    <xf numFmtId="0" fontId="61" fillId="0" borderId="17" xfId="3" applyFont="1" applyBorder="1" applyAlignment="1">
      <alignment horizontal="right"/>
    </xf>
    <xf numFmtId="1" fontId="61" fillId="0" borderId="0" xfId="3" applyNumberFormat="1" applyFont="1"/>
    <xf numFmtId="0" fontId="70" fillId="0" borderId="0" xfId="3" applyFont="1" applyAlignment="1">
      <alignment horizontal="center" wrapText="1"/>
    </xf>
    <xf numFmtId="0" fontId="61" fillId="14" borderId="85" xfId="3" applyFont="1" applyFill="1" applyBorder="1" applyAlignment="1">
      <alignment horizontal="center"/>
    </xf>
    <xf numFmtId="0" fontId="61" fillId="14" borderId="86" xfId="3" applyFont="1" applyFill="1" applyBorder="1" applyAlignment="1">
      <alignment horizontal="center"/>
    </xf>
    <xf numFmtId="0" fontId="61" fillId="14" borderId="87" xfId="3" applyFont="1" applyFill="1" applyBorder="1" applyAlignment="1">
      <alignment horizontal="center"/>
    </xf>
    <xf numFmtId="0" fontId="61" fillId="0" borderId="10" xfId="3" applyFont="1" applyBorder="1"/>
    <xf numFmtId="0" fontId="52" fillId="0" borderId="11" xfId="3" applyFont="1" applyBorder="1"/>
    <xf numFmtId="0" fontId="61" fillId="0" borderId="11" xfId="3" applyFont="1" applyBorder="1"/>
    <xf numFmtId="0" fontId="61" fillId="0" borderId="12" xfId="3" applyFont="1" applyBorder="1"/>
    <xf numFmtId="0" fontId="61" fillId="0" borderId="0" xfId="3" quotePrefix="1" applyFont="1"/>
    <xf numFmtId="0" fontId="61" fillId="0" borderId="10" xfId="3" applyFont="1" applyBorder="1" applyAlignment="1">
      <alignment wrapText="1"/>
    </xf>
    <xf numFmtId="0" fontId="61" fillId="0" borderId="14" xfId="3" applyFont="1" applyBorder="1"/>
    <xf numFmtId="0" fontId="61" fillId="0" borderId="13" xfId="3" applyFont="1" applyBorder="1" applyAlignment="1">
      <alignment wrapText="1"/>
    </xf>
    <xf numFmtId="0" fontId="61" fillId="0" borderId="15" xfId="3" applyFont="1" applyBorder="1" applyAlignment="1">
      <alignment wrapText="1"/>
    </xf>
    <xf numFmtId="0" fontId="61" fillId="0" borderId="13" xfId="3" applyFont="1" applyBorder="1"/>
    <xf numFmtId="0" fontId="52" fillId="0" borderId="15" xfId="3" applyFont="1" applyBorder="1"/>
    <xf numFmtId="0" fontId="61" fillId="0" borderId="16" xfId="3" applyFont="1" applyBorder="1"/>
    <xf numFmtId="0" fontId="61" fillId="0" borderId="17" xfId="3" applyFont="1" applyBorder="1"/>
    <xf numFmtId="0" fontId="71" fillId="0" borderId="0" xfId="5" applyFont="1"/>
    <xf numFmtId="0" fontId="72" fillId="0" borderId="0" xfId="5" applyFont="1" applyAlignment="1">
      <alignment horizontal="center"/>
    </xf>
    <xf numFmtId="0" fontId="72" fillId="0" borderId="0" xfId="5" applyFont="1"/>
    <xf numFmtId="0" fontId="73" fillId="0" borderId="0" xfId="5" applyFont="1" applyAlignment="1">
      <alignment horizontal="center"/>
    </xf>
    <xf numFmtId="0" fontId="73" fillId="0" borderId="0" xfId="5" applyFont="1"/>
    <xf numFmtId="171" fontId="72" fillId="15" borderId="108" xfId="5" applyNumberFormat="1" applyFont="1" applyFill="1" applyBorder="1" applyAlignment="1">
      <alignment horizontal="center"/>
    </xf>
    <xf numFmtId="171" fontId="72" fillId="15" borderId="109" xfId="5" applyNumberFormat="1" applyFont="1" applyFill="1" applyBorder="1" applyAlignment="1">
      <alignment horizontal="center"/>
    </xf>
    <xf numFmtId="0" fontId="72" fillId="15" borderId="109" xfId="5" applyFont="1" applyFill="1" applyBorder="1" applyAlignment="1">
      <alignment horizontal="center"/>
    </xf>
    <xf numFmtId="0" fontId="72" fillId="15" borderId="110" xfId="5" applyFont="1" applyFill="1" applyBorder="1" applyAlignment="1">
      <alignment horizontal="center"/>
    </xf>
    <xf numFmtId="171" fontId="72" fillId="15" borderId="0" xfId="5" applyNumberFormat="1" applyFont="1" applyFill="1"/>
    <xf numFmtId="0" fontId="72" fillId="0" borderId="99" xfId="5" applyFont="1" applyBorder="1" applyAlignment="1">
      <alignment horizontal="center"/>
    </xf>
    <xf numFmtId="0" fontId="72" fillId="0" borderId="100" xfId="5" applyFont="1" applyBorder="1" applyAlignment="1">
      <alignment horizontal="center"/>
    </xf>
    <xf numFmtId="0" fontId="72" fillId="0" borderId="101" xfId="5" applyFont="1" applyBorder="1" applyAlignment="1">
      <alignment horizontal="center"/>
    </xf>
    <xf numFmtId="0" fontId="72" fillId="0" borderId="111" xfId="5" applyFont="1" applyBorder="1"/>
    <xf numFmtId="0" fontId="72" fillId="0" borderId="102" xfId="5" applyFont="1" applyBorder="1" applyAlignment="1">
      <alignment horizontal="center"/>
    </xf>
    <xf numFmtId="0" fontId="72" fillId="0" borderId="103" xfId="5" applyFont="1" applyBorder="1" applyAlignment="1">
      <alignment horizontal="center"/>
    </xf>
    <xf numFmtId="0" fontId="72" fillId="0" borderId="112" xfId="5" applyFont="1" applyBorder="1"/>
    <xf numFmtId="0" fontId="72" fillId="0" borderId="102" xfId="5" applyFont="1" applyBorder="1"/>
    <xf numFmtId="0" fontId="72" fillId="0" borderId="105" xfId="5" applyFont="1" applyBorder="1"/>
    <xf numFmtId="0" fontId="72" fillId="0" borderId="113" xfId="5" applyFont="1" applyBorder="1"/>
    <xf numFmtId="0" fontId="72" fillId="0" borderId="113" xfId="5" applyFont="1" applyBorder="1" applyAlignment="1">
      <alignment horizontal="center"/>
    </xf>
    <xf numFmtId="0" fontId="72" fillId="0" borderId="114" xfId="5" applyFont="1" applyBorder="1" applyAlignment="1">
      <alignment horizontal="center"/>
    </xf>
    <xf numFmtId="0" fontId="72" fillId="0" borderId="115" xfId="5" applyFont="1" applyBorder="1"/>
    <xf numFmtId="0" fontId="74" fillId="0" borderId="0" xfId="5" applyFont="1" applyAlignment="1">
      <alignment horizontal="center"/>
    </xf>
    <xf numFmtId="0" fontId="72" fillId="0" borderId="105" xfId="5" applyFont="1" applyBorder="1" applyAlignment="1">
      <alignment horizontal="center"/>
    </xf>
    <xf numFmtId="2" fontId="72" fillId="0" borderId="0" xfId="5" applyNumberFormat="1" applyFont="1"/>
    <xf numFmtId="171" fontId="72" fillId="0" borderId="99" xfId="5" applyNumberFormat="1" applyFont="1" applyBorder="1"/>
    <xf numFmtId="171" fontId="72" fillId="0" borderId="100" xfId="5" applyNumberFormat="1" applyFont="1" applyBorder="1"/>
    <xf numFmtId="171" fontId="72" fillId="0" borderId="101" xfId="5" applyNumberFormat="1" applyFont="1" applyBorder="1"/>
    <xf numFmtId="171" fontId="72" fillId="0" borderId="102" xfId="5" applyNumberFormat="1" applyFont="1" applyBorder="1"/>
    <xf numFmtId="171" fontId="72" fillId="0" borderId="0" xfId="5" applyNumberFormat="1" applyFont="1"/>
    <xf numFmtId="171" fontId="72" fillId="0" borderId="103" xfId="5" applyNumberFormat="1" applyFont="1" applyBorder="1"/>
    <xf numFmtId="171" fontId="72" fillId="0" borderId="105" xfId="5" applyNumberFormat="1" applyFont="1" applyBorder="1"/>
    <xf numFmtId="171" fontId="72" fillId="0" borderId="113" xfId="5" applyNumberFormat="1" applyFont="1" applyBorder="1"/>
    <xf numFmtId="171" fontId="72" fillId="0" borderId="114" xfId="5" applyNumberFormat="1" applyFont="1" applyBorder="1"/>
    <xf numFmtId="0" fontId="61" fillId="14" borderId="0" xfId="3" applyFont="1" applyFill="1" applyAlignment="1">
      <alignment horizontal="center"/>
    </xf>
    <xf numFmtId="0" fontId="61" fillId="0" borderId="49" xfId="3" applyFont="1" applyBorder="1" applyAlignment="1">
      <alignment horizontal="center"/>
    </xf>
    <xf numFmtId="0" fontId="61" fillId="0" borderId="50" xfId="3" applyFont="1" applyBorder="1" applyAlignment="1">
      <alignment horizontal="center"/>
    </xf>
    <xf numFmtId="0" fontId="61" fillId="0" borderId="51" xfId="3" applyFont="1" applyBorder="1" applyAlignment="1">
      <alignment horizontal="center"/>
    </xf>
    <xf numFmtId="42" fontId="52" fillId="0" borderId="0" xfId="3" applyNumberFormat="1" applyFont="1"/>
    <xf numFmtId="1" fontId="61" fillId="0" borderId="0" xfId="3" applyNumberFormat="1" applyFont="1" applyAlignment="1">
      <alignment horizontal="center"/>
    </xf>
    <xf numFmtId="0" fontId="75" fillId="0" borderId="0" xfId="3" applyFont="1"/>
    <xf numFmtId="0" fontId="14" fillId="0" borderId="0" xfId="3" applyFont="1"/>
    <xf numFmtId="2" fontId="61" fillId="14" borderId="0" xfId="3" applyNumberFormat="1" applyFont="1" applyFill="1" applyAlignment="1">
      <alignment horizontal="center"/>
    </xf>
    <xf numFmtId="1" fontId="61" fillId="14" borderId="0" xfId="3" applyNumberFormat="1" applyFont="1" applyFill="1"/>
    <xf numFmtId="0" fontId="48" fillId="0" borderId="0" xfId="7"/>
    <xf numFmtId="0" fontId="51" fillId="0" borderId="0" xfId="7" applyFont="1" applyAlignment="1">
      <alignment horizontal="center"/>
    </xf>
    <xf numFmtId="0" fontId="51" fillId="0" borderId="0" xfId="7" applyFont="1" applyAlignment="1">
      <alignment horizontal="right"/>
    </xf>
    <xf numFmtId="0" fontId="48" fillId="0" borderId="0" xfId="7" applyAlignment="1">
      <alignment horizontal="center"/>
    </xf>
    <xf numFmtId="0" fontId="48" fillId="0" borderId="10" xfId="7" applyBorder="1" applyAlignment="1">
      <alignment horizontal="center"/>
    </xf>
    <xf numFmtId="0" fontId="48" fillId="0" borderId="11" xfId="7" applyBorder="1" applyAlignment="1">
      <alignment horizontal="center"/>
    </xf>
    <xf numFmtId="0" fontId="48" fillId="0" borderId="12" xfId="7" applyBorder="1" applyAlignment="1">
      <alignment horizontal="center"/>
    </xf>
    <xf numFmtId="0" fontId="48" fillId="0" borderId="13" xfId="7" applyBorder="1" applyAlignment="1">
      <alignment horizontal="center"/>
    </xf>
    <xf numFmtId="0" fontId="48" fillId="0" borderId="14" xfId="7" applyBorder="1" applyAlignment="1">
      <alignment horizontal="center"/>
    </xf>
    <xf numFmtId="0" fontId="48" fillId="0" borderId="15" xfId="7" applyBorder="1" applyAlignment="1">
      <alignment horizontal="center"/>
    </xf>
    <xf numFmtId="0" fontId="48" fillId="0" borderId="16" xfId="7" applyBorder="1" applyAlignment="1">
      <alignment horizontal="center"/>
    </xf>
    <xf numFmtId="0" fontId="48" fillId="0" borderId="17" xfId="7" applyBorder="1" applyAlignment="1">
      <alignment horizontal="center"/>
    </xf>
    <xf numFmtId="0" fontId="48" fillId="0" borderId="49" xfId="7" applyBorder="1" applyAlignment="1">
      <alignment horizontal="center"/>
    </xf>
    <xf numFmtId="0" fontId="48" fillId="0" borderId="50" xfId="7" applyBorder="1" applyAlignment="1">
      <alignment horizontal="center"/>
    </xf>
    <xf numFmtId="0" fontId="48" fillId="0" borderId="51" xfId="7" applyBorder="1" applyAlignment="1">
      <alignment horizontal="center"/>
    </xf>
    <xf numFmtId="0" fontId="51" fillId="0" borderId="0" xfId="7" applyFont="1"/>
    <xf numFmtId="0" fontId="48" fillId="14" borderId="0" xfId="7" applyFill="1" applyAlignment="1">
      <alignment horizontal="center"/>
    </xf>
    <xf numFmtId="0" fontId="51" fillId="0" borderId="0" xfId="7" applyFont="1" applyAlignment="1">
      <alignment horizontal="left"/>
    </xf>
    <xf numFmtId="0" fontId="66" fillId="0" borderId="0" xfId="7" applyFont="1"/>
    <xf numFmtId="0" fontId="52" fillId="0" borderId="0" xfId="7" applyFont="1"/>
    <xf numFmtId="0" fontId="52" fillId="14" borderId="85" xfId="7" applyFont="1" applyFill="1" applyBorder="1" applyAlignment="1">
      <alignment horizontal="center"/>
    </xf>
    <xf numFmtId="0" fontId="52" fillId="14" borderId="87" xfId="7" applyFont="1" applyFill="1" applyBorder="1" applyAlignment="1">
      <alignment horizontal="center"/>
    </xf>
    <xf numFmtId="0" fontId="48" fillId="0" borderId="83" xfId="7" applyBorder="1" applyAlignment="1">
      <alignment horizontal="center"/>
    </xf>
    <xf numFmtId="0" fontId="48" fillId="0" borderId="84" xfId="7" applyBorder="1" applyAlignment="1">
      <alignment horizontal="center"/>
    </xf>
    <xf numFmtId="0" fontId="52" fillId="14" borderId="0" xfId="7" applyFont="1" applyFill="1" applyAlignment="1">
      <alignment horizontal="center"/>
    </xf>
    <xf numFmtId="0" fontId="76" fillId="0" borderId="0" xfId="7" applyFont="1" applyAlignment="1">
      <alignment horizontal="center"/>
    </xf>
    <xf numFmtId="0" fontId="7" fillId="0" borderId="0" xfId="7" applyFont="1"/>
    <xf numFmtId="0" fontId="52" fillId="0" borderId="0" xfId="7" applyFont="1" applyAlignment="1">
      <alignment horizontal="center"/>
    </xf>
    <xf numFmtId="0" fontId="61" fillId="0" borderId="0" xfId="7" applyFont="1" applyAlignment="1">
      <alignment horizontal="center"/>
    </xf>
    <xf numFmtId="0" fontId="77" fillId="0" borderId="0" xfId="7" applyFont="1" applyAlignment="1">
      <alignment horizontal="center"/>
    </xf>
    <xf numFmtId="0" fontId="52" fillId="14" borderId="86" xfId="7" applyFont="1" applyFill="1" applyBorder="1" applyAlignment="1">
      <alignment horizontal="center"/>
    </xf>
    <xf numFmtId="0" fontId="48" fillId="0" borderId="88" xfId="7" applyBorder="1" applyAlignment="1">
      <alignment horizontal="center"/>
    </xf>
    <xf numFmtId="0" fontId="52" fillId="0" borderId="0" xfId="7" applyFont="1" applyAlignment="1">
      <alignment horizontal="right"/>
    </xf>
    <xf numFmtId="0" fontId="78" fillId="0" borderId="0" xfId="7" applyFont="1"/>
    <xf numFmtId="0" fontId="79" fillId="0" borderId="0" xfId="7" applyFont="1" applyAlignment="1">
      <alignment horizontal="center"/>
    </xf>
    <xf numFmtId="0" fontId="48" fillId="0" borderId="15" xfId="7" applyBorder="1"/>
    <xf numFmtId="0" fontId="48" fillId="0" borderId="16" xfId="7" applyBorder="1"/>
    <xf numFmtId="0" fontId="48" fillId="0" borderId="17" xfId="7" applyBorder="1"/>
    <xf numFmtId="1" fontId="78" fillId="0" borderId="0" xfId="7" applyNumberFormat="1" applyFont="1"/>
    <xf numFmtId="0" fontId="80" fillId="0" borderId="0" xfId="7" applyFont="1"/>
    <xf numFmtId="0" fontId="48" fillId="0" borderId="0" xfId="7" quotePrefix="1"/>
    <xf numFmtId="0" fontId="52" fillId="14" borderId="81" xfId="7" applyFont="1" applyFill="1" applyBorder="1" applyAlignment="1">
      <alignment horizontal="center"/>
    </xf>
    <xf numFmtId="0" fontId="52" fillId="14" borderId="82" xfId="7" applyFont="1" applyFill="1" applyBorder="1" applyAlignment="1">
      <alignment horizontal="center"/>
    </xf>
    <xf numFmtId="1" fontId="52" fillId="0" borderId="0" xfId="7" applyNumberFormat="1" applyFont="1"/>
    <xf numFmtId="166" fontId="52" fillId="14" borderId="81" xfId="7" applyNumberFormat="1" applyFont="1" applyFill="1" applyBorder="1" applyAlignment="1">
      <alignment horizontal="center"/>
    </xf>
    <xf numFmtId="166" fontId="52" fillId="14" borderId="82" xfId="7" applyNumberFormat="1" applyFont="1" applyFill="1" applyBorder="1" applyAlignment="1">
      <alignment horizontal="center"/>
    </xf>
    <xf numFmtId="0" fontId="50" fillId="0" borderId="0" xfId="7" applyFont="1" applyAlignment="1">
      <alignment horizontal="center"/>
    </xf>
    <xf numFmtId="0" fontId="70" fillId="0" borderId="0" xfId="7" applyFont="1" applyAlignment="1">
      <alignment horizontal="center"/>
    </xf>
    <xf numFmtId="166" fontId="48" fillId="0" borderId="0" xfId="7" applyNumberFormat="1" applyAlignment="1">
      <alignment horizontal="center"/>
    </xf>
    <xf numFmtId="166" fontId="52" fillId="14" borderId="0" xfId="7" applyNumberFormat="1" applyFont="1" applyFill="1" applyAlignment="1">
      <alignment horizontal="center"/>
    </xf>
    <xf numFmtId="2" fontId="48" fillId="0" borderId="0" xfId="7" applyNumberFormat="1" applyAlignment="1">
      <alignment horizontal="center"/>
    </xf>
    <xf numFmtId="168" fontId="52" fillId="14" borderId="95" xfId="7" applyNumberFormat="1" applyFont="1" applyFill="1" applyBorder="1" applyAlignment="1">
      <alignment horizontal="center"/>
    </xf>
    <xf numFmtId="168" fontId="52" fillId="14" borderId="96" xfId="7" applyNumberFormat="1" applyFont="1" applyFill="1" applyBorder="1" applyAlignment="1">
      <alignment horizontal="center"/>
    </xf>
    <xf numFmtId="168" fontId="52" fillId="14" borderId="0" xfId="7" applyNumberFormat="1" applyFont="1" applyFill="1" applyAlignment="1">
      <alignment horizontal="center"/>
    </xf>
    <xf numFmtId="168" fontId="48" fillId="0" borderId="0" xfId="7" applyNumberFormat="1" applyAlignment="1">
      <alignment horizontal="center"/>
    </xf>
    <xf numFmtId="1" fontId="48" fillId="0" borderId="0" xfId="7" applyNumberFormat="1" applyAlignment="1">
      <alignment horizontal="center"/>
    </xf>
    <xf numFmtId="0" fontId="5" fillId="0" borderId="0" xfId="7" applyFont="1" applyAlignment="1">
      <alignment horizontal="center"/>
    </xf>
    <xf numFmtId="0" fontId="5" fillId="0" borderId="0" xfId="7" applyFont="1"/>
    <xf numFmtId="0" fontId="50" fillId="0" borderId="0" xfId="7" applyFont="1"/>
    <xf numFmtId="0" fontId="81" fillId="0" borderId="83" xfId="7" applyFont="1" applyBorder="1" applyAlignment="1">
      <alignment horizontal="right"/>
    </xf>
    <xf numFmtId="166" fontId="48" fillId="14" borderId="84" xfId="7" applyNumberFormat="1" applyFill="1" applyBorder="1" applyAlignment="1">
      <alignment horizontal="left"/>
    </xf>
    <xf numFmtId="0" fontId="55" fillId="0" borderId="54" xfId="7" applyFont="1" applyBorder="1" applyAlignment="1">
      <alignment horizontal="center"/>
    </xf>
    <xf numFmtId="0" fontId="55" fillId="16" borderId="16" xfId="7" applyFont="1" applyFill="1" applyBorder="1" applyAlignment="1">
      <alignment horizontal="center"/>
    </xf>
    <xf numFmtId="168" fontId="48" fillId="0" borderId="0" xfId="7" applyNumberFormat="1" applyAlignment="1">
      <alignment horizontal="right"/>
    </xf>
    <xf numFmtId="0" fontId="48" fillId="0" borderId="0" xfId="7" applyAlignment="1">
      <alignment horizontal="right"/>
    </xf>
    <xf numFmtId="166" fontId="48" fillId="0" borderId="0" xfId="7" applyNumberFormat="1" applyAlignment="1">
      <alignment horizontal="left"/>
    </xf>
    <xf numFmtId="168" fontId="48" fillId="0" borderId="16" xfId="7" applyNumberFormat="1" applyBorder="1" applyAlignment="1">
      <alignment horizontal="center"/>
    </xf>
    <xf numFmtId="168" fontId="48" fillId="0" borderId="16" xfId="7" applyNumberFormat="1" applyBorder="1" applyAlignment="1">
      <alignment horizontal="right"/>
    </xf>
    <xf numFmtId="0" fontId="48" fillId="0" borderId="0" xfId="7" quotePrefix="1" applyAlignment="1">
      <alignment horizontal="right"/>
    </xf>
    <xf numFmtId="168" fontId="48" fillId="14" borderId="0" xfId="7" applyNumberFormat="1" applyFill="1" applyAlignment="1">
      <alignment horizontal="center"/>
    </xf>
    <xf numFmtId="0" fontId="48" fillId="0" borderId="0" xfId="7" quotePrefix="1" applyAlignment="1">
      <alignment horizontal="left"/>
    </xf>
    <xf numFmtId="0" fontId="58" fillId="9" borderId="60" xfId="0" applyFont="1" applyFill="1" applyBorder="1" applyAlignment="1">
      <alignment wrapText="1"/>
    </xf>
    <xf numFmtId="0" fontId="58" fillId="9" borderId="62" xfId="0" applyFont="1" applyFill="1" applyBorder="1"/>
    <xf numFmtId="0" fontId="58" fillId="9" borderId="63" xfId="0" applyFont="1" applyFill="1" applyBorder="1"/>
    <xf numFmtId="0" fontId="58" fillId="9" borderId="47" xfId="0" applyFont="1" applyFill="1" applyBorder="1" applyAlignment="1">
      <alignment wrapText="1"/>
    </xf>
    <xf numFmtId="0" fontId="58" fillId="9" borderId="64" xfId="0" applyFont="1" applyFill="1" applyBorder="1"/>
    <xf numFmtId="0" fontId="58" fillId="9" borderId="65" xfId="0" applyFont="1" applyFill="1" applyBorder="1"/>
    <xf numFmtId="0" fontId="5" fillId="0" borderId="0" xfId="3" applyFont="1"/>
    <xf numFmtId="0" fontId="1" fillId="0" borderId="0" xfId="3" applyAlignment="1">
      <alignment wrapText="1"/>
    </xf>
    <xf numFmtId="0" fontId="34" fillId="0" borderId="0" xfId="3" applyFont="1"/>
    <xf numFmtId="0" fontId="43"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49" xfId="0" applyBorder="1" applyAlignment="1">
      <alignment horizontal="center"/>
    </xf>
    <xf numFmtId="0" fontId="0" fillId="0" borderId="51" xfId="0" applyBorder="1" applyAlignment="1">
      <alignment horizontal="center"/>
    </xf>
    <xf numFmtId="0" fontId="82" fillId="0" borderId="0" xfId="0" applyFont="1" applyAlignment="1">
      <alignment horizontal="center"/>
    </xf>
    <xf numFmtId="0" fontId="1" fillId="5" borderId="0" xfId="3" applyFill="1" applyAlignment="1">
      <alignment wrapText="1"/>
    </xf>
    <xf numFmtId="0" fontId="5" fillId="3" borderId="0" xfId="3" applyFont="1" applyFill="1"/>
    <xf numFmtId="0" fontId="1" fillId="0" borderId="0" xfId="3" quotePrefix="1"/>
    <xf numFmtId="0" fontId="7" fillId="0" borderId="0" xfId="3" applyFont="1"/>
    <xf numFmtId="0" fontId="1" fillId="0" borderId="99" xfId="3" applyBorder="1"/>
    <xf numFmtId="0" fontId="1" fillId="0" borderId="100" xfId="3" applyBorder="1"/>
    <xf numFmtId="0" fontId="1" fillId="0" borderId="101" xfId="3" applyBorder="1"/>
    <xf numFmtId="0" fontId="58" fillId="9" borderId="117" xfId="3" applyFont="1" applyFill="1" applyBorder="1" applyAlignment="1">
      <alignment wrapText="1"/>
    </xf>
    <xf numFmtId="0" fontId="58" fillId="9" borderId="118" xfId="3" applyFont="1" applyFill="1" applyBorder="1" applyAlignment="1">
      <alignment wrapText="1"/>
    </xf>
    <xf numFmtId="0" fontId="58" fillId="9" borderId="116" xfId="3" applyFont="1" applyFill="1" applyBorder="1" applyAlignment="1">
      <alignment wrapText="1"/>
    </xf>
    <xf numFmtId="0" fontId="59" fillId="9" borderId="117" xfId="3" applyFont="1" applyFill="1" applyBorder="1"/>
    <xf numFmtId="0" fontId="59" fillId="9" borderId="118" xfId="3" applyFont="1" applyFill="1" applyBorder="1" applyAlignment="1">
      <alignment wrapText="1"/>
    </xf>
    <xf numFmtId="0" fontId="59" fillId="9" borderId="116" xfId="3" applyFont="1" applyFill="1" applyBorder="1" applyAlignment="1">
      <alignment wrapText="1"/>
    </xf>
    <xf numFmtId="0" fontId="1" fillId="8" borderId="118" xfId="3" applyFill="1" applyBorder="1"/>
    <xf numFmtId="0" fontId="1" fillId="8" borderId="116" xfId="3" applyFill="1" applyBorder="1"/>
    <xf numFmtId="0" fontId="58" fillId="9" borderId="119" xfId="3" applyFont="1" applyFill="1" applyBorder="1"/>
    <xf numFmtId="0" fontId="58" fillId="9" borderId="20" xfId="3" applyFont="1" applyFill="1" applyBorder="1"/>
    <xf numFmtId="0" fontId="58" fillId="9" borderId="104" xfId="3" applyFont="1" applyFill="1" applyBorder="1"/>
    <xf numFmtId="0" fontId="59" fillId="9" borderId="119" xfId="3" applyFont="1" applyFill="1" applyBorder="1"/>
    <xf numFmtId="0" fontId="59" fillId="9" borderId="20" xfId="3" applyFont="1" applyFill="1" applyBorder="1"/>
    <xf numFmtId="0" fontId="59" fillId="9" borderId="106" xfId="3" applyFont="1" applyFill="1" applyBorder="1"/>
    <xf numFmtId="0" fontId="59" fillId="9" borderId="104" xfId="3" applyFont="1" applyFill="1" applyBorder="1"/>
    <xf numFmtId="0" fontId="1" fillId="0" borderId="102" xfId="3" applyBorder="1"/>
    <xf numFmtId="0" fontId="1" fillId="0" borderId="105" xfId="3" applyBorder="1"/>
    <xf numFmtId="0" fontId="58" fillId="9" borderId="120" xfId="3" applyFont="1" applyFill="1" applyBorder="1"/>
    <xf numFmtId="0" fontId="58" fillId="9" borderId="106" xfId="3" applyFont="1" applyFill="1" applyBorder="1"/>
    <xf numFmtId="0" fontId="58" fillId="9" borderId="107" xfId="3" applyFont="1" applyFill="1" applyBorder="1"/>
    <xf numFmtId="0" fontId="59" fillId="9" borderId="120" xfId="3" applyFont="1" applyFill="1" applyBorder="1"/>
    <xf numFmtId="0" fontId="59" fillId="9" borderId="107" xfId="3" applyFont="1" applyFill="1" applyBorder="1"/>
    <xf numFmtId="0" fontId="59" fillId="9" borderId="118" xfId="3" applyFont="1" applyFill="1" applyBorder="1"/>
    <xf numFmtId="0" fontId="59" fillId="9" borderId="116" xfId="3" applyFont="1" applyFill="1" applyBorder="1"/>
    <xf numFmtId="0" fontId="80" fillId="0" borderId="0" xfId="3" applyFont="1"/>
    <xf numFmtId="0" fontId="80" fillId="0" borderId="56" xfId="3" applyFont="1" applyBorder="1" applyAlignment="1">
      <alignment horizontal="center" wrapText="1"/>
    </xf>
    <xf numFmtId="0" fontId="80" fillId="0" borderId="0" xfId="3" applyFont="1" applyAlignment="1">
      <alignment horizontal="center"/>
    </xf>
    <xf numFmtId="166" fontId="80" fillId="0" borderId="0" xfId="3" applyNumberFormat="1" applyFont="1" applyAlignment="1">
      <alignment horizontal="center"/>
    </xf>
    <xf numFmtId="0" fontId="80" fillId="0" borderId="0" xfId="3" quotePrefix="1" applyFont="1"/>
    <xf numFmtId="0" fontId="78" fillId="0" borderId="0" xfId="3" applyFont="1"/>
    <xf numFmtId="0" fontId="80" fillId="0" borderId="75" xfId="3" applyFont="1" applyBorder="1" applyAlignment="1">
      <alignment horizontal="center" wrapText="1"/>
    </xf>
    <xf numFmtId="0" fontId="80" fillId="0" borderId="55" xfId="3" applyFont="1" applyBorder="1" applyAlignment="1">
      <alignment horizontal="center"/>
    </xf>
    <xf numFmtId="0" fontId="80" fillId="0" borderId="98" xfId="3" applyFont="1" applyBorder="1" applyAlignment="1">
      <alignment horizontal="center"/>
    </xf>
    <xf numFmtId="0" fontId="80" fillId="0" borderId="75" xfId="3" applyFont="1" applyBorder="1" applyAlignment="1">
      <alignment horizontal="center"/>
    </xf>
    <xf numFmtId="171" fontId="80" fillId="0" borderId="13" xfId="3" applyNumberFormat="1" applyFont="1" applyBorder="1" applyAlignment="1">
      <alignment horizontal="center"/>
    </xf>
    <xf numFmtId="0" fontId="80" fillId="0" borderId="14" xfId="3" applyFont="1" applyBorder="1" applyAlignment="1">
      <alignment horizontal="center"/>
    </xf>
    <xf numFmtId="0" fontId="80" fillId="0" borderId="13" xfId="3" applyFont="1" applyBorder="1" applyAlignment="1">
      <alignment horizontal="center"/>
    </xf>
    <xf numFmtId="2" fontId="80" fillId="0" borderId="0" xfId="3" applyNumberFormat="1" applyFont="1" applyAlignment="1">
      <alignment horizontal="center"/>
    </xf>
    <xf numFmtId="0" fontId="80" fillId="0" borderId="15" xfId="3" applyFont="1" applyBorder="1" applyAlignment="1">
      <alignment horizontal="center"/>
    </xf>
    <xf numFmtId="2" fontId="80" fillId="0" borderId="16" xfId="3" applyNumberFormat="1" applyFont="1" applyBorder="1" applyAlignment="1">
      <alignment horizontal="center"/>
    </xf>
    <xf numFmtId="0" fontId="80" fillId="0" borderId="17" xfId="3" applyFont="1" applyBorder="1" applyAlignment="1">
      <alignment horizontal="center"/>
    </xf>
    <xf numFmtId="171" fontId="80" fillId="0" borderId="15" xfId="3" applyNumberFormat="1" applyFont="1" applyBorder="1" applyAlignment="1">
      <alignment horizontal="center"/>
    </xf>
    <xf numFmtId="0" fontId="80" fillId="0" borderId="16" xfId="3" applyFont="1" applyBorder="1" applyAlignment="1">
      <alignment horizontal="center"/>
    </xf>
    <xf numFmtId="0" fontId="84" fillId="0" borderId="0" xfId="3" applyFont="1"/>
    <xf numFmtId="0" fontId="58" fillId="9" borderId="67" xfId="0" applyFont="1" applyFill="1" applyBorder="1"/>
    <xf numFmtId="0" fontId="85" fillId="0" borderId="0" xfId="0" applyFont="1"/>
    <xf numFmtId="0" fontId="86" fillId="0" borderId="0" xfId="0" applyFont="1"/>
    <xf numFmtId="0" fontId="88" fillId="0" borderId="0" xfId="0" applyFont="1"/>
    <xf numFmtId="0" fontId="1" fillId="18" borderId="20" xfId="0" applyFont="1" applyFill="1" applyBorder="1"/>
    <xf numFmtId="0" fontId="1" fillId="0" borderId="99" xfId="0" applyFont="1" applyBorder="1"/>
    <xf numFmtId="0" fontId="1" fillId="18" borderId="116" xfId="0" applyFont="1" applyFill="1" applyBorder="1"/>
    <xf numFmtId="0" fontId="1" fillId="0" borderId="102" xfId="0" applyFont="1" applyBorder="1"/>
    <xf numFmtId="0" fontId="1" fillId="18" borderId="104" xfId="0" applyFont="1" applyFill="1" applyBorder="1"/>
    <xf numFmtId="0" fontId="1" fillId="0" borderId="105" xfId="0" applyFont="1" applyBorder="1"/>
    <xf numFmtId="0" fontId="1" fillId="18" borderId="107" xfId="0" applyFont="1" applyFill="1" applyBorder="1"/>
    <xf numFmtId="0" fontId="59" fillId="0" borderId="0" xfId="0" applyFont="1"/>
    <xf numFmtId="44" fontId="59" fillId="9" borderId="20" xfId="1" applyFont="1" applyFill="1" applyBorder="1"/>
    <xf numFmtId="44" fontId="59" fillId="9" borderId="63" xfId="1" applyFont="1" applyFill="1" applyBorder="1"/>
    <xf numFmtId="0" fontId="58" fillId="9" borderId="47" xfId="0" applyFont="1" applyFill="1" applyBorder="1"/>
    <xf numFmtId="0" fontId="89" fillId="0" borderId="0" xfId="0" applyFont="1"/>
    <xf numFmtId="0" fontId="1" fillId="18" borderId="118" xfId="0" applyFont="1" applyFill="1" applyBorder="1"/>
    <xf numFmtId="0" fontId="1" fillId="0" borderId="103" xfId="0" applyFont="1" applyBorder="1"/>
    <xf numFmtId="0" fontId="1" fillId="0" borderId="114" xfId="0" applyFont="1" applyBorder="1"/>
    <xf numFmtId="44" fontId="58" fillId="9" borderId="20" xfId="1" applyFont="1" applyFill="1" applyBorder="1"/>
    <xf numFmtId="0" fontId="1" fillId="18" borderId="19" xfId="0" applyFont="1" applyFill="1" applyBorder="1"/>
    <xf numFmtId="0" fontId="1" fillId="0" borderId="122" xfId="0" applyFont="1" applyBorder="1"/>
    <xf numFmtId="0" fontId="1" fillId="0" borderId="123" xfId="0" applyFont="1" applyBorder="1"/>
    <xf numFmtId="0" fontId="1" fillId="0" borderId="124" xfId="0" applyFont="1" applyBorder="1"/>
    <xf numFmtId="0" fontId="1" fillId="0" borderId="125" xfId="0" applyFont="1" applyBorder="1"/>
    <xf numFmtId="0" fontId="1" fillId="18" borderId="126" xfId="0" applyFont="1" applyFill="1" applyBorder="1"/>
    <xf numFmtId="0" fontId="1" fillId="0" borderId="127" xfId="0" applyFont="1" applyBorder="1"/>
    <xf numFmtId="0" fontId="1" fillId="0" borderId="128" xfId="0" applyFont="1" applyBorder="1"/>
    <xf numFmtId="0" fontId="1" fillId="18" borderId="106" xfId="0" applyFont="1" applyFill="1" applyBorder="1"/>
    <xf numFmtId="0" fontId="59" fillId="9" borderId="93" xfId="0" applyFont="1" applyFill="1" applyBorder="1"/>
    <xf numFmtId="0" fontId="59" fillId="9" borderId="129" xfId="0" applyFont="1" applyFill="1" applyBorder="1"/>
    <xf numFmtId="0" fontId="58" fillId="9" borderId="130" xfId="0" applyFont="1" applyFill="1" applyBorder="1"/>
    <xf numFmtId="0" fontId="58" fillId="9" borderId="19" xfId="0" applyFont="1" applyFill="1" applyBorder="1"/>
    <xf numFmtId="0" fontId="58" fillId="9" borderId="80" xfId="0" applyFont="1" applyFill="1" applyBorder="1"/>
    <xf numFmtId="0" fontId="58" fillId="9" borderId="78" xfId="0" applyFont="1" applyFill="1" applyBorder="1"/>
    <xf numFmtId="0" fontId="58" fillId="9" borderId="131" xfId="0" applyFont="1" applyFill="1" applyBorder="1"/>
    <xf numFmtId="0" fontId="58" fillId="9" borderId="132" xfId="0" applyFont="1" applyFill="1" applyBorder="1"/>
    <xf numFmtId="0" fontId="58" fillId="9" borderId="133" xfId="0" applyFont="1" applyFill="1" applyBorder="1"/>
    <xf numFmtId="0" fontId="58" fillId="9" borderId="134" xfId="0" applyFont="1" applyFill="1" applyBorder="1"/>
    <xf numFmtId="0" fontId="82" fillId="9" borderId="57" xfId="0" applyFont="1" applyFill="1" applyBorder="1"/>
    <xf numFmtId="0" fontId="1" fillId="0" borderId="100" xfId="0" applyFont="1" applyBorder="1"/>
    <xf numFmtId="0" fontId="1" fillId="0" borderId="101" xfId="0" applyFont="1" applyBorder="1"/>
    <xf numFmtId="0" fontId="82" fillId="0" borderId="0" xfId="0" applyFont="1"/>
    <xf numFmtId="0" fontId="58" fillId="18" borderId="20" xfId="0" applyFont="1" applyFill="1" applyBorder="1"/>
    <xf numFmtId="0" fontId="1" fillId="0" borderId="99" xfId="0" applyFont="1" applyBorder="1" applyAlignment="1">
      <alignment wrapText="1"/>
    </xf>
    <xf numFmtId="0" fontId="1" fillId="0" borderId="101" xfId="0" applyFont="1" applyBorder="1" applyAlignment="1">
      <alignment wrapText="1"/>
    </xf>
    <xf numFmtId="0" fontId="1" fillId="18" borderId="135" xfId="0" applyFont="1" applyFill="1" applyBorder="1"/>
    <xf numFmtId="7" fontId="1" fillId="0" borderId="0" xfId="0" applyNumberFormat="1" applyFont="1"/>
    <xf numFmtId="7" fontId="59" fillId="9" borderId="20" xfId="0" applyNumberFormat="1" applyFont="1" applyFill="1" applyBorder="1"/>
    <xf numFmtId="7" fontId="59" fillId="9" borderId="63" xfId="0" applyNumberFormat="1" applyFont="1" applyFill="1" applyBorder="1"/>
    <xf numFmtId="7" fontId="59" fillId="9" borderId="48" xfId="0" applyNumberFormat="1" applyFont="1" applyFill="1" applyBorder="1"/>
    <xf numFmtId="7" fontId="59" fillId="9" borderId="64" xfId="0" applyNumberFormat="1" applyFont="1" applyFill="1" applyBorder="1"/>
    <xf numFmtId="10" fontId="1" fillId="18" borderId="20" xfId="0" applyNumberFormat="1" applyFont="1" applyFill="1" applyBorder="1"/>
    <xf numFmtId="0" fontId="31" fillId="0" borderId="0" xfId="3" applyFont="1"/>
    <xf numFmtId="0" fontId="91" fillId="0" borderId="0" xfId="3" applyFont="1"/>
    <xf numFmtId="0" fontId="31" fillId="3" borderId="0" xfId="3" applyFont="1" applyFill="1"/>
    <xf numFmtId="0" fontId="42" fillId="0" borderId="0" xfId="3" applyFont="1"/>
    <xf numFmtId="0" fontId="45" fillId="0" borderId="0" xfId="3" applyFont="1"/>
    <xf numFmtId="0" fontId="31" fillId="0" borderId="60" xfId="3" applyFont="1" applyBorder="1"/>
    <xf numFmtId="0" fontId="31" fillId="0" borderId="57" xfId="3" applyFont="1" applyBorder="1"/>
    <xf numFmtId="0" fontId="31" fillId="0" borderId="62" xfId="3" applyFont="1" applyBorder="1"/>
    <xf numFmtId="0" fontId="44" fillId="0" borderId="0" xfId="3" applyFont="1"/>
    <xf numFmtId="0" fontId="31" fillId="0" borderId="20" xfId="3" applyFont="1" applyBorder="1"/>
    <xf numFmtId="0" fontId="42" fillId="3" borderId="13" xfId="3" applyFont="1" applyFill="1" applyBorder="1"/>
    <xf numFmtId="0" fontId="31" fillId="18" borderId="20" xfId="3" applyFont="1" applyFill="1" applyBorder="1"/>
    <xf numFmtId="10" fontId="31" fillId="18" borderId="20" xfId="3" applyNumberFormat="1" applyFont="1" applyFill="1" applyBorder="1"/>
    <xf numFmtId="0" fontId="44" fillId="3" borderId="75" xfId="3" applyFont="1" applyFill="1" applyBorder="1"/>
    <xf numFmtId="0" fontId="44" fillId="3" borderId="77" xfId="3" applyFont="1" applyFill="1" applyBorder="1"/>
    <xf numFmtId="2" fontId="94" fillId="9" borderId="76" xfId="3" applyNumberFormat="1" applyFont="1" applyFill="1" applyBorder="1"/>
    <xf numFmtId="2" fontId="94" fillId="9" borderId="78" xfId="3" applyNumberFormat="1" applyFont="1" applyFill="1" applyBorder="1"/>
    <xf numFmtId="0" fontId="42" fillId="3" borderId="75" xfId="3" applyFont="1" applyFill="1" applyBorder="1"/>
    <xf numFmtId="0" fontId="42" fillId="3" borderId="79" xfId="3" applyFont="1" applyFill="1" applyBorder="1"/>
    <xf numFmtId="0" fontId="42" fillId="3" borderId="77" xfId="3" applyFont="1" applyFill="1" applyBorder="1"/>
    <xf numFmtId="0" fontId="94" fillId="9" borderId="20" xfId="3" applyFont="1" applyFill="1" applyBorder="1"/>
    <xf numFmtId="0" fontId="94" fillId="9" borderId="80" xfId="3" applyFont="1" applyFill="1" applyBorder="1"/>
    <xf numFmtId="2" fontId="94" fillId="9" borderId="80" xfId="3" applyNumberFormat="1" applyFont="1" applyFill="1" applyBorder="1"/>
    <xf numFmtId="0" fontId="44" fillId="3" borderId="79" xfId="3" applyFont="1" applyFill="1" applyBorder="1"/>
    <xf numFmtId="0" fontId="95" fillId="0" borderId="0" xfId="3" applyFont="1"/>
    <xf numFmtId="0" fontId="96" fillId="0" borderId="0" xfId="3" applyFont="1"/>
    <xf numFmtId="0" fontId="97" fillId="0" borderId="0" xfId="3" applyFont="1"/>
    <xf numFmtId="0" fontId="31" fillId="5" borderId="0" xfId="3" applyFont="1" applyFill="1"/>
    <xf numFmtId="0" fontId="31" fillId="5" borderId="0" xfId="3" quotePrefix="1" applyFont="1" applyFill="1"/>
    <xf numFmtId="0" fontId="98" fillId="0" borderId="0" xfId="3" applyFont="1"/>
    <xf numFmtId="0" fontId="99" fillId="0" borderId="0" xfId="3" applyFont="1"/>
    <xf numFmtId="0" fontId="31" fillId="0" borderId="0" xfId="3" applyFont="1" applyAlignment="1">
      <alignment horizontal="centerContinuous"/>
    </xf>
    <xf numFmtId="0" fontId="31" fillId="0" borderId="8" xfId="3" applyFont="1" applyBorder="1"/>
    <xf numFmtId="0" fontId="31" fillId="0" borderId="21" xfId="3" applyFont="1" applyBorder="1"/>
    <xf numFmtId="0" fontId="31" fillId="0" borderId="9" xfId="3" applyFont="1" applyBorder="1"/>
    <xf numFmtId="0" fontId="100" fillId="0" borderId="0" xfId="3" applyFont="1"/>
    <xf numFmtId="0" fontId="101" fillId="0" borderId="0" xfId="3" applyFont="1"/>
    <xf numFmtId="0" fontId="102" fillId="0" borderId="0" xfId="3" applyFont="1"/>
    <xf numFmtId="0" fontId="31" fillId="0" borderId="99" xfId="3" applyFont="1" applyBorder="1"/>
    <xf numFmtId="0" fontId="31" fillId="0" borderId="100" xfId="3" applyFont="1" applyBorder="1"/>
    <xf numFmtId="0" fontId="31" fillId="0" borderId="101" xfId="3" applyFont="1" applyBorder="1"/>
    <xf numFmtId="0" fontId="31" fillId="0" borderId="102" xfId="3" applyFont="1" applyBorder="1"/>
    <xf numFmtId="0" fontId="31" fillId="0" borderId="103" xfId="3" applyFont="1" applyBorder="1"/>
    <xf numFmtId="0" fontId="31" fillId="18" borderId="104" xfId="3" applyFont="1" applyFill="1" applyBorder="1"/>
    <xf numFmtId="0" fontId="31" fillId="0" borderId="105" xfId="3" applyFont="1" applyBorder="1"/>
    <xf numFmtId="0" fontId="31" fillId="18" borderId="106" xfId="3" applyFont="1" applyFill="1" applyBorder="1"/>
    <xf numFmtId="0" fontId="31" fillId="18" borderId="107" xfId="3" applyFont="1" applyFill="1" applyBorder="1"/>
    <xf numFmtId="0" fontId="103" fillId="9" borderId="20" xfId="3" applyFont="1" applyFill="1" applyBorder="1"/>
    <xf numFmtId="0" fontId="103" fillId="9" borderId="57" xfId="3" applyFont="1" applyFill="1" applyBorder="1"/>
    <xf numFmtId="0" fontId="103" fillId="9" borderId="60" xfId="3" applyFont="1" applyFill="1" applyBorder="1"/>
    <xf numFmtId="0" fontId="103" fillId="9" borderId="62" xfId="3" applyFont="1" applyFill="1" applyBorder="1"/>
    <xf numFmtId="0" fontId="103" fillId="9" borderId="47" xfId="3" applyFont="1" applyFill="1" applyBorder="1"/>
    <xf numFmtId="0" fontId="103" fillId="9" borderId="48" xfId="3" applyFont="1" applyFill="1" applyBorder="1"/>
    <xf numFmtId="0" fontId="103" fillId="9" borderId="64" xfId="3" applyFont="1" applyFill="1" applyBorder="1"/>
    <xf numFmtId="0" fontId="94" fillId="9" borderId="60" xfId="3" applyFont="1" applyFill="1" applyBorder="1"/>
    <xf numFmtId="0" fontId="94" fillId="9" borderId="61" xfId="3" applyFont="1" applyFill="1" applyBorder="1"/>
    <xf numFmtId="0" fontId="94" fillId="9" borderId="62" xfId="3" applyFont="1" applyFill="1" applyBorder="1"/>
    <xf numFmtId="0" fontId="94" fillId="9" borderId="63" xfId="3" applyFont="1" applyFill="1" applyBorder="1"/>
    <xf numFmtId="0" fontId="94" fillId="9" borderId="47" xfId="3" applyFont="1" applyFill="1" applyBorder="1"/>
    <xf numFmtId="0" fontId="94" fillId="9" borderId="64" xfId="3" applyFont="1" applyFill="1" applyBorder="1"/>
    <xf numFmtId="0" fontId="104" fillId="0" borderId="0" xfId="3" applyFont="1"/>
    <xf numFmtId="165" fontId="105" fillId="0" borderId="1" xfId="9" applyFont="1"/>
    <xf numFmtId="165" fontId="41" fillId="0" borderId="1" xfId="9" applyFont="1"/>
    <xf numFmtId="165" fontId="41" fillId="0" borderId="0" xfId="9" applyFont="1" applyBorder="1"/>
    <xf numFmtId="165" fontId="99" fillId="0" borderId="0" xfId="9" applyFont="1" applyBorder="1"/>
    <xf numFmtId="165" fontId="100" fillId="0" borderId="1" xfId="9" applyFont="1"/>
    <xf numFmtId="165" fontId="101" fillId="0" borderId="1" xfId="9" applyFont="1"/>
    <xf numFmtId="165" fontId="102" fillId="0" borderId="1" xfId="9" applyFont="1"/>
    <xf numFmtId="165" fontId="41" fillId="18" borderId="20" xfId="9" applyFont="1" applyFill="1" applyBorder="1"/>
    <xf numFmtId="165" fontId="41" fillId="0" borderId="99" xfId="9" applyFont="1" applyBorder="1"/>
    <xf numFmtId="165" fontId="41" fillId="0" borderId="100" xfId="9" applyFont="1" applyBorder="1"/>
    <xf numFmtId="165" fontId="41" fillId="0" borderId="101" xfId="9" applyFont="1" applyBorder="1"/>
    <xf numFmtId="165" fontId="41" fillId="0" borderId="102" xfId="9" applyFont="1" applyBorder="1"/>
    <xf numFmtId="165" fontId="41" fillId="18" borderId="104" xfId="9" applyFont="1" applyFill="1" applyBorder="1"/>
    <xf numFmtId="165" fontId="41" fillId="0" borderId="105" xfId="9" applyFont="1" applyBorder="1"/>
    <xf numFmtId="165" fontId="41" fillId="18" borderId="106" xfId="9" applyFont="1" applyFill="1" applyBorder="1"/>
    <xf numFmtId="165" fontId="41" fillId="17" borderId="107" xfId="9" applyFont="1" applyFill="1" applyBorder="1"/>
    <xf numFmtId="165" fontId="41" fillId="0" borderId="91" xfId="9" applyFont="1" applyBorder="1"/>
    <xf numFmtId="165" fontId="94" fillId="0" borderId="89" xfId="9" applyFont="1" applyBorder="1"/>
    <xf numFmtId="165" fontId="41" fillId="0" borderId="89" xfId="9" applyFont="1" applyBorder="1"/>
    <xf numFmtId="1" fontId="94" fillId="9" borderId="20" xfId="9" applyNumberFormat="1" applyFont="1" applyFill="1" applyBorder="1"/>
    <xf numFmtId="1" fontId="94" fillId="9" borderId="57" xfId="9" applyNumberFormat="1" applyFont="1" applyFill="1" applyBorder="1"/>
    <xf numFmtId="1" fontId="94" fillId="9" borderId="60" xfId="9" applyNumberFormat="1" applyFont="1" applyFill="1" applyBorder="1"/>
    <xf numFmtId="1" fontId="94" fillId="9" borderId="61" xfId="9" applyNumberFormat="1" applyFont="1" applyFill="1" applyBorder="1"/>
    <xf numFmtId="1" fontId="94" fillId="9" borderId="62" xfId="9" applyNumberFormat="1" applyFont="1" applyFill="1" applyBorder="1"/>
    <xf numFmtId="1" fontId="94" fillId="9" borderId="63" xfId="9" applyNumberFormat="1" applyFont="1" applyFill="1" applyBorder="1"/>
    <xf numFmtId="1" fontId="94" fillId="9" borderId="47" xfId="9" applyNumberFormat="1" applyFont="1" applyFill="1" applyBorder="1"/>
    <xf numFmtId="1" fontId="94" fillId="9" borderId="48" xfId="9" applyNumberFormat="1" applyFont="1" applyFill="1" applyBorder="1"/>
    <xf numFmtId="1" fontId="94" fillId="9" borderId="64" xfId="9" applyNumberFormat="1" applyFont="1" applyFill="1" applyBorder="1"/>
    <xf numFmtId="1" fontId="94" fillId="9" borderId="79" xfId="9" applyNumberFormat="1" applyFont="1" applyFill="1" applyBorder="1"/>
    <xf numFmtId="1" fontId="94" fillId="9" borderId="92" xfId="9" applyNumberFormat="1" applyFont="1" applyFill="1" applyBorder="1"/>
    <xf numFmtId="1" fontId="94" fillId="9" borderId="90" xfId="9" applyNumberFormat="1" applyFont="1" applyFill="1" applyBorder="1"/>
    <xf numFmtId="1" fontId="94" fillId="9" borderId="93" xfId="9" applyNumberFormat="1" applyFont="1" applyFill="1" applyBorder="1"/>
    <xf numFmtId="165" fontId="41" fillId="0" borderId="94" xfId="9" applyFont="1" applyBorder="1"/>
    <xf numFmtId="165" fontId="94" fillId="9" borderId="58" xfId="9" applyFont="1" applyFill="1" applyBorder="1"/>
    <xf numFmtId="165" fontId="94" fillId="9" borderId="59" xfId="9" applyFont="1" applyFill="1" applyBorder="1"/>
    <xf numFmtId="165" fontId="104" fillId="0" borderId="1" xfId="9" applyFont="1"/>
    <xf numFmtId="165" fontId="97" fillId="0" borderId="1" xfId="9" applyFont="1"/>
    <xf numFmtId="165" fontId="41" fillId="0" borderId="1" xfId="8" applyFont="1"/>
    <xf numFmtId="165" fontId="41" fillId="0" borderId="0" xfId="8" applyFont="1" applyBorder="1"/>
    <xf numFmtId="165" fontId="100" fillId="0" borderId="1" xfId="8" applyFont="1"/>
    <xf numFmtId="165" fontId="101" fillId="0" borderId="1" xfId="8" applyFont="1"/>
    <xf numFmtId="165" fontId="102" fillId="0" borderId="1" xfId="8" applyFont="1"/>
    <xf numFmtId="165" fontId="41" fillId="18" borderId="20" xfId="8" applyFont="1" applyFill="1" applyBorder="1"/>
    <xf numFmtId="165" fontId="41" fillId="0" borderId="99" xfId="8" applyFont="1" applyBorder="1"/>
    <xf numFmtId="165" fontId="41" fillId="0" borderId="100" xfId="8" applyFont="1" applyBorder="1"/>
    <xf numFmtId="165" fontId="41" fillId="0" borderId="101" xfId="8" applyFont="1" applyBorder="1"/>
    <xf numFmtId="165" fontId="41" fillId="0" borderId="102" xfId="8" applyFont="1" applyBorder="1"/>
    <xf numFmtId="165" fontId="41" fillId="18" borderId="104" xfId="8" applyFont="1" applyFill="1" applyBorder="1"/>
    <xf numFmtId="165" fontId="41" fillId="0" borderId="105" xfId="8" applyFont="1" applyBorder="1"/>
    <xf numFmtId="165" fontId="41" fillId="18" borderId="106" xfId="8" applyFont="1" applyFill="1" applyBorder="1"/>
    <xf numFmtId="165" fontId="41" fillId="18" borderId="107" xfId="8" applyFont="1" applyFill="1" applyBorder="1"/>
    <xf numFmtId="165" fontId="94" fillId="0" borderId="89" xfId="8" applyFont="1" applyBorder="1"/>
    <xf numFmtId="165" fontId="41" fillId="0" borderId="89" xfId="8" applyFont="1" applyBorder="1"/>
    <xf numFmtId="172" fontId="94" fillId="9" borderId="60" xfId="8" applyNumberFormat="1" applyFont="1" applyFill="1" applyBorder="1"/>
    <xf numFmtId="172" fontId="94" fillId="9" borderId="61" xfId="8" applyNumberFormat="1" applyFont="1" applyFill="1" applyBorder="1"/>
    <xf numFmtId="172" fontId="94" fillId="9" borderId="47" xfId="8" applyNumberFormat="1" applyFont="1" applyFill="1" applyBorder="1"/>
    <xf numFmtId="172" fontId="94" fillId="9" borderId="57" xfId="8" applyNumberFormat="1" applyFont="1" applyFill="1" applyBorder="1"/>
    <xf numFmtId="172" fontId="94" fillId="9" borderId="20" xfId="8" applyNumberFormat="1" applyFont="1" applyFill="1" applyBorder="1"/>
    <xf numFmtId="172" fontId="94" fillId="9" borderId="48" xfId="8" applyNumberFormat="1" applyFont="1" applyFill="1" applyBorder="1"/>
    <xf numFmtId="172" fontId="94" fillId="9" borderId="62" xfId="8" applyNumberFormat="1" applyFont="1" applyFill="1" applyBorder="1"/>
    <xf numFmtId="172" fontId="94" fillId="9" borderId="63" xfId="8" applyNumberFormat="1" applyFont="1" applyFill="1" applyBorder="1"/>
    <xf numFmtId="172" fontId="94" fillId="9" borderId="64" xfId="8" applyNumberFormat="1" applyFont="1" applyFill="1" applyBorder="1"/>
    <xf numFmtId="172" fontId="94" fillId="9" borderId="79" xfId="8" applyNumberFormat="1" applyFont="1" applyFill="1" applyBorder="1"/>
    <xf numFmtId="165" fontId="41" fillId="0" borderId="91" xfId="8" applyFont="1" applyBorder="1"/>
    <xf numFmtId="165" fontId="94" fillId="9" borderId="62" xfId="8" applyFont="1" applyFill="1" applyBorder="1"/>
    <xf numFmtId="165" fontId="94" fillId="9" borderId="47" xfId="8" applyFont="1" applyFill="1" applyBorder="1"/>
    <xf numFmtId="165" fontId="94" fillId="9" borderId="64" xfId="8" applyFont="1" applyFill="1" applyBorder="1"/>
    <xf numFmtId="165" fontId="94" fillId="9" borderId="92" xfId="8" applyFont="1" applyFill="1" applyBorder="1"/>
    <xf numFmtId="172" fontId="94" fillId="9" borderId="90" xfId="8" applyNumberFormat="1" applyFont="1" applyFill="1" applyBorder="1"/>
    <xf numFmtId="165" fontId="94" fillId="9" borderId="93" xfId="8" applyFont="1" applyFill="1" applyBorder="1"/>
    <xf numFmtId="165" fontId="41" fillId="0" borderId="94" xfId="8" applyFont="1" applyBorder="1"/>
    <xf numFmtId="165" fontId="94" fillId="9" borderId="58" xfId="8" applyFont="1" applyFill="1" applyBorder="1"/>
    <xf numFmtId="165" fontId="94" fillId="9" borderId="59" xfId="8" applyFont="1" applyFill="1" applyBorder="1"/>
    <xf numFmtId="165" fontId="104" fillId="0" borderId="1" xfId="8" applyFont="1"/>
    <xf numFmtId="165" fontId="97" fillId="0" borderId="1" xfId="8" applyFont="1"/>
    <xf numFmtId="0" fontId="31" fillId="0" borderId="121" xfId="3" applyFont="1" applyBorder="1"/>
    <xf numFmtId="0" fontId="31" fillId="0" borderId="136" xfId="3" applyFont="1" applyBorder="1"/>
    <xf numFmtId="0" fontId="31" fillId="0" borderId="137" xfId="3" applyFont="1" applyBorder="1"/>
    <xf numFmtId="0" fontId="31" fillId="3" borderId="138" xfId="3" applyFont="1" applyFill="1" applyBorder="1"/>
    <xf numFmtId="0" fontId="31" fillId="3" borderId="139" xfId="3" applyFont="1" applyFill="1" applyBorder="1"/>
    <xf numFmtId="0" fontId="31" fillId="0" borderId="140" xfId="3" applyFont="1" applyBorder="1"/>
    <xf numFmtId="0" fontId="31" fillId="0" borderId="104" xfId="3" applyFont="1" applyBorder="1"/>
    <xf numFmtId="0" fontId="31" fillId="18" borderId="20" xfId="3" quotePrefix="1" applyFont="1" applyFill="1" applyBorder="1"/>
    <xf numFmtId="0" fontId="106" fillId="0" borderId="0" xfId="3" applyFont="1"/>
    <xf numFmtId="0" fontId="31" fillId="0" borderId="0" xfId="3" applyFont="1" applyAlignment="1">
      <alignment horizontal="right"/>
    </xf>
    <xf numFmtId="0" fontId="107" fillId="0" borderId="0" xfId="3" applyFont="1"/>
    <xf numFmtId="0" fontId="31" fillId="0" borderId="100" xfId="3" applyFont="1" applyBorder="1" applyAlignment="1">
      <alignment horizontal="right"/>
    </xf>
    <xf numFmtId="0" fontId="31" fillId="0" borderId="101" xfId="3" applyFont="1" applyBorder="1" applyAlignment="1">
      <alignment horizontal="right"/>
    </xf>
    <xf numFmtId="0" fontId="31" fillId="18" borderId="119" xfId="3" applyFont="1" applyFill="1" applyBorder="1"/>
    <xf numFmtId="0" fontId="31" fillId="18" borderId="120" xfId="3" applyFont="1" applyFill="1" applyBorder="1"/>
    <xf numFmtId="0" fontId="31" fillId="17" borderId="106" xfId="3" applyFont="1" applyFill="1" applyBorder="1"/>
    <xf numFmtId="0" fontId="94" fillId="0" borderId="0" xfId="3" applyFont="1"/>
    <xf numFmtId="174" fontId="31" fillId="0" borderId="0" xfId="3" applyNumberFormat="1" applyFont="1"/>
    <xf numFmtId="174" fontId="103" fillId="9" borderId="20" xfId="3" applyNumberFormat="1" applyFont="1" applyFill="1" applyBorder="1"/>
    <xf numFmtId="174" fontId="103" fillId="9" borderId="57" xfId="3" applyNumberFormat="1" applyFont="1" applyFill="1" applyBorder="1" applyAlignment="1">
      <alignment horizontal="left"/>
    </xf>
    <xf numFmtId="174" fontId="103" fillId="9" borderId="60" xfId="3" applyNumberFormat="1" applyFont="1" applyFill="1" applyBorder="1" applyAlignment="1">
      <alignment horizontal="right"/>
    </xf>
    <xf numFmtId="174" fontId="103" fillId="9" borderId="61" xfId="3" applyNumberFormat="1" applyFont="1" applyFill="1" applyBorder="1" applyAlignment="1">
      <alignment horizontal="right"/>
    </xf>
    <xf numFmtId="174" fontId="103" fillId="9" borderId="62" xfId="3" applyNumberFormat="1" applyFont="1" applyFill="1" applyBorder="1"/>
    <xf numFmtId="174" fontId="103" fillId="9" borderId="63" xfId="3" applyNumberFormat="1" applyFont="1" applyFill="1" applyBorder="1"/>
    <xf numFmtId="174" fontId="103" fillId="9" borderId="47" xfId="3" applyNumberFormat="1" applyFont="1" applyFill="1" applyBorder="1" applyAlignment="1">
      <alignment horizontal="right"/>
    </xf>
    <xf numFmtId="174" fontId="103" fillId="9" borderId="48" xfId="3" applyNumberFormat="1" applyFont="1" applyFill="1" applyBorder="1"/>
    <xf numFmtId="174" fontId="103" fillId="9" borderId="64" xfId="3" applyNumberFormat="1" applyFont="1" applyFill="1" applyBorder="1"/>
    <xf numFmtId="175" fontId="31" fillId="0" borderId="0" xfId="3" applyNumberFormat="1" applyFont="1"/>
    <xf numFmtId="175" fontId="103" fillId="9" borderId="20" xfId="3" applyNumberFormat="1" applyFont="1" applyFill="1" applyBorder="1"/>
    <xf numFmtId="175" fontId="103" fillId="9" borderId="57" xfId="3" applyNumberFormat="1" applyFont="1" applyFill="1" applyBorder="1" applyAlignment="1">
      <alignment horizontal="left"/>
    </xf>
    <xf numFmtId="175" fontId="103" fillId="9" borderId="60" xfId="3" applyNumberFormat="1" applyFont="1" applyFill="1" applyBorder="1" applyAlignment="1">
      <alignment horizontal="right"/>
    </xf>
    <xf numFmtId="175" fontId="103" fillId="9" borderId="61" xfId="3" applyNumberFormat="1" applyFont="1" applyFill="1" applyBorder="1" applyAlignment="1">
      <alignment horizontal="right"/>
    </xf>
    <xf numFmtId="175" fontId="103" fillId="9" borderId="62" xfId="3" applyNumberFormat="1" applyFont="1" applyFill="1" applyBorder="1"/>
    <xf numFmtId="175" fontId="103" fillId="9" borderId="63" xfId="3" applyNumberFormat="1" applyFont="1" applyFill="1" applyBorder="1"/>
    <xf numFmtId="175" fontId="103" fillId="9" borderId="47" xfId="3" applyNumberFormat="1" applyFont="1" applyFill="1" applyBorder="1" applyAlignment="1">
      <alignment horizontal="right"/>
    </xf>
    <xf numFmtId="175" fontId="103" fillId="9" borderId="48" xfId="3" applyNumberFormat="1" applyFont="1" applyFill="1" applyBorder="1"/>
    <xf numFmtId="175" fontId="103" fillId="9" borderId="64" xfId="3" applyNumberFormat="1" applyFont="1" applyFill="1" applyBorder="1"/>
    <xf numFmtId="0" fontId="1" fillId="17" borderId="0" xfId="0" applyFont="1" applyFill="1"/>
    <xf numFmtId="0" fontId="56" fillId="0" borderId="102" xfId="0" applyFont="1" applyBorder="1"/>
    <xf numFmtId="0" fontId="1" fillId="17" borderId="113" xfId="0" applyFont="1" applyFill="1" applyBorder="1"/>
    <xf numFmtId="0" fontId="31" fillId="6" borderId="0" xfId="3" applyFont="1" applyFill="1"/>
    <xf numFmtId="0" fontId="31" fillId="3" borderId="10" xfId="3" applyFont="1" applyFill="1" applyBorder="1"/>
    <xf numFmtId="0" fontId="42" fillId="3" borderId="11" xfId="3" applyFont="1" applyFill="1" applyBorder="1" applyAlignment="1">
      <alignment horizontal="right"/>
    </xf>
    <xf numFmtId="0" fontId="42" fillId="3" borderId="12" xfId="3" applyFont="1" applyFill="1" applyBorder="1"/>
    <xf numFmtId="0" fontId="31" fillId="3" borderId="11" xfId="3" applyFont="1" applyFill="1" applyBorder="1"/>
    <xf numFmtId="44" fontId="42" fillId="3" borderId="12" xfId="10" applyFont="1" applyFill="1" applyBorder="1"/>
    <xf numFmtId="0" fontId="31" fillId="7" borderId="0" xfId="3" applyFont="1" applyFill="1"/>
    <xf numFmtId="0" fontId="31" fillId="3" borderId="15" xfId="3" applyFont="1" applyFill="1" applyBorder="1"/>
    <xf numFmtId="0" fontId="42" fillId="3" borderId="16" xfId="3" applyFont="1" applyFill="1" applyBorder="1" applyAlignment="1">
      <alignment horizontal="right"/>
    </xf>
    <xf numFmtId="0" fontId="42" fillId="3" borderId="17" xfId="3" applyFont="1" applyFill="1" applyBorder="1"/>
    <xf numFmtId="0" fontId="31" fillId="0" borderId="15" xfId="3" applyFont="1" applyBorder="1"/>
    <xf numFmtId="0" fontId="31" fillId="0" borderId="16" xfId="3" applyFont="1" applyBorder="1"/>
    <xf numFmtId="0" fontId="31" fillId="3" borderId="16" xfId="3" applyFont="1" applyFill="1" applyBorder="1"/>
    <xf numFmtId="0" fontId="105" fillId="0" borderId="0" xfId="3" applyFont="1"/>
    <xf numFmtId="0" fontId="42" fillId="0" borderId="0" xfId="3" applyFont="1" applyAlignment="1">
      <alignment horizontal="right"/>
    </xf>
    <xf numFmtId="0" fontId="42" fillId="0" borderId="0" xfId="3" applyFont="1" applyAlignment="1">
      <alignment wrapText="1"/>
    </xf>
    <xf numFmtId="0" fontId="31" fillId="0" borderId="0" xfId="3" applyFont="1" applyAlignment="1" applyProtection="1">
      <alignment horizontal="center"/>
      <protection locked="0"/>
    </xf>
    <xf numFmtId="173" fontId="31" fillId="0" borderId="0" xfId="10" applyNumberFormat="1" applyFont="1" applyFill="1" applyBorder="1" applyAlignment="1" applyProtection="1">
      <alignment horizontal="center"/>
      <protection locked="0"/>
    </xf>
    <xf numFmtId="0" fontId="31" fillId="4" borderId="0" xfId="3" applyFont="1" applyFill="1"/>
    <xf numFmtId="0" fontId="31" fillId="0" borderId="0" xfId="3" applyFont="1" applyAlignment="1">
      <alignment wrapText="1"/>
    </xf>
    <xf numFmtId="1" fontId="31" fillId="0" borderId="0" xfId="3" applyNumberFormat="1" applyFont="1"/>
    <xf numFmtId="0" fontId="31" fillId="0" borderId="2" xfId="3" applyFont="1" applyBorder="1"/>
    <xf numFmtId="0" fontId="31" fillId="0" borderId="23" xfId="3" applyFont="1" applyBorder="1"/>
    <xf numFmtId="0" fontId="31" fillId="0" borderId="24" xfId="3" applyFont="1" applyBorder="1"/>
    <xf numFmtId="0" fontId="31" fillId="0" borderId="3" xfId="3" applyFont="1" applyBorder="1"/>
    <xf numFmtId="0" fontId="31" fillId="0" borderId="4" xfId="3" applyFont="1" applyBorder="1" applyAlignment="1">
      <alignment wrapText="1"/>
    </xf>
    <xf numFmtId="0" fontId="31" fillId="0" borderId="18" xfId="3" applyFont="1" applyBorder="1" applyAlignment="1">
      <alignment wrapText="1"/>
    </xf>
    <xf numFmtId="0" fontId="31" fillId="0" borderId="5" xfId="3" applyFont="1" applyBorder="1" applyAlignment="1">
      <alignment wrapText="1"/>
    </xf>
    <xf numFmtId="0" fontId="31" fillId="0" borderId="6" xfId="3" applyFont="1" applyBorder="1"/>
    <xf numFmtId="0" fontId="31" fillId="0" borderId="7" xfId="3" applyFont="1" applyBorder="1"/>
    <xf numFmtId="0" fontId="35" fillId="0" borderId="0" xfId="3" applyFont="1"/>
    <xf numFmtId="0" fontId="108" fillId="0" borderId="0" xfId="3" applyFont="1"/>
    <xf numFmtId="1" fontId="42" fillId="0" borderId="0" xfId="3" applyNumberFormat="1" applyFont="1"/>
    <xf numFmtId="0" fontId="31" fillId="18" borderId="20" xfId="3" applyFont="1" applyFill="1" applyBorder="1" applyAlignment="1" applyProtection="1">
      <alignment horizontal="center"/>
      <protection locked="0"/>
    </xf>
    <xf numFmtId="0" fontId="42" fillId="0" borderId="100" xfId="3" applyFont="1" applyBorder="1" applyAlignment="1">
      <alignment horizontal="center" wrapText="1"/>
    </xf>
    <xf numFmtId="0" fontId="42" fillId="0" borderId="101" xfId="3" applyFont="1" applyBorder="1" applyAlignment="1">
      <alignment horizontal="center" wrapText="1"/>
    </xf>
    <xf numFmtId="0" fontId="31" fillId="18" borderId="104" xfId="3" applyFont="1" applyFill="1" applyBorder="1" applyAlignment="1" applyProtection="1">
      <alignment horizontal="center"/>
      <protection locked="0"/>
    </xf>
    <xf numFmtId="0" fontId="31" fillId="0" borderId="105" xfId="3" applyFont="1" applyBorder="1" applyAlignment="1" applyProtection="1">
      <alignment horizontal="center"/>
      <protection locked="0"/>
    </xf>
    <xf numFmtId="0" fontId="31" fillId="18" borderId="106" xfId="3" applyFont="1" applyFill="1" applyBorder="1" applyAlignment="1" applyProtection="1">
      <alignment horizontal="center"/>
      <protection locked="0"/>
    </xf>
    <xf numFmtId="173" fontId="31" fillId="18" borderId="106" xfId="10" applyNumberFormat="1" applyFont="1" applyFill="1" applyBorder="1" applyAlignment="1" applyProtection="1">
      <alignment horizontal="center"/>
      <protection locked="0"/>
    </xf>
    <xf numFmtId="0" fontId="31" fillId="18" borderId="107" xfId="3" applyFont="1" applyFill="1" applyBorder="1" applyAlignment="1" applyProtection="1">
      <alignment horizontal="center"/>
      <protection locked="0"/>
    </xf>
    <xf numFmtId="0" fontId="42" fillId="0" borderId="111" xfId="3" applyFont="1" applyBorder="1" applyAlignment="1">
      <alignment wrapText="1"/>
    </xf>
    <xf numFmtId="1" fontId="42" fillId="3" borderId="112" xfId="3" applyNumberFormat="1" applyFont="1" applyFill="1" applyBorder="1"/>
    <xf numFmtId="1" fontId="42" fillId="3" borderId="115" xfId="3" applyNumberFormat="1" applyFont="1" applyFill="1" applyBorder="1"/>
    <xf numFmtId="0" fontId="83" fillId="0" borderId="99" xfId="11" applyFont="1" applyBorder="1" applyAlignment="1">
      <alignment horizontal="center" wrapText="1"/>
    </xf>
    <xf numFmtId="0" fontId="83" fillId="0" borderId="100" xfId="11" applyFont="1" applyBorder="1" applyAlignment="1">
      <alignment horizontal="center" wrapText="1"/>
    </xf>
    <xf numFmtId="0" fontId="83" fillId="0" borderId="102" xfId="11" applyFont="1" applyBorder="1" applyAlignment="1">
      <alignment horizontal="center" wrapText="1"/>
    </xf>
    <xf numFmtId="0" fontId="83" fillId="18" borderId="20" xfId="11" applyFont="1" applyFill="1" applyBorder="1" applyAlignment="1">
      <alignment horizontal="center" wrapText="1"/>
    </xf>
    <xf numFmtId="6" fontId="83" fillId="18" borderId="20" xfId="11" applyNumberFormat="1" applyFont="1" applyFill="1" applyBorder="1" applyAlignment="1">
      <alignment horizontal="center" wrapText="1"/>
    </xf>
    <xf numFmtId="0" fontId="1" fillId="17" borderId="107" xfId="0" applyFont="1" applyFill="1" applyBorder="1"/>
    <xf numFmtId="164" fontId="1" fillId="0" borderId="0" xfId="0" applyNumberFormat="1" applyFont="1"/>
    <xf numFmtId="164" fontId="59" fillId="9" borderId="20" xfId="0" applyNumberFormat="1" applyFont="1" applyFill="1" applyBorder="1"/>
    <xf numFmtId="164" fontId="59" fillId="9" borderId="63" xfId="0" applyNumberFormat="1" applyFont="1" applyFill="1" applyBorder="1"/>
    <xf numFmtId="164" fontId="59" fillId="9" borderId="48" xfId="0" applyNumberFormat="1" applyFont="1" applyFill="1" applyBorder="1"/>
    <xf numFmtId="164" fontId="59" fillId="9" borderId="64" xfId="0" applyNumberFormat="1" applyFont="1" applyFill="1" applyBorder="1"/>
    <xf numFmtId="0" fontId="59" fillId="9" borderId="62" xfId="0" applyFont="1" applyFill="1" applyBorder="1" applyAlignment="1">
      <alignment wrapText="1"/>
    </xf>
    <xf numFmtId="0" fontId="59" fillId="9" borderId="64" xfId="0" applyFont="1" applyFill="1" applyBorder="1" applyAlignment="1">
      <alignment wrapText="1"/>
    </xf>
    <xf numFmtId="0" fontId="31" fillId="5" borderId="0" xfId="3" applyFont="1" applyFill="1" applyAlignment="1">
      <alignment wrapText="1"/>
    </xf>
    <xf numFmtId="0" fontId="42" fillId="3" borderId="0" xfId="3" applyFont="1" applyFill="1"/>
    <xf numFmtId="0" fontId="31" fillId="0" borderId="0" xfId="3" quotePrefix="1" applyFont="1"/>
    <xf numFmtId="0" fontId="31" fillId="18" borderId="118" xfId="3" applyFont="1" applyFill="1" applyBorder="1"/>
    <xf numFmtId="0" fontId="31" fillId="18" borderId="116" xfId="3" applyFont="1" applyFill="1" applyBorder="1"/>
    <xf numFmtId="0" fontId="103" fillId="9" borderId="117" xfId="3" applyFont="1" applyFill="1" applyBorder="1" applyAlignment="1">
      <alignment wrapText="1"/>
    </xf>
    <xf numFmtId="0" fontId="103" fillId="9" borderId="118" xfId="3" applyFont="1" applyFill="1" applyBorder="1" applyAlignment="1">
      <alignment wrapText="1"/>
    </xf>
    <xf numFmtId="0" fontId="103" fillId="9" borderId="116" xfId="3" applyFont="1" applyFill="1" applyBorder="1" applyAlignment="1">
      <alignment wrapText="1"/>
    </xf>
    <xf numFmtId="0" fontId="103" fillId="9" borderId="119" xfId="3" applyFont="1" applyFill="1" applyBorder="1"/>
    <xf numFmtId="0" fontId="103" fillId="9" borderId="104" xfId="3" applyFont="1" applyFill="1" applyBorder="1"/>
    <xf numFmtId="0" fontId="103" fillId="9" borderId="120" xfId="3" applyFont="1" applyFill="1" applyBorder="1"/>
    <xf numFmtId="0" fontId="103" fillId="9" borderId="106" xfId="3" applyFont="1" applyFill="1" applyBorder="1"/>
    <xf numFmtId="0" fontId="103" fillId="9" borderId="107" xfId="3" applyFont="1" applyFill="1" applyBorder="1"/>
    <xf numFmtId="0" fontId="94" fillId="9" borderId="117" xfId="3" applyFont="1" applyFill="1" applyBorder="1"/>
    <xf numFmtId="0" fontId="94" fillId="9" borderId="118" xfId="3" applyFont="1" applyFill="1" applyBorder="1" applyAlignment="1">
      <alignment wrapText="1"/>
    </xf>
    <xf numFmtId="0" fontId="94" fillId="9" borderId="116" xfId="3" applyFont="1" applyFill="1" applyBorder="1" applyAlignment="1">
      <alignment wrapText="1"/>
    </xf>
    <xf numFmtId="0" fontId="94" fillId="9" borderId="119" xfId="3" applyFont="1" applyFill="1" applyBorder="1"/>
    <xf numFmtId="0" fontId="94" fillId="9" borderId="104" xfId="3" applyFont="1" applyFill="1" applyBorder="1"/>
    <xf numFmtId="0" fontId="94" fillId="9" borderId="120" xfId="3" applyFont="1" applyFill="1" applyBorder="1"/>
    <xf numFmtId="0" fontId="94" fillId="9" borderId="106" xfId="3" applyFont="1" applyFill="1" applyBorder="1"/>
    <xf numFmtId="0" fontId="94" fillId="9" borderId="107" xfId="3" applyFont="1" applyFill="1" applyBorder="1"/>
    <xf numFmtId="0" fontId="94" fillId="9" borderId="118" xfId="3" applyFont="1" applyFill="1" applyBorder="1"/>
    <xf numFmtId="0" fontId="94" fillId="9" borderId="116" xfId="3" applyFont="1" applyFill="1" applyBorder="1"/>
    <xf numFmtId="0" fontId="110" fillId="0" borderId="0" xfId="3" applyFont="1"/>
    <xf numFmtId="0" fontId="58" fillId="9" borderId="76" xfId="0" applyFont="1" applyFill="1" applyBorder="1"/>
    <xf numFmtId="0" fontId="5" fillId="0" borderId="0" xfId="0" applyFont="1" applyAlignment="1">
      <alignment horizontal="left"/>
    </xf>
    <xf numFmtId="0" fontId="54" fillId="0" borderId="55" xfId="2" applyFont="1" applyBorder="1" applyAlignment="1">
      <alignment horizontal="left"/>
    </xf>
    <xf numFmtId="0" fontId="95" fillId="0" borderId="0" xfId="3" applyFont="1" applyAlignment="1">
      <alignment horizontal="center"/>
    </xf>
    <xf numFmtId="0" fontId="42" fillId="0" borderId="97" xfId="3" applyFont="1" applyBorder="1" applyAlignment="1">
      <alignment horizontal="left"/>
    </xf>
    <xf numFmtId="0" fontId="42" fillId="0" borderId="0" xfId="3" applyFont="1" applyAlignment="1">
      <alignment horizontal="left"/>
    </xf>
  </cellXfs>
  <cellStyles count="12">
    <cellStyle name="Currency" xfId="1" builtinId="4"/>
    <cellStyle name="Currency 2" xfId="10" xr:uid="{00000000-0005-0000-0000-000001000000}"/>
    <cellStyle name="Normal" xfId="0" builtinId="0"/>
    <cellStyle name="Normal 2" xfId="2" xr:uid="{00000000-0005-0000-0000-000003000000}"/>
    <cellStyle name="Normal 2 2" xfId="3" xr:uid="{00000000-0005-0000-0000-000004000000}"/>
    <cellStyle name="Normal 3" xfId="4" xr:uid="{00000000-0005-0000-0000-000005000000}"/>
    <cellStyle name="Normal 3 2" xfId="5" xr:uid="{00000000-0005-0000-0000-000006000000}"/>
    <cellStyle name="Normal 3 3" xfId="11" xr:uid="{00000000-0005-0000-0000-000007000000}"/>
    <cellStyle name="Normal 4" xfId="6" xr:uid="{00000000-0005-0000-0000-000008000000}"/>
    <cellStyle name="Normal 5" xfId="7" xr:uid="{00000000-0005-0000-0000-000009000000}"/>
    <cellStyle name="Normal_Trans_max" xfId="8" xr:uid="{00000000-0005-0000-0000-00000A000000}"/>
    <cellStyle name="Normal_Trans_min" xfId="9" xr:uid="{00000000-0005-0000-0000-00000B000000}"/>
  </cellStyles>
  <dxfs count="7">
    <dxf>
      <font>
        <condense val="0"/>
        <extend val="0"/>
        <color indexed="9"/>
      </font>
    </dxf>
    <dxf>
      <font>
        <condense val="0"/>
        <extend val="0"/>
        <color indexed="9"/>
      </font>
    </dxf>
    <dxf>
      <font>
        <b/>
        <i val="0"/>
        <color rgb="FFFF0000"/>
      </font>
    </dxf>
    <dxf>
      <font>
        <color rgb="FFF2F2F2"/>
      </font>
    </dxf>
    <dxf>
      <font>
        <color rgb="FFF2F2F2"/>
      </font>
    </dxf>
    <dxf>
      <font>
        <color rgb="FFF2F2F2"/>
      </font>
    </dxf>
    <dxf>
      <font>
        <color rgb="FFF2F2F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externalLink" Target="externalLinks/externalLink5.xml"/><Relationship Id="rId89" Type="http://schemas.openxmlformats.org/officeDocument/2006/relationships/calcChain" Target="calcChain.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externalLink" Target="externalLinks/externalLink1.xml"/><Relationship Id="rId85"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externalLink" Target="externalLinks/externalLink4.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externalLink" Target="externalLinks/externalLink2.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externalLink" Target="externalLinks/externalLink3.xml"/><Relationship Id="rId19" Type="http://schemas.openxmlformats.org/officeDocument/2006/relationships/worksheet" Target="worksheets/sheet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Cost-volume analysis</a:t>
            </a:r>
          </a:p>
        </c:rich>
      </c:tx>
      <c:overlay val="0"/>
      <c:spPr>
        <a:effectLst/>
      </c:spPr>
    </c:title>
    <c:autoTitleDeleted val="0"/>
    <c:plotArea>
      <c:layout/>
      <c:scatterChart>
        <c:scatterStyle val="lineMarker"/>
        <c:varyColors val="0"/>
        <c:ser>
          <c:idx val="0"/>
          <c:order val="0"/>
          <c:tx>
            <c:strRef>
              <c:f>'1.4 and 1.5'!$B$26</c:f>
              <c:strCache>
                <c:ptCount val="1"/>
                <c:pt idx="0">
                  <c:v>Costs</c:v>
                </c:pt>
              </c:strCache>
            </c:strRef>
          </c:tx>
          <c:marker>
            <c:symbol val="none"/>
          </c:marker>
          <c:xVal>
            <c:numRef>
              <c:f>'1.4 and 1.5'!$A$27:$A$28</c:f>
              <c:numCache>
                <c:formatCode>General</c:formatCode>
                <c:ptCount val="2"/>
                <c:pt idx="0">
                  <c:v>0</c:v>
                </c:pt>
                <c:pt idx="1">
                  <c:v>400</c:v>
                </c:pt>
              </c:numCache>
            </c:numRef>
          </c:xVal>
          <c:yVal>
            <c:numRef>
              <c:f>'1.4 and 1.5'!$B$27:$B$28</c:f>
              <c:numCache>
                <c:formatCode>General</c:formatCode>
                <c:ptCount val="2"/>
                <c:pt idx="0">
                  <c:v>1000</c:v>
                </c:pt>
                <c:pt idx="1">
                  <c:v>2200</c:v>
                </c:pt>
              </c:numCache>
            </c:numRef>
          </c:yVal>
          <c:smooth val="0"/>
          <c:extLst>
            <c:ext xmlns:c16="http://schemas.microsoft.com/office/drawing/2014/chart" uri="{C3380CC4-5D6E-409C-BE32-E72D297353CC}">
              <c16:uniqueId val="{00000000-D617-4D04-BEFA-8F8B21A54B33}"/>
            </c:ext>
          </c:extLst>
        </c:ser>
        <c:ser>
          <c:idx val="1"/>
          <c:order val="1"/>
          <c:tx>
            <c:strRef>
              <c:f>'1.4 and 1.5'!$C$26</c:f>
              <c:strCache>
                <c:ptCount val="1"/>
                <c:pt idx="0">
                  <c:v>Revenue</c:v>
                </c:pt>
              </c:strCache>
            </c:strRef>
          </c:tx>
          <c:marker>
            <c:symbol val="none"/>
          </c:marker>
          <c:xVal>
            <c:numRef>
              <c:f>'1.4 and 1.5'!$A$27:$A$28</c:f>
              <c:numCache>
                <c:formatCode>General</c:formatCode>
                <c:ptCount val="2"/>
                <c:pt idx="0">
                  <c:v>0</c:v>
                </c:pt>
                <c:pt idx="1">
                  <c:v>400</c:v>
                </c:pt>
              </c:numCache>
            </c:numRef>
          </c:xVal>
          <c:yVal>
            <c:numRef>
              <c:f>'1.4 and 1.5'!$C$27:$C$28</c:f>
              <c:numCache>
                <c:formatCode>General</c:formatCode>
                <c:ptCount val="2"/>
                <c:pt idx="0">
                  <c:v>0</c:v>
                </c:pt>
                <c:pt idx="1">
                  <c:v>3200</c:v>
                </c:pt>
              </c:numCache>
            </c:numRef>
          </c:yVal>
          <c:smooth val="0"/>
          <c:extLst>
            <c:ext xmlns:c16="http://schemas.microsoft.com/office/drawing/2014/chart" uri="{C3380CC4-5D6E-409C-BE32-E72D297353CC}">
              <c16:uniqueId val="{00000001-D617-4D04-BEFA-8F8B21A54B33}"/>
            </c:ext>
          </c:extLst>
        </c:ser>
        <c:dLbls>
          <c:showLegendKey val="0"/>
          <c:showVal val="0"/>
          <c:showCatName val="0"/>
          <c:showSerName val="0"/>
          <c:showPercent val="0"/>
          <c:showBubbleSize val="0"/>
        </c:dLbls>
        <c:axId val="340360568"/>
        <c:axId val="342199344"/>
      </c:scatterChart>
      <c:valAx>
        <c:axId val="340360568"/>
        <c:scaling>
          <c:orientation val="minMax"/>
        </c:scaling>
        <c:delete val="0"/>
        <c:axPos val="b"/>
        <c:majorGridlines/>
        <c:title>
          <c:tx>
            <c:rich>
              <a:bodyPr/>
              <a:lstStyle/>
              <a:p>
                <a:pPr>
                  <a:defRPr/>
                </a:pPr>
                <a:r>
                  <a:rPr lang="en-US"/>
                  <a:t>Units</a:t>
                </a:r>
              </a:p>
            </c:rich>
          </c:tx>
          <c:overlay val="0"/>
        </c:title>
        <c:numFmt formatCode="General" sourceLinked="1"/>
        <c:majorTickMark val="out"/>
        <c:minorTickMark val="none"/>
        <c:tickLblPos val="nextTo"/>
        <c:crossAx val="342199344"/>
        <c:crosses val="autoZero"/>
        <c:crossBetween val="midCat"/>
      </c:valAx>
      <c:valAx>
        <c:axId val="342199344"/>
        <c:scaling>
          <c:orientation val="minMax"/>
        </c:scaling>
        <c:delete val="0"/>
        <c:axPos val="l"/>
        <c:title>
          <c:tx>
            <c:rich>
              <a:bodyPr/>
              <a:lstStyle/>
              <a:p>
                <a:pPr>
                  <a:defRPr/>
                </a:pPr>
                <a:r>
                  <a:rPr lang="en-US"/>
                  <a:t>$</a:t>
                </a:r>
              </a:p>
            </c:rich>
          </c:tx>
          <c:overlay val="0"/>
        </c:title>
        <c:numFmt formatCode="General" sourceLinked="1"/>
        <c:majorTickMark val="out"/>
        <c:minorTickMark val="none"/>
        <c:tickLblPos val="nextTo"/>
        <c:crossAx val="340360568"/>
        <c:crosses val="autoZero"/>
        <c:crossBetween val="midCat"/>
      </c:valAx>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Inventory: Cost vs Quantity</a:t>
            </a:r>
          </a:p>
        </c:rich>
      </c:tx>
      <c:overlay val="0"/>
      <c:spPr>
        <a:effectLst/>
      </c:spPr>
    </c:title>
    <c:autoTitleDeleted val="0"/>
    <c:plotArea>
      <c:layout/>
      <c:lineChart>
        <c:grouping val="standard"/>
        <c:varyColors val="0"/>
        <c:ser>
          <c:idx val="0"/>
          <c:order val="0"/>
          <c:tx>
            <c:strRef>
              <c:f>'6.2'!$C$30</c:f>
              <c:strCache>
                <c:ptCount val="1"/>
                <c:pt idx="0">
                  <c:v>Setup/Order cost</c:v>
                </c:pt>
              </c:strCache>
            </c:strRef>
          </c:tx>
          <c:marker>
            <c:symbol val="none"/>
          </c:marker>
          <c:cat>
            <c:numRef>
              <c:f>'6.2'!$B$31:$B$54</c:f>
              <c:numCache>
                <c:formatCode>General</c:formatCode>
                <c:ptCount val="24"/>
                <c:pt idx="0">
                  <c:v>1000</c:v>
                </c:pt>
                <c:pt idx="1">
                  <c:v>1333.3333333333333</c:v>
                </c:pt>
                <c:pt idx="2">
                  <c:v>1666.6666666666665</c:v>
                </c:pt>
                <c:pt idx="3">
                  <c:v>1999.9999999999998</c:v>
                </c:pt>
                <c:pt idx="4">
                  <c:v>2333.333333333333</c:v>
                </c:pt>
                <c:pt idx="5">
                  <c:v>2666.6666666666665</c:v>
                </c:pt>
                <c:pt idx="6">
                  <c:v>3000</c:v>
                </c:pt>
                <c:pt idx="7">
                  <c:v>3333.3333333333335</c:v>
                </c:pt>
                <c:pt idx="8">
                  <c:v>3666.666666666667</c:v>
                </c:pt>
                <c:pt idx="9">
                  <c:v>4000.0000000000005</c:v>
                </c:pt>
                <c:pt idx="10">
                  <c:v>4333.3333333333339</c:v>
                </c:pt>
                <c:pt idx="11">
                  <c:v>4666.666666666667</c:v>
                </c:pt>
                <c:pt idx="12">
                  <c:v>5000</c:v>
                </c:pt>
                <c:pt idx="13">
                  <c:v>5333.333333333333</c:v>
                </c:pt>
                <c:pt idx="14">
                  <c:v>5666.6666666666661</c:v>
                </c:pt>
                <c:pt idx="15">
                  <c:v>5999.9999999999991</c:v>
                </c:pt>
                <c:pt idx="16">
                  <c:v>6333.3333333333321</c:v>
                </c:pt>
                <c:pt idx="17">
                  <c:v>6666.6666666666652</c:v>
                </c:pt>
                <c:pt idx="18">
                  <c:v>6999.9999999999982</c:v>
                </c:pt>
                <c:pt idx="19">
                  <c:v>7333.3333333333312</c:v>
                </c:pt>
                <c:pt idx="20">
                  <c:v>7666.6666666666642</c:v>
                </c:pt>
                <c:pt idx="21">
                  <c:v>7999.9999999999973</c:v>
                </c:pt>
                <c:pt idx="22">
                  <c:v>8333.3333333333303</c:v>
                </c:pt>
                <c:pt idx="23">
                  <c:v>8666.6666666666642</c:v>
                </c:pt>
              </c:numCache>
            </c:numRef>
          </c:cat>
          <c:val>
            <c:numRef>
              <c:f>'6.2'!$C$31:$C$54</c:f>
              <c:numCache>
                <c:formatCode>General</c:formatCode>
                <c:ptCount val="24"/>
                <c:pt idx="0">
                  <c:v>1000</c:v>
                </c:pt>
                <c:pt idx="1">
                  <c:v>750</c:v>
                </c:pt>
                <c:pt idx="2">
                  <c:v>600</c:v>
                </c:pt>
                <c:pt idx="3">
                  <c:v>500.00000000000006</c:v>
                </c:pt>
                <c:pt idx="4">
                  <c:v>428.57142857142861</c:v>
                </c:pt>
                <c:pt idx="5">
                  <c:v>375</c:v>
                </c:pt>
                <c:pt idx="6">
                  <c:v>333.33333333333331</c:v>
                </c:pt>
                <c:pt idx="7">
                  <c:v>300</c:v>
                </c:pt>
                <c:pt idx="8">
                  <c:v>272.72727272727269</c:v>
                </c:pt>
                <c:pt idx="9">
                  <c:v>249.99999999999997</c:v>
                </c:pt>
                <c:pt idx="10">
                  <c:v>230.76923076923075</c:v>
                </c:pt>
                <c:pt idx="11">
                  <c:v>214.28571428571428</c:v>
                </c:pt>
                <c:pt idx="12">
                  <c:v>200</c:v>
                </c:pt>
                <c:pt idx="13">
                  <c:v>187.5</c:v>
                </c:pt>
                <c:pt idx="14">
                  <c:v>176.47058823529414</c:v>
                </c:pt>
                <c:pt idx="15">
                  <c:v>166.66666666666669</c:v>
                </c:pt>
                <c:pt idx="16">
                  <c:v>157.89473684210529</c:v>
                </c:pt>
                <c:pt idx="17">
                  <c:v>150.00000000000003</c:v>
                </c:pt>
                <c:pt idx="18">
                  <c:v>142.85714285714289</c:v>
                </c:pt>
                <c:pt idx="19">
                  <c:v>136.3636363636364</c:v>
                </c:pt>
                <c:pt idx="20">
                  <c:v>130.43478260869568</c:v>
                </c:pt>
                <c:pt idx="21">
                  <c:v>125.00000000000004</c:v>
                </c:pt>
                <c:pt idx="22">
                  <c:v>120.00000000000004</c:v>
                </c:pt>
                <c:pt idx="23">
                  <c:v>115.38461538461542</c:v>
                </c:pt>
              </c:numCache>
            </c:numRef>
          </c:val>
          <c:smooth val="0"/>
          <c:extLst>
            <c:ext xmlns:c16="http://schemas.microsoft.com/office/drawing/2014/chart" uri="{C3380CC4-5D6E-409C-BE32-E72D297353CC}">
              <c16:uniqueId val="{00000000-4606-48EE-9147-EA2D23C57247}"/>
            </c:ext>
          </c:extLst>
        </c:ser>
        <c:ser>
          <c:idx val="1"/>
          <c:order val="1"/>
          <c:tx>
            <c:strRef>
              <c:f>'6.2'!$D$30</c:f>
              <c:strCache>
                <c:ptCount val="1"/>
                <c:pt idx="0">
                  <c:v>Holding cost</c:v>
                </c:pt>
              </c:strCache>
            </c:strRef>
          </c:tx>
          <c:marker>
            <c:symbol val="none"/>
          </c:marker>
          <c:cat>
            <c:numRef>
              <c:f>'6.2'!$B$31:$B$54</c:f>
              <c:numCache>
                <c:formatCode>General</c:formatCode>
                <c:ptCount val="24"/>
                <c:pt idx="0">
                  <c:v>1000</c:v>
                </c:pt>
                <c:pt idx="1">
                  <c:v>1333.3333333333333</c:v>
                </c:pt>
                <c:pt idx="2">
                  <c:v>1666.6666666666665</c:v>
                </c:pt>
                <c:pt idx="3">
                  <c:v>1999.9999999999998</c:v>
                </c:pt>
                <c:pt idx="4">
                  <c:v>2333.333333333333</c:v>
                </c:pt>
                <c:pt idx="5">
                  <c:v>2666.6666666666665</c:v>
                </c:pt>
                <c:pt idx="6">
                  <c:v>3000</c:v>
                </c:pt>
                <c:pt idx="7">
                  <c:v>3333.3333333333335</c:v>
                </c:pt>
                <c:pt idx="8">
                  <c:v>3666.666666666667</c:v>
                </c:pt>
                <c:pt idx="9">
                  <c:v>4000.0000000000005</c:v>
                </c:pt>
                <c:pt idx="10">
                  <c:v>4333.3333333333339</c:v>
                </c:pt>
                <c:pt idx="11">
                  <c:v>4666.666666666667</c:v>
                </c:pt>
                <c:pt idx="12">
                  <c:v>5000</c:v>
                </c:pt>
                <c:pt idx="13">
                  <c:v>5333.333333333333</c:v>
                </c:pt>
                <c:pt idx="14">
                  <c:v>5666.6666666666661</c:v>
                </c:pt>
                <c:pt idx="15">
                  <c:v>5999.9999999999991</c:v>
                </c:pt>
                <c:pt idx="16">
                  <c:v>6333.3333333333321</c:v>
                </c:pt>
                <c:pt idx="17">
                  <c:v>6666.6666666666652</c:v>
                </c:pt>
                <c:pt idx="18">
                  <c:v>6999.9999999999982</c:v>
                </c:pt>
                <c:pt idx="19">
                  <c:v>7333.3333333333312</c:v>
                </c:pt>
                <c:pt idx="20">
                  <c:v>7666.6666666666642</c:v>
                </c:pt>
                <c:pt idx="21">
                  <c:v>7999.9999999999973</c:v>
                </c:pt>
                <c:pt idx="22">
                  <c:v>8333.3333333333303</c:v>
                </c:pt>
                <c:pt idx="23">
                  <c:v>8666.6666666666642</c:v>
                </c:pt>
              </c:numCache>
            </c:numRef>
          </c:cat>
          <c:val>
            <c:numRef>
              <c:f>'6.2'!$D$31:$D$54</c:f>
              <c:numCache>
                <c:formatCode>General</c:formatCode>
                <c:ptCount val="24"/>
                <c:pt idx="0">
                  <c:v>62.5</c:v>
                </c:pt>
                <c:pt idx="1">
                  <c:v>83.333333333333329</c:v>
                </c:pt>
                <c:pt idx="2">
                  <c:v>104.16666666666666</c:v>
                </c:pt>
                <c:pt idx="3">
                  <c:v>124.99999999999997</c:v>
                </c:pt>
                <c:pt idx="4">
                  <c:v>145.83333333333331</c:v>
                </c:pt>
                <c:pt idx="5">
                  <c:v>166.66666666666666</c:v>
                </c:pt>
                <c:pt idx="6">
                  <c:v>187.5</c:v>
                </c:pt>
                <c:pt idx="7">
                  <c:v>208.33333333333334</c:v>
                </c:pt>
                <c:pt idx="8">
                  <c:v>229.16666666666669</c:v>
                </c:pt>
                <c:pt idx="9">
                  <c:v>250.00000000000006</c:v>
                </c:pt>
                <c:pt idx="10">
                  <c:v>270.83333333333337</c:v>
                </c:pt>
                <c:pt idx="11">
                  <c:v>291.66666666666669</c:v>
                </c:pt>
                <c:pt idx="12">
                  <c:v>312.5</c:v>
                </c:pt>
                <c:pt idx="13">
                  <c:v>333.33333333333331</c:v>
                </c:pt>
                <c:pt idx="14">
                  <c:v>354.16666666666663</c:v>
                </c:pt>
                <c:pt idx="15">
                  <c:v>374.99999999999994</c:v>
                </c:pt>
                <c:pt idx="16">
                  <c:v>395.83333333333326</c:v>
                </c:pt>
                <c:pt idx="17">
                  <c:v>416.66666666666663</c:v>
                </c:pt>
                <c:pt idx="18">
                  <c:v>437.49999999999989</c:v>
                </c:pt>
                <c:pt idx="19">
                  <c:v>458.3333333333332</c:v>
                </c:pt>
                <c:pt idx="20">
                  <c:v>479.16666666666652</c:v>
                </c:pt>
                <c:pt idx="21">
                  <c:v>499.99999999999983</c:v>
                </c:pt>
                <c:pt idx="22">
                  <c:v>520.83333333333314</c:v>
                </c:pt>
                <c:pt idx="23">
                  <c:v>541.66666666666652</c:v>
                </c:pt>
              </c:numCache>
            </c:numRef>
          </c:val>
          <c:smooth val="0"/>
          <c:extLst>
            <c:ext xmlns:c16="http://schemas.microsoft.com/office/drawing/2014/chart" uri="{C3380CC4-5D6E-409C-BE32-E72D297353CC}">
              <c16:uniqueId val="{00000001-4606-48EE-9147-EA2D23C57247}"/>
            </c:ext>
          </c:extLst>
        </c:ser>
        <c:ser>
          <c:idx val="2"/>
          <c:order val="2"/>
          <c:tx>
            <c:strRef>
              <c:f>'6.2'!$E$30</c:f>
              <c:strCache>
                <c:ptCount val="1"/>
                <c:pt idx="0">
                  <c:v>Total cost</c:v>
                </c:pt>
              </c:strCache>
            </c:strRef>
          </c:tx>
          <c:marker>
            <c:symbol val="none"/>
          </c:marker>
          <c:cat>
            <c:numRef>
              <c:f>'6.2'!$B$31:$B$54</c:f>
              <c:numCache>
                <c:formatCode>General</c:formatCode>
                <c:ptCount val="24"/>
                <c:pt idx="0">
                  <c:v>1000</c:v>
                </c:pt>
                <c:pt idx="1">
                  <c:v>1333.3333333333333</c:v>
                </c:pt>
                <c:pt idx="2">
                  <c:v>1666.6666666666665</c:v>
                </c:pt>
                <c:pt idx="3">
                  <c:v>1999.9999999999998</c:v>
                </c:pt>
                <c:pt idx="4">
                  <c:v>2333.333333333333</c:v>
                </c:pt>
                <c:pt idx="5">
                  <c:v>2666.6666666666665</c:v>
                </c:pt>
                <c:pt idx="6">
                  <c:v>3000</c:v>
                </c:pt>
                <c:pt idx="7">
                  <c:v>3333.3333333333335</c:v>
                </c:pt>
                <c:pt idx="8">
                  <c:v>3666.666666666667</c:v>
                </c:pt>
                <c:pt idx="9">
                  <c:v>4000.0000000000005</c:v>
                </c:pt>
                <c:pt idx="10">
                  <c:v>4333.3333333333339</c:v>
                </c:pt>
                <c:pt idx="11">
                  <c:v>4666.666666666667</c:v>
                </c:pt>
                <c:pt idx="12">
                  <c:v>5000</c:v>
                </c:pt>
                <c:pt idx="13">
                  <c:v>5333.333333333333</c:v>
                </c:pt>
                <c:pt idx="14">
                  <c:v>5666.6666666666661</c:v>
                </c:pt>
                <c:pt idx="15">
                  <c:v>5999.9999999999991</c:v>
                </c:pt>
                <c:pt idx="16">
                  <c:v>6333.3333333333321</c:v>
                </c:pt>
                <c:pt idx="17">
                  <c:v>6666.6666666666652</c:v>
                </c:pt>
                <c:pt idx="18">
                  <c:v>6999.9999999999982</c:v>
                </c:pt>
                <c:pt idx="19">
                  <c:v>7333.3333333333312</c:v>
                </c:pt>
                <c:pt idx="20">
                  <c:v>7666.6666666666642</c:v>
                </c:pt>
                <c:pt idx="21">
                  <c:v>7999.9999999999973</c:v>
                </c:pt>
                <c:pt idx="22">
                  <c:v>8333.3333333333303</c:v>
                </c:pt>
                <c:pt idx="23">
                  <c:v>8666.6666666666642</c:v>
                </c:pt>
              </c:numCache>
            </c:numRef>
          </c:cat>
          <c:val>
            <c:numRef>
              <c:f>'6.2'!$E$31:$E$54</c:f>
              <c:numCache>
                <c:formatCode>General</c:formatCode>
                <c:ptCount val="24"/>
                <c:pt idx="0">
                  <c:v>1062.5</c:v>
                </c:pt>
                <c:pt idx="1">
                  <c:v>833.33333333333337</c:v>
                </c:pt>
                <c:pt idx="2">
                  <c:v>704.16666666666663</c:v>
                </c:pt>
                <c:pt idx="3">
                  <c:v>625</c:v>
                </c:pt>
                <c:pt idx="4">
                  <c:v>574.40476190476193</c:v>
                </c:pt>
                <c:pt idx="5">
                  <c:v>541.66666666666663</c:v>
                </c:pt>
                <c:pt idx="6">
                  <c:v>520.83333333333326</c:v>
                </c:pt>
                <c:pt idx="7">
                  <c:v>508.33333333333337</c:v>
                </c:pt>
                <c:pt idx="8">
                  <c:v>501.89393939393938</c:v>
                </c:pt>
                <c:pt idx="9">
                  <c:v>500</c:v>
                </c:pt>
                <c:pt idx="10">
                  <c:v>501.60256410256409</c:v>
                </c:pt>
                <c:pt idx="11">
                  <c:v>505.95238095238096</c:v>
                </c:pt>
                <c:pt idx="12">
                  <c:v>512.5</c:v>
                </c:pt>
                <c:pt idx="13">
                  <c:v>520.83333333333326</c:v>
                </c:pt>
                <c:pt idx="14">
                  <c:v>530.63725490196077</c:v>
                </c:pt>
                <c:pt idx="15">
                  <c:v>541.66666666666663</c:v>
                </c:pt>
                <c:pt idx="16">
                  <c:v>553.72807017543857</c:v>
                </c:pt>
                <c:pt idx="17">
                  <c:v>566.66666666666663</c:v>
                </c:pt>
                <c:pt idx="18">
                  <c:v>580.35714285714278</c:v>
                </c:pt>
                <c:pt idx="19">
                  <c:v>594.69696969696963</c:v>
                </c:pt>
                <c:pt idx="20">
                  <c:v>609.60144927536226</c:v>
                </c:pt>
                <c:pt idx="21">
                  <c:v>624.99999999999989</c:v>
                </c:pt>
                <c:pt idx="22">
                  <c:v>640.83333333333314</c:v>
                </c:pt>
                <c:pt idx="23">
                  <c:v>657.05128205128199</c:v>
                </c:pt>
              </c:numCache>
            </c:numRef>
          </c:val>
          <c:smooth val="0"/>
          <c:extLst>
            <c:ext xmlns:c16="http://schemas.microsoft.com/office/drawing/2014/chart" uri="{C3380CC4-5D6E-409C-BE32-E72D297353CC}">
              <c16:uniqueId val="{00000002-4606-48EE-9147-EA2D23C57247}"/>
            </c:ext>
          </c:extLst>
        </c:ser>
        <c:dLbls>
          <c:showLegendKey val="0"/>
          <c:showVal val="0"/>
          <c:showCatName val="0"/>
          <c:showSerName val="0"/>
          <c:showPercent val="0"/>
          <c:showBubbleSize val="0"/>
        </c:dLbls>
        <c:smooth val="0"/>
        <c:axId val="342630040"/>
        <c:axId val="342630424"/>
      </c:lineChart>
      <c:catAx>
        <c:axId val="342630040"/>
        <c:scaling>
          <c:orientation val="minMax"/>
        </c:scaling>
        <c:delete val="0"/>
        <c:axPos val="b"/>
        <c:title>
          <c:tx>
            <c:rich>
              <a:bodyPr/>
              <a:lstStyle/>
              <a:p>
                <a:pPr>
                  <a:defRPr/>
                </a:pPr>
                <a:r>
                  <a:rPr lang="en-US"/>
                  <a:t>Production Quantity (Q)</a:t>
                </a:r>
              </a:p>
            </c:rich>
          </c:tx>
          <c:overlay val="0"/>
        </c:title>
        <c:numFmt formatCode="0.00" sourceLinked="0"/>
        <c:majorTickMark val="out"/>
        <c:minorTickMark val="none"/>
        <c:tickLblPos val="nextTo"/>
        <c:crossAx val="342630424"/>
        <c:crosses val="autoZero"/>
        <c:auto val="1"/>
        <c:lblAlgn val="ctr"/>
        <c:lblOffset val="100"/>
        <c:noMultiLvlLbl val="0"/>
      </c:catAx>
      <c:valAx>
        <c:axId val="342630424"/>
        <c:scaling>
          <c:orientation val="minMax"/>
        </c:scaling>
        <c:delete val="0"/>
        <c:axPos val="l"/>
        <c:title>
          <c:tx>
            <c:rich>
              <a:bodyPr/>
              <a:lstStyle/>
              <a:p>
                <a:pPr>
                  <a:defRPr/>
                </a:pPr>
                <a:r>
                  <a:rPr lang="en-US"/>
                  <a:t>Cost ($)</a:t>
                </a:r>
              </a:p>
            </c:rich>
          </c:tx>
          <c:overlay val="0"/>
        </c:title>
        <c:numFmt formatCode="General" sourceLinked="1"/>
        <c:majorTickMark val="out"/>
        <c:minorTickMark val="none"/>
        <c:tickLblPos val="nextTo"/>
        <c:crossAx val="342630040"/>
        <c:crosses val="autoZero"/>
        <c:crossBetween val="midCat"/>
      </c:valAx>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Gantt Chart</a:t>
            </a:r>
          </a:p>
        </c:rich>
      </c:tx>
      <c:overlay val="0"/>
      <c:spPr>
        <a:effectLst/>
      </c:spPr>
    </c:title>
    <c:autoTitleDeleted val="0"/>
    <c:plotArea>
      <c:layout/>
      <c:barChart>
        <c:barDir val="bar"/>
        <c:grouping val="stacked"/>
        <c:varyColors val="0"/>
        <c:ser>
          <c:idx val="0"/>
          <c:order val="0"/>
          <c:tx>
            <c:strRef>
              <c:f>'11.1'!$H$61</c:f>
              <c:strCache>
                <c:ptCount val="1"/>
              </c:strCache>
            </c:strRef>
          </c:tx>
          <c:spPr>
            <a:noFill/>
            <a:ln w="25400">
              <a:noFill/>
            </a:ln>
            <a:effectLst/>
          </c:spPr>
          <c:invertIfNegative val="0"/>
          <c:cat>
            <c:strRef>
              <c:f>'11.1'!$G$62:$G$69</c:f>
              <c:strCache>
                <c:ptCount val="8"/>
                <c:pt idx="0">
                  <c:v>H</c:v>
                </c:pt>
                <c:pt idx="1">
                  <c:v>G</c:v>
                </c:pt>
                <c:pt idx="2">
                  <c:v>F</c:v>
                </c:pt>
                <c:pt idx="3">
                  <c:v>E</c:v>
                </c:pt>
                <c:pt idx="4">
                  <c:v>D</c:v>
                </c:pt>
                <c:pt idx="5">
                  <c:v>C</c:v>
                </c:pt>
                <c:pt idx="6">
                  <c:v>B</c:v>
                </c:pt>
                <c:pt idx="7">
                  <c:v>A</c:v>
                </c:pt>
              </c:strCache>
            </c:strRef>
          </c:cat>
          <c:val>
            <c:numRef>
              <c:f>'11.1'!$H$62:$H$69</c:f>
              <c:numCache>
                <c:formatCode>General</c:formatCode>
                <c:ptCount val="8"/>
                <c:pt idx="0">
                  <c:v>13</c:v>
                </c:pt>
                <c:pt idx="1">
                  <c:v>8</c:v>
                </c:pt>
                <c:pt idx="2">
                  <c:v>4</c:v>
                </c:pt>
                <c:pt idx="3">
                  <c:v>4</c:v>
                </c:pt>
                <c:pt idx="4">
                  <c:v>0</c:v>
                </c:pt>
                <c:pt idx="5">
                  <c:v>2</c:v>
                </c:pt>
                <c:pt idx="6">
                  <c:v>0</c:v>
                </c:pt>
                <c:pt idx="7">
                  <c:v>0</c:v>
                </c:pt>
              </c:numCache>
            </c:numRef>
          </c:val>
          <c:extLst>
            <c:ext xmlns:c16="http://schemas.microsoft.com/office/drawing/2014/chart" uri="{C3380CC4-5D6E-409C-BE32-E72D297353CC}">
              <c16:uniqueId val="{00000000-641C-4CE1-8052-AD042F32F6DA}"/>
            </c:ext>
          </c:extLst>
        </c:ser>
        <c:ser>
          <c:idx val="1"/>
          <c:order val="1"/>
          <c:tx>
            <c:strRef>
              <c:f>'11.1'!$I$61</c:f>
              <c:strCache>
                <c:ptCount val="1"/>
                <c:pt idx="0">
                  <c:v>Critical Activity</c:v>
                </c:pt>
              </c:strCache>
            </c:strRef>
          </c:tx>
          <c:spPr>
            <a:gradFill flip="none" rotWithShape="1">
              <a:gsLst>
                <a:gs pos="0">
                  <a:srgbClr val="FF0000"/>
                </a:gs>
                <a:gs pos="100000">
                  <a:srgbClr val="FF0000">
                    <a:shade val="46275"/>
                  </a:srgbClr>
                </a:gs>
              </a:gsLst>
              <a:lin ang="5400000" scaled="1"/>
              <a:tileRect/>
            </a:gradFill>
            <a:effectLst/>
          </c:spPr>
          <c:invertIfNegative val="0"/>
          <c:cat>
            <c:strRef>
              <c:f>'11.1'!$G$62:$G$69</c:f>
              <c:strCache>
                <c:ptCount val="8"/>
                <c:pt idx="0">
                  <c:v>H</c:v>
                </c:pt>
                <c:pt idx="1">
                  <c:v>G</c:v>
                </c:pt>
                <c:pt idx="2">
                  <c:v>F</c:v>
                </c:pt>
                <c:pt idx="3">
                  <c:v>E</c:v>
                </c:pt>
                <c:pt idx="4">
                  <c:v>D</c:v>
                </c:pt>
                <c:pt idx="5">
                  <c:v>C</c:v>
                </c:pt>
                <c:pt idx="6">
                  <c:v>B</c:v>
                </c:pt>
                <c:pt idx="7">
                  <c:v>A</c:v>
                </c:pt>
              </c:strCache>
            </c:strRef>
          </c:cat>
          <c:val>
            <c:numRef>
              <c:f>'11.1'!$I$62:$I$69</c:f>
              <c:numCache>
                <c:formatCode>General</c:formatCode>
                <c:ptCount val="8"/>
                <c:pt idx="0">
                  <c:v>2</c:v>
                </c:pt>
                <c:pt idx="1">
                  <c:v>5</c:v>
                </c:pt>
                <c:pt idx="2">
                  <c:v>0</c:v>
                </c:pt>
                <c:pt idx="3">
                  <c:v>4</c:v>
                </c:pt>
                <c:pt idx="4">
                  <c:v>0</c:v>
                </c:pt>
                <c:pt idx="5">
                  <c:v>2</c:v>
                </c:pt>
                <c:pt idx="6">
                  <c:v>0</c:v>
                </c:pt>
                <c:pt idx="7">
                  <c:v>2</c:v>
                </c:pt>
              </c:numCache>
            </c:numRef>
          </c:val>
          <c:extLst>
            <c:ext xmlns:c16="http://schemas.microsoft.com/office/drawing/2014/chart" uri="{C3380CC4-5D6E-409C-BE32-E72D297353CC}">
              <c16:uniqueId val="{00000001-641C-4CE1-8052-AD042F32F6DA}"/>
            </c:ext>
          </c:extLst>
        </c:ser>
        <c:ser>
          <c:idx val="2"/>
          <c:order val="2"/>
          <c:tx>
            <c:strRef>
              <c:f>'11.1'!$J$61</c:f>
              <c:strCache>
                <c:ptCount val="1"/>
                <c:pt idx="0">
                  <c:v>Noncritical Activity</c:v>
                </c:pt>
              </c:strCache>
            </c:strRef>
          </c:tx>
          <c:spPr>
            <a:gradFill flip="none" rotWithShape="1">
              <a:gsLst>
                <a:gs pos="0">
                  <a:srgbClr val="FFFFCC"/>
                </a:gs>
                <a:gs pos="100000">
                  <a:srgbClr val="9BBB59">
                    <a:shade val="46275"/>
                  </a:srgbClr>
                </a:gs>
              </a:gsLst>
              <a:lin ang="5400000" scaled="1"/>
              <a:tileRect/>
            </a:gradFill>
            <a:effectLst/>
          </c:spPr>
          <c:invertIfNegative val="0"/>
          <c:cat>
            <c:strRef>
              <c:f>'11.1'!$G$62:$G$69</c:f>
              <c:strCache>
                <c:ptCount val="8"/>
                <c:pt idx="0">
                  <c:v>H</c:v>
                </c:pt>
                <c:pt idx="1">
                  <c:v>G</c:v>
                </c:pt>
                <c:pt idx="2">
                  <c:v>F</c:v>
                </c:pt>
                <c:pt idx="3">
                  <c:v>E</c:v>
                </c:pt>
                <c:pt idx="4">
                  <c:v>D</c:v>
                </c:pt>
                <c:pt idx="5">
                  <c:v>C</c:v>
                </c:pt>
                <c:pt idx="6">
                  <c:v>B</c:v>
                </c:pt>
                <c:pt idx="7">
                  <c:v>A</c:v>
                </c:pt>
              </c:strCache>
            </c:strRef>
          </c:cat>
          <c:val>
            <c:numRef>
              <c:f>'11.1'!$J$62:$J$69</c:f>
              <c:numCache>
                <c:formatCode>General</c:formatCode>
                <c:ptCount val="8"/>
                <c:pt idx="0">
                  <c:v>0</c:v>
                </c:pt>
                <c:pt idx="1">
                  <c:v>0</c:v>
                </c:pt>
                <c:pt idx="2">
                  <c:v>3</c:v>
                </c:pt>
                <c:pt idx="3">
                  <c:v>0</c:v>
                </c:pt>
                <c:pt idx="4">
                  <c:v>4</c:v>
                </c:pt>
                <c:pt idx="5">
                  <c:v>0</c:v>
                </c:pt>
                <c:pt idx="6">
                  <c:v>3</c:v>
                </c:pt>
                <c:pt idx="7">
                  <c:v>0</c:v>
                </c:pt>
              </c:numCache>
            </c:numRef>
          </c:val>
          <c:extLst>
            <c:ext xmlns:c16="http://schemas.microsoft.com/office/drawing/2014/chart" uri="{C3380CC4-5D6E-409C-BE32-E72D297353CC}">
              <c16:uniqueId val="{00000002-641C-4CE1-8052-AD042F32F6DA}"/>
            </c:ext>
          </c:extLst>
        </c:ser>
        <c:ser>
          <c:idx val="3"/>
          <c:order val="3"/>
          <c:tx>
            <c:strRef>
              <c:f>'11.1'!$K$61</c:f>
              <c:strCache>
                <c:ptCount val="1"/>
                <c:pt idx="0">
                  <c:v>Slack</c:v>
                </c:pt>
              </c:strCache>
            </c:strRef>
          </c:tx>
          <c:spPr>
            <a:gradFill flip="none" rotWithShape="1">
              <a:gsLst>
                <a:gs pos="0">
                  <a:srgbClr val="C0C0C0"/>
                </a:gs>
                <a:gs pos="100000">
                  <a:srgbClr val="4F81BD">
                    <a:shade val="46275"/>
                  </a:srgbClr>
                </a:gs>
              </a:gsLst>
              <a:lin ang="5400000" scaled="1"/>
              <a:tileRect/>
            </a:gradFill>
            <a:effectLst/>
          </c:spPr>
          <c:invertIfNegative val="0"/>
          <c:cat>
            <c:strRef>
              <c:f>'11.1'!$G$62:$G$69</c:f>
              <c:strCache>
                <c:ptCount val="8"/>
                <c:pt idx="0">
                  <c:v>H</c:v>
                </c:pt>
                <c:pt idx="1">
                  <c:v>G</c:v>
                </c:pt>
                <c:pt idx="2">
                  <c:v>F</c:v>
                </c:pt>
                <c:pt idx="3">
                  <c:v>E</c:v>
                </c:pt>
                <c:pt idx="4">
                  <c:v>D</c:v>
                </c:pt>
                <c:pt idx="5">
                  <c:v>C</c:v>
                </c:pt>
                <c:pt idx="6">
                  <c:v>B</c:v>
                </c:pt>
                <c:pt idx="7">
                  <c:v>A</c:v>
                </c:pt>
              </c:strCache>
            </c:strRef>
          </c:cat>
          <c:val>
            <c:numRef>
              <c:f>'11.1'!$K$62:$K$69</c:f>
              <c:numCache>
                <c:formatCode>General</c:formatCode>
                <c:ptCount val="8"/>
                <c:pt idx="0">
                  <c:v>0</c:v>
                </c:pt>
                <c:pt idx="1">
                  <c:v>0</c:v>
                </c:pt>
                <c:pt idx="2">
                  <c:v>6</c:v>
                </c:pt>
                <c:pt idx="3">
                  <c:v>0</c:v>
                </c:pt>
                <c:pt idx="4">
                  <c:v>4</c:v>
                </c:pt>
                <c:pt idx="5">
                  <c:v>0</c:v>
                </c:pt>
                <c:pt idx="6">
                  <c:v>12</c:v>
                </c:pt>
                <c:pt idx="7">
                  <c:v>0</c:v>
                </c:pt>
              </c:numCache>
            </c:numRef>
          </c:val>
          <c:extLst>
            <c:ext xmlns:c16="http://schemas.microsoft.com/office/drawing/2014/chart" uri="{C3380CC4-5D6E-409C-BE32-E72D297353CC}">
              <c16:uniqueId val="{00000003-641C-4CE1-8052-AD042F32F6DA}"/>
            </c:ext>
          </c:extLst>
        </c:ser>
        <c:dLbls>
          <c:showLegendKey val="0"/>
          <c:showVal val="0"/>
          <c:showCatName val="0"/>
          <c:showSerName val="0"/>
          <c:showPercent val="0"/>
          <c:showBubbleSize val="0"/>
        </c:dLbls>
        <c:gapWidth val="150"/>
        <c:overlap val="100"/>
        <c:axId val="373638856"/>
        <c:axId val="373739984"/>
      </c:barChart>
      <c:catAx>
        <c:axId val="373638856"/>
        <c:scaling>
          <c:orientation val="minMax"/>
        </c:scaling>
        <c:delete val="0"/>
        <c:axPos val="l"/>
        <c:numFmt formatCode="General" sourceLinked="0"/>
        <c:majorTickMark val="out"/>
        <c:minorTickMark val="none"/>
        <c:tickLblPos val="nextTo"/>
        <c:crossAx val="373739984"/>
        <c:crosses val="autoZero"/>
        <c:auto val="1"/>
        <c:lblAlgn val="ctr"/>
        <c:lblOffset val="100"/>
        <c:tickLblSkip val="1"/>
        <c:tickMarkSkip val="1"/>
        <c:noMultiLvlLbl val="0"/>
      </c:catAx>
      <c:valAx>
        <c:axId val="373739984"/>
        <c:scaling>
          <c:orientation val="minMax"/>
        </c:scaling>
        <c:delete val="0"/>
        <c:axPos val="b"/>
        <c:majorGridlines/>
        <c:title>
          <c:tx>
            <c:rich>
              <a:bodyPr/>
              <a:lstStyle/>
              <a:p>
                <a:pPr>
                  <a:defRPr/>
                </a:pPr>
                <a:r>
                  <a:rPr lang="en-US"/>
                  <a:t>Time</a:t>
                </a:r>
              </a:p>
            </c:rich>
          </c:tx>
          <c:overlay val="0"/>
        </c:title>
        <c:numFmt formatCode="General" sourceLinked="1"/>
        <c:majorTickMark val="out"/>
        <c:minorTickMark val="none"/>
        <c:tickLblPos val="nextTo"/>
        <c:crossAx val="373638856"/>
        <c:crossesAt val="1"/>
        <c:crossBetween val="between"/>
      </c:valAx>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p-chart</a:t>
            </a:r>
          </a:p>
        </c:rich>
      </c:tx>
      <c:overlay val="0"/>
      <c:spPr>
        <a:effectLst/>
      </c:spPr>
    </c:title>
    <c:autoTitleDeleted val="0"/>
    <c:plotArea>
      <c:layout/>
      <c:lineChart>
        <c:grouping val="standard"/>
        <c:varyColors val="0"/>
        <c:ser>
          <c:idx val="0"/>
          <c:order val="0"/>
          <c:tx>
            <c:strRef>
              <c:f>'15.3'!$B$34</c:f>
              <c:strCache>
                <c:ptCount val="1"/>
              </c:strCache>
            </c:strRef>
          </c:tx>
          <c:spPr>
            <a:ln w="25400">
              <a:noFill/>
            </a:ln>
          </c:spPr>
          <c:val>
            <c:numRef>
              <c:f>'15.3'!$B$35:$B$54</c:f>
              <c:numCache>
                <c:formatCode>General</c:formatCode>
                <c:ptCount val="20"/>
                <c:pt idx="0">
                  <c:v>0.06</c:v>
                </c:pt>
                <c:pt idx="1">
                  <c:v>0.05</c:v>
                </c:pt>
                <c:pt idx="2">
                  <c:v>0</c:v>
                </c:pt>
                <c:pt idx="3">
                  <c:v>0.01</c:v>
                </c:pt>
                <c:pt idx="4">
                  <c:v>0.04</c:v>
                </c:pt>
                <c:pt idx="5">
                  <c:v>0.02</c:v>
                </c:pt>
                <c:pt idx="6">
                  <c:v>0.05</c:v>
                </c:pt>
                <c:pt idx="7">
                  <c:v>0.03</c:v>
                </c:pt>
                <c:pt idx="8">
                  <c:v>0.03</c:v>
                </c:pt>
                <c:pt idx="9">
                  <c:v>0.02</c:v>
                </c:pt>
                <c:pt idx="10">
                  <c:v>0.06</c:v>
                </c:pt>
                <c:pt idx="11">
                  <c:v>0.01</c:v>
                </c:pt>
                <c:pt idx="12">
                  <c:v>0.08</c:v>
                </c:pt>
                <c:pt idx="13">
                  <c:v>7.0000000000000007E-2</c:v>
                </c:pt>
                <c:pt idx="14">
                  <c:v>0.05</c:v>
                </c:pt>
                <c:pt idx="15">
                  <c:v>0.04</c:v>
                </c:pt>
                <c:pt idx="16">
                  <c:v>0.11</c:v>
                </c:pt>
                <c:pt idx="17">
                  <c:v>0.03</c:v>
                </c:pt>
                <c:pt idx="18">
                  <c:v>0</c:v>
                </c:pt>
                <c:pt idx="19">
                  <c:v>0.04</c:v>
                </c:pt>
              </c:numCache>
            </c:numRef>
          </c:val>
          <c:smooth val="0"/>
          <c:extLst>
            <c:ext xmlns:c16="http://schemas.microsoft.com/office/drawing/2014/chart" uri="{C3380CC4-5D6E-409C-BE32-E72D297353CC}">
              <c16:uniqueId val="{00000000-3B52-4151-BBA9-2C4B372295B9}"/>
            </c:ext>
          </c:extLst>
        </c:ser>
        <c:ser>
          <c:idx val="1"/>
          <c:order val="1"/>
          <c:tx>
            <c:strRef>
              <c:f>'15.3'!$C$34</c:f>
              <c:strCache>
                <c:ptCount val="1"/>
              </c:strCache>
            </c:strRef>
          </c:tx>
          <c:spPr>
            <a:ln w="12700">
              <a:solidFill>
                <a:srgbClr val="000000"/>
              </a:solidFill>
              <a:prstDash val="solid"/>
            </a:ln>
          </c:spPr>
          <c:marker>
            <c:symbol val="none"/>
          </c:marker>
          <c:val>
            <c:numRef>
              <c:f>'15.3'!$C$35:$C$54</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1-3B52-4151-BBA9-2C4B372295B9}"/>
            </c:ext>
          </c:extLst>
        </c:ser>
        <c:ser>
          <c:idx val="2"/>
          <c:order val="2"/>
          <c:tx>
            <c:strRef>
              <c:f>'15.3'!$D$34</c:f>
              <c:strCache>
                <c:ptCount val="1"/>
              </c:strCache>
            </c:strRef>
          </c:tx>
          <c:spPr>
            <a:ln w="12700">
              <a:solidFill>
                <a:srgbClr val="000000"/>
              </a:solidFill>
              <a:prstDash val="solid"/>
            </a:ln>
          </c:spPr>
          <c:marker>
            <c:symbol val="none"/>
          </c:marker>
          <c:val>
            <c:numRef>
              <c:f>'15.3'!$D$35:$D$54</c:f>
              <c:numCache>
                <c:formatCode>General</c:formatCode>
                <c:ptCount val="20"/>
                <c:pt idx="0">
                  <c:v>0.04</c:v>
                </c:pt>
                <c:pt idx="1">
                  <c:v>0.04</c:v>
                </c:pt>
                <c:pt idx="2">
                  <c:v>0.04</c:v>
                </c:pt>
                <c:pt idx="3">
                  <c:v>0.04</c:v>
                </c:pt>
                <c:pt idx="4">
                  <c:v>0.04</c:v>
                </c:pt>
                <c:pt idx="5">
                  <c:v>0.04</c:v>
                </c:pt>
                <c:pt idx="6">
                  <c:v>0.04</c:v>
                </c:pt>
                <c:pt idx="7">
                  <c:v>0.04</c:v>
                </c:pt>
                <c:pt idx="8">
                  <c:v>0.04</c:v>
                </c:pt>
                <c:pt idx="9">
                  <c:v>0.04</c:v>
                </c:pt>
                <c:pt idx="10">
                  <c:v>0.04</c:v>
                </c:pt>
                <c:pt idx="11">
                  <c:v>0.04</c:v>
                </c:pt>
                <c:pt idx="12">
                  <c:v>0.04</c:v>
                </c:pt>
                <c:pt idx="13">
                  <c:v>0.04</c:v>
                </c:pt>
                <c:pt idx="14">
                  <c:v>0.04</c:v>
                </c:pt>
                <c:pt idx="15">
                  <c:v>0.04</c:v>
                </c:pt>
                <c:pt idx="16">
                  <c:v>0.04</c:v>
                </c:pt>
                <c:pt idx="17">
                  <c:v>0.04</c:v>
                </c:pt>
                <c:pt idx="18">
                  <c:v>0.04</c:v>
                </c:pt>
                <c:pt idx="19">
                  <c:v>0.04</c:v>
                </c:pt>
              </c:numCache>
            </c:numRef>
          </c:val>
          <c:smooth val="0"/>
          <c:extLst>
            <c:ext xmlns:c16="http://schemas.microsoft.com/office/drawing/2014/chart" uri="{C3380CC4-5D6E-409C-BE32-E72D297353CC}">
              <c16:uniqueId val="{00000002-3B52-4151-BBA9-2C4B372295B9}"/>
            </c:ext>
          </c:extLst>
        </c:ser>
        <c:ser>
          <c:idx val="3"/>
          <c:order val="3"/>
          <c:tx>
            <c:strRef>
              <c:f>'15.3'!$E$34</c:f>
              <c:strCache>
                <c:ptCount val="1"/>
              </c:strCache>
            </c:strRef>
          </c:tx>
          <c:marker>
            <c:symbol val="none"/>
          </c:marker>
          <c:val>
            <c:numRef>
              <c:f>'15.3'!$E$35:$E$54</c:f>
              <c:numCache>
                <c:formatCode>General</c:formatCode>
                <c:ptCount val="20"/>
                <c:pt idx="0">
                  <c:v>9.8787753826796276E-2</c:v>
                </c:pt>
                <c:pt idx="1">
                  <c:v>9.8787753826796276E-2</c:v>
                </c:pt>
                <c:pt idx="2">
                  <c:v>9.8787753826796276E-2</c:v>
                </c:pt>
                <c:pt idx="3">
                  <c:v>9.8787753826796276E-2</c:v>
                </c:pt>
                <c:pt idx="4">
                  <c:v>9.8787753826796276E-2</c:v>
                </c:pt>
                <c:pt idx="5">
                  <c:v>9.8787753826796276E-2</c:v>
                </c:pt>
                <c:pt idx="6">
                  <c:v>9.8787753826796276E-2</c:v>
                </c:pt>
                <c:pt idx="7">
                  <c:v>9.8787753826796276E-2</c:v>
                </c:pt>
                <c:pt idx="8">
                  <c:v>9.8787753826796276E-2</c:v>
                </c:pt>
                <c:pt idx="9">
                  <c:v>9.8787753826796276E-2</c:v>
                </c:pt>
                <c:pt idx="10">
                  <c:v>9.8787753826796276E-2</c:v>
                </c:pt>
                <c:pt idx="11">
                  <c:v>9.8787753826796276E-2</c:v>
                </c:pt>
                <c:pt idx="12">
                  <c:v>9.8787753826796276E-2</c:v>
                </c:pt>
                <c:pt idx="13">
                  <c:v>9.8787753826796276E-2</c:v>
                </c:pt>
                <c:pt idx="14">
                  <c:v>9.8787753826796276E-2</c:v>
                </c:pt>
                <c:pt idx="15">
                  <c:v>9.8787753826796276E-2</c:v>
                </c:pt>
                <c:pt idx="16">
                  <c:v>9.8787753826796276E-2</c:v>
                </c:pt>
                <c:pt idx="17">
                  <c:v>9.8787753826796276E-2</c:v>
                </c:pt>
                <c:pt idx="18">
                  <c:v>9.8787753826796276E-2</c:v>
                </c:pt>
                <c:pt idx="19">
                  <c:v>9.8787753826796276E-2</c:v>
                </c:pt>
              </c:numCache>
            </c:numRef>
          </c:val>
          <c:smooth val="0"/>
          <c:extLst>
            <c:ext xmlns:c16="http://schemas.microsoft.com/office/drawing/2014/chart" uri="{C3380CC4-5D6E-409C-BE32-E72D297353CC}">
              <c16:uniqueId val="{00000003-3B52-4151-BBA9-2C4B372295B9}"/>
            </c:ext>
          </c:extLst>
        </c:ser>
        <c:dLbls>
          <c:showLegendKey val="0"/>
          <c:showVal val="0"/>
          <c:showCatName val="0"/>
          <c:showSerName val="0"/>
          <c:showPercent val="0"/>
          <c:showBubbleSize val="0"/>
        </c:dLbls>
        <c:marker val="1"/>
        <c:smooth val="0"/>
        <c:axId val="377063808"/>
        <c:axId val="376530056"/>
      </c:lineChart>
      <c:catAx>
        <c:axId val="377063808"/>
        <c:scaling>
          <c:orientation val="minMax"/>
        </c:scaling>
        <c:delete val="0"/>
        <c:axPos val="b"/>
        <c:title>
          <c:tx>
            <c:rich>
              <a:bodyPr/>
              <a:lstStyle/>
              <a:p>
                <a:pPr>
                  <a:defRPr/>
                </a:pPr>
                <a:r>
                  <a:rPr lang="en-US"/>
                  <a:t>Sample</a:t>
                </a:r>
              </a:p>
            </c:rich>
          </c:tx>
          <c:overlay val="0"/>
        </c:title>
        <c:majorTickMark val="out"/>
        <c:minorTickMark val="none"/>
        <c:tickLblPos val="nextTo"/>
        <c:crossAx val="376530056"/>
        <c:crosses val="autoZero"/>
        <c:auto val="1"/>
        <c:lblAlgn val="ctr"/>
        <c:lblOffset val="100"/>
        <c:noMultiLvlLbl val="0"/>
      </c:catAx>
      <c:valAx>
        <c:axId val="376530056"/>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377063808"/>
        <c:crosses val="autoZero"/>
        <c:crossBetween val="midCat"/>
      </c:valAx>
    </c:plotArea>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c-chart</a:t>
            </a:r>
          </a:p>
        </c:rich>
      </c:tx>
      <c:overlay val="0"/>
      <c:spPr>
        <a:effectLst/>
      </c:spPr>
    </c:title>
    <c:autoTitleDeleted val="0"/>
    <c:plotArea>
      <c:layout/>
      <c:lineChart>
        <c:grouping val="standard"/>
        <c:varyColors val="0"/>
        <c:ser>
          <c:idx val="0"/>
          <c:order val="0"/>
          <c:tx>
            <c:strRef>
              <c:f>'15.4'!$B$23</c:f>
              <c:strCache>
                <c:ptCount val="1"/>
              </c:strCache>
            </c:strRef>
          </c:tx>
          <c:spPr>
            <a:ln w="25400">
              <a:noFill/>
            </a:ln>
          </c:spPr>
          <c:val>
            <c:numRef>
              <c:f>'15.4'!$B$24:$B$32</c:f>
              <c:numCache>
                <c:formatCode>General</c:formatCode>
                <c:ptCount val="9"/>
                <c:pt idx="0">
                  <c:v>3</c:v>
                </c:pt>
                <c:pt idx="1">
                  <c:v>0</c:v>
                </c:pt>
                <c:pt idx="2">
                  <c:v>8</c:v>
                </c:pt>
                <c:pt idx="3">
                  <c:v>9</c:v>
                </c:pt>
                <c:pt idx="4">
                  <c:v>6</c:v>
                </c:pt>
                <c:pt idx="5">
                  <c:v>7</c:v>
                </c:pt>
                <c:pt idx="6">
                  <c:v>4</c:v>
                </c:pt>
                <c:pt idx="7">
                  <c:v>9</c:v>
                </c:pt>
                <c:pt idx="8">
                  <c:v>8</c:v>
                </c:pt>
              </c:numCache>
            </c:numRef>
          </c:val>
          <c:smooth val="0"/>
          <c:extLst>
            <c:ext xmlns:c16="http://schemas.microsoft.com/office/drawing/2014/chart" uri="{C3380CC4-5D6E-409C-BE32-E72D297353CC}">
              <c16:uniqueId val="{00000000-0A6E-4DC8-85CD-B7BD890E608D}"/>
            </c:ext>
          </c:extLst>
        </c:ser>
        <c:ser>
          <c:idx val="1"/>
          <c:order val="1"/>
          <c:tx>
            <c:strRef>
              <c:f>'15.4'!$C$23</c:f>
              <c:strCache>
                <c:ptCount val="1"/>
              </c:strCache>
            </c:strRef>
          </c:tx>
          <c:spPr>
            <a:ln w="12700">
              <a:solidFill>
                <a:srgbClr val="000000"/>
              </a:solidFill>
              <a:prstDash val="solid"/>
            </a:ln>
          </c:spPr>
          <c:marker>
            <c:symbol val="none"/>
          </c:marker>
          <c:val>
            <c:numRef>
              <c:f>'15.4'!$C$24:$C$32</c:f>
              <c:numCache>
                <c:formatCode>General</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0A6E-4DC8-85CD-B7BD890E608D}"/>
            </c:ext>
          </c:extLst>
        </c:ser>
        <c:ser>
          <c:idx val="2"/>
          <c:order val="2"/>
          <c:tx>
            <c:strRef>
              <c:f>'15.4'!$D$23</c:f>
              <c:strCache>
                <c:ptCount val="1"/>
              </c:strCache>
            </c:strRef>
          </c:tx>
          <c:spPr>
            <a:ln w="12700">
              <a:solidFill>
                <a:srgbClr val="000000"/>
              </a:solidFill>
              <a:prstDash val="solid"/>
            </a:ln>
          </c:spPr>
          <c:marker>
            <c:symbol val="none"/>
          </c:marker>
          <c:val>
            <c:numRef>
              <c:f>'15.4'!$D$24:$D$32</c:f>
              <c:numCache>
                <c:formatCode>General</c:formatCode>
                <c:ptCount val="9"/>
                <c:pt idx="0">
                  <c:v>6</c:v>
                </c:pt>
                <c:pt idx="1">
                  <c:v>6</c:v>
                </c:pt>
                <c:pt idx="2">
                  <c:v>6</c:v>
                </c:pt>
                <c:pt idx="3">
                  <c:v>6</c:v>
                </c:pt>
                <c:pt idx="4">
                  <c:v>6</c:v>
                </c:pt>
                <c:pt idx="5">
                  <c:v>6</c:v>
                </c:pt>
                <c:pt idx="6">
                  <c:v>6</c:v>
                </c:pt>
                <c:pt idx="7">
                  <c:v>6</c:v>
                </c:pt>
                <c:pt idx="8">
                  <c:v>6</c:v>
                </c:pt>
              </c:numCache>
            </c:numRef>
          </c:val>
          <c:smooth val="0"/>
          <c:extLst>
            <c:ext xmlns:c16="http://schemas.microsoft.com/office/drawing/2014/chart" uri="{C3380CC4-5D6E-409C-BE32-E72D297353CC}">
              <c16:uniqueId val="{00000002-0A6E-4DC8-85CD-B7BD890E608D}"/>
            </c:ext>
          </c:extLst>
        </c:ser>
        <c:ser>
          <c:idx val="3"/>
          <c:order val="3"/>
          <c:tx>
            <c:strRef>
              <c:f>'15.4'!$E$23</c:f>
              <c:strCache>
                <c:ptCount val="1"/>
              </c:strCache>
            </c:strRef>
          </c:tx>
          <c:marker>
            <c:symbol val="none"/>
          </c:marker>
          <c:val>
            <c:numRef>
              <c:f>'15.4'!$E$24:$E$32</c:f>
              <c:numCache>
                <c:formatCode>General</c:formatCode>
                <c:ptCount val="9"/>
                <c:pt idx="0">
                  <c:v>13.348469228349533</c:v>
                </c:pt>
                <c:pt idx="1">
                  <c:v>13.348469228349533</c:v>
                </c:pt>
                <c:pt idx="2">
                  <c:v>13.348469228349533</c:v>
                </c:pt>
                <c:pt idx="3">
                  <c:v>13.348469228349533</c:v>
                </c:pt>
                <c:pt idx="4">
                  <c:v>13.348469228349533</c:v>
                </c:pt>
                <c:pt idx="5">
                  <c:v>13.348469228349533</c:v>
                </c:pt>
                <c:pt idx="6">
                  <c:v>13.348469228349533</c:v>
                </c:pt>
                <c:pt idx="7">
                  <c:v>13.348469228349533</c:v>
                </c:pt>
                <c:pt idx="8">
                  <c:v>13.348469228349533</c:v>
                </c:pt>
              </c:numCache>
            </c:numRef>
          </c:val>
          <c:smooth val="0"/>
          <c:extLst>
            <c:ext xmlns:c16="http://schemas.microsoft.com/office/drawing/2014/chart" uri="{C3380CC4-5D6E-409C-BE32-E72D297353CC}">
              <c16:uniqueId val="{00000003-0A6E-4DC8-85CD-B7BD890E608D}"/>
            </c:ext>
          </c:extLst>
        </c:ser>
        <c:dLbls>
          <c:showLegendKey val="0"/>
          <c:showVal val="0"/>
          <c:showCatName val="0"/>
          <c:showSerName val="0"/>
          <c:showPercent val="0"/>
          <c:showBubbleSize val="0"/>
        </c:dLbls>
        <c:marker val="1"/>
        <c:smooth val="0"/>
        <c:axId val="285213152"/>
        <c:axId val="285213536"/>
      </c:lineChart>
      <c:catAx>
        <c:axId val="285213152"/>
        <c:scaling>
          <c:orientation val="minMax"/>
        </c:scaling>
        <c:delete val="0"/>
        <c:axPos val="b"/>
        <c:title>
          <c:tx>
            <c:rich>
              <a:bodyPr/>
              <a:lstStyle/>
              <a:p>
                <a:pPr>
                  <a:defRPr/>
                </a:pPr>
                <a:r>
                  <a:rPr lang="en-US"/>
                  <a:t>Sample</a:t>
                </a:r>
              </a:p>
            </c:rich>
          </c:tx>
          <c:overlay val="0"/>
        </c:title>
        <c:majorTickMark val="out"/>
        <c:minorTickMark val="none"/>
        <c:tickLblPos val="nextTo"/>
        <c:crossAx val="285213536"/>
        <c:crosses val="autoZero"/>
        <c:auto val="1"/>
        <c:lblAlgn val="ctr"/>
        <c:lblOffset val="100"/>
        <c:noMultiLvlLbl val="0"/>
      </c:catAx>
      <c:valAx>
        <c:axId val="285213536"/>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85213152"/>
        <c:crosses val="autoZero"/>
        <c:crossBetween val="midCat"/>
      </c:valAx>
    </c:plotArea>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304800</xdr:colOff>
      <xdr:row>3</xdr:row>
      <xdr:rowOff>0</xdr:rowOff>
    </xdr:from>
    <xdr:to>
      <xdr:col>23</xdr:col>
      <xdr:colOff>454025</xdr:colOff>
      <xdr:row>22</xdr:row>
      <xdr:rowOff>63500</xdr:rowOff>
    </xdr:to>
    <xdr:graphicFrame macro="">
      <xdr:nvGraphicFramePr>
        <xdr:cNvPr id="2" name="hjwGraph">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2</xdr:col>
      <xdr:colOff>327025</xdr:colOff>
      <xdr:row>6</xdr:row>
      <xdr:rowOff>85725</xdr:rowOff>
    </xdr:to>
    <xdr:sp macro="" textlink="">
      <xdr:nvSpPr>
        <xdr:cNvPr id="3" name="messageTextbox">
          <a:extLst>
            <a:ext uri="{FF2B5EF4-FFF2-40B4-BE49-F238E27FC236}">
              <a16:creationId xmlns:a16="http://schemas.microsoft.com/office/drawing/2014/main" id="{00000000-0008-0000-0100-000003000000}"/>
            </a:ext>
          </a:extLst>
        </xdr:cNvPr>
        <xdr:cNvSpPr txBox="1"/>
      </xdr:nvSpPr>
      <xdr:spPr>
        <a:xfrm>
          <a:off x="254000" y="590550"/>
          <a:ext cx="254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fixed and variable costs and the selling price in the data area. You may enter a volume at which to perform a volume analysis.</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253999</xdr:colOff>
      <xdr:row>3</xdr:row>
      <xdr:rowOff>0</xdr:rowOff>
    </xdr:from>
    <xdr:to>
      <xdr:col>8</xdr:col>
      <xdr:colOff>257174</xdr:colOff>
      <xdr:row>4</xdr:row>
      <xdr:rowOff>155575</xdr:rowOff>
    </xdr:to>
    <xdr:sp macro="" textlink="">
      <xdr:nvSpPr>
        <xdr:cNvPr id="2" name="messageTextbox">
          <a:extLst>
            <a:ext uri="{FF2B5EF4-FFF2-40B4-BE49-F238E27FC236}">
              <a16:creationId xmlns:a16="http://schemas.microsoft.com/office/drawing/2014/main" id="{00000000-0008-0000-0800-000002000000}"/>
            </a:ext>
          </a:extLst>
        </xdr:cNvPr>
        <xdr:cNvSpPr txBox="1"/>
      </xdr:nvSpPr>
      <xdr:spPr>
        <a:xfrm>
          <a:off x="253999" y="590550"/>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profits in the main body of the data table. Enter probabilities in the first row if you want to compute the expected value.</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253999</xdr:colOff>
      <xdr:row>3</xdr:row>
      <xdr:rowOff>0</xdr:rowOff>
    </xdr:from>
    <xdr:to>
      <xdr:col>6</xdr:col>
      <xdr:colOff>53974</xdr:colOff>
      <xdr:row>4</xdr:row>
      <xdr:rowOff>155575</xdr:rowOff>
    </xdr:to>
    <xdr:sp macro="" textlink="">
      <xdr:nvSpPr>
        <xdr:cNvPr id="2" name="messageTextbox">
          <a:extLst>
            <a:ext uri="{FF2B5EF4-FFF2-40B4-BE49-F238E27FC236}">
              <a16:creationId xmlns:a16="http://schemas.microsoft.com/office/drawing/2014/main" id="{00000000-0008-0000-0B00-000002000000}"/>
            </a:ext>
          </a:extLst>
        </xdr:cNvPr>
        <xdr:cNvSpPr txBox="1"/>
      </xdr:nvSpPr>
      <xdr:spPr>
        <a:xfrm>
          <a:off x="253999" y="590550"/>
          <a:ext cx="381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To get a forecast use the shaded data area at the bottom left of the sheet.</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253999</xdr:colOff>
      <xdr:row>3</xdr:row>
      <xdr:rowOff>0</xdr:rowOff>
    </xdr:from>
    <xdr:to>
      <xdr:col>4</xdr:col>
      <xdr:colOff>384174</xdr:colOff>
      <xdr:row>5</xdr:row>
      <xdr:rowOff>120650</xdr:rowOff>
    </xdr:to>
    <xdr:sp macro="" textlink="">
      <xdr:nvSpPr>
        <xdr:cNvPr id="2" name="messageTextbox">
          <a:extLst>
            <a:ext uri="{FF2B5EF4-FFF2-40B4-BE49-F238E27FC236}">
              <a16:creationId xmlns:a16="http://schemas.microsoft.com/office/drawing/2014/main" id="{00000000-0008-0000-1100-000002000000}"/>
            </a:ext>
          </a:extLst>
        </xdr:cNvPr>
        <xdr:cNvSpPr txBox="1"/>
      </xdr:nvSpPr>
      <xdr:spPr>
        <a:xfrm>
          <a:off x="253999" y="590550"/>
          <a:ext cx="2921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Enter weights in INCREASING order from top to bottom.</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63500</xdr:colOff>
      <xdr:row>3</xdr:row>
      <xdr:rowOff>0</xdr:rowOff>
    </xdr:from>
    <xdr:to>
      <xdr:col>7</xdr:col>
      <xdr:colOff>269875</xdr:colOff>
      <xdr:row>5</xdr:row>
      <xdr:rowOff>120650</xdr:rowOff>
    </xdr:to>
    <xdr:sp macro="" textlink="">
      <xdr:nvSpPr>
        <xdr:cNvPr id="2" name="messageTextbox">
          <a:extLst>
            <a:ext uri="{FF2B5EF4-FFF2-40B4-BE49-F238E27FC236}">
              <a16:creationId xmlns:a16="http://schemas.microsoft.com/office/drawing/2014/main" id="{00000000-0008-0000-1200-000002000000}"/>
            </a:ext>
          </a:extLst>
        </xdr:cNvPr>
        <xdr:cNvSpPr txBox="1"/>
      </xdr:nvSpPr>
      <xdr:spPr>
        <a:xfrm>
          <a:off x="63500" y="590550"/>
          <a:ext cx="4826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alpha and beta (between 0 and 1), enter the past demands in the shaded column then enter a starting forecast. If the starting forecast is not in the first period then delete the error analysis for all rows above the starting forecast.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63500</xdr:colOff>
      <xdr:row>3</xdr:row>
      <xdr:rowOff>0</xdr:rowOff>
    </xdr:from>
    <xdr:to>
      <xdr:col>5</xdr:col>
      <xdr:colOff>473075</xdr:colOff>
      <xdr:row>6</xdr:row>
      <xdr:rowOff>22225</xdr:rowOff>
    </xdr:to>
    <xdr:sp macro="" textlink="">
      <xdr:nvSpPr>
        <xdr:cNvPr id="2" name="messageTextbox">
          <a:extLst>
            <a:ext uri="{FF2B5EF4-FFF2-40B4-BE49-F238E27FC236}">
              <a16:creationId xmlns:a16="http://schemas.microsoft.com/office/drawing/2014/main" id="{00000000-0008-0000-1300-000002000000}"/>
            </a:ext>
          </a:extLst>
        </xdr:cNvPr>
        <xdr:cNvSpPr txBox="1"/>
      </xdr:nvSpPr>
      <xdr:spPr>
        <a:xfrm>
          <a:off x="63500" y="590550"/>
          <a:ext cx="3810000" cy="508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If this is trend analysis then simply enter the past demands in the demand column. If this is causal regression then enter the y,x pairs with y first and enter a new value of x at the bottom in order to forecast y.</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253999</xdr:colOff>
      <xdr:row>3</xdr:row>
      <xdr:rowOff>0</xdr:rowOff>
    </xdr:from>
    <xdr:to>
      <xdr:col>6</xdr:col>
      <xdr:colOff>53974</xdr:colOff>
      <xdr:row>4</xdr:row>
      <xdr:rowOff>155575</xdr:rowOff>
    </xdr:to>
    <xdr:sp macro="" textlink="">
      <xdr:nvSpPr>
        <xdr:cNvPr id="2" name="messageTextbox">
          <a:extLst>
            <a:ext uri="{FF2B5EF4-FFF2-40B4-BE49-F238E27FC236}">
              <a16:creationId xmlns:a16="http://schemas.microsoft.com/office/drawing/2014/main" id="{00000000-0008-0000-1400-000002000000}"/>
            </a:ext>
          </a:extLst>
        </xdr:cNvPr>
        <xdr:cNvSpPr txBox="1"/>
      </xdr:nvSpPr>
      <xdr:spPr>
        <a:xfrm>
          <a:off x="253999" y="590550"/>
          <a:ext cx="381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To get a forecast use the shaded data area at the bottom left of the sheet.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254000</xdr:colOff>
      <xdr:row>3</xdr:row>
      <xdr:rowOff>0</xdr:rowOff>
    </xdr:from>
    <xdr:to>
      <xdr:col>2</xdr:col>
      <xdr:colOff>174625</xdr:colOff>
      <xdr:row>4</xdr:row>
      <xdr:rowOff>41275</xdr:rowOff>
    </xdr:to>
    <xdr:sp macro="" textlink="">
      <xdr:nvSpPr>
        <xdr:cNvPr id="2" name="messageTextbox">
          <a:extLst>
            <a:ext uri="{FF2B5EF4-FFF2-40B4-BE49-F238E27FC236}">
              <a16:creationId xmlns:a16="http://schemas.microsoft.com/office/drawing/2014/main" id="{00000000-0008-0000-1500-000002000000}"/>
            </a:ext>
          </a:extLst>
        </xdr:cNvPr>
        <xdr:cNvSpPr txBox="1"/>
      </xdr:nvSpPr>
      <xdr:spPr>
        <a:xfrm>
          <a:off x="254000" y="590550"/>
          <a:ext cx="2540000" cy="2032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5</xdr:col>
      <xdr:colOff>304800</xdr:colOff>
      <xdr:row>3</xdr:row>
      <xdr:rowOff>0</xdr:rowOff>
    </xdr:from>
    <xdr:to>
      <xdr:col>24</xdr:col>
      <xdr:colOff>101600</xdr:colOff>
      <xdr:row>22</xdr:row>
      <xdr:rowOff>63500</xdr:rowOff>
    </xdr:to>
    <xdr:graphicFrame macro="">
      <xdr:nvGraphicFramePr>
        <xdr:cNvPr id="2" name="hjwGraph">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4</xdr:col>
      <xdr:colOff>215900</xdr:colOff>
      <xdr:row>4</xdr:row>
      <xdr:rowOff>155575</xdr:rowOff>
    </xdr:to>
    <xdr:sp macro="" textlink="">
      <xdr:nvSpPr>
        <xdr:cNvPr id="3" name="messageTextbox">
          <a:extLst>
            <a:ext uri="{FF2B5EF4-FFF2-40B4-BE49-F238E27FC236}">
              <a16:creationId xmlns:a16="http://schemas.microsoft.com/office/drawing/2014/main" id="{00000000-0008-0000-1600-000003000000}"/>
            </a:ext>
          </a:extLst>
        </xdr:cNvPr>
        <xdr:cNvSpPr txBox="1"/>
      </xdr:nvSpPr>
      <xdr:spPr>
        <a:xfrm>
          <a:off x="254000" y="590550"/>
          <a:ext cx="381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You may have to do some work to enter the daily production rate.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253999</xdr:colOff>
      <xdr:row>3</xdr:row>
      <xdr:rowOff>0</xdr:rowOff>
    </xdr:from>
    <xdr:to>
      <xdr:col>5</xdr:col>
      <xdr:colOff>180974</xdr:colOff>
      <xdr:row>5</xdr:row>
      <xdr:rowOff>57150</xdr:rowOff>
    </xdr:to>
    <xdr:sp macro="" textlink="">
      <xdr:nvSpPr>
        <xdr:cNvPr id="2" name="messageTextbox">
          <a:extLst>
            <a:ext uri="{FF2B5EF4-FFF2-40B4-BE49-F238E27FC236}">
              <a16:creationId xmlns:a16="http://schemas.microsoft.com/office/drawing/2014/main" id="{00000000-0008-0000-1700-000002000000}"/>
            </a:ext>
          </a:extLst>
        </xdr:cNvPr>
        <xdr:cNvSpPr txBox="1"/>
      </xdr:nvSpPr>
      <xdr:spPr>
        <a:xfrm>
          <a:off x="253999" y="590550"/>
          <a:ext cx="5080000" cy="381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The minimum quantity is the minimum amount that needs to be ordered in order to get the price that is in the same column.</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254000</xdr:colOff>
      <xdr:row>3</xdr:row>
      <xdr:rowOff>0</xdr:rowOff>
    </xdr:from>
    <xdr:to>
      <xdr:col>6</xdr:col>
      <xdr:colOff>171450</xdr:colOff>
      <xdr:row>4</xdr:row>
      <xdr:rowOff>155575</xdr:rowOff>
    </xdr:to>
    <xdr:sp macro="" textlink="">
      <xdr:nvSpPr>
        <xdr:cNvPr id="2" name="messageTextbox">
          <a:extLst>
            <a:ext uri="{FF2B5EF4-FFF2-40B4-BE49-F238E27FC236}">
              <a16:creationId xmlns:a16="http://schemas.microsoft.com/office/drawing/2014/main" id="{00000000-0008-0000-1800-000002000000}"/>
            </a:ext>
          </a:extLst>
        </xdr:cNvPr>
        <xdr:cNvSpPr txBox="1"/>
      </xdr:nvSpPr>
      <xdr:spPr>
        <a:xfrm>
          <a:off x="254000" y="561975"/>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Select a model and then enter the data in the shaded area. The model on the bottom left represents the 3 models described in the textbook under Other Probabilistic Models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2</xdr:col>
      <xdr:colOff>342900</xdr:colOff>
      <xdr:row>0</xdr:row>
      <xdr:rowOff>0</xdr:rowOff>
    </xdr:from>
    <xdr:to>
      <xdr:col>12</xdr:col>
      <xdr:colOff>152400</xdr:colOff>
      <xdr:row>2</xdr:row>
      <xdr:rowOff>107950</xdr:rowOff>
    </xdr:to>
    <xdr:sp macro="" textlink="">
      <xdr:nvSpPr>
        <xdr:cNvPr id="2" name="messageTextbox">
          <a:extLst>
            <a:ext uri="{FF2B5EF4-FFF2-40B4-BE49-F238E27FC236}">
              <a16:creationId xmlns:a16="http://schemas.microsoft.com/office/drawing/2014/main" id="{00000000-0008-0000-1A00-000002000000}"/>
            </a:ext>
          </a:extLst>
        </xdr:cNvPr>
        <xdr:cNvSpPr txBox="1"/>
      </xdr:nvSpPr>
      <xdr:spPr>
        <a:xfrm>
          <a:off x="4181475" y="0"/>
          <a:ext cx="5715000" cy="508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go to the DATA Tab on the ribbon, click on Solver in the Data Analysis Group and then click SOLVE.
If SOLVER is not on the Data Tab then please see the Help file (Solver) for instructions.
To use Integer variables, define them in the Solver model as a constraint.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79375</xdr:colOff>
      <xdr:row>3</xdr:row>
      <xdr:rowOff>0</xdr:rowOff>
    </xdr:from>
    <xdr:to>
      <xdr:col>9</xdr:col>
      <xdr:colOff>434975</xdr:colOff>
      <xdr:row>6</xdr:row>
      <xdr:rowOff>85725</xdr:rowOff>
    </xdr:to>
    <xdr:sp macro="" textlink="">
      <xdr:nvSpPr>
        <xdr:cNvPr id="2" name="messageTextbox">
          <a:extLst>
            <a:ext uri="{FF2B5EF4-FFF2-40B4-BE49-F238E27FC236}">
              <a16:creationId xmlns:a16="http://schemas.microsoft.com/office/drawing/2014/main" id="{00000000-0008-0000-2600-000002000000}"/>
            </a:ext>
          </a:extLst>
        </xdr:cNvPr>
        <xdr:cNvSpPr txBox="1"/>
      </xdr:nvSpPr>
      <xdr:spPr>
        <a:xfrm>
          <a:off x="113665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transportation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79375</xdr:colOff>
      <xdr:row>3</xdr:row>
      <xdr:rowOff>0</xdr:rowOff>
    </xdr:from>
    <xdr:to>
      <xdr:col>9</xdr:col>
      <xdr:colOff>434975</xdr:colOff>
      <xdr:row>6</xdr:row>
      <xdr:rowOff>85725</xdr:rowOff>
    </xdr:to>
    <xdr:sp macro="" textlink="">
      <xdr:nvSpPr>
        <xdr:cNvPr id="2" name="messageTextbox">
          <a:extLst>
            <a:ext uri="{FF2B5EF4-FFF2-40B4-BE49-F238E27FC236}">
              <a16:creationId xmlns:a16="http://schemas.microsoft.com/office/drawing/2014/main" id="{00000000-0008-0000-2700-000002000000}"/>
            </a:ext>
          </a:extLst>
        </xdr:cNvPr>
        <xdr:cNvSpPr txBox="1"/>
      </xdr:nvSpPr>
      <xdr:spPr>
        <a:xfrm>
          <a:off x="113665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transportation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79375</xdr:colOff>
      <xdr:row>3</xdr:row>
      <xdr:rowOff>0</xdr:rowOff>
    </xdr:from>
    <xdr:to>
      <xdr:col>9</xdr:col>
      <xdr:colOff>434975</xdr:colOff>
      <xdr:row>6</xdr:row>
      <xdr:rowOff>85725</xdr:rowOff>
    </xdr:to>
    <xdr:sp macro="" textlink="">
      <xdr:nvSpPr>
        <xdr:cNvPr id="2" name="messageTextbox">
          <a:extLst>
            <a:ext uri="{FF2B5EF4-FFF2-40B4-BE49-F238E27FC236}">
              <a16:creationId xmlns:a16="http://schemas.microsoft.com/office/drawing/2014/main" id="{00000000-0008-0000-2800-000002000000}"/>
            </a:ext>
          </a:extLst>
        </xdr:cNvPr>
        <xdr:cNvSpPr txBox="1"/>
      </xdr:nvSpPr>
      <xdr:spPr>
        <a:xfrm>
          <a:off x="113665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transportation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79375</xdr:colOff>
      <xdr:row>3</xdr:row>
      <xdr:rowOff>0</xdr:rowOff>
    </xdr:from>
    <xdr:to>
      <xdr:col>7</xdr:col>
      <xdr:colOff>527050</xdr:colOff>
      <xdr:row>7</xdr:row>
      <xdr:rowOff>25400</xdr:rowOff>
    </xdr:to>
    <xdr:sp macro="" textlink="">
      <xdr:nvSpPr>
        <xdr:cNvPr id="2" name="messageTextbox">
          <a:extLst>
            <a:ext uri="{FF2B5EF4-FFF2-40B4-BE49-F238E27FC236}">
              <a16:creationId xmlns:a16="http://schemas.microsoft.com/office/drawing/2014/main" id="{00000000-0008-0000-2900-000002000000}"/>
            </a:ext>
          </a:extLst>
        </xdr:cNvPr>
        <xdr:cNvSpPr txBox="1"/>
      </xdr:nvSpPr>
      <xdr:spPr>
        <a:xfrm>
          <a:off x="898525" y="600075"/>
          <a:ext cx="3810000" cy="6731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assignment costs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2</xdr:col>
      <xdr:colOff>342900</xdr:colOff>
      <xdr:row>0</xdr:row>
      <xdr:rowOff>0</xdr:rowOff>
    </xdr:from>
    <xdr:to>
      <xdr:col>12</xdr:col>
      <xdr:colOff>152400</xdr:colOff>
      <xdr:row>2</xdr:row>
      <xdr:rowOff>107950</xdr:rowOff>
    </xdr:to>
    <xdr:sp macro="" textlink="">
      <xdr:nvSpPr>
        <xdr:cNvPr id="2" name="messageTextbox">
          <a:extLst>
            <a:ext uri="{FF2B5EF4-FFF2-40B4-BE49-F238E27FC236}">
              <a16:creationId xmlns:a16="http://schemas.microsoft.com/office/drawing/2014/main" id="{00000000-0008-0000-2A00-000002000000}"/>
            </a:ext>
          </a:extLst>
        </xdr:cNvPr>
        <xdr:cNvSpPr txBox="1"/>
      </xdr:nvSpPr>
      <xdr:spPr>
        <a:xfrm>
          <a:off x="4181475" y="0"/>
          <a:ext cx="5715000" cy="508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go to the DATA Tab on the ribbon, click on Solver in the Data Analysis Group and then click SOLVE.
If SOLVER is not on the Data Tab then please see the Help file (Solver) for instructions.
To use Integer variables, define them in the Solver model as a constraint.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1</xdr:col>
      <xdr:colOff>298450</xdr:colOff>
      <xdr:row>3</xdr:row>
      <xdr:rowOff>0</xdr:rowOff>
    </xdr:from>
    <xdr:to>
      <xdr:col>10</xdr:col>
      <xdr:colOff>63500</xdr:colOff>
      <xdr:row>6</xdr:row>
      <xdr:rowOff>85725</xdr:rowOff>
    </xdr:to>
    <xdr:sp macro="" textlink="">
      <xdr:nvSpPr>
        <xdr:cNvPr id="2" name="messageTextbox">
          <a:extLst>
            <a:ext uri="{FF2B5EF4-FFF2-40B4-BE49-F238E27FC236}">
              <a16:creationId xmlns:a16="http://schemas.microsoft.com/office/drawing/2014/main" id="{00000000-0008-0000-2B00-000002000000}"/>
            </a:ext>
          </a:extLst>
        </xdr:cNvPr>
        <xdr:cNvSpPr txBox="1"/>
      </xdr:nvSpPr>
      <xdr:spPr>
        <a:xfrm>
          <a:off x="140335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flow capacities from node to node in the shaded area. The capacity from the source to the sink must be set very high. Then go to the DATA Tab on the ribbon, click on Solver in the Data Analysis Group and then click SOLVE.
If SOLVER is not on the</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298450</xdr:colOff>
      <xdr:row>3</xdr:row>
      <xdr:rowOff>0</xdr:rowOff>
    </xdr:from>
    <xdr:to>
      <xdr:col>10</xdr:col>
      <xdr:colOff>63500</xdr:colOff>
      <xdr:row>6</xdr:row>
      <xdr:rowOff>85725</xdr:rowOff>
    </xdr:to>
    <xdr:sp macro="" textlink="">
      <xdr:nvSpPr>
        <xdr:cNvPr id="2" name="messageTextbox">
          <a:extLst>
            <a:ext uri="{FF2B5EF4-FFF2-40B4-BE49-F238E27FC236}">
              <a16:creationId xmlns:a16="http://schemas.microsoft.com/office/drawing/2014/main" id="{00000000-0008-0000-2C00-000002000000}"/>
            </a:ext>
          </a:extLst>
        </xdr:cNvPr>
        <xdr:cNvSpPr txBox="1"/>
      </xdr:nvSpPr>
      <xdr:spPr>
        <a:xfrm>
          <a:off x="146050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distances from node to node in the shaded area. Then go to the DATA Tab on the ribbon, click on Solver in the Data Analysis Group and then click SOLVE.
If SOLVER is not on the Data Tab then see the Help file (Solver) for instructions.</a:t>
          </a:r>
        </a:p>
      </xdr:txBody>
    </xdr:sp>
    <xdr:clientData fPrintsWithSheet="0"/>
  </xdr:twoCellAnchor>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114300</xdr:rowOff>
        </xdr:from>
        <xdr:to>
          <xdr:col>1</xdr:col>
          <xdr:colOff>0</xdr:colOff>
          <xdr:row>4</xdr:row>
          <xdr:rowOff>146050</xdr:rowOff>
        </xdr:to>
        <xdr:sp macro="" textlink="">
          <xdr:nvSpPr>
            <xdr:cNvPr id="272386" name="Button 2" hidden="1">
              <a:extLst>
                <a:ext uri="{63B3BB69-23CF-44E3-9099-C40C66FF867C}">
                  <a14:compatExt spid="_x0000_s272386"/>
                </a:ext>
                <a:ext uri="{FF2B5EF4-FFF2-40B4-BE49-F238E27FC236}">
                  <a16:creationId xmlns:a16="http://schemas.microsoft.com/office/drawing/2014/main" id="{00000000-0008-0000-2D00-0000022804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Solve</a:t>
              </a:r>
            </a:p>
          </xdr:txBody>
        </xdr:sp>
        <xdr:clientData fPrintsWithSheet="0"/>
      </xdr:twoCellAnchor>
    </mc:Choice>
    <mc:Fallback/>
  </mc:AlternateContent>
  <xdr:twoCellAnchor>
    <xdr:from>
      <xdr:col>2</xdr:col>
      <xdr:colOff>66675</xdr:colOff>
      <xdr:row>3</xdr:row>
      <xdr:rowOff>0</xdr:rowOff>
    </xdr:from>
    <xdr:to>
      <xdr:col>10</xdr:col>
      <xdr:colOff>15875</xdr:colOff>
      <xdr:row>5</xdr:row>
      <xdr:rowOff>97155</xdr:rowOff>
    </xdr:to>
    <xdr:sp macro="" textlink="">
      <xdr:nvSpPr>
        <xdr:cNvPr id="2" name="messageTextbox">
          <a:extLst>
            <a:ext uri="{FF2B5EF4-FFF2-40B4-BE49-F238E27FC236}">
              <a16:creationId xmlns:a16="http://schemas.microsoft.com/office/drawing/2014/main" id="{00000000-0008-0000-2D00-000002000000}"/>
            </a:ext>
          </a:extLst>
        </xdr:cNvPr>
        <xdr:cNvSpPr txBox="1"/>
      </xdr:nvSpPr>
      <xdr:spPr>
        <a:xfrm>
          <a:off x="2047875" y="590550"/>
          <a:ext cx="4826000" cy="421005"/>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start node, end node and cost for each branch and then press the Solve button.</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79375</xdr:colOff>
      <xdr:row>3</xdr:row>
      <xdr:rowOff>0</xdr:rowOff>
    </xdr:from>
    <xdr:to>
      <xdr:col>9</xdr:col>
      <xdr:colOff>511175</xdr:colOff>
      <xdr:row>6</xdr:row>
      <xdr:rowOff>85725</xdr:rowOff>
    </xdr:to>
    <xdr:sp macro="" textlink="">
      <xdr:nvSpPr>
        <xdr:cNvPr id="2" name="messageTextbox">
          <a:extLst>
            <a:ext uri="{FF2B5EF4-FFF2-40B4-BE49-F238E27FC236}">
              <a16:creationId xmlns:a16="http://schemas.microsoft.com/office/drawing/2014/main" id="{00000000-0008-0000-2E00-000002000000}"/>
            </a:ext>
          </a:extLst>
        </xdr:cNvPr>
        <xdr:cNvSpPr txBox="1"/>
      </xdr:nvSpPr>
      <xdr:spPr>
        <a:xfrm>
          <a:off x="1136650" y="600075"/>
          <a:ext cx="5080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transportation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1</xdr:col>
      <xdr:colOff>79375</xdr:colOff>
      <xdr:row>3</xdr:row>
      <xdr:rowOff>0</xdr:rowOff>
    </xdr:from>
    <xdr:to>
      <xdr:col>7</xdr:col>
      <xdr:colOff>250825</xdr:colOff>
      <xdr:row>7</xdr:row>
      <xdr:rowOff>25400</xdr:rowOff>
    </xdr:to>
    <xdr:sp macro="" textlink="">
      <xdr:nvSpPr>
        <xdr:cNvPr id="2" name="messageTextbox">
          <a:extLst>
            <a:ext uri="{FF2B5EF4-FFF2-40B4-BE49-F238E27FC236}">
              <a16:creationId xmlns:a16="http://schemas.microsoft.com/office/drawing/2014/main" id="{00000000-0008-0000-2F00-000002000000}"/>
            </a:ext>
          </a:extLst>
        </xdr:cNvPr>
        <xdr:cNvSpPr txBox="1"/>
      </xdr:nvSpPr>
      <xdr:spPr>
        <a:xfrm>
          <a:off x="898525" y="600075"/>
          <a:ext cx="3810000" cy="6731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assignment costs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6</xdr:col>
      <xdr:colOff>439420</xdr:colOff>
      <xdr:row>2</xdr:row>
      <xdr:rowOff>20320</xdr:rowOff>
    </xdr:from>
    <xdr:to>
      <xdr:col>13</xdr:col>
      <xdr:colOff>276860</xdr:colOff>
      <xdr:row>22</xdr:row>
      <xdr:rowOff>2540</xdr:rowOff>
    </xdr:to>
    <xdr:graphicFrame macro="">
      <xdr:nvGraphicFramePr>
        <xdr:cNvPr id="2" name="hjwGraph">
          <a:extLst>
            <a:ext uri="{FF2B5EF4-FFF2-40B4-BE49-F238E27FC236}">
              <a16:creationId xmlns:a16="http://schemas.microsoft.com/office/drawing/2014/main" id="{00000000-0008-0000-3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253999</xdr:colOff>
      <xdr:row>3</xdr:row>
      <xdr:rowOff>0</xdr:rowOff>
    </xdr:from>
    <xdr:to>
      <xdr:col>10</xdr:col>
      <xdr:colOff>457199</xdr:colOff>
      <xdr:row>4</xdr:row>
      <xdr:rowOff>155575</xdr:rowOff>
    </xdr:to>
    <xdr:sp macro="" textlink="">
      <xdr:nvSpPr>
        <xdr:cNvPr id="3" name="messageTextbox">
          <a:extLst>
            <a:ext uri="{FF2B5EF4-FFF2-40B4-BE49-F238E27FC236}">
              <a16:creationId xmlns:a16="http://schemas.microsoft.com/office/drawing/2014/main" id="{00000000-0008-0000-3A00-000003000000}"/>
            </a:ext>
          </a:extLst>
        </xdr:cNvPr>
        <xdr:cNvSpPr txBox="1"/>
      </xdr:nvSpPr>
      <xdr:spPr>
        <a:xfrm>
          <a:off x="253999" y="590550"/>
          <a:ext cx="6156325"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times in the appropriate column(s). Enter the precedences, one per column. (Do not try to use commas). </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254000</xdr:colOff>
      <xdr:row>3</xdr:row>
      <xdr:rowOff>0</xdr:rowOff>
    </xdr:from>
    <xdr:to>
      <xdr:col>12</xdr:col>
      <xdr:colOff>520700</xdr:colOff>
      <xdr:row>5</xdr:row>
      <xdr:rowOff>120650</xdr:rowOff>
    </xdr:to>
    <xdr:sp macro="" textlink="">
      <xdr:nvSpPr>
        <xdr:cNvPr id="2" name="messageTextbox">
          <a:extLst>
            <a:ext uri="{FF2B5EF4-FFF2-40B4-BE49-F238E27FC236}">
              <a16:creationId xmlns:a16="http://schemas.microsoft.com/office/drawing/2014/main" id="{00000000-0008-0000-3C00-000002000000}"/>
            </a:ext>
          </a:extLst>
        </xdr:cNvPr>
        <xdr:cNvSpPr txBox="1"/>
      </xdr:nvSpPr>
      <xdr:spPr>
        <a:xfrm>
          <a:off x="254000" y="561975"/>
          <a:ext cx="7620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2533650</xdr:colOff>
      <xdr:row>4</xdr:row>
      <xdr:rowOff>155575</xdr:rowOff>
    </xdr:to>
    <xdr:sp macro="" textlink="">
      <xdr:nvSpPr>
        <xdr:cNvPr id="2" name="messageTextbox">
          <a:extLst>
            <a:ext uri="{FF2B5EF4-FFF2-40B4-BE49-F238E27FC236}">
              <a16:creationId xmlns:a16="http://schemas.microsoft.com/office/drawing/2014/main" id="{00000000-0008-0000-3D00-000002000000}"/>
            </a:ext>
          </a:extLst>
        </xdr:cNvPr>
        <xdr:cNvSpPr txBox="1"/>
      </xdr:nvSpPr>
      <xdr:spPr>
        <a:xfrm>
          <a:off x="254000" y="590550"/>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253999</xdr:colOff>
      <xdr:row>3</xdr:row>
      <xdr:rowOff>0</xdr:rowOff>
    </xdr:from>
    <xdr:to>
      <xdr:col>3</xdr:col>
      <xdr:colOff>2733674</xdr:colOff>
      <xdr:row>4</xdr:row>
      <xdr:rowOff>155575</xdr:rowOff>
    </xdr:to>
    <xdr:sp macro="" textlink="">
      <xdr:nvSpPr>
        <xdr:cNvPr id="2" name="messageTextbox">
          <a:extLst>
            <a:ext uri="{FF2B5EF4-FFF2-40B4-BE49-F238E27FC236}">
              <a16:creationId xmlns:a16="http://schemas.microsoft.com/office/drawing/2014/main" id="{00000000-0008-0000-3E00-000002000000}"/>
            </a:ext>
          </a:extLst>
        </xdr:cNvPr>
        <xdr:cNvSpPr txBox="1"/>
      </xdr:nvSpPr>
      <xdr:spPr>
        <a:xfrm>
          <a:off x="253999" y="590550"/>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254000</xdr:colOff>
      <xdr:row>3</xdr:row>
      <xdr:rowOff>0</xdr:rowOff>
    </xdr:from>
    <xdr:to>
      <xdr:col>4</xdr:col>
      <xdr:colOff>200025</xdr:colOff>
      <xdr:row>4</xdr:row>
      <xdr:rowOff>155575</xdr:rowOff>
    </xdr:to>
    <xdr:sp macro="" textlink="">
      <xdr:nvSpPr>
        <xdr:cNvPr id="2" name="messageTextbox">
          <a:extLst>
            <a:ext uri="{FF2B5EF4-FFF2-40B4-BE49-F238E27FC236}">
              <a16:creationId xmlns:a16="http://schemas.microsoft.com/office/drawing/2014/main" id="{00000000-0008-0000-3F00-000002000000}"/>
            </a:ext>
          </a:extLst>
        </xdr:cNvPr>
        <xdr:cNvSpPr txBox="1"/>
      </xdr:nvSpPr>
      <xdr:spPr>
        <a:xfrm>
          <a:off x="254000" y="590550"/>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28.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2562225</xdr:colOff>
      <xdr:row>4</xdr:row>
      <xdr:rowOff>155575</xdr:rowOff>
    </xdr:to>
    <xdr:sp macro="" textlink="">
      <xdr:nvSpPr>
        <xdr:cNvPr id="2" name="messageTextbox">
          <a:extLst>
            <a:ext uri="{FF2B5EF4-FFF2-40B4-BE49-F238E27FC236}">
              <a16:creationId xmlns:a16="http://schemas.microsoft.com/office/drawing/2014/main" id="{00000000-0008-0000-4000-000002000000}"/>
            </a:ext>
          </a:extLst>
        </xdr:cNvPr>
        <xdr:cNvSpPr txBox="1"/>
      </xdr:nvSpPr>
      <xdr:spPr>
        <a:xfrm>
          <a:off x="254000" y="590550"/>
          <a:ext cx="508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is for each member of the population. If they go for service every 20 minutes then enter 3 (per hour).</a:t>
          </a:r>
        </a:p>
      </xdr:txBody>
    </xdr:sp>
    <xdr:clientData fPrintsWithSheet="0"/>
  </xdr:twoCellAnchor>
</xdr:wsDr>
</file>

<file path=xl/drawings/drawing29.xml><?xml version="1.0" encoding="utf-8"?>
<xdr:wsDr xmlns:xdr="http://schemas.openxmlformats.org/drawingml/2006/spreadsheetDrawing" xmlns:a="http://schemas.openxmlformats.org/drawingml/2006/main">
  <xdr:twoCellAnchor>
    <xdr:from>
      <xdr:col>1</xdr:col>
      <xdr:colOff>504825</xdr:colOff>
      <xdr:row>0</xdr:row>
      <xdr:rowOff>0</xdr:rowOff>
    </xdr:from>
    <xdr:to>
      <xdr:col>10</xdr:col>
      <xdr:colOff>117475</xdr:colOff>
      <xdr:row>2</xdr:row>
      <xdr:rowOff>44450</xdr:rowOff>
    </xdr:to>
    <xdr:sp macro="" textlink="">
      <xdr:nvSpPr>
        <xdr:cNvPr id="2" name="messageTextbox">
          <a:extLst>
            <a:ext uri="{FF2B5EF4-FFF2-40B4-BE49-F238E27FC236}">
              <a16:creationId xmlns:a16="http://schemas.microsoft.com/office/drawing/2014/main" id="{00000000-0008-0000-4200-000002000000}"/>
            </a:ext>
          </a:extLst>
        </xdr:cNvPr>
        <xdr:cNvSpPr txBox="1"/>
      </xdr:nvSpPr>
      <xdr:spPr>
        <a:xfrm>
          <a:off x="1419225" y="0"/>
          <a:ext cx="5080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and the requencies in the top table. Press F9 to run another simulation. If you like, you may enter the random numbers in the column labeled "Random number".</a:t>
          </a:r>
        </a:p>
      </xdr:txBody>
    </xdr:sp>
    <xdr:clientData fPrintsWithSheet="0"/>
  </xdr:twoCellAnchor>
</xdr:wsDr>
</file>

<file path=xl/drawings/drawing30.xml><?xml version="1.0" encoding="utf-8"?>
<xdr:wsDr xmlns:xdr="http://schemas.openxmlformats.org/drawingml/2006/spreadsheetDrawing" xmlns:a="http://schemas.openxmlformats.org/drawingml/2006/main">
  <xdr:twoCellAnchor>
    <xdr:from>
      <xdr:col>1</xdr:col>
      <xdr:colOff>504825</xdr:colOff>
      <xdr:row>0</xdr:row>
      <xdr:rowOff>0</xdr:rowOff>
    </xdr:from>
    <xdr:to>
      <xdr:col>10</xdr:col>
      <xdr:colOff>88900</xdr:colOff>
      <xdr:row>2</xdr:row>
      <xdr:rowOff>15875</xdr:rowOff>
    </xdr:to>
    <xdr:sp macro="" textlink="">
      <xdr:nvSpPr>
        <xdr:cNvPr id="2" name="messageTextbox">
          <a:extLst>
            <a:ext uri="{FF2B5EF4-FFF2-40B4-BE49-F238E27FC236}">
              <a16:creationId xmlns:a16="http://schemas.microsoft.com/office/drawing/2014/main" id="{00000000-0008-0000-4400-000002000000}"/>
            </a:ext>
          </a:extLst>
        </xdr:cNvPr>
        <xdr:cNvSpPr txBox="1"/>
      </xdr:nvSpPr>
      <xdr:spPr>
        <a:xfrm>
          <a:off x="1543050" y="0"/>
          <a:ext cx="5080000" cy="444500"/>
        </a:xfrm>
        <a:prstGeom prst="rect">
          <a:avLst/>
        </a:prstGeom>
        <a:solidFill>
          <a:srgbClr val="FFEB9C"/>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values and the requencies in the top table. Press F9 to run another simulation. If you like, you may enter the random numbers in the column labeled "Random number".</a:t>
          </a:r>
        </a:p>
      </xdr:txBody>
    </xdr:sp>
    <xdr:clientData fPrintsWithSheet="0"/>
  </xdr:twoCellAnchor>
  <xdr:twoCellAnchor>
    <xdr:from>
      <xdr:col>1</xdr:col>
      <xdr:colOff>504825</xdr:colOff>
      <xdr:row>0</xdr:row>
      <xdr:rowOff>0</xdr:rowOff>
    </xdr:from>
    <xdr:to>
      <xdr:col>9</xdr:col>
      <xdr:colOff>384175</xdr:colOff>
      <xdr:row>2</xdr:row>
      <xdr:rowOff>53975</xdr:rowOff>
    </xdr:to>
    <xdr:sp macro="" textlink="">
      <xdr:nvSpPr>
        <xdr:cNvPr id="3" name="messageTextbox">
          <a:extLst>
            <a:ext uri="{FF2B5EF4-FFF2-40B4-BE49-F238E27FC236}">
              <a16:creationId xmlns:a16="http://schemas.microsoft.com/office/drawing/2014/main" id="{00000000-0008-0000-4400-000003000000}"/>
            </a:ext>
          </a:extLst>
        </xdr:cNvPr>
        <xdr:cNvSpPr txBox="1"/>
      </xdr:nvSpPr>
      <xdr:spPr>
        <a:xfrm>
          <a:off x="1571625" y="0"/>
          <a:ext cx="5080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and the requencies in the top table. Press F9 to run another simulation. If you like, you may enter the random numbers in the column labeled "Random number".</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2</xdr:col>
      <xdr:colOff>209550</xdr:colOff>
      <xdr:row>2</xdr:row>
      <xdr:rowOff>200024</xdr:rowOff>
    </xdr:from>
    <xdr:to>
      <xdr:col>8</xdr:col>
      <xdr:colOff>190500</xdr:colOff>
      <xdr:row>6</xdr:row>
      <xdr:rowOff>47625</xdr:rowOff>
    </xdr:to>
    <xdr:sp macro="" textlink="">
      <xdr:nvSpPr>
        <xdr:cNvPr id="2" name="messageTextbox">
          <a:extLst>
            <a:ext uri="{FF2B5EF4-FFF2-40B4-BE49-F238E27FC236}">
              <a16:creationId xmlns:a16="http://schemas.microsoft.com/office/drawing/2014/main" id="{00000000-0008-0000-4900-000002000000}"/>
            </a:ext>
          </a:extLst>
        </xdr:cNvPr>
        <xdr:cNvSpPr txBox="1"/>
      </xdr:nvSpPr>
      <xdr:spPr>
        <a:xfrm>
          <a:off x="2009775" y="590549"/>
          <a:ext cx="3848100" cy="533401"/>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population standard deviation then enter the data from each sample. Finally, you may change the number of standard deviations.</a:t>
          </a:r>
        </a:p>
      </xdr:txBody>
    </xdr:sp>
    <xdr:clientData fPrintsWithSheet="0"/>
  </xdr:twoCellAnchor>
</xdr:wsDr>
</file>

<file path=xl/drawings/drawing32.xml><?xml version="1.0" encoding="utf-8"?>
<xdr:wsDr xmlns:xdr="http://schemas.openxmlformats.org/drawingml/2006/spreadsheetDrawing" xmlns:a="http://schemas.openxmlformats.org/drawingml/2006/main">
  <xdr:twoCellAnchor>
    <xdr:from>
      <xdr:col>3</xdr:col>
      <xdr:colOff>76200</xdr:colOff>
      <xdr:row>3</xdr:row>
      <xdr:rowOff>0</xdr:rowOff>
    </xdr:from>
    <xdr:to>
      <xdr:col>6</xdr:col>
      <xdr:colOff>234950</xdr:colOff>
      <xdr:row>4</xdr:row>
      <xdr:rowOff>155575</xdr:rowOff>
    </xdr:to>
    <xdr:sp macro="" textlink="">
      <xdr:nvSpPr>
        <xdr:cNvPr id="2" name="messageTextbox">
          <a:extLst>
            <a:ext uri="{FF2B5EF4-FFF2-40B4-BE49-F238E27FC236}">
              <a16:creationId xmlns:a16="http://schemas.microsoft.com/office/drawing/2014/main" id="{00000000-0008-0000-4A00-000002000000}"/>
            </a:ext>
          </a:extLst>
        </xdr:cNvPr>
        <xdr:cNvSpPr txBox="1"/>
      </xdr:nvSpPr>
      <xdr:spPr>
        <a:xfrm>
          <a:off x="2486025" y="590550"/>
          <a:ext cx="254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mean and range from each sample.</a:t>
          </a:r>
        </a:p>
      </xdr:txBody>
    </xdr:sp>
    <xdr:clientData fPrintsWithSheet="0"/>
  </xdr:twoCellAnchor>
</xdr:wsDr>
</file>

<file path=xl/drawings/drawing33.xml><?xml version="1.0" encoding="utf-8"?>
<xdr:wsDr xmlns:xdr="http://schemas.openxmlformats.org/drawingml/2006/spreadsheetDrawing" xmlns:a="http://schemas.openxmlformats.org/drawingml/2006/main">
  <xdr:twoCellAnchor>
    <xdr:from>
      <xdr:col>5</xdr:col>
      <xdr:colOff>304800</xdr:colOff>
      <xdr:row>18</xdr:row>
      <xdr:rowOff>0</xdr:rowOff>
    </xdr:from>
    <xdr:to>
      <xdr:col>13</xdr:col>
      <xdr:colOff>266700</xdr:colOff>
      <xdr:row>32</xdr:row>
      <xdr:rowOff>53975</xdr:rowOff>
    </xdr:to>
    <xdr:graphicFrame macro="">
      <xdr:nvGraphicFramePr>
        <xdr:cNvPr id="2" name="hjwGraph1">
          <a:extLst>
            <a:ext uri="{FF2B5EF4-FFF2-40B4-BE49-F238E27FC236}">
              <a16:creationId xmlns:a16="http://schemas.microsoft.com/office/drawing/2014/main" id="{00000000-0008-0000-4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3</xdr:row>
      <xdr:rowOff>0</xdr:rowOff>
    </xdr:from>
    <xdr:to>
      <xdr:col>6</xdr:col>
      <xdr:colOff>25400</xdr:colOff>
      <xdr:row>4</xdr:row>
      <xdr:rowOff>155575</xdr:rowOff>
    </xdr:to>
    <xdr:sp macro="" textlink="">
      <xdr:nvSpPr>
        <xdr:cNvPr id="3" name="messageTextbox">
          <a:extLst>
            <a:ext uri="{FF2B5EF4-FFF2-40B4-BE49-F238E27FC236}">
              <a16:creationId xmlns:a16="http://schemas.microsoft.com/office/drawing/2014/main" id="{00000000-0008-0000-4B00-000003000000}"/>
            </a:ext>
          </a:extLst>
        </xdr:cNvPr>
        <xdr:cNvSpPr txBox="1"/>
      </xdr:nvSpPr>
      <xdr:spPr>
        <a:xfrm>
          <a:off x="1933575" y="590550"/>
          <a:ext cx="254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sample size then enter the number of defects in each sample.</a:t>
          </a:r>
        </a:p>
      </xdr:txBody>
    </xdr:sp>
    <xdr:clientData fPrintsWithSheet="0"/>
  </xdr:twoCellAnchor>
</xdr:wsDr>
</file>

<file path=xl/drawings/drawing34.xml><?xml version="1.0" encoding="utf-8"?>
<xdr:wsDr xmlns:xdr="http://schemas.openxmlformats.org/drawingml/2006/spreadsheetDrawing" xmlns:a="http://schemas.openxmlformats.org/drawingml/2006/main">
  <xdr:twoCellAnchor>
    <xdr:from>
      <xdr:col>5</xdr:col>
      <xdr:colOff>304801</xdr:colOff>
      <xdr:row>18</xdr:row>
      <xdr:rowOff>0</xdr:rowOff>
    </xdr:from>
    <xdr:to>
      <xdr:col>14</xdr:col>
      <xdr:colOff>57151</xdr:colOff>
      <xdr:row>43</xdr:row>
      <xdr:rowOff>63500</xdr:rowOff>
    </xdr:to>
    <xdr:graphicFrame macro="">
      <xdr:nvGraphicFramePr>
        <xdr:cNvPr id="2" name="hjwGraph1">
          <a:extLst>
            <a:ext uri="{FF2B5EF4-FFF2-40B4-BE49-F238E27FC236}">
              <a16:creationId xmlns:a16="http://schemas.microsoft.com/office/drawing/2014/main" id="{00000000-0008-0000-4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387350</xdr:colOff>
      <xdr:row>3</xdr:row>
      <xdr:rowOff>0</xdr:rowOff>
    </xdr:from>
    <xdr:to>
      <xdr:col>5</xdr:col>
      <xdr:colOff>1031875</xdr:colOff>
      <xdr:row>4</xdr:row>
      <xdr:rowOff>155575</xdr:rowOff>
    </xdr:to>
    <xdr:sp macro="" textlink="">
      <xdr:nvSpPr>
        <xdr:cNvPr id="3" name="messageTextbox">
          <a:extLst>
            <a:ext uri="{FF2B5EF4-FFF2-40B4-BE49-F238E27FC236}">
              <a16:creationId xmlns:a16="http://schemas.microsoft.com/office/drawing/2014/main" id="{00000000-0008-0000-4C00-000003000000}"/>
            </a:ext>
          </a:extLst>
        </xdr:cNvPr>
        <xdr:cNvSpPr txBox="1"/>
      </xdr:nvSpPr>
      <xdr:spPr>
        <a:xfrm>
          <a:off x="2187575" y="590550"/>
          <a:ext cx="2540000" cy="317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number of defects for each of the samples/items.</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ISWORKSHEE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A_TEMP\WEISS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A_TEMP\WEIS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Version4.desig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INDOWS/DESKTOP/WEISS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ogram%20Files/ExcelOMQMv4/excelOMQMv4.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ISWORKSHEE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ISS2"/>
    </sheetNames>
    <definedNames>
      <definedName name="changecolor"/>
      <definedName name="color_CANCEL"/>
      <definedName name="color_DEFAULT"/>
      <definedName name="color_OK"/>
      <definedName name="colorlist_change"/>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ISS"/>
    </sheetNames>
    <definedNames>
      <definedName name="setcolors"/>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Comparison"/>
      <sheetName val="regnow"/>
      <sheetName val="pair.com"/>
      <sheetName val="KRM Differences, Manual &amp; Help"/>
      <sheetName val="V4 Builds"/>
      <sheetName val="V3 Builds"/>
      <sheetName val="Todo"/>
      <sheetName val="Final testing"/>
      <sheetName val="Final Steps"/>
      <sheetName val="Installation"/>
      <sheetName val="Save as Excel"/>
      <sheetName val="Startup"/>
      <sheetName val="Entwistle"/>
      <sheetName val="Alana notes"/>
      <sheetName val="Tutorials"/>
      <sheetName val="Programming notes to self"/>
      <sheetName val="HR 7 - new problems solved"/>
      <sheetName val="Phone numbers"/>
      <sheetName val="Menu"/>
      <sheetName val="Colorselection sheet"/>
      <sheetName val="48 Colors"/>
      <sheetName val="V3 improvements"/>
      <sheetName val="V3 Changes"/>
      <sheetName val="Installation programs"/>
      <sheetName val="Version4.design"/>
    </sheetNames>
    <definedNames>
      <definedName name="binary"/>
      <definedName name="Integer"/>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ISS2"/>
    </sheetNames>
    <definedNames>
      <definedName name="changecolor"/>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te"/>
      <sheetName val="Todo"/>
      <sheetName val="Mac"/>
      <sheetName val="V3-V4 History"/>
      <sheetName val="OnLive"/>
      <sheetName val="MenuSheetv4"/>
      <sheetName val="MenuFoster5"/>
      <sheetName val="MenuHR9"/>
      <sheetName val="MenuRSH10"/>
      <sheetName val="MenuRSH11"/>
      <sheetName val="MenuTaylor10"/>
      <sheetName val="InvSSNorm"/>
      <sheetName val="WorkMeas"/>
      <sheetName val="Simulation"/>
      <sheetName val="Raw data"/>
      <sheetName val="Frequencies"/>
      <sheetName val="Prob dist"/>
      <sheetName val="Normal"/>
      <sheetName val="Reliability"/>
      <sheetName val="Markov"/>
      <sheetName val="MarkovOLD"/>
      <sheetName val="dlgMRP"/>
      <sheetName val="Trans_agg"/>
      <sheetName val="MRPData"/>
      <sheetName val="HJW"/>
      <sheetName val="LP_max"/>
      <sheetName val="LP_min"/>
      <sheetName val="HWPert"/>
      <sheetName val="Trans_max"/>
      <sheetName val="Trans_min"/>
      <sheetName val="Assign_min"/>
      <sheetName val="Assign_max"/>
      <sheetName val="Game Theory"/>
      <sheetName val="FontSizes"/>
      <sheetName val="dlgDisplay"/>
      <sheetName val="sqc-1"/>
      <sheetName val="HWShortPath"/>
      <sheetName val="HWMaxFlow"/>
      <sheetName val="Markov chain solver"/>
      <sheetName val="SQC"/>
      <sheetName val="LimitedPop"/>
      <sheetName val="dlgCreate"/>
      <sheetName val="ProjCrashing2010"/>
      <sheetName val="ProjCrashing"/>
      <sheetName val="excelOMQMv4"/>
    </sheetNames>
    <definedNames>
      <definedName name="minSpan_solv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4.bin"/><Relationship Id="rId4" Type="http://schemas.openxmlformats.org/officeDocument/2006/relationships/comments" Target="../comments11.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4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4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4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printerSettings" Target="../printerSettings/printerSettings13.bin"/><Relationship Id="rId4" Type="http://schemas.openxmlformats.org/officeDocument/2006/relationships/comments" Target="../comments16.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0.xml"/><Relationship Id="rId1" Type="http://schemas.openxmlformats.org/officeDocument/2006/relationships/printerSettings" Target="../printerSettings/printerSettings14.bin"/><Relationship Id="rId5" Type="http://schemas.openxmlformats.org/officeDocument/2006/relationships/comments" Target="../comments17.xml"/><Relationship Id="rId4" Type="http://schemas.openxmlformats.org/officeDocument/2006/relationships/ctrlProp" Target="../ctrlProps/ctrlProp1.xml"/></Relationships>
</file>

<file path=xl/worksheets/_rels/sheet47.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21.xml"/></Relationships>
</file>

<file path=xl/worksheets/_rels/sheet48.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2.xm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59.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3.xm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6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4.xml"/><Relationship Id="rId1" Type="http://schemas.openxmlformats.org/officeDocument/2006/relationships/printerSettings" Target="../printerSettings/printerSettings17.bin"/><Relationship Id="rId4" Type="http://schemas.openxmlformats.org/officeDocument/2006/relationships/comments" Target="../comments21.xml"/></Relationships>
</file>

<file path=xl/worksheets/_rels/sheet62.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drawing" Target="../drawings/drawing25.xml"/></Relationships>
</file>

<file path=xl/worksheets/_rels/sheet63.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drawing" Target="../drawings/drawing26.xml"/></Relationships>
</file>

<file path=xl/worksheets/_rels/sheet64.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drawing" Target="../drawings/drawing27.xml"/></Relationships>
</file>

<file path=xl/worksheets/_rels/sheet65.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drawing" Target="../drawings/drawing28.xml"/></Relationships>
</file>

<file path=xl/worksheets/_rels/sheet6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drawing" Target="../drawings/drawing29.xml"/></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74.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drawing" Target="../drawings/drawing31.xml"/></Relationships>
</file>

<file path=xl/worksheets/_rels/sheet75.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drawing" Target="../drawings/drawing32.xml"/></Relationships>
</file>

<file path=xl/worksheets/_rels/sheet76.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drawing" Target="../drawings/drawing33.xml"/></Relationships>
</file>

<file path=xl/worksheets/_rels/sheet77.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83"/>
  <sheetViews>
    <sheetView workbookViewId="0">
      <pane ySplit="4" topLeftCell="A5" activePane="bottomLeft" state="frozen"/>
      <selection pane="bottomLeft" activeCell="A3" sqref="A3"/>
    </sheetView>
  </sheetViews>
  <sheetFormatPr defaultRowHeight="12.5" x14ac:dyDescent="0.25"/>
  <cols>
    <col min="1" max="1" width="10.08984375" style="98" customWidth="1"/>
    <col min="2" max="2" width="41.26953125" bestFit="1" customWidth="1"/>
    <col min="3" max="3" width="9.26953125" bestFit="1" customWidth="1"/>
    <col min="4" max="4" width="35" bestFit="1" customWidth="1"/>
  </cols>
  <sheetData>
    <row r="1" spans="1:4" ht="13" x14ac:dyDescent="0.3">
      <c r="A1" s="809" t="s">
        <v>1039</v>
      </c>
    </row>
    <row r="2" spans="1:4" ht="13" x14ac:dyDescent="0.3">
      <c r="A2" s="809" t="s">
        <v>1040</v>
      </c>
    </row>
    <row r="4" spans="1:4" ht="13" x14ac:dyDescent="0.3">
      <c r="A4" s="105" t="s">
        <v>352</v>
      </c>
      <c r="B4" s="103" t="s">
        <v>353</v>
      </c>
      <c r="C4" s="104" t="s">
        <v>354</v>
      </c>
      <c r="D4" s="104" t="s">
        <v>355</v>
      </c>
    </row>
    <row r="5" spans="1:4" x14ac:dyDescent="0.25">
      <c r="A5" s="98">
        <v>1.4</v>
      </c>
      <c r="B5" t="s">
        <v>1</v>
      </c>
      <c r="C5" t="s">
        <v>360</v>
      </c>
      <c r="D5" t="s">
        <v>26</v>
      </c>
    </row>
    <row r="6" spans="1:4" x14ac:dyDescent="0.25">
      <c r="A6" s="98">
        <v>1.5</v>
      </c>
      <c r="B6" t="s">
        <v>1</v>
      </c>
      <c r="C6" t="s">
        <v>360</v>
      </c>
      <c r="D6" t="s">
        <v>361</v>
      </c>
    </row>
    <row r="7" spans="1:4" x14ac:dyDescent="0.25">
      <c r="A7" s="98">
        <v>2.1</v>
      </c>
      <c r="B7" t="s">
        <v>429</v>
      </c>
      <c r="C7" t="s">
        <v>363</v>
      </c>
      <c r="D7" t="s">
        <v>429</v>
      </c>
    </row>
    <row r="8" spans="1:4" x14ac:dyDescent="0.25">
      <c r="A8" s="98">
        <v>2.2000000000000002</v>
      </c>
      <c r="B8" t="s">
        <v>430</v>
      </c>
      <c r="C8" t="s">
        <v>363</v>
      </c>
      <c r="D8" t="s">
        <v>430</v>
      </c>
    </row>
    <row r="9" spans="1:4" x14ac:dyDescent="0.25">
      <c r="A9" s="98">
        <v>2.2999999999999998</v>
      </c>
      <c r="B9" t="s">
        <v>883</v>
      </c>
      <c r="C9" t="s">
        <v>363</v>
      </c>
      <c r="D9" t="s">
        <v>883</v>
      </c>
    </row>
    <row r="10" spans="1:4" x14ac:dyDescent="0.25">
      <c r="A10" s="98">
        <v>2.4</v>
      </c>
      <c r="B10" t="s">
        <v>884</v>
      </c>
      <c r="C10" t="s">
        <v>363</v>
      </c>
      <c r="D10" t="s">
        <v>885</v>
      </c>
    </row>
    <row r="11" spans="1:4" x14ac:dyDescent="0.25">
      <c r="A11" s="98">
        <v>2.5</v>
      </c>
      <c r="B11" t="s">
        <v>886</v>
      </c>
      <c r="C11" t="s">
        <v>363</v>
      </c>
      <c r="D11" t="s">
        <v>887</v>
      </c>
    </row>
    <row r="12" spans="1:4" x14ac:dyDescent="0.25">
      <c r="A12" s="98">
        <v>2.6</v>
      </c>
      <c r="B12" t="s">
        <v>888</v>
      </c>
      <c r="C12" t="s">
        <v>363</v>
      </c>
      <c r="D12" t="s">
        <v>889</v>
      </c>
    </row>
    <row r="13" spans="1:4" x14ac:dyDescent="0.25">
      <c r="A13" s="98">
        <v>3.2</v>
      </c>
      <c r="B13" t="s">
        <v>2</v>
      </c>
      <c r="C13" s="160" t="s">
        <v>360</v>
      </c>
      <c r="D13" t="s">
        <v>362</v>
      </c>
    </row>
    <row r="14" spans="1:4" x14ac:dyDescent="0.25">
      <c r="A14" s="98">
        <v>3.3</v>
      </c>
      <c r="B14" t="s">
        <v>195</v>
      </c>
      <c r="C14" t="s">
        <v>363</v>
      </c>
      <c r="D14" t="s">
        <v>366</v>
      </c>
    </row>
    <row r="15" spans="1:4" x14ac:dyDescent="0.25">
      <c r="A15" s="98">
        <v>4.0999999999999996</v>
      </c>
      <c r="B15" t="s">
        <v>5</v>
      </c>
      <c r="C15" t="s">
        <v>363</v>
      </c>
      <c r="D15" t="s">
        <v>365</v>
      </c>
    </row>
    <row r="16" spans="1:4" x14ac:dyDescent="0.25">
      <c r="A16" s="98">
        <v>4.2</v>
      </c>
      <c r="B16" t="s">
        <v>5</v>
      </c>
      <c r="C16" s="160" t="s">
        <v>360</v>
      </c>
      <c r="D16" t="s">
        <v>365</v>
      </c>
    </row>
    <row r="17" spans="1:4" x14ac:dyDescent="0.25">
      <c r="A17" s="98">
        <v>4.5</v>
      </c>
      <c r="B17" t="s">
        <v>364</v>
      </c>
      <c r="C17" t="s">
        <v>363</v>
      </c>
      <c r="D17" t="s">
        <v>358</v>
      </c>
    </row>
    <row r="18" spans="1:4" x14ac:dyDescent="0.25">
      <c r="A18" s="98">
        <v>4.5</v>
      </c>
      <c r="B18" t="s">
        <v>364</v>
      </c>
      <c r="C18" t="s">
        <v>363</v>
      </c>
      <c r="D18" t="s">
        <v>431</v>
      </c>
    </row>
    <row r="19" spans="1:4" x14ac:dyDescent="0.25">
      <c r="A19" s="98">
        <v>4.5999999999999996</v>
      </c>
      <c r="B19" t="s">
        <v>367</v>
      </c>
      <c r="C19" t="s">
        <v>363</v>
      </c>
      <c r="D19" t="s">
        <v>369</v>
      </c>
    </row>
    <row r="20" spans="1:4" x14ac:dyDescent="0.25">
      <c r="A20" s="98">
        <v>4.7</v>
      </c>
      <c r="B20" t="s">
        <v>367</v>
      </c>
      <c r="C20" t="s">
        <v>363</v>
      </c>
      <c r="D20" t="s">
        <v>368</v>
      </c>
    </row>
    <row r="21" spans="1:4" x14ac:dyDescent="0.25">
      <c r="A21" s="98">
        <v>4.8</v>
      </c>
      <c r="B21" t="s">
        <v>426</v>
      </c>
      <c r="C21" t="s">
        <v>363</v>
      </c>
      <c r="D21" t="s">
        <v>365</v>
      </c>
    </row>
    <row r="22" spans="1:4" x14ac:dyDescent="0.25">
      <c r="A22" s="98">
        <v>5.0999999999999996</v>
      </c>
      <c r="B22" t="s">
        <v>3</v>
      </c>
      <c r="C22" t="s">
        <v>360</v>
      </c>
      <c r="D22" t="s">
        <v>432</v>
      </c>
    </row>
    <row r="23" spans="1:4" x14ac:dyDescent="0.25">
      <c r="A23" s="98">
        <v>5.3</v>
      </c>
      <c r="B23" t="s">
        <v>4</v>
      </c>
      <c r="C23" t="s">
        <v>360</v>
      </c>
      <c r="D23" t="s">
        <v>890</v>
      </c>
    </row>
    <row r="24" spans="1:4" x14ac:dyDescent="0.25">
      <c r="A24" s="98">
        <v>5.4</v>
      </c>
      <c r="B24" t="s">
        <v>4</v>
      </c>
      <c r="C24" t="s">
        <v>360</v>
      </c>
      <c r="D24" t="s">
        <v>370</v>
      </c>
    </row>
    <row r="25" spans="1:4" x14ac:dyDescent="0.25">
      <c r="A25" s="98">
        <v>5.7</v>
      </c>
      <c r="B25" t="s">
        <v>433</v>
      </c>
      <c r="C25" t="s">
        <v>360</v>
      </c>
      <c r="D25" t="s">
        <v>891</v>
      </c>
    </row>
    <row r="26" spans="1:4" x14ac:dyDescent="0.25">
      <c r="A26" s="98">
        <v>6.1</v>
      </c>
      <c r="B26" t="s">
        <v>6</v>
      </c>
      <c r="C26" t="s">
        <v>360</v>
      </c>
      <c r="D26" t="s">
        <v>371</v>
      </c>
    </row>
    <row r="27" spans="1:4" x14ac:dyDescent="0.25">
      <c r="A27" s="98">
        <v>6.2</v>
      </c>
      <c r="B27" t="s">
        <v>7</v>
      </c>
      <c r="C27" t="s">
        <v>360</v>
      </c>
      <c r="D27" t="s">
        <v>372</v>
      </c>
    </row>
    <row r="28" spans="1:4" x14ac:dyDescent="0.25">
      <c r="A28" s="98">
        <v>6.3</v>
      </c>
      <c r="B28" t="s">
        <v>8</v>
      </c>
      <c r="C28" t="s">
        <v>360</v>
      </c>
      <c r="D28" t="s">
        <v>93</v>
      </c>
    </row>
    <row r="29" spans="1:4" x14ac:dyDescent="0.25">
      <c r="A29" s="98">
        <v>6.4</v>
      </c>
      <c r="B29" t="s">
        <v>532</v>
      </c>
      <c r="C29" t="s">
        <v>360</v>
      </c>
      <c r="D29" t="s">
        <v>892</v>
      </c>
    </row>
    <row r="30" spans="1:4" x14ac:dyDescent="0.25">
      <c r="A30" s="98">
        <v>7.2</v>
      </c>
      <c r="B30" t="s">
        <v>9</v>
      </c>
      <c r="C30" t="s">
        <v>363</v>
      </c>
      <c r="D30" t="s">
        <v>373</v>
      </c>
    </row>
    <row r="31" spans="1:4" x14ac:dyDescent="0.25">
      <c r="A31" s="98">
        <v>7.3</v>
      </c>
      <c r="B31" t="s">
        <v>9</v>
      </c>
      <c r="C31" t="s">
        <v>363</v>
      </c>
      <c r="D31" t="s">
        <v>373</v>
      </c>
    </row>
    <row r="32" spans="1:4" x14ac:dyDescent="0.25">
      <c r="A32" s="98">
        <v>7.5</v>
      </c>
      <c r="B32" t="s">
        <v>10</v>
      </c>
      <c r="C32" t="s">
        <v>363</v>
      </c>
      <c r="D32" t="s">
        <v>373</v>
      </c>
    </row>
    <row r="33" spans="1:4" x14ac:dyDescent="0.25">
      <c r="A33" s="98">
        <v>7.7</v>
      </c>
      <c r="B33" t="s">
        <v>11</v>
      </c>
      <c r="C33" t="s">
        <v>363</v>
      </c>
      <c r="D33" t="s">
        <v>373</v>
      </c>
    </row>
    <row r="34" spans="1:4" x14ac:dyDescent="0.25">
      <c r="A34" s="98">
        <v>8.1</v>
      </c>
      <c r="B34" t="s">
        <v>12</v>
      </c>
      <c r="C34" t="s">
        <v>363</v>
      </c>
      <c r="D34" t="s">
        <v>373</v>
      </c>
    </row>
    <row r="35" spans="1:4" x14ac:dyDescent="0.25">
      <c r="A35" s="98">
        <v>8.1999999999999993</v>
      </c>
      <c r="B35" t="s">
        <v>567</v>
      </c>
      <c r="C35" t="s">
        <v>363</v>
      </c>
      <c r="D35" t="s">
        <v>373</v>
      </c>
    </row>
    <row r="36" spans="1:4" x14ac:dyDescent="0.25">
      <c r="A36" s="98">
        <v>8.3000000000000007</v>
      </c>
      <c r="B36" t="s">
        <v>13</v>
      </c>
      <c r="C36" t="s">
        <v>363</v>
      </c>
      <c r="D36" t="s">
        <v>373</v>
      </c>
    </row>
    <row r="37" spans="1:4" x14ac:dyDescent="0.25">
      <c r="A37" s="98">
        <v>8.4</v>
      </c>
      <c r="B37" t="s">
        <v>599</v>
      </c>
      <c r="C37" t="s">
        <v>363</v>
      </c>
      <c r="D37" t="s">
        <v>373</v>
      </c>
    </row>
    <row r="38" spans="1:4" x14ac:dyDescent="0.25">
      <c r="A38" s="98">
        <v>8.5</v>
      </c>
      <c r="B38" t="s">
        <v>650</v>
      </c>
      <c r="C38" t="s">
        <v>363</v>
      </c>
      <c r="D38" t="s">
        <v>373</v>
      </c>
    </row>
    <row r="39" spans="1:4" x14ac:dyDescent="0.25">
      <c r="A39" s="98">
        <v>8.6</v>
      </c>
      <c r="B39" t="s">
        <v>675</v>
      </c>
      <c r="C39" t="s">
        <v>363</v>
      </c>
      <c r="D39" t="s">
        <v>373</v>
      </c>
    </row>
    <row r="40" spans="1:4" x14ac:dyDescent="0.25">
      <c r="A40" s="98">
        <v>8.6999999999999993</v>
      </c>
      <c r="B40" t="s">
        <v>15</v>
      </c>
      <c r="C40" t="s">
        <v>363</v>
      </c>
      <c r="D40" t="s">
        <v>373</v>
      </c>
    </row>
    <row r="41" spans="1:4" x14ac:dyDescent="0.25">
      <c r="A41" s="98">
        <v>8.8000000000000007</v>
      </c>
      <c r="B41" t="s">
        <v>698</v>
      </c>
      <c r="C41" t="s">
        <v>363</v>
      </c>
      <c r="D41" t="s">
        <v>373</v>
      </c>
    </row>
    <row r="42" spans="1:4" x14ac:dyDescent="0.25">
      <c r="A42" s="98">
        <v>8.9</v>
      </c>
      <c r="B42" t="s">
        <v>699</v>
      </c>
      <c r="C42" t="s">
        <v>363</v>
      </c>
      <c r="D42" t="s">
        <v>373</v>
      </c>
    </row>
    <row r="43" spans="1:4" x14ac:dyDescent="0.25">
      <c r="A43" s="106" t="s">
        <v>893</v>
      </c>
      <c r="B43" t="s">
        <v>14</v>
      </c>
      <c r="C43" t="s">
        <v>363</v>
      </c>
      <c r="D43" t="s">
        <v>373</v>
      </c>
    </row>
    <row r="44" spans="1:4" x14ac:dyDescent="0.25">
      <c r="A44" s="106">
        <v>9.1</v>
      </c>
      <c r="B44" s="160" t="s">
        <v>16</v>
      </c>
      <c r="C44" s="160" t="s">
        <v>360</v>
      </c>
      <c r="D44" s="160" t="s">
        <v>1028</v>
      </c>
    </row>
    <row r="45" spans="1:4" x14ac:dyDescent="0.25">
      <c r="A45" s="168" t="s">
        <v>1029</v>
      </c>
      <c r="B45" s="160" t="s">
        <v>934</v>
      </c>
      <c r="C45" s="160" t="s">
        <v>360</v>
      </c>
      <c r="D45" s="160" t="s">
        <v>1028</v>
      </c>
    </row>
    <row r="46" spans="1:4" x14ac:dyDescent="0.25">
      <c r="A46" s="98">
        <v>9.4</v>
      </c>
      <c r="B46" t="s">
        <v>894</v>
      </c>
      <c r="C46" s="160" t="s">
        <v>360</v>
      </c>
      <c r="D46" s="160" t="s">
        <v>18</v>
      </c>
    </row>
    <row r="47" spans="1:4" x14ac:dyDescent="0.25">
      <c r="A47" s="98">
        <v>9.5</v>
      </c>
      <c r="B47" t="s">
        <v>711</v>
      </c>
      <c r="C47" t="s">
        <v>363</v>
      </c>
      <c r="D47" t="s">
        <v>373</v>
      </c>
    </row>
    <row r="48" spans="1:4" x14ac:dyDescent="0.25">
      <c r="A48" s="98">
        <v>9.6</v>
      </c>
      <c r="B48" s="160" t="s">
        <v>1030</v>
      </c>
      <c r="C48" s="160" t="s">
        <v>360</v>
      </c>
      <c r="D48" s="160" t="s">
        <v>1031</v>
      </c>
    </row>
    <row r="49" spans="1:4" x14ac:dyDescent="0.25">
      <c r="A49" s="98">
        <v>9.6999999999999993</v>
      </c>
      <c r="B49" s="160" t="s">
        <v>982</v>
      </c>
      <c r="C49" s="160" t="s">
        <v>360</v>
      </c>
      <c r="D49" s="160" t="s">
        <v>1032</v>
      </c>
    </row>
    <row r="50" spans="1:4" x14ac:dyDescent="0.25">
      <c r="A50" s="98">
        <v>9.8000000000000007</v>
      </c>
      <c r="B50" s="160" t="s">
        <v>1003</v>
      </c>
      <c r="C50" s="160" t="s">
        <v>360</v>
      </c>
      <c r="D50" s="160" t="s">
        <v>1033</v>
      </c>
    </row>
    <row r="51" spans="1:4" x14ac:dyDescent="0.25">
      <c r="A51" s="168" t="s">
        <v>1034</v>
      </c>
      <c r="B51" s="160" t="s">
        <v>1035</v>
      </c>
      <c r="C51" s="160" t="s">
        <v>360</v>
      </c>
      <c r="D51" t="s">
        <v>1028</v>
      </c>
    </row>
    <row r="52" spans="1:4" x14ac:dyDescent="0.25">
      <c r="A52" s="168" t="s">
        <v>1036</v>
      </c>
      <c r="B52" s="160" t="s">
        <v>1037</v>
      </c>
      <c r="C52" s="160" t="s">
        <v>360</v>
      </c>
      <c r="D52" t="s">
        <v>18</v>
      </c>
    </row>
    <row r="53" spans="1:4" x14ac:dyDescent="0.25">
      <c r="A53" s="98">
        <v>10.199999999999999</v>
      </c>
      <c r="B53" t="s">
        <v>19</v>
      </c>
      <c r="C53" s="160" t="s">
        <v>363</v>
      </c>
      <c r="D53" s="160" t="s">
        <v>374</v>
      </c>
    </row>
    <row r="54" spans="1:4" x14ac:dyDescent="0.25">
      <c r="A54" s="98">
        <v>10.4</v>
      </c>
      <c r="B54" t="s">
        <v>20</v>
      </c>
      <c r="C54" s="160" t="s">
        <v>363</v>
      </c>
      <c r="D54" s="160" t="s">
        <v>374</v>
      </c>
    </row>
    <row r="55" spans="1:4" x14ac:dyDescent="0.25">
      <c r="A55" s="98">
        <v>10.5</v>
      </c>
      <c r="B55" t="s">
        <v>720</v>
      </c>
      <c r="C55" s="160" t="s">
        <v>363</v>
      </c>
      <c r="D55" s="160" t="s">
        <v>374</v>
      </c>
    </row>
    <row r="56" spans="1:4" x14ac:dyDescent="0.25">
      <c r="A56" s="98">
        <v>10.6</v>
      </c>
      <c r="B56" t="s">
        <v>725</v>
      </c>
      <c r="C56" s="160" t="s">
        <v>363</v>
      </c>
      <c r="D56" s="160" t="s">
        <v>374</v>
      </c>
    </row>
    <row r="57" spans="1:4" x14ac:dyDescent="0.25">
      <c r="A57" s="98">
        <v>10.7</v>
      </c>
      <c r="B57" t="s">
        <v>21</v>
      </c>
      <c r="C57" s="160" t="s">
        <v>363</v>
      </c>
      <c r="D57" s="160" t="s">
        <v>374</v>
      </c>
    </row>
    <row r="58" spans="1:4" x14ac:dyDescent="0.25">
      <c r="A58" s="98">
        <v>10.9</v>
      </c>
      <c r="B58" t="s">
        <v>22</v>
      </c>
      <c r="C58" s="160" t="s">
        <v>363</v>
      </c>
      <c r="D58" s="160" t="s">
        <v>375</v>
      </c>
    </row>
    <row r="59" spans="1:4" x14ac:dyDescent="0.25">
      <c r="A59" s="106" t="s">
        <v>895</v>
      </c>
      <c r="B59" t="s">
        <v>23</v>
      </c>
      <c r="C59" s="160" t="s">
        <v>363</v>
      </c>
      <c r="D59" s="160" t="s">
        <v>375</v>
      </c>
    </row>
    <row r="60" spans="1:4" x14ac:dyDescent="0.25">
      <c r="A60" s="98">
        <v>10.11</v>
      </c>
      <c r="B60" t="s">
        <v>24</v>
      </c>
      <c r="C60" s="160" t="s">
        <v>363</v>
      </c>
      <c r="D60" s="160" t="s">
        <v>375</v>
      </c>
    </row>
    <row r="61" spans="1:4" x14ac:dyDescent="0.25">
      <c r="A61" s="98">
        <v>10.119999999999999</v>
      </c>
      <c r="B61" t="s">
        <v>762</v>
      </c>
      <c r="C61" s="160" t="s">
        <v>363</v>
      </c>
      <c r="D61" s="160" t="s">
        <v>376</v>
      </c>
    </row>
    <row r="62" spans="1:4" x14ac:dyDescent="0.25">
      <c r="A62" s="106" t="s">
        <v>896</v>
      </c>
      <c r="B62" t="s">
        <v>897</v>
      </c>
      <c r="C62" s="160" t="s">
        <v>363</v>
      </c>
      <c r="D62" s="160" t="s">
        <v>375</v>
      </c>
    </row>
    <row r="63" spans="1:4" x14ac:dyDescent="0.25">
      <c r="A63" s="98">
        <v>11.1</v>
      </c>
      <c r="B63" t="s">
        <v>898</v>
      </c>
      <c r="C63" s="160" t="s">
        <v>360</v>
      </c>
      <c r="D63" s="160" t="s">
        <v>377</v>
      </c>
    </row>
    <row r="64" spans="1:4" x14ac:dyDescent="0.25">
      <c r="A64" s="98">
        <v>11.2</v>
      </c>
      <c r="B64" t="s">
        <v>208</v>
      </c>
      <c r="C64" s="160" t="s">
        <v>899</v>
      </c>
      <c r="D64" s="160" t="s">
        <v>377</v>
      </c>
    </row>
    <row r="65" spans="1:4" x14ac:dyDescent="0.25">
      <c r="A65" s="168" t="s">
        <v>1038</v>
      </c>
      <c r="B65" t="s">
        <v>208</v>
      </c>
      <c r="C65" s="160" t="s">
        <v>360</v>
      </c>
      <c r="D65" s="160" t="s">
        <v>377</v>
      </c>
    </row>
    <row r="66" spans="1:4" x14ac:dyDescent="0.25">
      <c r="A66" s="98">
        <v>12.1</v>
      </c>
      <c r="B66" t="s">
        <v>25</v>
      </c>
      <c r="C66" s="160" t="s">
        <v>360</v>
      </c>
      <c r="D66" s="160" t="s">
        <v>434</v>
      </c>
    </row>
    <row r="67" spans="1:4" x14ac:dyDescent="0.25">
      <c r="A67" s="98">
        <v>12.2</v>
      </c>
      <c r="B67" t="s">
        <v>25</v>
      </c>
      <c r="C67" s="160" t="s">
        <v>360</v>
      </c>
      <c r="D67" s="160" t="s">
        <v>435</v>
      </c>
    </row>
    <row r="68" spans="1:4" x14ac:dyDescent="0.25">
      <c r="A68" s="98">
        <v>12.3</v>
      </c>
      <c r="B68" t="s">
        <v>436</v>
      </c>
      <c r="C68" s="160" t="s">
        <v>360</v>
      </c>
      <c r="D68" s="160" t="s">
        <v>437</v>
      </c>
    </row>
    <row r="69" spans="1:4" x14ac:dyDescent="0.25">
      <c r="A69" s="98">
        <v>12.4</v>
      </c>
      <c r="B69" t="s">
        <v>250</v>
      </c>
      <c r="C69" s="160" t="s">
        <v>360</v>
      </c>
      <c r="D69" s="160" t="s">
        <v>900</v>
      </c>
    </row>
    <row r="70" spans="1:4" x14ac:dyDescent="0.25">
      <c r="A70" s="98">
        <v>13.2</v>
      </c>
      <c r="B70" t="s">
        <v>193</v>
      </c>
      <c r="C70" s="160" t="s">
        <v>363</v>
      </c>
      <c r="D70" s="160" t="s">
        <v>378</v>
      </c>
    </row>
    <row r="71" spans="1:4" x14ac:dyDescent="0.25">
      <c r="A71" s="98">
        <v>13.3</v>
      </c>
      <c r="B71" t="s">
        <v>264</v>
      </c>
      <c r="C71" s="160" t="s">
        <v>363</v>
      </c>
      <c r="D71" s="160" t="s">
        <v>379</v>
      </c>
    </row>
    <row r="72" spans="1:4" x14ac:dyDescent="0.25">
      <c r="A72" s="98">
        <v>13.4</v>
      </c>
      <c r="B72" t="s">
        <v>193</v>
      </c>
      <c r="C72" s="160" t="s">
        <v>360</v>
      </c>
      <c r="D72" s="160" t="s">
        <v>378</v>
      </c>
    </row>
    <row r="73" spans="1:4" x14ac:dyDescent="0.25">
      <c r="A73" s="98">
        <v>13.5</v>
      </c>
      <c r="B73" t="s">
        <v>194</v>
      </c>
      <c r="C73" s="160" t="s">
        <v>363</v>
      </c>
      <c r="D73" s="160" t="s">
        <v>380</v>
      </c>
    </row>
    <row r="74" spans="1:4" x14ac:dyDescent="0.25">
      <c r="A74" s="98">
        <v>13.6</v>
      </c>
      <c r="B74" t="s">
        <v>438</v>
      </c>
      <c r="C74" s="160" t="s">
        <v>363</v>
      </c>
      <c r="D74" s="160" t="s">
        <v>439</v>
      </c>
    </row>
    <row r="75" spans="1:4" x14ac:dyDescent="0.25">
      <c r="A75" s="98">
        <v>14.3</v>
      </c>
      <c r="B75" t="s">
        <v>276</v>
      </c>
      <c r="C75" s="160" t="s">
        <v>363</v>
      </c>
      <c r="D75" s="160" t="s">
        <v>381</v>
      </c>
    </row>
    <row r="76" spans="1:4" x14ac:dyDescent="0.25">
      <c r="A76" s="98">
        <v>14.4</v>
      </c>
      <c r="B76" t="s">
        <v>440</v>
      </c>
      <c r="C76" s="160" t="s">
        <v>363</v>
      </c>
      <c r="D76" s="160" t="s">
        <v>382</v>
      </c>
    </row>
    <row r="77" spans="1:4" x14ac:dyDescent="0.25">
      <c r="A77" s="98">
        <v>15.1</v>
      </c>
      <c r="B77" t="s">
        <v>858</v>
      </c>
      <c r="C77" s="160" t="s">
        <v>360</v>
      </c>
      <c r="D77" s="160" t="s">
        <v>901</v>
      </c>
    </row>
    <row r="78" spans="1:4" x14ac:dyDescent="0.25">
      <c r="A78" s="98">
        <v>15.2</v>
      </c>
      <c r="B78" t="s">
        <v>867</v>
      </c>
      <c r="C78" s="160" t="s">
        <v>360</v>
      </c>
      <c r="D78" s="160" t="s">
        <v>901</v>
      </c>
    </row>
    <row r="79" spans="1:4" x14ac:dyDescent="0.25">
      <c r="A79" s="98">
        <v>15.3</v>
      </c>
      <c r="B79" t="s">
        <v>318</v>
      </c>
      <c r="C79" s="160" t="s">
        <v>360</v>
      </c>
      <c r="D79" s="160" t="s">
        <v>383</v>
      </c>
    </row>
    <row r="80" spans="1:4" x14ac:dyDescent="0.25">
      <c r="A80" s="98">
        <v>15.4</v>
      </c>
      <c r="B80" t="s">
        <v>878</v>
      </c>
      <c r="C80" s="160" t="s">
        <v>360</v>
      </c>
      <c r="D80" s="160" t="s">
        <v>902</v>
      </c>
    </row>
    <row r="81" spans="1:3" ht="13" x14ac:dyDescent="0.3">
      <c r="A81" s="105" t="s">
        <v>359</v>
      </c>
    </row>
    <row r="82" spans="1:3" x14ac:dyDescent="0.25">
      <c r="A82" s="98" t="s">
        <v>356</v>
      </c>
      <c r="B82" t="s">
        <v>285</v>
      </c>
      <c r="C82" t="s">
        <v>363</v>
      </c>
    </row>
    <row r="83" spans="1:3" x14ac:dyDescent="0.25">
      <c r="A83" s="98" t="s">
        <v>357</v>
      </c>
      <c r="B83" t="s">
        <v>304</v>
      </c>
      <c r="C83" t="s">
        <v>363</v>
      </c>
    </row>
  </sheetData>
  <phoneticPr fontId="0" type="noConversion"/>
  <pageMargins left="0.75" right="0.75" top="1" bottom="1" header="0.5" footer="0.5"/>
  <pageSetup orientation="portrait" r:id="rId1"/>
  <headerFooter alignWithMargins="0"/>
  <ignoredErrors>
    <ignoredError sqref="A59 A62 A43"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selection activeCell="C13" sqref="C13"/>
    </sheetView>
  </sheetViews>
  <sheetFormatPr defaultColWidth="9.08984375" defaultRowHeight="12.5" x14ac:dyDescent="0.25"/>
  <cols>
    <col min="1" max="1" width="23.26953125" style="160" bestFit="1" customWidth="1"/>
    <col min="2" max="2" width="13.7265625" style="160" customWidth="1"/>
    <col min="3" max="16384" width="9.08984375" style="160"/>
  </cols>
  <sheetData>
    <row r="1" spans="1:8" ht="18" x14ac:dyDescent="0.4">
      <c r="A1" s="513" t="s">
        <v>904</v>
      </c>
    </row>
    <row r="3" spans="1:8" ht="15.5" x14ac:dyDescent="0.35">
      <c r="A3" s="500" t="s">
        <v>26</v>
      </c>
      <c r="B3" s="500"/>
      <c r="C3" s="500" t="s">
        <v>26</v>
      </c>
      <c r="D3" s="500"/>
      <c r="E3" s="500"/>
      <c r="F3" s="500"/>
      <c r="G3" s="500"/>
      <c r="H3" s="500"/>
    </row>
    <row r="4" spans="1:8" x14ac:dyDescent="0.25">
      <c r="A4" s="499"/>
      <c r="B4" s="499"/>
    </row>
    <row r="8" spans="1:8" ht="13.5" thickBot="1" x14ac:dyDescent="0.35">
      <c r="A8" s="501" t="s">
        <v>27</v>
      </c>
    </row>
    <row r="9" spans="1:8" x14ac:dyDescent="0.25">
      <c r="A9" s="503"/>
      <c r="B9" s="504" t="s">
        <v>903</v>
      </c>
    </row>
    <row r="10" spans="1:8" x14ac:dyDescent="0.25">
      <c r="A10" s="505" t="s">
        <v>28</v>
      </c>
      <c r="B10" s="506">
        <v>1000</v>
      </c>
    </row>
    <row r="11" spans="1:8" x14ac:dyDescent="0.25">
      <c r="A11" s="505" t="s">
        <v>29</v>
      </c>
      <c r="B11" s="506">
        <v>3</v>
      </c>
    </row>
    <row r="12" spans="1:8" x14ac:dyDescent="0.25">
      <c r="A12" s="505" t="s">
        <v>30</v>
      </c>
      <c r="B12" s="506">
        <v>8</v>
      </c>
    </row>
    <row r="13" spans="1:8" ht="13" thickBot="1" x14ac:dyDescent="0.3">
      <c r="A13" s="507" t="s">
        <v>905</v>
      </c>
      <c r="B13" s="508">
        <v>235</v>
      </c>
    </row>
    <row r="15" spans="1:8" ht="13.5" thickBot="1" x14ac:dyDescent="0.35">
      <c r="A15" s="509" t="s">
        <v>31</v>
      </c>
    </row>
    <row r="16" spans="1:8" ht="13" x14ac:dyDescent="0.3">
      <c r="A16" s="146" t="s">
        <v>32</v>
      </c>
      <c r="B16" s="147"/>
      <c r="C16" s="512"/>
    </row>
    <row r="17" spans="1:3" ht="13" x14ac:dyDescent="0.3">
      <c r="A17" s="157" t="s">
        <v>33</v>
      </c>
      <c r="B17" s="144">
        <f>B10/(B12-B11)</f>
        <v>200</v>
      </c>
      <c r="C17" s="159"/>
    </row>
    <row r="18" spans="1:3" ht="13" x14ac:dyDescent="0.3">
      <c r="A18" s="157" t="s">
        <v>34</v>
      </c>
      <c r="B18" s="510">
        <f>B10+B11*B17</f>
        <v>1600</v>
      </c>
      <c r="C18" s="159"/>
    </row>
    <row r="19" spans="1:3" x14ac:dyDescent="0.25">
      <c r="A19" s="143"/>
      <c r="B19" s="142"/>
      <c r="C19" s="159"/>
    </row>
    <row r="20" spans="1:3" x14ac:dyDescent="0.25">
      <c r="A20" s="143" t="s">
        <v>906</v>
      </c>
      <c r="B20" s="142">
        <f>B13</f>
        <v>235</v>
      </c>
      <c r="C20" s="159" t="s">
        <v>907</v>
      </c>
    </row>
    <row r="21" spans="1:3" x14ac:dyDescent="0.25">
      <c r="A21" s="143" t="s">
        <v>36</v>
      </c>
      <c r="B21" s="517">
        <f>B10+B11*B13</f>
        <v>1705</v>
      </c>
      <c r="C21" s="159"/>
    </row>
    <row r="22" spans="1:3" x14ac:dyDescent="0.25">
      <c r="A22" s="143" t="s">
        <v>30</v>
      </c>
      <c r="B22" s="517">
        <f>B12*B13</f>
        <v>1880</v>
      </c>
      <c r="C22" s="159"/>
    </row>
    <row r="23" spans="1:3" ht="13.5" thickBot="1" x14ac:dyDescent="0.35">
      <c r="A23" s="148" t="s">
        <v>38</v>
      </c>
      <c r="B23" s="511">
        <f>B22 - B21</f>
        <v>175</v>
      </c>
      <c r="C23" s="430"/>
    </row>
    <row r="24" spans="1:3" ht="13" x14ac:dyDescent="0.3">
      <c r="A24" s="4"/>
    </row>
    <row r="25" spans="1:3" ht="13" x14ac:dyDescent="0.3">
      <c r="A25" s="4" t="s">
        <v>35</v>
      </c>
    </row>
    <row r="26" spans="1:3" x14ac:dyDescent="0.25">
      <c r="A26" s="160" t="s">
        <v>33</v>
      </c>
      <c r="B26" s="160" t="s">
        <v>36</v>
      </c>
      <c r="C26" s="160" t="s">
        <v>30</v>
      </c>
    </row>
    <row r="27" spans="1:3" x14ac:dyDescent="0.25">
      <c r="A27" s="160">
        <v>0</v>
      </c>
      <c r="B27" s="160">
        <f>B10+B11*A27</f>
        <v>1000</v>
      </c>
      <c r="C27" s="160">
        <f>B12*A27</f>
        <v>0</v>
      </c>
    </row>
    <row r="28" spans="1:3" x14ac:dyDescent="0.25">
      <c r="A28" s="160">
        <f>2*B17</f>
        <v>400</v>
      </c>
      <c r="B28" s="160">
        <f>B10+B11*A28</f>
        <v>2200</v>
      </c>
      <c r="C28" s="160">
        <f>B12*A28</f>
        <v>3200</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E16" sqref="E16"/>
    </sheetView>
  </sheetViews>
  <sheetFormatPr defaultRowHeight="12.5" x14ac:dyDescent="0.25"/>
  <cols>
    <col min="1" max="5" width="17.7265625" style="98" customWidth="1"/>
  </cols>
  <sheetData>
    <row r="1" spans="1:8" ht="18" thickBot="1" x14ac:dyDescent="0.4">
      <c r="A1" s="121" t="s">
        <v>468</v>
      </c>
      <c r="B1" s="121" t="s">
        <v>469</v>
      </c>
      <c r="C1" s="121" t="s">
        <v>470</v>
      </c>
      <c r="D1" s="121" t="s">
        <v>471</v>
      </c>
      <c r="E1" s="169"/>
      <c r="F1" s="169"/>
      <c r="G1" s="169"/>
      <c r="H1" s="169"/>
    </row>
    <row r="2" spans="1:8" ht="15.5" x14ac:dyDescent="0.35">
      <c r="A2" s="170">
        <v>5</v>
      </c>
      <c r="B2" s="170">
        <v>0.1</v>
      </c>
      <c r="C2" s="170">
        <f>A2*B2</f>
        <v>0.5</v>
      </c>
      <c r="D2" s="170">
        <f>(A2-$C$7)^2*B2</f>
        <v>0.44099999999999984</v>
      </c>
      <c r="E2" s="171"/>
      <c r="F2" s="171"/>
      <c r="G2" s="171"/>
      <c r="H2" s="171"/>
    </row>
    <row r="3" spans="1:8" ht="15.5" x14ac:dyDescent="0.35">
      <c r="A3" s="170">
        <v>4</v>
      </c>
      <c r="B3" s="170">
        <v>0.2</v>
      </c>
      <c r="C3" s="170">
        <f>A3*B3</f>
        <v>0.8</v>
      </c>
      <c r="D3" s="170">
        <f>(A3-$C$7)^2*B3</f>
        <v>0.24199999999999988</v>
      </c>
      <c r="E3" s="171"/>
      <c r="F3" s="171"/>
      <c r="G3" s="171"/>
      <c r="H3" s="171"/>
    </row>
    <row r="4" spans="1:8" ht="15.5" x14ac:dyDescent="0.35">
      <c r="A4" s="170">
        <v>3</v>
      </c>
      <c r="B4" s="170">
        <v>0.3</v>
      </c>
      <c r="C4" s="170">
        <f>A4*B4</f>
        <v>0.89999999999999991</v>
      </c>
      <c r="D4" s="170">
        <f>(A4-$C$7)^2*B4</f>
        <v>2.9999999999999788E-3</v>
      </c>
      <c r="E4" s="171"/>
      <c r="F4" s="171"/>
      <c r="G4" s="171"/>
      <c r="H4" s="171"/>
    </row>
    <row r="5" spans="1:8" ht="15.5" x14ac:dyDescent="0.35">
      <c r="A5" s="170">
        <v>2</v>
      </c>
      <c r="B5" s="170">
        <v>0.3</v>
      </c>
      <c r="C5" s="170">
        <f>A5*B5</f>
        <v>0.6</v>
      </c>
      <c r="D5" s="170">
        <f>(A5-$C$7)^2*B5</f>
        <v>0.24300000000000016</v>
      </c>
      <c r="E5" s="171"/>
      <c r="F5" s="171"/>
      <c r="G5" s="171"/>
      <c r="H5" s="171"/>
    </row>
    <row r="6" spans="1:8" ht="16" thickBot="1" x14ac:dyDescent="0.4">
      <c r="A6" s="172">
        <v>1</v>
      </c>
      <c r="B6" s="172">
        <v>0.1</v>
      </c>
      <c r="C6" s="172">
        <f>A6*B6</f>
        <v>0.1</v>
      </c>
      <c r="D6" s="172">
        <f>(A6-$C$7)^2*B6</f>
        <v>0.36100000000000015</v>
      </c>
      <c r="E6" s="171"/>
      <c r="F6" s="171"/>
      <c r="G6" s="171"/>
      <c r="H6" s="171"/>
    </row>
    <row r="7" spans="1:8" ht="15.5" x14ac:dyDescent="0.35">
      <c r="A7" s="170"/>
      <c r="B7" s="173" t="s">
        <v>472</v>
      </c>
      <c r="C7" s="170">
        <f>SUM(C2:C6)</f>
        <v>2.9000000000000004</v>
      </c>
      <c r="D7" s="174">
        <f>SUM(D2:D6)</f>
        <v>1.29</v>
      </c>
      <c r="E7" s="175" t="s">
        <v>473</v>
      </c>
      <c r="F7" s="171"/>
      <c r="G7" s="171"/>
      <c r="H7" s="171"/>
    </row>
    <row r="8" spans="1:8" ht="15.5" x14ac:dyDescent="0.35">
      <c r="A8" s="170"/>
      <c r="B8" s="170"/>
      <c r="C8" s="170"/>
      <c r="D8" s="174">
        <f>SQRT(D7)</f>
        <v>1.1357816691600546</v>
      </c>
      <c r="E8" s="175" t="s">
        <v>474</v>
      </c>
      <c r="F8" s="171"/>
      <c r="G8" s="171"/>
      <c r="H8" s="171"/>
    </row>
    <row r="9" spans="1:8" ht="15.5" x14ac:dyDescent="0.35">
      <c r="A9" s="170"/>
      <c r="B9" s="170"/>
      <c r="C9" s="170"/>
      <c r="D9" s="170"/>
      <c r="E9" s="171"/>
      <c r="F9" s="171"/>
      <c r="G9" s="171"/>
      <c r="H9" s="171"/>
    </row>
    <row r="10" spans="1:8" ht="15.5" x14ac:dyDescent="0.35">
      <c r="A10" s="170"/>
      <c r="B10" s="170"/>
      <c r="C10" s="170"/>
      <c r="D10" s="170"/>
      <c r="E10" s="171"/>
      <c r="F10" s="171"/>
      <c r="G10" s="171"/>
      <c r="H10" s="171"/>
    </row>
    <row r="11" spans="1:8" ht="15.5" x14ac:dyDescent="0.35">
      <c r="A11" s="170"/>
      <c r="B11" s="170"/>
      <c r="C11" s="170"/>
      <c r="D11" s="170"/>
      <c r="E11" s="171"/>
      <c r="F11" s="171"/>
      <c r="G11" s="171"/>
      <c r="H11" s="171"/>
    </row>
    <row r="12" spans="1:8" ht="15.5" x14ac:dyDescent="0.35">
      <c r="A12" s="176" t="s">
        <v>475</v>
      </c>
      <c r="B12" s="170"/>
      <c r="C12" s="170"/>
      <c r="D12" s="170"/>
      <c r="E12" s="171"/>
      <c r="F12" s="171"/>
      <c r="G12" s="171"/>
      <c r="H12" s="171"/>
    </row>
  </sheetData>
  <phoneticPr fontId="1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ColWidth="9.08984375" defaultRowHeight="12.5" x14ac:dyDescent="0.25"/>
  <cols>
    <col min="1" max="1" width="22" style="30" bestFit="1" customWidth="1"/>
    <col min="2" max="2" width="11.08984375" style="108" customWidth="1"/>
    <col min="3" max="3" width="9.08984375" style="30" customWidth="1"/>
    <col min="4" max="16384" width="9.08984375" style="30"/>
  </cols>
  <sheetData>
    <row r="1" spans="1:5" ht="15.5" x14ac:dyDescent="0.35">
      <c r="A1" s="177" t="s">
        <v>385</v>
      </c>
      <c r="B1" s="178"/>
      <c r="C1" s="178"/>
      <c r="D1"/>
      <c r="E1"/>
    </row>
    <row r="2" spans="1:5" ht="15.5" x14ac:dyDescent="0.35">
      <c r="A2" s="179" t="s">
        <v>476</v>
      </c>
      <c r="B2" s="178"/>
      <c r="C2" s="178"/>
      <c r="D2"/>
      <c r="E2"/>
    </row>
    <row r="3" spans="1:5" ht="15.5" x14ac:dyDescent="0.35">
      <c r="A3" s="180" t="s">
        <v>286</v>
      </c>
      <c r="B3" s="181">
        <v>5</v>
      </c>
      <c r="C3" s="179" t="s">
        <v>477</v>
      </c>
      <c r="D3"/>
      <c r="E3"/>
    </row>
    <row r="4" spans="1:5" ht="15.5" x14ac:dyDescent="0.35">
      <c r="A4" s="180" t="s">
        <v>386</v>
      </c>
      <c r="B4" s="181">
        <v>0.5</v>
      </c>
      <c r="C4" s="179" t="s">
        <v>478</v>
      </c>
      <c r="D4"/>
      <c r="E4"/>
    </row>
    <row r="5" spans="1:5" ht="15.5" x14ac:dyDescent="0.35">
      <c r="A5" s="180" t="s">
        <v>387</v>
      </c>
      <c r="B5" s="181">
        <v>4</v>
      </c>
      <c r="C5" s="179" t="s">
        <v>479</v>
      </c>
      <c r="D5"/>
      <c r="E5"/>
    </row>
    <row r="6" spans="1:5" x14ac:dyDescent="0.25">
      <c r="A6"/>
      <c r="B6"/>
      <c r="C6"/>
      <c r="D6"/>
      <c r="E6"/>
    </row>
    <row r="7" spans="1:5" ht="15.5" x14ac:dyDescent="0.35">
      <c r="A7" s="179" t="s">
        <v>388</v>
      </c>
      <c r="B7" s="182" t="s">
        <v>480</v>
      </c>
      <c r="C7" s="183">
        <f>BINOMDIST(B5,B3,B4,TRUE)</f>
        <v>0.96875</v>
      </c>
      <c r="D7"/>
      <c r="E7"/>
    </row>
    <row r="8" spans="1:5" ht="15.5" x14ac:dyDescent="0.35">
      <c r="A8" s="179" t="s">
        <v>481</v>
      </c>
      <c r="B8" s="182" t="s">
        <v>482</v>
      </c>
      <c r="C8" s="184">
        <f>BINOMDIST(B5,B3,B4,FALSE)</f>
        <v>0.15624999999999992</v>
      </c>
      <c r="D8"/>
      <c r="E8"/>
    </row>
    <row r="9" spans="1:5" x14ac:dyDescent="0.25">
      <c r="A9"/>
      <c r="B9"/>
      <c r="C9"/>
      <c r="D9"/>
      <c r="E9"/>
    </row>
  </sheetData>
  <phoneticPr fontId="13" type="noConversion"/>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defaultRowHeight="12.5" x14ac:dyDescent="0.25"/>
  <cols>
    <col min="1" max="1" width="16" customWidth="1"/>
    <col min="2" max="2" width="10.36328125" customWidth="1"/>
  </cols>
  <sheetData>
    <row r="1" spans="1:2" ht="13" x14ac:dyDescent="0.3">
      <c r="A1" s="4" t="s">
        <v>483</v>
      </c>
    </row>
    <row r="2" spans="1:2" x14ac:dyDescent="0.25">
      <c r="A2" t="s">
        <v>484</v>
      </c>
    </row>
    <row r="3" spans="1:2" x14ac:dyDescent="0.25">
      <c r="A3" s="19" t="s">
        <v>485</v>
      </c>
      <c r="B3" s="98">
        <v>100</v>
      </c>
    </row>
    <row r="4" spans="1:2" x14ac:dyDescent="0.25">
      <c r="A4" s="19" t="s">
        <v>486</v>
      </c>
      <c r="B4" s="98">
        <v>20</v>
      </c>
    </row>
    <row r="5" spans="1:2" ht="15.5" x14ac:dyDescent="0.35">
      <c r="A5" s="19" t="s">
        <v>487</v>
      </c>
      <c r="B5" s="98">
        <v>75</v>
      </c>
    </row>
    <row r="6" spans="1:2" ht="15.5" x14ac:dyDescent="0.35">
      <c r="A6" s="19" t="s">
        <v>488</v>
      </c>
      <c r="B6" s="183">
        <f>NORMDIST(B5,B3,B4,TRUE)</f>
        <v>0.10564977366685525</v>
      </c>
    </row>
    <row r="7" spans="1:2" ht="15.5" x14ac:dyDescent="0.35">
      <c r="A7" s="19" t="s">
        <v>489</v>
      </c>
      <c r="B7" s="183">
        <f>1-B6</f>
        <v>0.89435022633314476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workbookViewId="0">
      <selection activeCell="B12" sqref="B12"/>
    </sheetView>
  </sheetViews>
  <sheetFormatPr defaultRowHeight="12.5" x14ac:dyDescent="0.25"/>
  <cols>
    <col min="1" max="1" width="11.08984375" customWidth="1"/>
    <col min="2" max="2" width="11.6328125" customWidth="1"/>
  </cols>
  <sheetData>
    <row r="1" spans="1:2" ht="13" x14ac:dyDescent="0.3">
      <c r="A1" s="4" t="s">
        <v>490</v>
      </c>
    </row>
    <row r="2" spans="1:2" ht="15.5" x14ac:dyDescent="0.35">
      <c r="A2" t="s">
        <v>491</v>
      </c>
    </row>
    <row r="3" spans="1:2" x14ac:dyDescent="0.25">
      <c r="A3" s="19" t="s">
        <v>492</v>
      </c>
      <c r="B3" s="98">
        <v>5</v>
      </c>
    </row>
    <row r="4" spans="1:2" x14ac:dyDescent="0.25">
      <c r="A4" s="19" t="s">
        <v>493</v>
      </c>
      <c r="B4" s="98">
        <v>6</v>
      </c>
    </row>
    <row r="5" spans="1:2" ht="15.5" x14ac:dyDescent="0.35">
      <c r="A5" s="185" t="s">
        <v>494</v>
      </c>
      <c r="B5" s="98">
        <v>0.05</v>
      </c>
    </row>
    <row r="6" spans="1:2" ht="15.5" x14ac:dyDescent="0.35">
      <c r="A6" s="185" t="s">
        <v>495</v>
      </c>
      <c r="B6" s="111">
        <f>FINV(B5,B3,B4)</f>
        <v>4.3873741874061292</v>
      </c>
    </row>
    <row r="8" spans="1:2" ht="15.5" x14ac:dyDescent="0.35">
      <c r="A8" s="186" t="s">
        <v>496</v>
      </c>
    </row>
    <row r="9" spans="1:2" x14ac:dyDescent="0.25">
      <c r="A9" s="19" t="s">
        <v>492</v>
      </c>
      <c r="B9" s="98">
        <v>5</v>
      </c>
    </row>
    <row r="10" spans="1:2" x14ac:dyDescent="0.25">
      <c r="A10" s="19" t="s">
        <v>493</v>
      </c>
      <c r="B10" s="98">
        <v>6</v>
      </c>
    </row>
    <row r="11" spans="1:2" ht="15.5" x14ac:dyDescent="0.35">
      <c r="A11" s="185" t="s">
        <v>497</v>
      </c>
      <c r="B11" s="98">
        <v>4.2</v>
      </c>
    </row>
    <row r="12" spans="1:2" ht="15.5" x14ac:dyDescent="0.35">
      <c r="A12" s="185" t="s">
        <v>498</v>
      </c>
      <c r="B12" s="187">
        <f>FDIST(B11,B9,B10)</f>
        <v>5.4839183876915686E-2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B5" sqref="B5"/>
    </sheetView>
  </sheetViews>
  <sheetFormatPr defaultRowHeight="12.5" x14ac:dyDescent="0.25"/>
  <cols>
    <col min="1" max="1" width="38" customWidth="1"/>
  </cols>
  <sheetData>
    <row r="1" spans="1:3" ht="14.5" x14ac:dyDescent="0.35">
      <c r="A1" s="188" t="s">
        <v>499</v>
      </c>
    </row>
    <row r="2" spans="1:3" ht="14.5" x14ac:dyDescent="0.35">
      <c r="A2" s="19" t="s">
        <v>500</v>
      </c>
      <c r="B2">
        <v>3</v>
      </c>
      <c r="C2" t="s">
        <v>501</v>
      </c>
    </row>
    <row r="3" spans="1:3" ht="14.5" x14ac:dyDescent="0.35">
      <c r="A3" s="19" t="s">
        <v>502</v>
      </c>
      <c r="B3" s="112">
        <v>0.5</v>
      </c>
      <c r="C3" t="s">
        <v>503</v>
      </c>
    </row>
    <row r="4" spans="1:3" ht="14.5" x14ac:dyDescent="0.35">
      <c r="A4" s="19" t="s">
        <v>504</v>
      </c>
      <c r="B4" s="112">
        <f>EXPONDIST(B3,B2,TRUE)</f>
        <v>0.77686983985157021</v>
      </c>
    </row>
    <row r="5" spans="1:3" x14ac:dyDescent="0.25">
      <c r="A5" s="19" t="s">
        <v>505</v>
      </c>
      <c r="B5" s="112">
        <f>1-B4</f>
        <v>0.22313016014842979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heetViews>
  <sheetFormatPr defaultRowHeight="12.5" x14ac:dyDescent="0.25"/>
  <cols>
    <col min="1" max="1" width="17.26953125" customWidth="1"/>
  </cols>
  <sheetData>
    <row r="1" spans="1:3" ht="14.5" x14ac:dyDescent="0.35">
      <c r="A1" s="189" t="s">
        <v>506</v>
      </c>
    </row>
    <row r="2" spans="1:3" ht="13" x14ac:dyDescent="0.3">
      <c r="A2" s="168" t="s">
        <v>508</v>
      </c>
      <c r="B2" s="98">
        <v>2</v>
      </c>
    </row>
    <row r="3" spans="1:3" x14ac:dyDescent="0.25">
      <c r="A3" s="190" t="s">
        <v>384</v>
      </c>
      <c r="B3" s="190" t="s">
        <v>469</v>
      </c>
      <c r="C3" s="191" t="s">
        <v>507</v>
      </c>
    </row>
    <row r="4" spans="1:3" x14ac:dyDescent="0.25">
      <c r="A4" s="98">
        <v>0</v>
      </c>
      <c r="B4" s="187">
        <f>POISSON(A4,$B$2,FALSE)</f>
        <v>0.1353352832366127</v>
      </c>
      <c r="C4" s="187">
        <f>POISSON(A4,$B$2,TRUE)</f>
        <v>0.1353352832366127</v>
      </c>
    </row>
    <row r="5" spans="1:3" x14ac:dyDescent="0.25">
      <c r="A5" s="98">
        <v>1</v>
      </c>
      <c r="B5" s="187">
        <f>POISSON(A5,$B$2,FALSE)</f>
        <v>0.27067056647322535</v>
      </c>
      <c r="C5" s="187">
        <f>POISSON(A5,$B$2,TRUE)</f>
        <v>0.40600584970983811</v>
      </c>
    </row>
    <row r="6" spans="1:3" x14ac:dyDescent="0.25">
      <c r="A6" s="98">
        <v>2</v>
      </c>
      <c r="B6" s="187">
        <f>1-B5</f>
        <v>0.7293294335267746</v>
      </c>
      <c r="C6" s="187">
        <f>POISSON(A6,$B$2,TRUE)</f>
        <v>0.6766764161830634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5"/>
  <sheetViews>
    <sheetView workbookViewId="0">
      <selection activeCell="C12" sqref="C12"/>
    </sheetView>
  </sheetViews>
  <sheetFormatPr defaultColWidth="9.08984375" defaultRowHeight="12.5" x14ac:dyDescent="0.25"/>
  <cols>
    <col min="1" max="1" width="10.7265625" style="160" customWidth="1"/>
    <col min="2" max="3" width="9.81640625" style="160" customWidth="1"/>
    <col min="4" max="16384" width="9.08984375" style="160"/>
  </cols>
  <sheetData>
    <row r="1" spans="1:9" ht="18" x14ac:dyDescent="0.4">
      <c r="A1" s="513" t="s">
        <v>2</v>
      </c>
    </row>
    <row r="3" spans="1:9" ht="15.5" x14ac:dyDescent="0.35">
      <c r="A3" s="500" t="s">
        <v>37</v>
      </c>
      <c r="B3" s="500"/>
      <c r="C3" s="500"/>
      <c r="D3" s="500"/>
      <c r="E3" s="500"/>
      <c r="F3" s="500"/>
      <c r="G3" s="500"/>
      <c r="H3" s="500"/>
    </row>
    <row r="4" spans="1:9" x14ac:dyDescent="0.25">
      <c r="A4" s="499"/>
      <c r="B4" s="499"/>
    </row>
    <row r="6" spans="1:9" ht="13.5" thickBot="1" x14ac:dyDescent="0.35">
      <c r="A6" s="501" t="s">
        <v>27</v>
      </c>
      <c r="E6" s="509" t="s">
        <v>31</v>
      </c>
    </row>
    <row r="7" spans="1:9" ht="13" thickBot="1" x14ac:dyDescent="0.3">
      <c r="A7" s="519" t="s">
        <v>38</v>
      </c>
      <c r="B7" s="520" t="s">
        <v>910</v>
      </c>
      <c r="C7" s="521" t="s">
        <v>911</v>
      </c>
      <c r="E7" s="163" t="s">
        <v>39</v>
      </c>
      <c r="F7" s="164" t="s">
        <v>40</v>
      </c>
      <c r="G7" s="512" t="s">
        <v>41</v>
      </c>
    </row>
    <row r="8" spans="1:9" ht="13" thickBot="1" x14ac:dyDescent="0.3">
      <c r="A8" s="522" t="s">
        <v>42</v>
      </c>
      <c r="B8" s="518">
        <v>0.5</v>
      </c>
      <c r="C8" s="523">
        <v>0.5</v>
      </c>
      <c r="E8" s="537" t="str">
        <f>IF(ABS(SUM($B$8:$C$8)-1)&gt;0.01,"Probabilities do not sum to 1","")</f>
        <v/>
      </c>
      <c r="F8" s="142"/>
      <c r="G8" s="159"/>
    </row>
    <row r="9" spans="1:9" ht="13" thickTop="1" x14ac:dyDescent="0.25">
      <c r="A9" s="524" t="s">
        <v>908</v>
      </c>
      <c r="B9" s="502">
        <v>200000</v>
      </c>
      <c r="C9" s="506">
        <v>-180000</v>
      </c>
      <c r="E9" s="143">
        <f>SUMPRODUCT($B$8:$C$8,B9:C9)</f>
        <v>10000</v>
      </c>
      <c r="F9" s="142">
        <f>MIN(B9:C9)</f>
        <v>-180000</v>
      </c>
      <c r="G9" s="159">
        <f>MAX(B9:C9)</f>
        <v>200000</v>
      </c>
    </row>
    <row r="10" spans="1:9" x14ac:dyDescent="0.25">
      <c r="A10" s="524" t="s">
        <v>909</v>
      </c>
      <c r="B10" s="502">
        <v>100000</v>
      </c>
      <c r="C10" s="506">
        <v>-20000</v>
      </c>
      <c r="E10" s="143">
        <f>SUMPRODUCT($B$8:$C$8,B10:C10)</f>
        <v>40000</v>
      </c>
      <c r="F10" s="142">
        <f>MIN(B10:C10)</f>
        <v>-20000</v>
      </c>
      <c r="G10" s="159">
        <f>MAX(B10:C10)</f>
        <v>100000</v>
      </c>
    </row>
    <row r="11" spans="1:9" ht="13" thickBot="1" x14ac:dyDescent="0.3">
      <c r="A11" s="525" t="s">
        <v>914</v>
      </c>
      <c r="B11" s="526">
        <v>0</v>
      </c>
      <c r="C11" s="508">
        <v>0</v>
      </c>
      <c r="E11" s="427">
        <f>SUMPRODUCT($B$8:$C$8,B11:C11)</f>
        <v>0</v>
      </c>
      <c r="F11" s="428">
        <f>MIN(B11:C11)</f>
        <v>0</v>
      </c>
      <c r="G11" s="430">
        <f>MAX(B11:C11)</f>
        <v>0</v>
      </c>
    </row>
    <row r="12" spans="1:9" ht="13.5" thickBot="1" x14ac:dyDescent="0.35">
      <c r="D12" s="209" t="s">
        <v>41</v>
      </c>
      <c r="E12" s="527">
        <f>MAX(E9:E11)</f>
        <v>40000</v>
      </c>
      <c r="F12" s="527">
        <f>MAX(F9:F11)</f>
        <v>0</v>
      </c>
      <c r="G12" s="528">
        <f>MAX(G9:G11)</f>
        <v>200000</v>
      </c>
    </row>
    <row r="14" spans="1:9" ht="13.5" thickBot="1" x14ac:dyDescent="0.35">
      <c r="A14" s="509" t="s">
        <v>43</v>
      </c>
    </row>
    <row r="15" spans="1:9" ht="13" x14ac:dyDescent="0.3">
      <c r="A15" s="160" t="s">
        <v>44</v>
      </c>
      <c r="B15" s="160">
        <f>MAX(B9:B11)</f>
        <v>200000</v>
      </c>
      <c r="C15" s="160">
        <f>MAX(C9:C11)</f>
        <v>0</v>
      </c>
      <c r="D15" s="146"/>
      <c r="E15" s="147">
        <f>SUMPRODUCT($B$8:$C$8,B15:C15)</f>
        <v>100000</v>
      </c>
      <c r="F15" s="147" t="s">
        <v>912</v>
      </c>
      <c r="G15" s="147"/>
      <c r="H15" s="147"/>
      <c r="I15" s="167"/>
    </row>
    <row r="16" spans="1:9" ht="13" x14ac:dyDescent="0.3">
      <c r="D16" s="145"/>
      <c r="E16" s="144">
        <f>E12</f>
        <v>40000</v>
      </c>
      <c r="F16" s="144" t="s">
        <v>45</v>
      </c>
      <c r="G16" s="144"/>
      <c r="H16" s="144"/>
      <c r="I16" s="152"/>
    </row>
    <row r="17" spans="1:9" ht="13.5" thickBot="1" x14ac:dyDescent="0.35">
      <c r="D17" s="148"/>
      <c r="E17" s="149">
        <f>E15-E12</f>
        <v>60000</v>
      </c>
      <c r="F17" s="149" t="s">
        <v>913</v>
      </c>
      <c r="G17" s="149"/>
      <c r="H17" s="149"/>
      <c r="I17" s="153"/>
    </row>
    <row r="19" spans="1:9" ht="13.5" thickBot="1" x14ac:dyDescent="0.35">
      <c r="A19" s="509" t="s">
        <v>46</v>
      </c>
    </row>
    <row r="20" spans="1:9" ht="13" thickBot="1" x14ac:dyDescent="0.3">
      <c r="A20" s="533"/>
      <c r="B20" s="529" t="str">
        <f>B7</f>
        <v>Scenario 1</v>
      </c>
      <c r="C20" s="529" t="str">
        <f>C7</f>
        <v>Scenario 2</v>
      </c>
      <c r="D20" s="164"/>
      <c r="E20" s="164" t="s">
        <v>47</v>
      </c>
      <c r="F20" s="512" t="s">
        <v>41</v>
      </c>
    </row>
    <row r="21" spans="1:9" ht="13" thickBot="1" x14ac:dyDescent="0.3">
      <c r="A21" s="534" t="str">
        <f>A8</f>
        <v>Probability</v>
      </c>
      <c r="B21" s="530">
        <f>B8</f>
        <v>0.5</v>
      </c>
      <c r="C21" s="530">
        <f>C8</f>
        <v>0.5</v>
      </c>
      <c r="D21" s="142"/>
      <c r="E21" s="142"/>
      <c r="F21" s="159"/>
    </row>
    <row r="22" spans="1:9" ht="13" thickTop="1" x14ac:dyDescent="0.25">
      <c r="A22" s="535" t="str">
        <f>A9</f>
        <v>Decision 1</v>
      </c>
      <c r="B22" s="142">
        <f>B15 - B9</f>
        <v>0</v>
      </c>
      <c r="C22" s="142">
        <f>C15 - C9</f>
        <v>180000</v>
      </c>
      <c r="D22" s="142"/>
      <c r="E22" s="142">
        <f>SUMPRODUCT($B$8:$C$8,B22:C22)</f>
        <v>90000</v>
      </c>
      <c r="F22" s="159">
        <f>MAX(B22:C22)</f>
        <v>180000</v>
      </c>
    </row>
    <row r="23" spans="1:9" x14ac:dyDescent="0.25">
      <c r="A23" s="535" t="str">
        <f>A10</f>
        <v>Decision 2</v>
      </c>
      <c r="B23" s="142">
        <f>B15 - B10</f>
        <v>100000</v>
      </c>
      <c r="C23" s="142">
        <f>C15 - C10</f>
        <v>20000</v>
      </c>
      <c r="D23" s="142"/>
      <c r="E23" s="142">
        <f>SUMPRODUCT($B$8:$C$8,B23:C23)</f>
        <v>60000</v>
      </c>
      <c r="F23" s="159">
        <f>MAX(B23:C23)</f>
        <v>100000</v>
      </c>
    </row>
    <row r="24" spans="1:9" ht="13" thickBot="1" x14ac:dyDescent="0.3">
      <c r="A24" s="536" t="str">
        <f>A11</f>
        <v>Decision 3</v>
      </c>
      <c r="B24" s="428">
        <f>B15 - B11</f>
        <v>200000</v>
      </c>
      <c r="C24" s="428">
        <f>C15 - C11</f>
        <v>0</v>
      </c>
      <c r="D24" s="498"/>
      <c r="E24" s="498">
        <f>SUMPRODUCT($B$8:$C$8,B24:C24)</f>
        <v>100000</v>
      </c>
      <c r="F24" s="431">
        <f>MAX(B24:C24)</f>
        <v>200000</v>
      </c>
    </row>
    <row r="25" spans="1:9" ht="13.5" thickBot="1" x14ac:dyDescent="0.35">
      <c r="D25" s="209" t="s">
        <v>40</v>
      </c>
      <c r="E25" s="210">
        <f>MIN(E22:E24)</f>
        <v>60000</v>
      </c>
      <c r="F25" s="211">
        <f>MIN(F22:F24)</f>
        <v>100000</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0"/>
  <sheetViews>
    <sheetView workbookViewId="0">
      <selection activeCell="L6" sqref="L6"/>
    </sheetView>
  </sheetViews>
  <sheetFormatPr defaultColWidth="9.08984375" defaultRowHeight="15.5" x14ac:dyDescent="0.35"/>
  <cols>
    <col min="1" max="2" width="9.08984375" style="107"/>
    <col min="3" max="3" width="12" style="107" customWidth="1"/>
    <col min="4" max="4" width="9.08984375" style="107"/>
    <col min="5" max="5" width="15.36328125" style="107" customWidth="1"/>
    <col min="6" max="16384" width="9.08984375" style="107"/>
  </cols>
  <sheetData>
    <row r="1" spans="1:10" x14ac:dyDescent="0.35">
      <c r="A1" s="29" t="s">
        <v>195</v>
      </c>
      <c r="B1" s="192"/>
      <c r="C1" s="192"/>
      <c r="D1" s="192"/>
      <c r="E1" s="192"/>
      <c r="F1" s="192"/>
      <c r="G1" s="192"/>
      <c r="H1" s="192"/>
      <c r="I1" s="192"/>
      <c r="J1" s="192"/>
    </row>
    <row r="2" spans="1:10" x14ac:dyDescent="0.35">
      <c r="A2" s="192"/>
      <c r="B2" s="192"/>
      <c r="C2" s="192"/>
      <c r="D2" s="192"/>
      <c r="E2" s="192"/>
      <c r="F2" s="192"/>
      <c r="G2" s="192"/>
      <c r="H2" s="192"/>
      <c r="I2" s="192"/>
      <c r="J2" s="192"/>
    </row>
    <row r="3" spans="1:10" x14ac:dyDescent="0.35">
      <c r="A3" s="29" t="s">
        <v>196</v>
      </c>
      <c r="B3" s="192"/>
      <c r="C3" s="192"/>
      <c r="D3" s="192"/>
      <c r="E3" s="192"/>
      <c r="F3" s="192"/>
      <c r="G3" s="192"/>
      <c r="H3" s="192"/>
      <c r="I3" s="192"/>
      <c r="J3" s="192"/>
    </row>
    <row r="4" spans="1:10" x14ac:dyDescent="0.35">
      <c r="A4" s="192"/>
      <c r="B4" s="192"/>
      <c r="C4" s="192"/>
      <c r="D4" s="192"/>
      <c r="E4" s="192"/>
      <c r="F4" s="192"/>
      <c r="G4" s="192"/>
      <c r="H4" s="192"/>
      <c r="I4" s="192"/>
      <c r="J4" s="192"/>
    </row>
    <row r="5" spans="1:10" x14ac:dyDescent="0.35">
      <c r="A5" s="29" t="s">
        <v>197</v>
      </c>
      <c r="B5" s="192"/>
      <c r="C5" s="192"/>
      <c r="D5" s="192"/>
      <c r="E5" s="192"/>
      <c r="F5" s="192"/>
      <c r="G5" s="192"/>
      <c r="H5" s="192"/>
      <c r="I5" s="192"/>
      <c r="J5" s="192"/>
    </row>
    <row r="6" spans="1:10" ht="31" x14ac:dyDescent="0.35">
      <c r="A6" s="193" t="s">
        <v>198</v>
      </c>
      <c r="B6" s="192" t="s">
        <v>202</v>
      </c>
      <c r="C6" s="192" t="s">
        <v>203</v>
      </c>
      <c r="D6" s="192" t="s">
        <v>204</v>
      </c>
      <c r="E6" s="193" t="s">
        <v>205</v>
      </c>
      <c r="F6" s="192"/>
      <c r="G6" s="192"/>
      <c r="H6" s="192"/>
      <c r="I6" s="192"/>
      <c r="J6" s="192"/>
    </row>
    <row r="7" spans="1:10" x14ac:dyDescent="0.35">
      <c r="A7" s="192" t="s">
        <v>199</v>
      </c>
      <c r="B7" s="194">
        <v>0.7</v>
      </c>
      <c r="C7" s="194">
        <v>0.5</v>
      </c>
      <c r="D7" s="192">
        <f>B7*C7</f>
        <v>0.35</v>
      </c>
      <c r="E7" s="195">
        <f>D7/$D$9</f>
        <v>0.77777777777777779</v>
      </c>
      <c r="F7" s="192"/>
      <c r="G7" s="192"/>
      <c r="H7" s="195"/>
      <c r="I7" s="192"/>
      <c r="J7" s="192"/>
    </row>
    <row r="8" spans="1:10" x14ac:dyDescent="0.35">
      <c r="A8" s="192" t="s">
        <v>200</v>
      </c>
      <c r="B8" s="194">
        <v>0.2</v>
      </c>
      <c r="C8" s="192">
        <f>1-C7</f>
        <v>0.5</v>
      </c>
      <c r="D8" s="196">
        <f>B8*C8</f>
        <v>0.1</v>
      </c>
      <c r="E8" s="195">
        <f>D8/$D$9</f>
        <v>0.22222222222222227</v>
      </c>
      <c r="F8" s="192"/>
      <c r="G8" s="192"/>
      <c r="H8" s="192"/>
      <c r="I8" s="192"/>
      <c r="J8" s="192"/>
    </row>
    <row r="9" spans="1:10" x14ac:dyDescent="0.35">
      <c r="A9" s="192"/>
      <c r="B9" s="192"/>
      <c r="C9" s="192" t="s">
        <v>206</v>
      </c>
      <c r="D9" s="197">
        <f>SUM(D7:D8)</f>
        <v>0.44999999999999996</v>
      </c>
      <c r="E9" s="192"/>
      <c r="F9" s="192"/>
      <c r="G9" s="192"/>
      <c r="H9" s="192"/>
      <c r="I9" s="192"/>
      <c r="J9" s="192"/>
    </row>
    <row r="10" spans="1:10" x14ac:dyDescent="0.35">
      <c r="A10" s="192"/>
      <c r="B10" s="192"/>
      <c r="C10" s="192"/>
      <c r="D10" s="192"/>
      <c r="E10" s="192"/>
      <c r="F10" s="192"/>
      <c r="G10" s="192"/>
      <c r="H10" s="192"/>
      <c r="I10" s="192"/>
      <c r="J10" s="192"/>
    </row>
    <row r="11" spans="1:10" x14ac:dyDescent="0.35">
      <c r="A11" s="29" t="s">
        <v>201</v>
      </c>
      <c r="B11" s="192"/>
      <c r="C11" s="192"/>
      <c r="D11" s="192"/>
      <c r="E11" s="192"/>
      <c r="F11" s="192"/>
      <c r="G11" s="192"/>
      <c r="H11" s="192"/>
      <c r="I11" s="192"/>
      <c r="J11" s="192"/>
    </row>
    <row r="12" spans="1:10" ht="31" x14ac:dyDescent="0.35">
      <c r="A12" s="193" t="s">
        <v>198</v>
      </c>
      <c r="B12" s="192" t="s">
        <v>202</v>
      </c>
      <c r="C12" s="192" t="s">
        <v>203</v>
      </c>
      <c r="D12" s="192" t="s">
        <v>204</v>
      </c>
      <c r="E12" s="193" t="s">
        <v>205</v>
      </c>
      <c r="F12" s="192"/>
      <c r="G12" s="192"/>
      <c r="H12" s="192"/>
      <c r="I12" s="192"/>
      <c r="J12" s="192"/>
    </row>
    <row r="13" spans="1:10" x14ac:dyDescent="0.35">
      <c r="A13" s="192" t="s">
        <v>199</v>
      </c>
      <c r="B13" s="192">
        <f>1-B7</f>
        <v>0.30000000000000004</v>
      </c>
      <c r="C13" s="192">
        <f>C7</f>
        <v>0.5</v>
      </c>
      <c r="D13" s="192">
        <f>B13*C13</f>
        <v>0.15000000000000002</v>
      </c>
      <c r="E13" s="195">
        <f>D13/$D$15</f>
        <v>0.27272727272727276</v>
      </c>
      <c r="F13" s="192"/>
      <c r="G13" s="192"/>
      <c r="H13" s="195"/>
      <c r="I13" s="192"/>
      <c r="J13" s="192"/>
    </row>
    <row r="14" spans="1:10" x14ac:dyDescent="0.35">
      <c r="A14" s="192" t="s">
        <v>200</v>
      </c>
      <c r="B14" s="192">
        <f>1-B8</f>
        <v>0.8</v>
      </c>
      <c r="C14" s="192">
        <f>C8</f>
        <v>0.5</v>
      </c>
      <c r="D14" s="196">
        <f>B14*C14</f>
        <v>0.4</v>
      </c>
      <c r="E14" s="195">
        <f>D14/$D$15</f>
        <v>0.72727272727272729</v>
      </c>
      <c r="F14" s="192"/>
      <c r="G14" s="192"/>
      <c r="H14" s="192"/>
      <c r="I14" s="192"/>
      <c r="J14" s="192"/>
    </row>
    <row r="15" spans="1:10" x14ac:dyDescent="0.35">
      <c r="A15" s="192"/>
      <c r="B15" s="192"/>
      <c r="C15" s="192" t="s">
        <v>207</v>
      </c>
      <c r="D15" s="197">
        <f>SUM(D13:D14)</f>
        <v>0.55000000000000004</v>
      </c>
      <c r="E15" s="192"/>
      <c r="F15" s="192"/>
      <c r="G15" s="192"/>
      <c r="H15" s="192"/>
      <c r="I15" s="192"/>
      <c r="J15" s="192"/>
    </row>
    <row r="16" spans="1:10" x14ac:dyDescent="0.35">
      <c r="A16" s="192"/>
      <c r="B16" s="192"/>
      <c r="C16" s="192"/>
      <c r="D16" s="192"/>
      <c r="E16" s="192"/>
      <c r="F16" s="192"/>
      <c r="G16" s="192"/>
      <c r="H16" s="192"/>
      <c r="I16" s="192"/>
      <c r="J16" s="192"/>
    </row>
    <row r="17" spans="1:10" x14ac:dyDescent="0.35">
      <c r="A17" s="192"/>
      <c r="B17" s="192"/>
      <c r="C17" s="192"/>
      <c r="D17" s="192"/>
      <c r="E17" s="192"/>
      <c r="F17" s="192"/>
      <c r="G17" s="192"/>
      <c r="H17" s="192"/>
      <c r="I17" s="192"/>
      <c r="J17" s="192"/>
    </row>
    <row r="18" spans="1:10" x14ac:dyDescent="0.35">
      <c r="A18" s="192"/>
      <c r="B18" s="192"/>
      <c r="C18" s="192"/>
      <c r="D18" s="192"/>
      <c r="E18" s="192"/>
      <c r="F18" s="192"/>
      <c r="G18" s="192"/>
      <c r="H18" s="192"/>
      <c r="I18" s="192"/>
      <c r="J18" s="192"/>
    </row>
    <row r="19" spans="1:10" x14ac:dyDescent="0.35">
      <c r="A19" s="192"/>
      <c r="B19" s="192"/>
      <c r="C19" s="192"/>
      <c r="D19" s="192"/>
      <c r="E19" s="192"/>
      <c r="F19" s="192"/>
      <c r="G19" s="192"/>
      <c r="H19" s="192"/>
      <c r="I19" s="192"/>
      <c r="J19" s="192"/>
    </row>
    <row r="20" spans="1:10" x14ac:dyDescent="0.35">
      <c r="A20" s="192"/>
      <c r="B20" s="192"/>
      <c r="C20" s="192"/>
      <c r="D20" s="192"/>
      <c r="E20" s="192"/>
      <c r="F20" s="192"/>
      <c r="G20" s="192"/>
      <c r="H20" s="192"/>
      <c r="I20" s="192"/>
      <c r="J20" s="19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1"/>
  <sheetViews>
    <sheetView topLeftCell="C7" zoomScale="175" zoomScaleNormal="175" workbookViewId="0">
      <selection activeCell="K10" sqref="K10"/>
    </sheetView>
  </sheetViews>
  <sheetFormatPr defaultColWidth="9.08984375" defaultRowHeight="15.5" x14ac:dyDescent="0.35"/>
  <cols>
    <col min="1" max="1" width="12" style="107" customWidth="1"/>
    <col min="2" max="2" width="13.7265625" style="107" customWidth="1"/>
    <col min="3" max="3" width="9.08984375" style="107"/>
    <col min="4" max="4" width="17.453125" style="107" bestFit="1" customWidth="1"/>
    <col min="5" max="8" width="9.08984375" style="107"/>
    <col min="9" max="9" width="11.453125" style="107" customWidth="1"/>
    <col min="10" max="16384" width="9.08984375" style="107"/>
  </cols>
  <sheetData>
    <row r="1" spans="1:13" ht="18.5" x14ac:dyDescent="0.45">
      <c r="A1" s="137" t="s">
        <v>389</v>
      </c>
      <c r="B1" s="138"/>
      <c r="C1" s="138"/>
      <c r="D1" s="118" t="s">
        <v>392</v>
      </c>
      <c r="E1" s="118"/>
      <c r="F1" s="118"/>
      <c r="G1" s="118"/>
      <c r="H1" s="118"/>
      <c r="I1" s="118"/>
      <c r="J1" s="118"/>
      <c r="K1" s="118"/>
      <c r="L1" s="118"/>
      <c r="M1" s="138"/>
    </row>
    <row r="2" spans="1:13" ht="19" thickBot="1" x14ac:dyDescent="0.5">
      <c r="A2" s="138"/>
      <c r="B2" s="138"/>
      <c r="C2" s="138"/>
      <c r="D2" s="118"/>
      <c r="E2" s="118"/>
      <c r="F2" s="118"/>
      <c r="G2" s="118"/>
      <c r="H2" s="118"/>
      <c r="I2" s="118"/>
      <c r="J2" s="118"/>
      <c r="K2" s="118"/>
      <c r="L2" s="118"/>
      <c r="M2" s="138"/>
    </row>
    <row r="3" spans="1:13" s="29" customFormat="1" ht="19" thickBot="1" x14ac:dyDescent="0.5">
      <c r="A3" s="117" t="s">
        <v>390</v>
      </c>
      <c r="B3" s="117" t="s">
        <v>391</v>
      </c>
      <c r="C3" s="138"/>
      <c r="D3" s="132" t="s">
        <v>393</v>
      </c>
      <c r="E3" s="132"/>
      <c r="F3" s="118"/>
      <c r="G3" s="118"/>
      <c r="H3" s="118"/>
      <c r="I3" s="118"/>
      <c r="J3" s="118"/>
      <c r="K3" s="118"/>
      <c r="L3" s="118"/>
      <c r="M3" s="138"/>
    </row>
    <row r="4" spans="1:13" ht="18.5" x14ac:dyDescent="0.45">
      <c r="A4" s="139">
        <v>6</v>
      </c>
      <c r="B4" s="139">
        <v>3</v>
      </c>
      <c r="C4" s="138"/>
      <c r="D4" s="118" t="s">
        <v>394</v>
      </c>
      <c r="E4" s="128">
        <v>0.83333333333333337</v>
      </c>
      <c r="F4" s="118"/>
      <c r="G4" s="118"/>
      <c r="H4" s="118"/>
      <c r="I4" s="118"/>
      <c r="J4" s="118"/>
      <c r="K4" s="118"/>
      <c r="L4" s="118"/>
      <c r="M4" s="138"/>
    </row>
    <row r="5" spans="1:13" ht="18.5" x14ac:dyDescent="0.45">
      <c r="A5" s="139">
        <v>8</v>
      </c>
      <c r="B5" s="139">
        <v>4</v>
      </c>
      <c r="C5" s="138"/>
      <c r="D5" s="118" t="s">
        <v>395</v>
      </c>
      <c r="E5" s="128">
        <v>0.69444444444444453</v>
      </c>
      <c r="F5" s="118"/>
      <c r="G5" s="118"/>
      <c r="H5" s="118"/>
      <c r="I5" s="118"/>
      <c r="J5" s="118"/>
      <c r="K5" s="118"/>
      <c r="L5" s="118"/>
      <c r="M5" s="138"/>
    </row>
    <row r="6" spans="1:13" ht="18.5" x14ac:dyDescent="0.45">
      <c r="A6" s="139">
        <v>9</v>
      </c>
      <c r="B6" s="139">
        <v>6</v>
      </c>
      <c r="C6" s="138"/>
      <c r="D6" s="118" t="s">
        <v>396</v>
      </c>
      <c r="E6" s="128">
        <v>0.61805555555555569</v>
      </c>
      <c r="F6" s="118"/>
      <c r="G6" s="118"/>
      <c r="H6" s="118"/>
      <c r="I6" s="118"/>
      <c r="J6" s="118"/>
      <c r="K6" s="118"/>
      <c r="L6" s="118"/>
      <c r="M6" s="138"/>
    </row>
    <row r="7" spans="1:13" ht="18.5" x14ac:dyDescent="0.45">
      <c r="A7" s="139">
        <v>5</v>
      </c>
      <c r="B7" s="139">
        <v>4</v>
      </c>
      <c r="C7" s="138"/>
      <c r="D7" s="118" t="s">
        <v>397</v>
      </c>
      <c r="E7" s="128">
        <v>1.3110110602126892</v>
      </c>
      <c r="F7" s="118"/>
      <c r="G7" s="118"/>
      <c r="H7" s="118"/>
      <c r="I7" s="118"/>
      <c r="J7" s="118"/>
      <c r="K7" s="118"/>
      <c r="L7" s="118"/>
      <c r="M7" s="138"/>
    </row>
    <row r="8" spans="1:13" ht="19" thickBot="1" x14ac:dyDescent="0.5">
      <c r="A8" s="139">
        <v>4.5</v>
      </c>
      <c r="B8" s="139">
        <v>2</v>
      </c>
      <c r="C8" s="138"/>
      <c r="D8" s="123" t="s">
        <v>398</v>
      </c>
      <c r="E8" s="123">
        <v>6</v>
      </c>
      <c r="F8" s="118"/>
      <c r="G8" s="118"/>
      <c r="H8" s="118"/>
      <c r="I8" s="118"/>
      <c r="J8" s="118"/>
      <c r="K8" s="118"/>
      <c r="L8" s="118"/>
      <c r="M8" s="138"/>
    </row>
    <row r="9" spans="1:13" ht="18.5" x14ac:dyDescent="0.45">
      <c r="A9" s="139">
        <v>9.5</v>
      </c>
      <c r="B9" s="139">
        <v>5</v>
      </c>
      <c r="C9" s="138"/>
      <c r="D9" s="118"/>
      <c r="E9" s="118"/>
      <c r="F9" s="118"/>
      <c r="G9" s="118"/>
      <c r="H9" s="118"/>
      <c r="I9" s="118"/>
      <c r="J9" s="118"/>
      <c r="K9" s="118"/>
      <c r="L9" s="118"/>
      <c r="M9" s="138"/>
    </row>
    <row r="10" spans="1:13" ht="19" thickBot="1" x14ac:dyDescent="0.5">
      <c r="A10" s="138"/>
      <c r="B10" s="138"/>
      <c r="C10" s="138"/>
      <c r="D10" s="118" t="s">
        <v>399</v>
      </c>
      <c r="E10" s="118"/>
      <c r="F10" s="118"/>
      <c r="G10" s="118"/>
      <c r="H10" s="118"/>
      <c r="I10" s="118"/>
      <c r="J10" s="118"/>
      <c r="K10" s="118"/>
      <c r="L10" s="118"/>
      <c r="M10" s="138"/>
    </row>
    <row r="11" spans="1:13" ht="18.5" x14ac:dyDescent="0.45">
      <c r="A11" s="138"/>
      <c r="B11" s="138"/>
      <c r="C11" s="138"/>
      <c r="D11" s="134"/>
      <c r="E11" s="134" t="s">
        <v>401</v>
      </c>
      <c r="F11" s="134" t="s">
        <v>402</v>
      </c>
      <c r="G11" s="134" t="s">
        <v>403</v>
      </c>
      <c r="H11" s="134" t="s">
        <v>404</v>
      </c>
      <c r="I11" s="810" t="s">
        <v>405</v>
      </c>
      <c r="J11" s="118"/>
      <c r="K11" s="118"/>
      <c r="L11" s="118"/>
      <c r="M11" s="138"/>
    </row>
    <row r="12" spans="1:13" ht="18.5" x14ac:dyDescent="0.45">
      <c r="A12" s="138"/>
      <c r="B12" s="138"/>
      <c r="C12" s="138"/>
      <c r="D12" s="118" t="s">
        <v>365</v>
      </c>
      <c r="E12" s="118">
        <v>1</v>
      </c>
      <c r="F12" s="128">
        <v>15.625000000000002</v>
      </c>
      <c r="G12" s="128">
        <v>15.625000000000002</v>
      </c>
      <c r="H12" s="128">
        <v>9.0909090909090935</v>
      </c>
      <c r="I12" s="128">
        <v>3.9351851851851818E-2</v>
      </c>
      <c r="J12" s="118"/>
      <c r="K12" s="118"/>
      <c r="L12" s="118"/>
      <c r="M12" s="138"/>
    </row>
    <row r="13" spans="1:13" ht="18.5" x14ac:dyDescent="0.45">
      <c r="A13" s="138"/>
      <c r="B13" s="138"/>
      <c r="C13" s="138"/>
      <c r="D13" s="118" t="s">
        <v>400</v>
      </c>
      <c r="E13" s="118">
        <v>4</v>
      </c>
      <c r="F13" s="128">
        <v>6.8749999999999982</v>
      </c>
      <c r="G13" s="128">
        <v>1.7187499999999996</v>
      </c>
      <c r="H13" s="128"/>
      <c r="I13" s="128"/>
      <c r="J13" s="118"/>
      <c r="K13" s="118"/>
      <c r="L13" s="118"/>
      <c r="M13" s="138"/>
    </row>
    <row r="14" spans="1:13" ht="19" thickBot="1" x14ac:dyDescent="0.5">
      <c r="A14" s="138"/>
      <c r="B14" s="138"/>
      <c r="C14" s="138"/>
      <c r="D14" s="123" t="s">
        <v>57</v>
      </c>
      <c r="E14" s="123">
        <v>5</v>
      </c>
      <c r="F14" s="123">
        <v>22.5</v>
      </c>
      <c r="G14" s="123"/>
      <c r="H14" s="123"/>
      <c r="I14" s="123"/>
      <c r="J14" s="118"/>
      <c r="K14" s="118"/>
      <c r="L14" s="118"/>
      <c r="M14" s="138"/>
    </row>
    <row r="15" spans="1:13" ht="19" thickBot="1" x14ac:dyDescent="0.5">
      <c r="A15" s="138"/>
      <c r="B15" s="138"/>
      <c r="C15" s="138"/>
      <c r="D15" s="118"/>
      <c r="E15" s="118"/>
      <c r="F15" s="118"/>
      <c r="G15" s="118"/>
      <c r="H15" s="118"/>
      <c r="I15" s="118"/>
      <c r="J15" s="118"/>
      <c r="K15" s="118"/>
      <c r="L15" s="118"/>
      <c r="M15" s="138"/>
    </row>
    <row r="16" spans="1:13" ht="18.5" x14ac:dyDescent="0.45">
      <c r="A16" s="138"/>
      <c r="B16" s="138"/>
      <c r="C16" s="138"/>
      <c r="D16" s="134"/>
      <c r="E16" s="134" t="s">
        <v>406</v>
      </c>
      <c r="F16" s="134" t="s">
        <v>397</v>
      </c>
      <c r="G16" s="134" t="s">
        <v>407</v>
      </c>
      <c r="H16" s="134" t="s">
        <v>408</v>
      </c>
      <c r="I16" s="134" t="s">
        <v>409</v>
      </c>
      <c r="J16" s="134" t="s">
        <v>410</v>
      </c>
      <c r="K16" s="134" t="s">
        <v>411</v>
      </c>
      <c r="L16" s="134" t="s">
        <v>412</v>
      </c>
      <c r="M16" s="138"/>
    </row>
    <row r="17" spans="1:13" ht="18.5" x14ac:dyDescent="0.45">
      <c r="A17" s="138"/>
      <c r="B17" s="138"/>
      <c r="C17" s="138"/>
      <c r="D17" s="118" t="s">
        <v>67</v>
      </c>
      <c r="E17" s="118">
        <v>2</v>
      </c>
      <c r="F17" s="128">
        <v>1.7425436388605402</v>
      </c>
      <c r="G17" s="128">
        <v>1.1477474396611451</v>
      </c>
      <c r="H17" s="128">
        <v>0.315049920559485</v>
      </c>
      <c r="I17" s="128">
        <v>-2.8380767567078982</v>
      </c>
      <c r="J17" s="128">
        <v>6.8380767567078982</v>
      </c>
      <c r="K17" s="128">
        <v>-2.8380767567078982</v>
      </c>
      <c r="L17" s="128">
        <v>6.8380767567078982</v>
      </c>
      <c r="M17" s="138"/>
    </row>
    <row r="18" spans="1:13" ht="19" thickBot="1" x14ac:dyDescent="0.5">
      <c r="A18" s="138"/>
      <c r="B18" s="138"/>
      <c r="C18" s="138"/>
      <c r="D18" s="123" t="s">
        <v>391</v>
      </c>
      <c r="E18" s="123">
        <v>1.25</v>
      </c>
      <c r="F18" s="140">
        <v>0.41457809879442492</v>
      </c>
      <c r="G18" s="140">
        <v>3.0151134457776365</v>
      </c>
      <c r="H18" s="140">
        <v>3.9351851851851818E-2</v>
      </c>
      <c r="I18" s="140">
        <v>9.8946666880011636E-2</v>
      </c>
      <c r="J18" s="140">
        <v>2.4010533331199886</v>
      </c>
      <c r="K18" s="140">
        <v>9.8946666880011636E-2</v>
      </c>
      <c r="L18" s="140">
        <v>2.4010533331199886</v>
      </c>
      <c r="M18" s="138"/>
    </row>
    <row r="19" spans="1:13" ht="18.5" x14ac:dyDescent="0.45">
      <c r="A19" s="138"/>
      <c r="B19" s="138"/>
      <c r="C19" s="138"/>
      <c r="D19" s="118"/>
      <c r="E19" s="118"/>
      <c r="F19" s="118"/>
      <c r="G19" s="118"/>
      <c r="H19" s="118"/>
      <c r="I19" s="118"/>
      <c r="J19" s="118"/>
      <c r="K19" s="118"/>
      <c r="L19" s="118"/>
      <c r="M19" s="138"/>
    </row>
    <row r="20" spans="1:13" x14ac:dyDescent="0.35">
      <c r="D20"/>
      <c r="E20"/>
      <c r="F20"/>
      <c r="G20"/>
      <c r="H20"/>
      <c r="I20"/>
      <c r="J20"/>
      <c r="K20"/>
      <c r="L20"/>
    </row>
    <row r="21" spans="1:13" x14ac:dyDescent="0.35">
      <c r="D21"/>
      <c r="E21"/>
      <c r="F21"/>
      <c r="G21"/>
      <c r="H21"/>
      <c r="I21"/>
      <c r="J21"/>
      <c r="K21"/>
      <c r="L21"/>
    </row>
  </sheetData>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0"/>
  <sheetViews>
    <sheetView workbookViewId="0">
      <selection activeCell="I20" sqref="I20"/>
    </sheetView>
  </sheetViews>
  <sheetFormatPr defaultColWidth="9.08984375" defaultRowHeight="12.5" x14ac:dyDescent="0.25"/>
  <cols>
    <col min="1" max="2" width="10.7265625" style="160" customWidth="1"/>
    <col min="3" max="16384" width="9.08984375" style="160"/>
  </cols>
  <sheetData>
    <row r="1" spans="1:9" ht="18" x14ac:dyDescent="0.4">
      <c r="A1" s="513" t="s">
        <v>882</v>
      </c>
    </row>
    <row r="3" spans="1:9" ht="15.5" x14ac:dyDescent="0.35">
      <c r="A3" s="500" t="s">
        <v>49</v>
      </c>
      <c r="B3" s="500"/>
      <c r="C3" s="500" t="s">
        <v>915</v>
      </c>
      <c r="D3" s="500"/>
      <c r="E3" s="500"/>
      <c r="F3" s="500"/>
      <c r="G3" s="500"/>
      <c r="H3" s="500"/>
    </row>
    <row r="4" spans="1:9" x14ac:dyDescent="0.25">
      <c r="A4" s="499"/>
      <c r="B4" s="499"/>
    </row>
    <row r="7" spans="1:9" ht="13.5" thickBot="1" x14ac:dyDescent="0.35">
      <c r="A7" s="501" t="s">
        <v>27</v>
      </c>
      <c r="E7" s="509" t="s">
        <v>452</v>
      </c>
    </row>
    <row r="8" spans="1:9" x14ac:dyDescent="0.25">
      <c r="A8" s="503"/>
      <c r="B8" s="538" t="s">
        <v>916</v>
      </c>
      <c r="C8" s="539" t="s">
        <v>549</v>
      </c>
      <c r="E8" s="163" t="s">
        <v>53</v>
      </c>
      <c r="F8" s="164" t="s">
        <v>54</v>
      </c>
      <c r="G8" s="164" t="s">
        <v>55</v>
      </c>
      <c r="H8" s="164" t="s">
        <v>56</v>
      </c>
      <c r="I8" s="165" t="s">
        <v>450</v>
      </c>
    </row>
    <row r="9" spans="1:9" x14ac:dyDescent="0.25">
      <c r="A9" s="505" t="s">
        <v>456</v>
      </c>
      <c r="B9" s="502">
        <v>6</v>
      </c>
      <c r="C9" s="502">
        <v>3</v>
      </c>
      <c r="E9" s="143">
        <f t="shared" ref="E9:E14" si="0">$B$16+$C$16*C9</f>
        <v>5.75</v>
      </c>
      <c r="F9" s="142">
        <f t="shared" ref="F9:F14" si="1">B9-E9</f>
        <v>0.25</v>
      </c>
      <c r="G9" s="142">
        <f t="shared" ref="G9:G14" si="2">ABS(F9)</f>
        <v>0.25</v>
      </c>
      <c r="H9" s="142">
        <f t="shared" ref="H9:H14" si="3">F9^2</f>
        <v>6.25E-2</v>
      </c>
      <c r="I9" s="154">
        <f t="shared" ref="I9:I14" si="4">G9/B9</f>
        <v>4.1666666666666664E-2</v>
      </c>
    </row>
    <row r="10" spans="1:9" x14ac:dyDescent="0.25">
      <c r="A10" s="505" t="s">
        <v>457</v>
      </c>
      <c r="B10" s="502">
        <v>8</v>
      </c>
      <c r="C10" s="502">
        <v>4</v>
      </c>
      <c r="E10" s="143">
        <f t="shared" si="0"/>
        <v>7</v>
      </c>
      <c r="F10" s="142">
        <f t="shared" si="1"/>
        <v>1</v>
      </c>
      <c r="G10" s="142">
        <f t="shared" si="2"/>
        <v>1</v>
      </c>
      <c r="H10" s="142">
        <f t="shared" si="3"/>
        <v>1</v>
      </c>
      <c r="I10" s="154">
        <f t="shared" si="4"/>
        <v>0.125</v>
      </c>
    </row>
    <row r="11" spans="1:9" x14ac:dyDescent="0.25">
      <c r="A11" s="505" t="s">
        <v>458</v>
      </c>
      <c r="B11" s="502">
        <v>9</v>
      </c>
      <c r="C11" s="502">
        <v>6</v>
      </c>
      <c r="E11" s="143">
        <f t="shared" si="0"/>
        <v>9.5</v>
      </c>
      <c r="F11" s="142">
        <f t="shared" si="1"/>
        <v>-0.5</v>
      </c>
      <c r="G11" s="142">
        <f t="shared" si="2"/>
        <v>0.5</v>
      </c>
      <c r="H11" s="142">
        <f t="shared" si="3"/>
        <v>0.25</v>
      </c>
      <c r="I11" s="154">
        <f t="shared" si="4"/>
        <v>5.5555555555555552E-2</v>
      </c>
    </row>
    <row r="12" spans="1:9" x14ac:dyDescent="0.25">
      <c r="A12" s="505" t="s">
        <v>459</v>
      </c>
      <c r="B12" s="502">
        <v>5</v>
      </c>
      <c r="C12" s="502">
        <v>4</v>
      </c>
      <c r="E12" s="143">
        <f t="shared" si="0"/>
        <v>7</v>
      </c>
      <c r="F12" s="142">
        <f t="shared" si="1"/>
        <v>-2</v>
      </c>
      <c r="G12" s="142">
        <f t="shared" si="2"/>
        <v>2</v>
      </c>
      <c r="H12" s="142">
        <f t="shared" si="3"/>
        <v>4</v>
      </c>
      <c r="I12" s="154">
        <f t="shared" si="4"/>
        <v>0.4</v>
      </c>
    </row>
    <row r="13" spans="1:9" x14ac:dyDescent="0.25">
      <c r="A13" s="505" t="s">
        <v>460</v>
      </c>
      <c r="B13" s="502">
        <v>4.5</v>
      </c>
      <c r="C13" s="502">
        <v>2</v>
      </c>
      <c r="E13" s="143">
        <f t="shared" si="0"/>
        <v>4.5</v>
      </c>
      <c r="F13" s="142">
        <f t="shared" si="1"/>
        <v>0</v>
      </c>
      <c r="G13" s="142">
        <f t="shared" si="2"/>
        <v>0</v>
      </c>
      <c r="H13" s="142">
        <f t="shared" si="3"/>
        <v>0</v>
      </c>
      <c r="I13" s="154">
        <f t="shared" si="4"/>
        <v>0</v>
      </c>
    </row>
    <row r="14" spans="1:9" ht="13" thickBot="1" x14ac:dyDescent="0.3">
      <c r="A14" s="507" t="s">
        <v>461</v>
      </c>
      <c r="B14" s="502">
        <v>9.5</v>
      </c>
      <c r="C14" s="502">
        <v>5</v>
      </c>
      <c r="E14" s="205">
        <f t="shared" si="0"/>
        <v>8.25</v>
      </c>
      <c r="F14" s="498">
        <f t="shared" si="1"/>
        <v>1.25</v>
      </c>
      <c r="G14" s="498">
        <f t="shared" si="2"/>
        <v>1.25</v>
      </c>
      <c r="H14" s="498">
        <f t="shared" si="3"/>
        <v>1.5625</v>
      </c>
      <c r="I14" s="166">
        <f t="shared" si="4"/>
        <v>0.13157894736842105</v>
      </c>
    </row>
    <row r="15" spans="1:9" ht="13" x14ac:dyDescent="0.3">
      <c r="E15" s="146" t="s">
        <v>57</v>
      </c>
      <c r="F15" s="147">
        <f>SUM(F9:F14)</f>
        <v>0</v>
      </c>
      <c r="G15" s="147">
        <f>SUM(G9:G14)</f>
        <v>5</v>
      </c>
      <c r="H15" s="147">
        <f>SUM(H9:H14)</f>
        <v>6.875</v>
      </c>
      <c r="I15" s="150">
        <f>SUM(I9:I14)</f>
        <v>0.75380116959064325</v>
      </c>
    </row>
    <row r="16" spans="1:9" ht="13" x14ac:dyDescent="0.3">
      <c r="A16" s="160" t="s">
        <v>406</v>
      </c>
      <c r="B16" s="160">
        <f>INDEX(LINEST($B$9:$B$14,$C$9:$C$14),2)</f>
        <v>2</v>
      </c>
      <c r="C16" s="160">
        <f>INDEX(LINEST($B$9:$B$14,$C$9:$C$14),1)</f>
        <v>1.25</v>
      </c>
      <c r="E16" s="145" t="s">
        <v>58</v>
      </c>
      <c r="F16" s="144">
        <f>AVERAGE(F9:F14)</f>
        <v>0</v>
      </c>
      <c r="G16" s="144">
        <f>AVERAGE(G9:G14)</f>
        <v>0.83333333333333337</v>
      </c>
      <c r="H16" s="144">
        <f>AVERAGE(H9:H14)</f>
        <v>1.1458333333333333</v>
      </c>
      <c r="I16" s="151">
        <f>AVERAGE(I9:I14)</f>
        <v>0.12563352826510721</v>
      </c>
    </row>
    <row r="17" spans="1:9" ht="13" x14ac:dyDescent="0.3">
      <c r="E17" s="145"/>
      <c r="F17" s="144" t="s">
        <v>59</v>
      </c>
      <c r="G17" s="144" t="s">
        <v>60</v>
      </c>
      <c r="H17" s="144" t="s">
        <v>61</v>
      </c>
      <c r="I17" s="152" t="s">
        <v>451</v>
      </c>
    </row>
    <row r="18" spans="1:9" ht="13" x14ac:dyDescent="0.3">
      <c r="E18" s="145"/>
      <c r="F18" s="144"/>
      <c r="G18" s="144" t="s">
        <v>62</v>
      </c>
      <c r="H18" s="144">
        <f>SQRT(H15/(COUNT(H9:H14)-2))</f>
        <v>1.3110110602126894</v>
      </c>
      <c r="I18" s="152"/>
    </row>
    <row r="19" spans="1:9" ht="13" x14ac:dyDescent="0.3">
      <c r="A19" s="160" t="s">
        <v>53</v>
      </c>
      <c r="B19" s="160">
        <f>$B$16+$C$16*C19</f>
        <v>10.75</v>
      </c>
      <c r="C19" s="502">
        <v>7</v>
      </c>
      <c r="E19" s="145"/>
      <c r="F19" s="144"/>
      <c r="G19" s="144"/>
      <c r="H19" s="144"/>
      <c r="I19" s="152"/>
    </row>
    <row r="20" spans="1:9" ht="13.5" thickBot="1" x14ac:dyDescent="0.35">
      <c r="E20" s="148"/>
      <c r="F20" s="149"/>
      <c r="G20" s="149" t="s">
        <v>69</v>
      </c>
      <c r="H20" s="149">
        <f>CORREL(B9:B14,E9:E14)</f>
        <v>0.83333333333333326</v>
      </c>
      <c r="I20" s="153"/>
    </row>
  </sheetData>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
  <sheetViews>
    <sheetView zoomScale="175" zoomScaleNormal="175" workbookViewId="0">
      <selection activeCell="A36" sqref="A36"/>
    </sheetView>
  </sheetViews>
  <sheetFormatPr defaultRowHeight="12.5" x14ac:dyDescent="0.25"/>
  <cols>
    <col min="1" max="1" width="18.26953125" customWidth="1"/>
    <col min="2" max="2" width="8.26953125" customWidth="1"/>
    <col min="3" max="3" width="12.08984375" customWidth="1"/>
    <col min="6" max="6" width="14.7265625" bestFit="1" customWidth="1"/>
    <col min="7" max="7" width="13.08984375" bestFit="1" customWidth="1"/>
    <col min="8" max="9" width="13.7265625" bestFit="1" customWidth="1"/>
  </cols>
  <sheetData>
    <row r="1" spans="1:3" ht="15.5" x14ac:dyDescent="0.35">
      <c r="A1" s="120" t="s">
        <v>364</v>
      </c>
      <c r="B1" s="118"/>
      <c r="C1" s="118"/>
    </row>
    <row r="2" spans="1:3" ht="15.5" x14ac:dyDescent="0.35">
      <c r="A2" s="116"/>
      <c r="B2" s="98"/>
      <c r="C2" s="98"/>
    </row>
    <row r="3" spans="1:3" ht="16" thickBot="1" x14ac:dyDescent="0.4">
      <c r="A3" s="121" t="s">
        <v>413</v>
      </c>
      <c r="B3" s="121" t="s">
        <v>414</v>
      </c>
      <c r="C3" s="121" t="s">
        <v>415</v>
      </c>
    </row>
    <row r="4" spans="1:3" ht="15.5" x14ac:dyDescent="0.35">
      <c r="A4" s="116">
        <v>95000</v>
      </c>
      <c r="B4" s="116">
        <v>1926</v>
      </c>
      <c r="C4" s="116">
        <v>30</v>
      </c>
    </row>
    <row r="5" spans="1:3" ht="15.5" x14ac:dyDescent="0.35">
      <c r="A5" s="116">
        <v>119000</v>
      </c>
      <c r="B5" s="116">
        <v>2069</v>
      </c>
      <c r="C5" s="116">
        <v>40</v>
      </c>
    </row>
    <row r="6" spans="1:3" ht="15.5" x14ac:dyDescent="0.35">
      <c r="A6" s="116">
        <v>124800</v>
      </c>
      <c r="B6" s="116">
        <v>1720</v>
      </c>
      <c r="C6" s="116">
        <v>30</v>
      </c>
    </row>
    <row r="7" spans="1:3" ht="15.5" x14ac:dyDescent="0.35">
      <c r="A7" s="116">
        <v>135000</v>
      </c>
      <c r="B7" s="116">
        <v>1396</v>
      </c>
      <c r="C7" s="116">
        <v>15</v>
      </c>
    </row>
    <row r="8" spans="1:3" ht="15.5" x14ac:dyDescent="0.35">
      <c r="A8" s="116">
        <v>142800</v>
      </c>
      <c r="B8" s="116">
        <v>1706</v>
      </c>
      <c r="C8" s="116">
        <v>32</v>
      </c>
    </row>
    <row r="9" spans="1:3" ht="15.5" x14ac:dyDescent="0.35">
      <c r="A9" s="116">
        <v>145000</v>
      </c>
      <c r="B9" s="116">
        <v>1847</v>
      </c>
      <c r="C9" s="116">
        <v>38</v>
      </c>
    </row>
    <row r="10" spans="1:3" ht="15.5" x14ac:dyDescent="0.35">
      <c r="A10" s="116">
        <v>159000</v>
      </c>
      <c r="B10" s="116">
        <v>1950</v>
      </c>
      <c r="C10" s="116">
        <v>27</v>
      </c>
    </row>
    <row r="11" spans="1:3" ht="15.5" x14ac:dyDescent="0.35">
      <c r="A11" s="116">
        <v>165000</v>
      </c>
      <c r="B11" s="116">
        <v>2323</v>
      </c>
      <c r="C11" s="116">
        <v>30</v>
      </c>
    </row>
    <row r="12" spans="1:3" ht="15.5" x14ac:dyDescent="0.35">
      <c r="A12" s="116">
        <v>182000</v>
      </c>
      <c r="B12" s="116">
        <v>2285</v>
      </c>
      <c r="C12" s="116">
        <v>26</v>
      </c>
    </row>
    <row r="13" spans="1:3" ht="15.5" x14ac:dyDescent="0.35">
      <c r="A13" s="116">
        <v>183000</v>
      </c>
      <c r="B13" s="116">
        <v>3752</v>
      </c>
      <c r="C13" s="116">
        <v>35</v>
      </c>
    </row>
    <row r="14" spans="1:3" ht="15.5" x14ac:dyDescent="0.35">
      <c r="A14" s="116">
        <v>200000</v>
      </c>
      <c r="B14" s="116">
        <v>2300</v>
      </c>
      <c r="C14" s="116">
        <v>18</v>
      </c>
    </row>
    <row r="15" spans="1:3" ht="15.5" x14ac:dyDescent="0.35">
      <c r="A15" s="116">
        <v>211000</v>
      </c>
      <c r="B15" s="116">
        <v>2525</v>
      </c>
      <c r="C15" s="116">
        <v>17</v>
      </c>
    </row>
    <row r="16" spans="1:3" ht="15.5" x14ac:dyDescent="0.35">
      <c r="A16" s="116">
        <v>215000</v>
      </c>
      <c r="B16" s="116">
        <v>3800</v>
      </c>
      <c r="C16" s="116">
        <v>40</v>
      </c>
    </row>
    <row r="17" spans="1:6" ht="15.5" x14ac:dyDescent="0.35">
      <c r="A17" s="116">
        <v>219000</v>
      </c>
      <c r="B17" s="116">
        <v>1740</v>
      </c>
      <c r="C17" s="116">
        <v>12</v>
      </c>
      <c r="D17" s="118"/>
      <c r="E17" s="118"/>
      <c r="F17" s="118"/>
    </row>
    <row r="19" spans="1:6" ht="15.5" x14ac:dyDescent="0.35">
      <c r="A19" s="119" t="s">
        <v>392</v>
      </c>
      <c r="B19" s="118"/>
      <c r="C19" s="118"/>
      <c r="D19" s="118"/>
      <c r="E19" s="118"/>
      <c r="F19" s="118"/>
    </row>
    <row r="20" spans="1:6" ht="15" thickBot="1" x14ac:dyDescent="0.4">
      <c r="A20" s="118"/>
      <c r="B20" s="118"/>
      <c r="C20" s="118"/>
      <c r="D20" s="118"/>
      <c r="E20" s="118"/>
      <c r="F20" s="118"/>
    </row>
    <row r="21" spans="1:6" ht="15.5" x14ac:dyDescent="0.35">
      <c r="A21" s="132" t="s">
        <v>393</v>
      </c>
      <c r="B21" s="132"/>
      <c r="C21" s="118"/>
      <c r="D21" s="118"/>
      <c r="E21" s="118"/>
      <c r="F21" s="118"/>
    </row>
    <row r="22" spans="1:6" ht="15.5" x14ac:dyDescent="0.35">
      <c r="A22" s="119" t="s">
        <v>394</v>
      </c>
      <c r="B22" s="119">
        <v>0.819680304892764</v>
      </c>
      <c r="C22" s="118"/>
      <c r="D22" s="118"/>
      <c r="E22" s="118"/>
      <c r="F22" s="118"/>
    </row>
    <row r="23" spans="1:6" ht="15.5" x14ac:dyDescent="0.35">
      <c r="A23" s="119" t="s">
        <v>395</v>
      </c>
      <c r="B23" s="119">
        <v>0.67187580222909449</v>
      </c>
      <c r="C23" s="118"/>
      <c r="D23" s="118"/>
      <c r="E23" s="118"/>
      <c r="F23" s="118"/>
    </row>
    <row r="24" spans="1:6" ht="15.5" x14ac:dyDescent="0.35">
      <c r="A24" s="119" t="s">
        <v>396</v>
      </c>
      <c r="B24" s="119">
        <v>0.61221685717983898</v>
      </c>
      <c r="D24" s="118"/>
      <c r="E24" s="118"/>
      <c r="F24" s="118"/>
    </row>
    <row r="25" spans="1:6" ht="15.5" x14ac:dyDescent="0.35">
      <c r="A25" s="119" t="s">
        <v>397</v>
      </c>
      <c r="B25" s="119">
        <v>24312.60728506033</v>
      </c>
      <c r="C25" s="118"/>
      <c r="D25" s="118"/>
      <c r="E25" s="118"/>
      <c r="F25" s="118"/>
    </row>
    <row r="26" spans="1:6" ht="16" thickBot="1" x14ac:dyDescent="0.4">
      <c r="A26" s="133" t="s">
        <v>398</v>
      </c>
      <c r="B26" s="133">
        <v>14</v>
      </c>
      <c r="C26" s="118"/>
      <c r="D26" s="118"/>
      <c r="E26" s="118"/>
      <c r="F26" s="118"/>
    </row>
    <row r="28" spans="1:6" ht="16" thickBot="1" x14ac:dyDescent="0.4">
      <c r="A28" s="119" t="s">
        <v>399</v>
      </c>
      <c r="B28" s="118"/>
      <c r="C28" s="118"/>
      <c r="D28" s="118"/>
      <c r="E28" s="118"/>
      <c r="F28" s="118"/>
    </row>
    <row r="29" spans="1:6" ht="15.5" x14ac:dyDescent="0.35">
      <c r="A29" s="134"/>
      <c r="B29" s="134" t="s">
        <v>401</v>
      </c>
      <c r="C29" s="134" t="s">
        <v>402</v>
      </c>
      <c r="D29" s="134" t="s">
        <v>403</v>
      </c>
      <c r="E29" s="134" t="s">
        <v>404</v>
      </c>
      <c r="F29" s="134" t="s">
        <v>405</v>
      </c>
    </row>
    <row r="30" spans="1:6" ht="15.5" x14ac:dyDescent="0.35">
      <c r="A30" s="119" t="s">
        <v>365</v>
      </c>
      <c r="B30" s="119">
        <v>2</v>
      </c>
      <c r="C30" s="119">
        <v>13313936968.455318</v>
      </c>
      <c r="D30" s="119">
        <v>6656968484.2276592</v>
      </c>
      <c r="E30" s="119">
        <v>11.261945742995977</v>
      </c>
      <c r="F30" s="119">
        <v>2.1787651712464793E-3</v>
      </c>
    </row>
    <row r="31" spans="1:6" ht="15.5" x14ac:dyDescent="0.35">
      <c r="A31" s="119" t="s">
        <v>400</v>
      </c>
      <c r="B31" s="119">
        <v>11</v>
      </c>
      <c r="C31" s="119">
        <v>6502131602.9732542</v>
      </c>
      <c r="D31" s="119">
        <v>591102872.99756861</v>
      </c>
      <c r="E31" s="119"/>
      <c r="F31" s="119"/>
    </row>
    <row r="32" spans="1:6" ht="16" thickBot="1" x14ac:dyDescent="0.4">
      <c r="A32" s="133" t="s">
        <v>57</v>
      </c>
      <c r="B32" s="133">
        <v>13</v>
      </c>
      <c r="C32" s="133">
        <v>19816068571.428574</v>
      </c>
      <c r="D32" s="133"/>
      <c r="E32" s="133"/>
      <c r="F32" s="133"/>
    </row>
    <row r="33" spans="1:9" ht="15" thickBot="1" x14ac:dyDescent="0.4">
      <c r="A33" s="118"/>
      <c r="B33" s="118"/>
      <c r="C33" s="118"/>
      <c r="D33" s="118"/>
      <c r="E33" s="118"/>
      <c r="F33" s="118"/>
      <c r="G33" s="118"/>
      <c r="H33" s="118"/>
      <c r="I33" s="118"/>
    </row>
    <row r="34" spans="1:9" ht="15.5" x14ac:dyDescent="0.35">
      <c r="A34" s="134"/>
      <c r="B34" s="134" t="s">
        <v>406</v>
      </c>
      <c r="C34" s="134" t="s">
        <v>397</v>
      </c>
      <c r="D34" s="134" t="s">
        <v>407</v>
      </c>
      <c r="E34" s="134" t="s">
        <v>408</v>
      </c>
      <c r="F34" s="134" t="s">
        <v>409</v>
      </c>
      <c r="G34" s="134" t="s">
        <v>410</v>
      </c>
      <c r="H34" s="134" t="s">
        <v>411</v>
      </c>
      <c r="I34" s="134" t="s">
        <v>412</v>
      </c>
    </row>
    <row r="35" spans="1:9" ht="15.5" x14ac:dyDescent="0.35">
      <c r="A35" s="119" t="s">
        <v>67</v>
      </c>
      <c r="B35" s="119">
        <v>146630.89355597377</v>
      </c>
      <c r="C35" s="135">
        <v>25482.08286875776</v>
      </c>
      <c r="D35" s="135">
        <v>5.7542742605138528</v>
      </c>
      <c r="E35" s="135">
        <v>1.2756635837056745E-4</v>
      </c>
      <c r="F35" s="135">
        <v>90545.207348517841</v>
      </c>
      <c r="G35" s="135">
        <v>202716.57976342971</v>
      </c>
      <c r="H35" s="135">
        <v>90545.207348517841</v>
      </c>
      <c r="I35" s="135">
        <v>202716.57976342971</v>
      </c>
    </row>
    <row r="36" spans="1:9" ht="15.5" x14ac:dyDescent="0.35">
      <c r="A36" s="119" t="s">
        <v>414</v>
      </c>
      <c r="B36" s="119">
        <v>43.819366490075602</v>
      </c>
      <c r="C36" s="135">
        <v>10.280965070217166</v>
      </c>
      <c r="D36" s="135">
        <v>4.2621841617783067</v>
      </c>
      <c r="E36" s="135">
        <v>1.3380948286388678E-3</v>
      </c>
      <c r="F36" s="135">
        <v>21.19111495318996</v>
      </c>
      <c r="G36" s="135">
        <v>66.447618026961237</v>
      </c>
      <c r="H36" s="135">
        <v>21.19111495318996</v>
      </c>
      <c r="I36" s="135">
        <v>66.447618026961237</v>
      </c>
    </row>
    <row r="37" spans="1:9" ht="16" thickBot="1" x14ac:dyDescent="0.4">
      <c r="A37" s="133" t="s">
        <v>415</v>
      </c>
      <c r="B37" s="133">
        <v>-2898.6862467079791</v>
      </c>
      <c r="C37" s="136">
        <v>796.56494206718173</v>
      </c>
      <c r="D37" s="136">
        <v>-3.6389829549685428</v>
      </c>
      <c r="E37" s="136">
        <v>3.8949962605989209E-3</v>
      </c>
      <c r="F37" s="136">
        <v>-4651.9138621559705</v>
      </c>
      <c r="G37" s="136">
        <v>-1145.4586312599881</v>
      </c>
      <c r="H37" s="136">
        <v>-4651.9138621559705</v>
      </c>
      <c r="I37" s="136">
        <v>-1145.4586312599881</v>
      </c>
    </row>
  </sheetData>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2"/>
  <sheetViews>
    <sheetView tabSelected="1" topLeftCell="A17" zoomScale="160" zoomScaleNormal="160" workbookViewId="0">
      <selection activeCell="I19" sqref="I19"/>
    </sheetView>
  </sheetViews>
  <sheetFormatPr defaultRowHeight="12.5" x14ac:dyDescent="0.25"/>
  <cols>
    <col min="1" max="1" width="16.36328125" customWidth="1"/>
    <col min="2" max="2" width="11.36328125" customWidth="1"/>
    <col min="5" max="5" width="10.7265625" customWidth="1"/>
    <col min="6" max="6" width="12.08984375" customWidth="1"/>
    <col min="7" max="7" width="10.6328125" bestFit="1" customWidth="1"/>
    <col min="9" max="9" width="12.1796875" bestFit="1" customWidth="1"/>
  </cols>
  <sheetData>
    <row r="1" spans="1:6" ht="15.5" x14ac:dyDescent="0.35">
      <c r="A1" s="120" t="s">
        <v>364</v>
      </c>
      <c r="B1" s="118"/>
      <c r="C1" s="118"/>
      <c r="D1" s="118"/>
      <c r="E1" s="118"/>
      <c r="F1" s="118"/>
    </row>
    <row r="2" spans="1:6" ht="15.5" x14ac:dyDescent="0.35">
      <c r="A2" s="116"/>
      <c r="B2" s="98"/>
      <c r="C2" s="98"/>
      <c r="D2" s="98"/>
      <c r="E2" s="98"/>
    </row>
    <row r="3" spans="1:6" ht="16" thickBot="1" x14ac:dyDescent="0.4">
      <c r="A3" s="121" t="s">
        <v>413</v>
      </c>
      <c r="B3" s="121" t="s">
        <v>414</v>
      </c>
      <c r="C3" s="121" t="s">
        <v>415</v>
      </c>
      <c r="D3" s="122" t="s">
        <v>447</v>
      </c>
      <c r="E3" s="122" t="s">
        <v>448</v>
      </c>
      <c r="F3" s="122" t="s">
        <v>416</v>
      </c>
    </row>
    <row r="4" spans="1:6" ht="15.5" x14ac:dyDescent="0.35">
      <c r="A4" s="116">
        <v>95000</v>
      </c>
      <c r="B4" s="116">
        <v>1926</v>
      </c>
      <c r="C4" s="116">
        <v>30</v>
      </c>
      <c r="D4" s="116">
        <v>0</v>
      </c>
      <c r="E4" s="116">
        <v>0</v>
      </c>
      <c r="F4" s="119" t="s">
        <v>417</v>
      </c>
    </row>
    <row r="5" spans="1:6" ht="15.5" x14ac:dyDescent="0.35">
      <c r="A5" s="116">
        <v>119000</v>
      </c>
      <c r="B5" s="116">
        <v>2069</v>
      </c>
      <c r="C5" s="116">
        <v>40</v>
      </c>
      <c r="D5" s="116">
        <v>1</v>
      </c>
      <c r="E5" s="116">
        <v>0</v>
      </c>
      <c r="F5" s="119" t="s">
        <v>418</v>
      </c>
    </row>
    <row r="6" spans="1:6" ht="15.5" x14ac:dyDescent="0.35">
      <c r="A6" s="116">
        <v>124800</v>
      </c>
      <c r="B6" s="116">
        <v>1720</v>
      </c>
      <c r="C6" s="116">
        <v>30</v>
      </c>
      <c r="D6" s="116">
        <v>1</v>
      </c>
      <c r="E6" s="116">
        <v>0</v>
      </c>
      <c r="F6" s="119" t="s">
        <v>418</v>
      </c>
    </row>
    <row r="7" spans="1:6" ht="15.5" x14ac:dyDescent="0.35">
      <c r="A7" s="116">
        <v>135000</v>
      </c>
      <c r="B7" s="116">
        <v>1396</v>
      </c>
      <c r="C7" s="116">
        <v>15</v>
      </c>
      <c r="D7" s="116">
        <v>0</v>
      </c>
      <c r="E7" s="116">
        <v>0</v>
      </c>
      <c r="F7" s="119" t="s">
        <v>417</v>
      </c>
    </row>
    <row r="8" spans="1:6" ht="15.5" x14ac:dyDescent="0.35">
      <c r="A8" s="116">
        <v>142800</v>
      </c>
      <c r="B8" s="116">
        <v>1706</v>
      </c>
      <c r="C8" s="116">
        <v>32</v>
      </c>
      <c r="D8" s="116">
        <v>0</v>
      </c>
      <c r="E8" s="116">
        <v>1</v>
      </c>
      <c r="F8" s="119" t="s">
        <v>419</v>
      </c>
    </row>
    <row r="9" spans="1:6" ht="15.5" x14ac:dyDescent="0.35">
      <c r="A9" s="116">
        <v>145000</v>
      </c>
      <c r="B9" s="116">
        <v>1847</v>
      </c>
      <c r="C9" s="116">
        <v>38</v>
      </c>
      <c r="D9" s="116">
        <v>0</v>
      </c>
      <c r="E9" s="116">
        <v>1</v>
      </c>
      <c r="F9" s="119" t="s">
        <v>419</v>
      </c>
    </row>
    <row r="10" spans="1:6" ht="15.5" x14ac:dyDescent="0.35">
      <c r="A10" s="116">
        <v>159000</v>
      </c>
      <c r="B10" s="116">
        <v>1950</v>
      </c>
      <c r="C10" s="116">
        <v>27</v>
      </c>
      <c r="D10" s="116">
        <v>0</v>
      </c>
      <c r="E10" s="116">
        <v>1</v>
      </c>
      <c r="F10" s="119" t="s">
        <v>419</v>
      </c>
    </row>
    <row r="11" spans="1:6" ht="15.5" x14ac:dyDescent="0.35">
      <c r="A11" s="116">
        <v>165000</v>
      </c>
      <c r="B11" s="116">
        <v>2323</v>
      </c>
      <c r="C11" s="116">
        <v>30</v>
      </c>
      <c r="D11" s="116">
        <v>1</v>
      </c>
      <c r="E11" s="116">
        <v>0</v>
      </c>
      <c r="F11" s="119" t="s">
        <v>418</v>
      </c>
    </row>
    <row r="12" spans="1:6" ht="15.5" x14ac:dyDescent="0.35">
      <c r="A12" s="116">
        <v>182000</v>
      </c>
      <c r="B12" s="116">
        <v>2285</v>
      </c>
      <c r="C12" s="116">
        <v>26</v>
      </c>
      <c r="D12" s="116">
        <v>0</v>
      </c>
      <c r="E12" s="116">
        <v>1</v>
      </c>
      <c r="F12" s="119" t="s">
        <v>419</v>
      </c>
    </row>
    <row r="13" spans="1:6" ht="15.5" x14ac:dyDescent="0.35">
      <c r="A13" s="116">
        <v>183000</v>
      </c>
      <c r="B13" s="116">
        <v>3752</v>
      </c>
      <c r="C13" s="116">
        <v>35</v>
      </c>
      <c r="D13" s="116">
        <v>0</v>
      </c>
      <c r="E13" s="116">
        <v>0</v>
      </c>
      <c r="F13" s="119" t="s">
        <v>417</v>
      </c>
    </row>
    <row r="14" spans="1:6" ht="15.5" x14ac:dyDescent="0.35">
      <c r="A14" s="116">
        <v>200000</v>
      </c>
      <c r="B14" s="116">
        <v>2300</v>
      </c>
      <c r="C14" s="116">
        <v>18</v>
      </c>
      <c r="D14" s="116">
        <v>0</v>
      </c>
      <c r="E14" s="116">
        <v>0</v>
      </c>
      <c r="F14" s="119" t="s">
        <v>417</v>
      </c>
    </row>
    <row r="15" spans="1:6" ht="15.5" x14ac:dyDescent="0.35">
      <c r="A15" s="116">
        <v>211000</v>
      </c>
      <c r="B15" s="116">
        <v>2525</v>
      </c>
      <c r="C15" s="116">
        <v>17</v>
      </c>
      <c r="D15" s="116">
        <v>0</v>
      </c>
      <c r="E15" s="116">
        <v>0</v>
      </c>
      <c r="F15" s="119" t="s">
        <v>417</v>
      </c>
    </row>
    <row r="16" spans="1:6" ht="15.5" x14ac:dyDescent="0.35">
      <c r="A16" s="116">
        <v>215000</v>
      </c>
      <c r="B16" s="116">
        <v>3800</v>
      </c>
      <c r="C16" s="116">
        <v>40</v>
      </c>
      <c r="D16" s="116">
        <v>1</v>
      </c>
      <c r="E16" s="116">
        <v>0</v>
      </c>
      <c r="F16" s="119" t="s">
        <v>418</v>
      </c>
    </row>
    <row r="17" spans="1:9" ht="15.5" x14ac:dyDescent="0.35">
      <c r="A17" s="116">
        <v>219000</v>
      </c>
      <c r="B17" s="116">
        <v>1740</v>
      </c>
      <c r="C17" s="116">
        <v>12</v>
      </c>
      <c r="D17" s="116">
        <v>0</v>
      </c>
      <c r="E17" s="116">
        <v>1</v>
      </c>
      <c r="F17" s="119" t="s">
        <v>419</v>
      </c>
      <c r="G17" s="118"/>
      <c r="H17" s="118"/>
      <c r="I17" s="118"/>
    </row>
    <row r="19" spans="1:9" ht="14.5" x14ac:dyDescent="0.35">
      <c r="A19" s="118" t="s">
        <v>392</v>
      </c>
      <c r="B19" s="118"/>
      <c r="C19" s="118"/>
      <c r="D19" s="118"/>
      <c r="E19" s="118"/>
      <c r="F19" s="118"/>
      <c r="G19" s="118"/>
      <c r="H19" s="118"/>
      <c r="I19" s="118"/>
    </row>
    <row r="20" spans="1:9" ht="15" thickBot="1" x14ac:dyDescent="0.4">
      <c r="A20" s="118"/>
      <c r="B20" s="118"/>
      <c r="C20" s="118"/>
      <c r="D20" s="118"/>
      <c r="E20" s="118"/>
      <c r="F20" s="118"/>
      <c r="G20" s="118"/>
      <c r="H20" s="118"/>
      <c r="I20" s="118"/>
    </row>
    <row r="21" spans="1:9" ht="14.5" x14ac:dyDescent="0.35">
      <c r="A21" s="125" t="s">
        <v>393</v>
      </c>
      <c r="B21" s="125"/>
      <c r="C21" s="118"/>
      <c r="D21" s="118"/>
      <c r="E21" s="118"/>
      <c r="F21" s="118"/>
      <c r="G21" s="118"/>
      <c r="H21" s="118"/>
      <c r="I21" s="118"/>
    </row>
    <row r="22" spans="1:9" ht="14.5" x14ac:dyDescent="0.35">
      <c r="A22" s="118" t="s">
        <v>394</v>
      </c>
      <c r="B22" s="128">
        <v>0.94761791196862144</v>
      </c>
      <c r="C22" s="118"/>
      <c r="D22" s="118"/>
      <c r="E22" s="118"/>
      <c r="F22" s="118"/>
      <c r="G22" s="118"/>
      <c r="H22" s="118"/>
      <c r="I22" s="118"/>
    </row>
    <row r="23" spans="1:9" ht="14.5" x14ac:dyDescent="0.35">
      <c r="A23" s="118" t="s">
        <v>395</v>
      </c>
      <c r="B23" s="128">
        <v>0.89797970708376995</v>
      </c>
      <c r="C23" s="118"/>
      <c r="D23" s="118"/>
      <c r="E23" s="118"/>
      <c r="F23" s="118"/>
      <c r="G23" s="118"/>
      <c r="H23" s="118"/>
      <c r="I23" s="118"/>
    </row>
    <row r="24" spans="1:9" ht="14.5" x14ac:dyDescent="0.35">
      <c r="A24" s="118" t="s">
        <v>396</v>
      </c>
      <c r="B24" s="128">
        <v>0.85263735467655666</v>
      </c>
      <c r="C24" s="118"/>
      <c r="D24" s="118"/>
      <c r="E24" s="118"/>
      <c r="F24" s="118"/>
      <c r="G24" s="118"/>
      <c r="H24" s="118"/>
      <c r="I24" s="118"/>
    </row>
    <row r="25" spans="1:9" ht="14.5" x14ac:dyDescent="0.35">
      <c r="A25" s="118" t="s">
        <v>397</v>
      </c>
      <c r="B25" s="128">
        <v>14987.554541111929</v>
      </c>
      <c r="C25" s="118"/>
      <c r="D25" s="118"/>
      <c r="E25" s="118"/>
      <c r="F25" s="118"/>
      <c r="G25" s="118"/>
      <c r="H25" s="118"/>
      <c r="I25" s="118"/>
    </row>
    <row r="26" spans="1:9" ht="15" thickBot="1" x14ac:dyDescent="0.4">
      <c r="A26" s="123" t="s">
        <v>398</v>
      </c>
      <c r="B26" s="123">
        <v>14</v>
      </c>
      <c r="C26" s="118"/>
      <c r="D26" s="118"/>
      <c r="E26" s="118"/>
      <c r="F26" s="118"/>
      <c r="G26" s="118"/>
      <c r="H26" s="118"/>
      <c r="I26" s="118"/>
    </row>
    <row r="27" spans="1:9" ht="14.5" x14ac:dyDescent="0.35">
      <c r="A27" s="118"/>
      <c r="B27" s="118"/>
      <c r="C27" s="118"/>
      <c r="D27" s="118"/>
      <c r="E27" s="118"/>
      <c r="F27" s="118"/>
      <c r="G27" s="118"/>
      <c r="H27" s="118"/>
      <c r="I27" s="118"/>
    </row>
    <row r="28" spans="1:9" ht="15" thickBot="1" x14ac:dyDescent="0.4">
      <c r="A28" s="118" t="s">
        <v>399</v>
      </c>
      <c r="B28" s="118"/>
      <c r="C28" s="118"/>
      <c r="D28" s="118"/>
      <c r="E28" s="118"/>
      <c r="F28" s="118"/>
      <c r="G28" s="118"/>
      <c r="H28" s="118"/>
      <c r="I28" s="118"/>
    </row>
    <row r="29" spans="1:9" ht="14.5" x14ac:dyDescent="0.35">
      <c r="A29" s="124"/>
      <c r="B29" s="124" t="s">
        <v>401</v>
      </c>
      <c r="C29" s="124" t="s">
        <v>402</v>
      </c>
      <c r="D29" s="124" t="s">
        <v>403</v>
      </c>
      <c r="E29" s="124" t="s">
        <v>404</v>
      </c>
      <c r="F29" s="124" t="s">
        <v>405</v>
      </c>
      <c r="G29" s="118"/>
      <c r="H29" s="118"/>
      <c r="I29" s="118"/>
    </row>
    <row r="30" spans="1:9" ht="14.5" x14ac:dyDescent="0.35">
      <c r="A30" s="118" t="s">
        <v>365</v>
      </c>
      <c r="B30" s="118">
        <v>4</v>
      </c>
      <c r="C30" s="118">
        <v>17794427451.32333</v>
      </c>
      <c r="D30" s="118">
        <v>4448606862.8308325</v>
      </c>
      <c r="E30" s="129">
        <v>19.804435795900911</v>
      </c>
      <c r="F30" s="129">
        <v>1.7442084158737778E-4</v>
      </c>
      <c r="G30" s="118"/>
      <c r="H30" s="118"/>
      <c r="I30" s="118"/>
    </row>
    <row r="31" spans="1:9" ht="14.5" x14ac:dyDescent="0.35">
      <c r="A31" s="118" t="s">
        <v>400</v>
      </c>
      <c r="B31" s="118">
        <v>9</v>
      </c>
      <c r="C31" s="118">
        <v>2021641120.1052434</v>
      </c>
      <c r="D31" s="118">
        <v>224626791.12280482</v>
      </c>
      <c r="E31" s="118"/>
      <c r="F31" s="118"/>
      <c r="G31" s="118"/>
      <c r="H31" s="118"/>
      <c r="I31" s="118"/>
    </row>
    <row r="32" spans="1:9" ht="15" thickBot="1" x14ac:dyDescent="0.4">
      <c r="A32" s="123" t="s">
        <v>57</v>
      </c>
      <c r="B32" s="123">
        <v>13</v>
      </c>
      <c r="C32" s="123">
        <v>19816068571.428574</v>
      </c>
      <c r="D32" s="123"/>
      <c r="E32" s="123"/>
      <c r="F32" s="123"/>
      <c r="G32" s="118"/>
      <c r="H32" s="118"/>
      <c r="I32" s="118"/>
    </row>
    <row r="33" spans="1:9" ht="15" thickBot="1" x14ac:dyDescent="0.4">
      <c r="A33" s="118"/>
      <c r="B33" s="118"/>
      <c r="C33" s="118"/>
      <c r="D33" s="118"/>
      <c r="E33" s="118"/>
      <c r="F33" s="118"/>
      <c r="G33" s="118"/>
      <c r="H33" s="118"/>
      <c r="I33" s="118"/>
    </row>
    <row r="34" spans="1:9" ht="14.5" x14ac:dyDescent="0.35">
      <c r="A34" s="124"/>
      <c r="B34" s="124" t="s">
        <v>406</v>
      </c>
      <c r="C34" s="124" t="s">
        <v>397</v>
      </c>
      <c r="D34" s="124" t="s">
        <v>407</v>
      </c>
      <c r="E34" s="124" t="s">
        <v>408</v>
      </c>
      <c r="F34" s="124" t="s">
        <v>409</v>
      </c>
      <c r="G34" s="124" t="s">
        <v>410</v>
      </c>
      <c r="H34" s="124" t="s">
        <v>411</v>
      </c>
      <c r="I34" s="124" t="s">
        <v>412</v>
      </c>
    </row>
    <row r="35" spans="1:9" ht="14.5" x14ac:dyDescent="0.35">
      <c r="A35" s="118" t="s">
        <v>67</v>
      </c>
      <c r="B35" s="126">
        <v>121658.45425337982</v>
      </c>
      <c r="C35" s="126">
        <v>17426.614319187647</v>
      </c>
      <c r="D35" s="130">
        <v>6.9811870524630404</v>
      </c>
      <c r="E35" s="130">
        <v>6.4575924638630457E-5</v>
      </c>
      <c r="F35" s="126">
        <v>82236.713847907726</v>
      </c>
      <c r="G35" s="126">
        <v>161080.19465885192</v>
      </c>
      <c r="H35" s="126">
        <v>82236.713847907726</v>
      </c>
      <c r="I35" s="126">
        <v>161080.19465885192</v>
      </c>
    </row>
    <row r="36" spans="1:9" ht="14.5" x14ac:dyDescent="0.35">
      <c r="A36" s="118" t="s">
        <v>414</v>
      </c>
      <c r="B36" s="126">
        <v>56.427600781200049</v>
      </c>
      <c r="C36" s="126">
        <v>6.9475167921226726</v>
      </c>
      <c r="D36" s="130">
        <v>8.12198120128037</v>
      </c>
      <c r="E36" s="130">
        <v>1.9610205985293747E-5</v>
      </c>
      <c r="F36" s="126">
        <v>40.711225906238937</v>
      </c>
      <c r="G36" s="126">
        <v>72.14397565616116</v>
      </c>
      <c r="H36" s="126">
        <v>40.711225906238937</v>
      </c>
      <c r="I36" s="126">
        <v>72.14397565616116</v>
      </c>
    </row>
    <row r="37" spans="1:9" ht="14.5" x14ac:dyDescent="0.35">
      <c r="A37" s="118" t="s">
        <v>415</v>
      </c>
      <c r="B37" s="126">
        <v>-3962.819938803465</v>
      </c>
      <c r="C37" s="126">
        <v>596.0278736367552</v>
      </c>
      <c r="D37" s="130">
        <v>-6.6487157968363348</v>
      </c>
      <c r="E37" s="130">
        <v>9.3876417127346627E-5</v>
      </c>
      <c r="F37" s="126">
        <v>-5311.1286623782344</v>
      </c>
      <c r="G37" s="126">
        <v>-2614.5112152286956</v>
      </c>
      <c r="H37" s="126">
        <v>-5311.1286623782344</v>
      </c>
      <c r="I37" s="126">
        <v>-2614.5112152286956</v>
      </c>
    </row>
    <row r="38" spans="1:9" ht="14.5" x14ac:dyDescent="0.35">
      <c r="A38" s="118" t="s">
        <v>447</v>
      </c>
      <c r="B38" s="126">
        <v>33162.648868927739</v>
      </c>
      <c r="C38" s="126">
        <v>12179.62072973429</v>
      </c>
      <c r="D38" s="130">
        <v>2.7227981564292287</v>
      </c>
      <c r="E38" s="130">
        <v>2.3499926700848283E-2</v>
      </c>
      <c r="F38" s="126">
        <v>5610.4325949938102</v>
      </c>
      <c r="G38" s="126">
        <v>60714.865142861672</v>
      </c>
      <c r="H38" s="126">
        <v>5610.4325949938102</v>
      </c>
      <c r="I38" s="126">
        <v>60714.865142861672</v>
      </c>
    </row>
    <row r="39" spans="1:9" ht="15" thickBot="1" x14ac:dyDescent="0.4">
      <c r="A39" s="123" t="s">
        <v>448</v>
      </c>
      <c r="B39" s="127">
        <v>47369.248045658933</v>
      </c>
      <c r="C39" s="127">
        <v>10649.269422037742</v>
      </c>
      <c r="D39" s="131">
        <v>4.448121854033702</v>
      </c>
      <c r="E39" s="131">
        <v>1.6045448905880415E-3</v>
      </c>
      <c r="F39" s="127">
        <v>23278.92694402835</v>
      </c>
      <c r="G39" s="127">
        <v>71459.569147289512</v>
      </c>
      <c r="H39" s="127">
        <v>23278.92694402835</v>
      </c>
      <c r="I39" s="127">
        <v>71459.569147289512</v>
      </c>
    </row>
    <row r="40" spans="1:9" ht="14.5" x14ac:dyDescent="0.35">
      <c r="A40" s="118"/>
      <c r="B40" s="118"/>
      <c r="C40" s="118"/>
      <c r="D40" s="118"/>
      <c r="E40" s="118"/>
      <c r="F40" s="118"/>
      <c r="G40" s="118"/>
      <c r="H40" s="118"/>
      <c r="I40" s="118"/>
    </row>
    <row r="41" spans="1:9" ht="14.5" x14ac:dyDescent="0.35">
      <c r="A41" s="118"/>
      <c r="B41" s="118"/>
      <c r="C41" s="118"/>
      <c r="D41" s="118"/>
      <c r="E41" s="118"/>
      <c r="F41" s="118"/>
      <c r="G41" s="118"/>
      <c r="H41" s="118"/>
      <c r="I41" s="118"/>
    </row>
    <row r="42" spans="1:9" ht="14.5" x14ac:dyDescent="0.35">
      <c r="A42" s="118"/>
      <c r="B42" s="118"/>
      <c r="C42" s="118"/>
      <c r="D42" s="118"/>
      <c r="E42" s="118"/>
      <c r="F42" s="118"/>
      <c r="G42" s="118"/>
      <c r="H42" s="118"/>
      <c r="I42" s="118"/>
    </row>
  </sheetData>
  <phoneticPr fontId="0"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8"/>
  <sheetViews>
    <sheetView workbookViewId="0"/>
  </sheetViews>
  <sheetFormatPr defaultRowHeight="12.5" x14ac:dyDescent="0.25"/>
  <cols>
    <col min="5" max="5" width="8" customWidth="1"/>
  </cols>
  <sheetData>
    <row r="1" spans="1:12" ht="13" x14ac:dyDescent="0.3">
      <c r="A1" s="4" t="s">
        <v>420</v>
      </c>
      <c r="D1" t="s">
        <v>392</v>
      </c>
    </row>
    <row r="2" spans="1:12" ht="13" thickBot="1" x14ac:dyDescent="0.3"/>
    <row r="3" spans="1:12" ht="13" x14ac:dyDescent="0.3">
      <c r="A3" s="98" t="s">
        <v>421</v>
      </c>
      <c r="B3" s="98" t="s">
        <v>422</v>
      </c>
      <c r="D3" s="110" t="s">
        <v>393</v>
      </c>
      <c r="E3" s="110"/>
    </row>
    <row r="4" spans="1:12" x14ac:dyDescent="0.25">
      <c r="A4" s="98">
        <v>12</v>
      </c>
      <c r="B4" s="111">
        <v>4.58</v>
      </c>
      <c r="D4" t="s">
        <v>394</v>
      </c>
      <c r="E4">
        <v>0.86287847563260944</v>
      </c>
    </row>
    <row r="5" spans="1:12" x14ac:dyDescent="0.25">
      <c r="A5" s="98">
        <v>13</v>
      </c>
      <c r="B5" s="111">
        <v>4.66</v>
      </c>
      <c r="D5" t="s">
        <v>395</v>
      </c>
      <c r="E5">
        <v>0.74455926371005576</v>
      </c>
    </row>
    <row r="6" spans="1:12" x14ac:dyDescent="0.25">
      <c r="A6" s="98">
        <v>15</v>
      </c>
      <c r="B6" s="111">
        <v>4.0199999999999996</v>
      </c>
      <c r="D6" t="s">
        <v>396</v>
      </c>
      <c r="E6">
        <v>0.71901519008106141</v>
      </c>
    </row>
    <row r="7" spans="1:12" x14ac:dyDescent="0.25">
      <c r="A7" s="98">
        <v>18</v>
      </c>
      <c r="B7" s="111">
        <v>2.5299999999999998</v>
      </c>
      <c r="D7" t="s">
        <v>397</v>
      </c>
      <c r="E7">
        <v>5.0075708295003523</v>
      </c>
    </row>
    <row r="8" spans="1:12" ht="13" thickBot="1" x14ac:dyDescent="0.3">
      <c r="A8" s="98">
        <v>19</v>
      </c>
      <c r="B8" s="111">
        <v>3.09</v>
      </c>
      <c r="D8" s="11" t="s">
        <v>398</v>
      </c>
      <c r="E8" s="11">
        <v>12</v>
      </c>
    </row>
    <row r="9" spans="1:12" x14ac:dyDescent="0.25">
      <c r="A9" s="98">
        <v>19</v>
      </c>
      <c r="B9" s="111">
        <v>3.11</v>
      </c>
    </row>
    <row r="10" spans="1:12" ht="13" thickBot="1" x14ac:dyDescent="0.3">
      <c r="A10" s="98">
        <v>20</v>
      </c>
      <c r="B10" s="111">
        <v>3.18</v>
      </c>
      <c r="D10" t="s">
        <v>399</v>
      </c>
    </row>
    <row r="11" spans="1:12" ht="13" x14ac:dyDescent="0.3">
      <c r="A11" s="98">
        <v>23</v>
      </c>
      <c r="B11" s="111">
        <v>2.68</v>
      </c>
      <c r="D11" s="109"/>
      <c r="E11" s="109" t="s">
        <v>401</v>
      </c>
      <c r="F11" s="109" t="s">
        <v>402</v>
      </c>
      <c r="G11" s="109" t="s">
        <v>403</v>
      </c>
      <c r="H11" s="109" t="s">
        <v>404</v>
      </c>
      <c r="I11" s="109" t="s">
        <v>405</v>
      </c>
    </row>
    <row r="12" spans="1:12" x14ac:dyDescent="0.25">
      <c r="A12" s="98">
        <v>24</v>
      </c>
      <c r="B12" s="111">
        <v>2.65</v>
      </c>
      <c r="D12" t="s">
        <v>365</v>
      </c>
      <c r="E12">
        <v>1</v>
      </c>
      <c r="F12">
        <v>730.909010542038</v>
      </c>
      <c r="G12">
        <v>730.909010542038</v>
      </c>
      <c r="H12">
        <v>29.148023706951967</v>
      </c>
      <c r="I12">
        <v>3.0189380372541626E-4</v>
      </c>
    </row>
    <row r="13" spans="1:12" x14ac:dyDescent="0.25">
      <c r="A13" s="98">
        <v>33</v>
      </c>
      <c r="B13" s="111">
        <v>1.7</v>
      </c>
      <c r="D13" t="s">
        <v>400</v>
      </c>
      <c r="E13">
        <v>10</v>
      </c>
      <c r="F13">
        <v>250.75765612462848</v>
      </c>
      <c r="G13">
        <v>25.075765612462849</v>
      </c>
    </row>
    <row r="14" spans="1:12" ht="13" thickBot="1" x14ac:dyDescent="0.3">
      <c r="A14" s="98">
        <v>36</v>
      </c>
      <c r="B14" s="111">
        <v>1.95</v>
      </c>
      <c r="D14" s="11" t="s">
        <v>57</v>
      </c>
      <c r="E14" s="11">
        <v>11</v>
      </c>
      <c r="F14" s="11">
        <v>981.66666666666652</v>
      </c>
      <c r="G14" s="11"/>
      <c r="H14" s="11"/>
      <c r="I14" s="11"/>
    </row>
    <row r="15" spans="1:12" ht="13" thickBot="1" x14ac:dyDescent="0.3">
      <c r="A15" s="98">
        <v>42</v>
      </c>
      <c r="B15" s="111">
        <v>1.92</v>
      </c>
    </row>
    <row r="16" spans="1:12" ht="13" x14ac:dyDescent="0.3">
      <c r="D16" s="109"/>
      <c r="E16" s="109" t="s">
        <v>406</v>
      </c>
      <c r="F16" s="109" t="s">
        <v>397</v>
      </c>
      <c r="G16" s="109" t="s">
        <v>407</v>
      </c>
      <c r="H16" s="109" t="s">
        <v>408</v>
      </c>
      <c r="I16" s="109" t="s">
        <v>409</v>
      </c>
      <c r="J16" s="109" t="s">
        <v>410</v>
      </c>
      <c r="K16" s="109" t="s">
        <v>411</v>
      </c>
      <c r="L16" s="109" t="s">
        <v>412</v>
      </c>
    </row>
    <row r="17" spans="4:12" x14ac:dyDescent="0.25">
      <c r="D17" t="s">
        <v>67</v>
      </c>
      <c r="E17">
        <v>47.619343910257641</v>
      </c>
      <c r="F17">
        <v>4.8131508961947365</v>
      </c>
      <c r="G17">
        <v>9.8935904851654168</v>
      </c>
      <c r="H17">
        <v>1.7531601450815345E-6</v>
      </c>
      <c r="I17">
        <v>36.894975443989267</v>
      </c>
      <c r="J17">
        <v>58.343712376526014</v>
      </c>
      <c r="K17">
        <v>36.894975443989267</v>
      </c>
      <c r="L17">
        <v>58.343712376526014</v>
      </c>
    </row>
    <row r="18" spans="4:12" ht="13" thickBot="1" x14ac:dyDescent="0.3">
      <c r="D18" s="11" t="s">
        <v>422</v>
      </c>
      <c r="E18" s="11">
        <v>-8.2459696956776192</v>
      </c>
      <c r="F18" s="11">
        <v>1.5273451050143259</v>
      </c>
      <c r="G18" s="11">
        <v>-5.3988909700930199</v>
      </c>
      <c r="H18" s="11">
        <v>3.0189380372541675E-4</v>
      </c>
      <c r="I18" s="11">
        <v>-11.649106649949054</v>
      </c>
      <c r="J18" s="11">
        <v>-4.8428327414061831</v>
      </c>
      <c r="K18" s="11">
        <v>-11.649106649949054</v>
      </c>
      <c r="L18" s="11">
        <v>-4.8428327414061831</v>
      </c>
    </row>
  </sheetData>
  <phoneticPr fontId="0"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9"/>
  <sheetViews>
    <sheetView workbookViewId="0"/>
  </sheetViews>
  <sheetFormatPr defaultRowHeight="12.5" x14ac:dyDescent="0.25"/>
  <cols>
    <col min="2" max="2" width="11.08984375" customWidth="1"/>
    <col min="3" max="3" width="17.26953125" customWidth="1"/>
  </cols>
  <sheetData>
    <row r="1" spans="1:12" ht="13" x14ac:dyDescent="0.3">
      <c r="A1" s="4" t="s">
        <v>420</v>
      </c>
      <c r="D1" t="s">
        <v>392</v>
      </c>
    </row>
    <row r="2" spans="1:12" ht="13" thickBot="1" x14ac:dyDescent="0.3"/>
    <row r="3" spans="1:12" ht="13.5" thickBot="1" x14ac:dyDescent="0.35">
      <c r="A3" s="115" t="s">
        <v>421</v>
      </c>
      <c r="B3" s="115" t="s">
        <v>422</v>
      </c>
      <c r="C3" s="115" t="s">
        <v>423</v>
      </c>
      <c r="D3" s="110" t="s">
        <v>393</v>
      </c>
      <c r="E3" s="110"/>
    </row>
    <row r="4" spans="1:12" x14ac:dyDescent="0.25">
      <c r="A4" s="98">
        <v>12</v>
      </c>
      <c r="B4" s="111">
        <v>4.58</v>
      </c>
      <c r="C4" s="111">
        <f>B4^2</f>
        <v>20.976400000000002</v>
      </c>
      <c r="D4" t="s">
        <v>394</v>
      </c>
      <c r="E4" s="112">
        <v>0.92075982291165814</v>
      </c>
    </row>
    <row r="5" spans="1:12" x14ac:dyDescent="0.25">
      <c r="A5" s="98">
        <v>13</v>
      </c>
      <c r="B5" s="111">
        <v>4.66</v>
      </c>
      <c r="C5" s="111">
        <f t="shared" ref="C5:C15" si="0">B5^2</f>
        <v>21.715600000000002</v>
      </c>
      <c r="D5" t="s">
        <v>395</v>
      </c>
      <c r="E5" s="112">
        <v>0.84779865148830813</v>
      </c>
    </row>
    <row r="6" spans="1:12" x14ac:dyDescent="0.25">
      <c r="A6" s="98">
        <v>15</v>
      </c>
      <c r="B6" s="111">
        <v>4.0199999999999996</v>
      </c>
      <c r="C6" s="111">
        <f t="shared" si="0"/>
        <v>16.160399999999996</v>
      </c>
      <c r="D6" t="s">
        <v>396</v>
      </c>
      <c r="E6" s="112">
        <v>0.81397612959682109</v>
      </c>
    </row>
    <row r="7" spans="1:12" x14ac:dyDescent="0.25">
      <c r="A7" s="98">
        <v>18</v>
      </c>
      <c r="B7" s="111">
        <v>2.5299999999999998</v>
      </c>
      <c r="C7" s="111">
        <f t="shared" si="0"/>
        <v>6.4008999999999991</v>
      </c>
      <c r="D7" t="s">
        <v>397</v>
      </c>
      <c r="E7" s="112">
        <v>4.074459615916969</v>
      </c>
    </row>
    <row r="8" spans="1:12" ht="13" thickBot="1" x14ac:dyDescent="0.3">
      <c r="A8" s="98">
        <v>19</v>
      </c>
      <c r="B8" s="111">
        <v>3.09</v>
      </c>
      <c r="C8" s="111">
        <f t="shared" si="0"/>
        <v>9.5480999999999998</v>
      </c>
      <c r="D8" s="11" t="s">
        <v>398</v>
      </c>
      <c r="E8" s="11">
        <v>12</v>
      </c>
    </row>
    <row r="9" spans="1:12" x14ac:dyDescent="0.25">
      <c r="A9" s="98">
        <v>19</v>
      </c>
      <c r="B9" s="111">
        <v>3.11</v>
      </c>
      <c r="C9" s="111">
        <f t="shared" si="0"/>
        <v>9.6720999999999986</v>
      </c>
    </row>
    <row r="10" spans="1:12" ht="13" thickBot="1" x14ac:dyDescent="0.3">
      <c r="A10" s="98">
        <v>20</v>
      </c>
      <c r="B10" s="111">
        <v>3.18</v>
      </c>
      <c r="C10" s="111">
        <f t="shared" si="0"/>
        <v>10.112400000000001</v>
      </c>
      <c r="D10" t="s">
        <v>399</v>
      </c>
    </row>
    <row r="11" spans="1:12" ht="13" x14ac:dyDescent="0.3">
      <c r="A11" s="98">
        <v>23</v>
      </c>
      <c r="B11" s="111">
        <v>2.68</v>
      </c>
      <c r="C11" s="111">
        <f t="shared" si="0"/>
        <v>7.1824000000000012</v>
      </c>
      <c r="D11" s="109"/>
      <c r="E11" s="109" t="s">
        <v>401</v>
      </c>
      <c r="F11" s="109" t="s">
        <v>402</v>
      </c>
      <c r="G11" s="109" t="s">
        <v>403</v>
      </c>
      <c r="H11" s="109" t="s">
        <v>404</v>
      </c>
      <c r="I11" s="109" t="s">
        <v>405</v>
      </c>
    </row>
    <row r="12" spans="1:12" x14ac:dyDescent="0.25">
      <c r="A12" s="98">
        <v>24</v>
      </c>
      <c r="B12" s="111">
        <v>2.65</v>
      </c>
      <c r="C12" s="111">
        <f t="shared" si="0"/>
        <v>7.0225</v>
      </c>
      <c r="D12" t="s">
        <v>365</v>
      </c>
      <c r="E12">
        <v>2</v>
      </c>
      <c r="F12">
        <v>832.25567621102232</v>
      </c>
      <c r="G12">
        <v>416.12783810551116</v>
      </c>
      <c r="H12">
        <v>25.066098093107986</v>
      </c>
      <c r="I12">
        <v>2.0935495849972019E-4</v>
      </c>
    </row>
    <row r="13" spans="1:12" x14ac:dyDescent="0.25">
      <c r="A13" s="98">
        <v>33</v>
      </c>
      <c r="B13" s="111">
        <v>1.7</v>
      </c>
      <c r="C13" s="111">
        <f t="shared" si="0"/>
        <v>2.8899999999999997</v>
      </c>
      <c r="D13" t="s">
        <v>400</v>
      </c>
      <c r="E13">
        <v>9</v>
      </c>
      <c r="F13">
        <v>149.41099045564425</v>
      </c>
      <c r="G13">
        <v>16.601221161738252</v>
      </c>
    </row>
    <row r="14" spans="1:12" ht="13" thickBot="1" x14ac:dyDescent="0.3">
      <c r="A14" s="98">
        <v>36</v>
      </c>
      <c r="B14" s="111">
        <v>1.95</v>
      </c>
      <c r="C14" s="111">
        <f t="shared" si="0"/>
        <v>3.8024999999999998</v>
      </c>
      <c r="D14" s="11" t="s">
        <v>57</v>
      </c>
      <c r="E14" s="11">
        <v>11</v>
      </c>
      <c r="F14" s="11">
        <v>981.66666666666652</v>
      </c>
      <c r="G14" s="11"/>
      <c r="H14" s="11"/>
      <c r="I14" s="11"/>
    </row>
    <row r="15" spans="1:12" ht="13" thickBot="1" x14ac:dyDescent="0.3">
      <c r="A15" s="98">
        <v>42</v>
      </c>
      <c r="B15" s="111">
        <v>1.92</v>
      </c>
      <c r="C15" s="111">
        <f t="shared" si="0"/>
        <v>3.6863999999999999</v>
      </c>
    </row>
    <row r="16" spans="1:12" ht="13" x14ac:dyDescent="0.3">
      <c r="D16" s="109"/>
      <c r="E16" s="109" t="s">
        <v>406</v>
      </c>
      <c r="F16" s="109" t="s">
        <v>397</v>
      </c>
      <c r="G16" s="109" t="s">
        <v>407</v>
      </c>
      <c r="H16" s="109" t="s">
        <v>408</v>
      </c>
      <c r="I16" s="109" t="s">
        <v>409</v>
      </c>
      <c r="J16" s="109" t="s">
        <v>410</v>
      </c>
      <c r="K16" s="109" t="s">
        <v>411</v>
      </c>
      <c r="L16" s="109" t="s">
        <v>412</v>
      </c>
    </row>
    <row r="17" spans="4:12" x14ac:dyDescent="0.25">
      <c r="D17" t="s">
        <v>67</v>
      </c>
      <c r="E17" s="112">
        <v>79.788754082594295</v>
      </c>
      <c r="F17" s="112">
        <v>13.596158426258606</v>
      </c>
      <c r="G17" s="112">
        <v>5.8684778141814125</v>
      </c>
      <c r="H17" s="112">
        <v>2.3821513427417493E-4</v>
      </c>
      <c r="I17" s="112">
        <v>49.032106974971313</v>
      </c>
      <c r="J17" s="112">
        <v>110.54540119021728</v>
      </c>
      <c r="K17" s="112">
        <v>49.032106974971313</v>
      </c>
      <c r="L17" s="112">
        <v>110.54540119021728</v>
      </c>
    </row>
    <row r="18" spans="4:12" x14ac:dyDescent="0.25">
      <c r="D18" t="s">
        <v>422</v>
      </c>
      <c r="E18" s="112">
        <v>-30.222372773689536</v>
      </c>
      <c r="F18" s="112">
        <v>8.9809054118172362</v>
      </c>
      <c r="G18" s="112">
        <v>-3.3651810577942838</v>
      </c>
      <c r="H18" s="112">
        <v>8.3204049521457529E-3</v>
      </c>
      <c r="I18" s="112">
        <v>-50.538592237911764</v>
      </c>
      <c r="J18" s="112">
        <v>-9.9061533094673067</v>
      </c>
      <c r="K18" s="112">
        <v>-50.538592237911764</v>
      </c>
      <c r="L18" s="112">
        <v>-9.9061533094673067</v>
      </c>
    </row>
    <row r="19" spans="4:12" ht="13" thickBot="1" x14ac:dyDescent="0.3">
      <c r="D19" s="11" t="s">
        <v>423</v>
      </c>
      <c r="E19" s="113">
        <v>3.4124105116976038</v>
      </c>
      <c r="F19" s="113">
        <v>1.3811045508740571</v>
      </c>
      <c r="G19" s="113">
        <v>2.4707836271613166</v>
      </c>
      <c r="H19" s="113">
        <v>3.5524569438116306E-2</v>
      </c>
      <c r="I19" s="113">
        <v>0.28813496575174424</v>
      </c>
      <c r="J19" s="113">
        <v>6.5366860576434629</v>
      </c>
      <c r="K19" s="113">
        <v>0.28813496575174424</v>
      </c>
      <c r="L19" s="113">
        <v>6.5366860576434629</v>
      </c>
    </row>
  </sheetData>
  <phoneticPr fontId="0" type="noConversion"/>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4"/>
  <sheetViews>
    <sheetView workbookViewId="0"/>
  </sheetViews>
  <sheetFormatPr defaultRowHeight="12.5" x14ac:dyDescent="0.25"/>
  <cols>
    <col min="1" max="1" width="22.6328125" customWidth="1"/>
  </cols>
  <sheetData>
    <row r="1" spans="1:2" s="4" customFormat="1" ht="13" x14ac:dyDescent="0.3">
      <c r="A1" s="4" t="s">
        <v>426</v>
      </c>
    </row>
    <row r="3" spans="1:2" ht="13" x14ac:dyDescent="0.3">
      <c r="A3" s="4" t="s">
        <v>425</v>
      </c>
      <c r="B3" s="4" t="s">
        <v>424</v>
      </c>
    </row>
    <row r="4" spans="1:2" x14ac:dyDescent="0.25">
      <c r="A4" s="98">
        <v>11</v>
      </c>
      <c r="B4" s="98">
        <v>5</v>
      </c>
    </row>
    <row r="5" spans="1:2" x14ac:dyDescent="0.25">
      <c r="A5" s="98">
        <v>6</v>
      </c>
      <c r="B5" s="98">
        <v>3</v>
      </c>
    </row>
    <row r="6" spans="1:2" x14ac:dyDescent="0.25">
      <c r="A6" s="98">
        <v>10</v>
      </c>
      <c r="B6" s="98">
        <v>7</v>
      </c>
    </row>
    <row r="7" spans="1:2" x14ac:dyDescent="0.25">
      <c r="A7" s="98">
        <v>6</v>
      </c>
      <c r="B7" s="98">
        <v>2</v>
      </c>
    </row>
    <row r="8" spans="1:2" x14ac:dyDescent="0.25">
      <c r="A8" s="98">
        <v>12</v>
      </c>
      <c r="B8" s="98">
        <v>8</v>
      </c>
    </row>
    <row r="17" spans="1:9" x14ac:dyDescent="0.25">
      <c r="A17" t="s">
        <v>392</v>
      </c>
    </row>
    <row r="18" spans="1:9" ht="13" thickBot="1" x14ac:dyDescent="0.3"/>
    <row r="19" spans="1:9" ht="13" x14ac:dyDescent="0.3">
      <c r="A19" s="110" t="s">
        <v>393</v>
      </c>
      <c r="B19" s="110"/>
    </row>
    <row r="20" spans="1:9" x14ac:dyDescent="0.25">
      <c r="A20" t="s">
        <v>394</v>
      </c>
      <c r="B20" s="112">
        <v>0.90138781886599728</v>
      </c>
    </row>
    <row r="21" spans="1:9" x14ac:dyDescent="0.25">
      <c r="A21" t="s">
        <v>395</v>
      </c>
      <c r="B21" s="112">
        <v>0.8125</v>
      </c>
    </row>
    <row r="22" spans="1:9" x14ac:dyDescent="0.25">
      <c r="A22" t="s">
        <v>396</v>
      </c>
      <c r="B22" s="112">
        <v>0.75</v>
      </c>
    </row>
    <row r="23" spans="1:9" x14ac:dyDescent="0.25">
      <c r="A23" t="s">
        <v>397</v>
      </c>
      <c r="B23" s="112">
        <v>1.4142135623730951</v>
      </c>
    </row>
    <row r="24" spans="1:9" ht="13" thickBot="1" x14ac:dyDescent="0.3">
      <c r="A24" s="11" t="s">
        <v>398</v>
      </c>
      <c r="B24" s="11">
        <v>5</v>
      </c>
    </row>
    <row r="26" spans="1:9" ht="13" thickBot="1" x14ac:dyDescent="0.3">
      <c r="A26" t="s">
        <v>399</v>
      </c>
    </row>
    <row r="27" spans="1:9" ht="13" x14ac:dyDescent="0.3">
      <c r="A27" s="109"/>
      <c r="B27" s="109" t="s">
        <v>401</v>
      </c>
      <c r="C27" s="109" t="s">
        <v>402</v>
      </c>
      <c r="D27" s="109" t="s">
        <v>403</v>
      </c>
      <c r="E27" s="109" t="s">
        <v>404</v>
      </c>
      <c r="F27" s="109" t="s">
        <v>405</v>
      </c>
    </row>
    <row r="28" spans="1:9" x14ac:dyDescent="0.25">
      <c r="A28" t="s">
        <v>365</v>
      </c>
      <c r="B28">
        <v>1</v>
      </c>
      <c r="C28">
        <v>26</v>
      </c>
      <c r="D28">
        <v>26</v>
      </c>
      <c r="E28">
        <v>13</v>
      </c>
      <c r="F28">
        <v>3.6618383326232566E-2</v>
      </c>
    </row>
    <row r="29" spans="1:9" x14ac:dyDescent="0.25">
      <c r="A29" t="s">
        <v>400</v>
      </c>
      <c r="B29">
        <v>3</v>
      </c>
      <c r="C29">
        <v>6</v>
      </c>
      <c r="D29">
        <v>2</v>
      </c>
    </row>
    <row r="30" spans="1:9" ht="13" thickBot="1" x14ac:dyDescent="0.3">
      <c r="A30" s="11" t="s">
        <v>57</v>
      </c>
      <c r="B30" s="11">
        <v>4</v>
      </c>
      <c r="C30" s="11">
        <v>32</v>
      </c>
      <c r="D30" s="11"/>
      <c r="E30" s="11"/>
      <c r="F30" s="11"/>
    </row>
    <row r="31" spans="1:9" ht="13" thickBot="1" x14ac:dyDescent="0.3"/>
    <row r="32" spans="1:9" ht="13" x14ac:dyDescent="0.3">
      <c r="A32" s="109"/>
      <c r="B32" s="109" t="s">
        <v>406</v>
      </c>
      <c r="C32" s="109" t="s">
        <v>397</v>
      </c>
      <c r="D32" s="109" t="s">
        <v>407</v>
      </c>
      <c r="E32" s="109" t="s">
        <v>408</v>
      </c>
      <c r="F32" s="109" t="s">
        <v>409</v>
      </c>
      <c r="G32" s="109" t="s">
        <v>410</v>
      </c>
      <c r="H32" s="109" t="s">
        <v>411</v>
      </c>
      <c r="I32" s="109" t="s">
        <v>412</v>
      </c>
    </row>
    <row r="33" spans="1:9" x14ac:dyDescent="0.25">
      <c r="A33" t="s">
        <v>67</v>
      </c>
      <c r="B33">
        <v>4</v>
      </c>
      <c r="C33" s="112">
        <v>1.5241643359811707</v>
      </c>
      <c r="D33" s="112">
        <v>2.6243889228814861</v>
      </c>
      <c r="E33" s="112">
        <v>7.8703728846033646E-2</v>
      </c>
      <c r="F33" s="112">
        <v>-0.85057115908364267</v>
      </c>
      <c r="G33" s="112">
        <v>8.8505711590836427</v>
      </c>
      <c r="H33" s="112">
        <v>-0.85057115908364267</v>
      </c>
      <c r="I33" s="112">
        <v>8.8505711590836427</v>
      </c>
    </row>
    <row r="34" spans="1:9" ht="13" thickBot="1" x14ac:dyDescent="0.3">
      <c r="A34" s="11" t="s">
        <v>424</v>
      </c>
      <c r="B34" s="11">
        <v>1</v>
      </c>
      <c r="C34" s="113">
        <v>0.27735009811261457</v>
      </c>
      <c r="D34" s="113">
        <v>3.6055512754639891</v>
      </c>
      <c r="E34" s="113">
        <v>3.6618383326232573E-2</v>
      </c>
      <c r="F34" s="113">
        <v>0.11734820510149591</v>
      </c>
      <c r="G34" s="113">
        <v>1.882651794898504</v>
      </c>
      <c r="H34" s="113">
        <v>0.11734820510149591</v>
      </c>
      <c r="I34" s="113">
        <v>1.882651794898504</v>
      </c>
    </row>
  </sheetData>
  <phoneticPr fontId="13"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
  <sheetViews>
    <sheetView workbookViewId="0">
      <selection activeCell="B9" sqref="B9:C20"/>
    </sheetView>
  </sheetViews>
  <sheetFormatPr defaultColWidth="9.08984375" defaultRowHeight="12.5" x14ac:dyDescent="0.25"/>
  <cols>
    <col min="1" max="2" width="10.7265625" style="160" customWidth="1"/>
    <col min="3" max="8" width="9.08984375" style="160"/>
    <col min="9" max="9" width="10.81640625" style="160" bestFit="1" customWidth="1"/>
    <col min="10" max="16384" width="9.08984375" style="160"/>
  </cols>
  <sheetData>
    <row r="1" spans="1:9" ht="18" x14ac:dyDescent="0.4">
      <c r="A1" s="513" t="s">
        <v>453</v>
      </c>
    </row>
    <row r="3" spans="1:9" ht="15.5" x14ac:dyDescent="0.35">
      <c r="A3" s="500" t="s">
        <v>49</v>
      </c>
      <c r="B3" s="500"/>
      <c r="C3" s="500" t="s">
        <v>449</v>
      </c>
      <c r="D3" s="500"/>
      <c r="E3" s="500"/>
      <c r="F3" s="500"/>
      <c r="G3" s="500"/>
      <c r="H3" s="500"/>
    </row>
    <row r="4" spans="1:9" x14ac:dyDescent="0.25">
      <c r="A4" s="499"/>
      <c r="B4" s="499"/>
    </row>
    <row r="7" spans="1:9" ht="13.5" thickBot="1" x14ac:dyDescent="0.35">
      <c r="A7" s="501" t="s">
        <v>27</v>
      </c>
      <c r="E7" s="509" t="s">
        <v>452</v>
      </c>
    </row>
    <row r="8" spans="1:9" ht="13" x14ac:dyDescent="0.3">
      <c r="A8" s="503" t="s">
        <v>50</v>
      </c>
      <c r="B8" s="538" t="s">
        <v>51</v>
      </c>
      <c r="C8" s="539" t="s">
        <v>52</v>
      </c>
      <c r="E8" s="146" t="s">
        <v>53</v>
      </c>
      <c r="F8" s="147" t="s">
        <v>54</v>
      </c>
      <c r="G8" s="147" t="s">
        <v>55</v>
      </c>
      <c r="H8" s="147" t="s">
        <v>56</v>
      </c>
      <c r="I8" s="150" t="s">
        <v>450</v>
      </c>
    </row>
    <row r="9" spans="1:9" x14ac:dyDescent="0.25">
      <c r="A9" s="505" t="s">
        <v>456</v>
      </c>
      <c r="B9" s="502">
        <v>10</v>
      </c>
      <c r="C9" s="506">
        <v>1</v>
      </c>
      <c r="E9" s="143"/>
      <c r="F9" s="142"/>
      <c r="G9" s="142"/>
      <c r="H9" s="142"/>
      <c r="I9" s="154"/>
    </row>
    <row r="10" spans="1:9" x14ac:dyDescent="0.25">
      <c r="A10" s="505" t="s">
        <v>457</v>
      </c>
      <c r="B10" s="502">
        <v>12</v>
      </c>
      <c r="C10" s="506">
        <v>2</v>
      </c>
      <c r="E10" s="143"/>
      <c r="F10" s="142"/>
      <c r="G10" s="142"/>
      <c r="H10" s="142"/>
      <c r="I10" s="154"/>
    </row>
    <row r="11" spans="1:9" x14ac:dyDescent="0.25">
      <c r="A11" s="505" t="s">
        <v>458</v>
      </c>
      <c r="B11" s="502">
        <v>13</v>
      </c>
      <c r="C11" s="506">
        <v>3</v>
      </c>
      <c r="E11" s="143"/>
      <c r="F11" s="142"/>
      <c r="G11" s="142"/>
      <c r="H11" s="142"/>
      <c r="I11" s="154"/>
    </row>
    <row r="12" spans="1:9" x14ac:dyDescent="0.25">
      <c r="A12" s="505" t="s">
        <v>459</v>
      </c>
      <c r="B12" s="502">
        <v>16</v>
      </c>
      <c r="C12" s="515"/>
      <c r="E12" s="143">
        <f t="shared" ref="E12:E20" si="0">SUMPRODUCT(B9:B11,$C$9:$C$11)/SUM($C$9:$C$11)</f>
        <v>12.166666666666666</v>
      </c>
      <c r="F12" s="142">
        <f t="shared" ref="F12:F20" si="1">B12-E12</f>
        <v>3.8333333333333339</v>
      </c>
      <c r="G12" s="142">
        <f t="shared" ref="G12:G20" si="2">ABS(F12)</f>
        <v>3.8333333333333339</v>
      </c>
      <c r="H12" s="142">
        <f t="shared" ref="H12:H20" si="3">F12^2</f>
        <v>14.694444444444448</v>
      </c>
      <c r="I12" s="154">
        <f t="shared" ref="I12:I20" si="4">G12/B12</f>
        <v>0.23958333333333337</v>
      </c>
    </row>
    <row r="13" spans="1:9" x14ac:dyDescent="0.25">
      <c r="A13" s="505" t="s">
        <v>460</v>
      </c>
      <c r="B13" s="502">
        <v>19</v>
      </c>
      <c r="C13" s="515"/>
      <c r="E13" s="143">
        <f t="shared" si="0"/>
        <v>14.333333333333334</v>
      </c>
      <c r="F13" s="142">
        <f t="shared" si="1"/>
        <v>4.6666666666666661</v>
      </c>
      <c r="G13" s="142">
        <f t="shared" si="2"/>
        <v>4.6666666666666661</v>
      </c>
      <c r="H13" s="142">
        <f t="shared" si="3"/>
        <v>21.777777777777771</v>
      </c>
      <c r="I13" s="154">
        <f t="shared" si="4"/>
        <v>0.24561403508771926</v>
      </c>
    </row>
    <row r="14" spans="1:9" x14ac:dyDescent="0.25">
      <c r="A14" s="505" t="s">
        <v>461</v>
      </c>
      <c r="B14" s="502">
        <v>23</v>
      </c>
      <c r="C14" s="515"/>
      <c r="E14" s="143">
        <f t="shared" si="0"/>
        <v>17</v>
      </c>
      <c r="F14" s="142">
        <f t="shared" si="1"/>
        <v>6</v>
      </c>
      <c r="G14" s="142">
        <f t="shared" si="2"/>
        <v>6</v>
      </c>
      <c r="H14" s="142">
        <f t="shared" si="3"/>
        <v>36</v>
      </c>
      <c r="I14" s="154">
        <f t="shared" si="4"/>
        <v>0.2608695652173913</v>
      </c>
    </row>
    <row r="15" spans="1:9" x14ac:dyDescent="0.25">
      <c r="A15" s="505" t="s">
        <v>462</v>
      </c>
      <c r="B15" s="502">
        <v>26</v>
      </c>
      <c r="C15" s="515"/>
      <c r="E15" s="143">
        <f t="shared" si="0"/>
        <v>20.5</v>
      </c>
      <c r="F15" s="142">
        <f t="shared" si="1"/>
        <v>5.5</v>
      </c>
      <c r="G15" s="142">
        <f t="shared" si="2"/>
        <v>5.5</v>
      </c>
      <c r="H15" s="142">
        <f t="shared" si="3"/>
        <v>30.25</v>
      </c>
      <c r="I15" s="154">
        <f t="shared" si="4"/>
        <v>0.21153846153846154</v>
      </c>
    </row>
    <row r="16" spans="1:9" x14ac:dyDescent="0.25">
      <c r="A16" s="505" t="s">
        <v>463</v>
      </c>
      <c r="B16" s="502">
        <v>30</v>
      </c>
      <c r="C16" s="515"/>
      <c r="E16" s="143">
        <f t="shared" si="0"/>
        <v>23.833333333333332</v>
      </c>
      <c r="F16" s="142">
        <f t="shared" si="1"/>
        <v>6.1666666666666679</v>
      </c>
      <c r="G16" s="142">
        <f t="shared" si="2"/>
        <v>6.1666666666666679</v>
      </c>
      <c r="H16" s="142">
        <f t="shared" si="3"/>
        <v>38.027777777777793</v>
      </c>
      <c r="I16" s="154">
        <f t="shared" si="4"/>
        <v>0.2055555555555556</v>
      </c>
    </row>
    <row r="17" spans="1:9" x14ac:dyDescent="0.25">
      <c r="A17" s="505" t="s">
        <v>464</v>
      </c>
      <c r="B17" s="502">
        <v>28</v>
      </c>
      <c r="C17" s="515"/>
      <c r="E17" s="143">
        <f t="shared" si="0"/>
        <v>27.5</v>
      </c>
      <c r="F17" s="142">
        <f t="shared" si="1"/>
        <v>0.5</v>
      </c>
      <c r="G17" s="142">
        <f t="shared" si="2"/>
        <v>0.5</v>
      </c>
      <c r="H17" s="142">
        <f t="shared" si="3"/>
        <v>0.25</v>
      </c>
      <c r="I17" s="154">
        <f t="shared" si="4"/>
        <v>1.7857142857142856E-2</v>
      </c>
    </row>
    <row r="18" spans="1:9" x14ac:dyDescent="0.25">
      <c r="A18" s="505" t="s">
        <v>465</v>
      </c>
      <c r="B18" s="502">
        <v>18</v>
      </c>
      <c r="C18" s="515"/>
      <c r="E18" s="143">
        <f t="shared" si="0"/>
        <v>28.333333333333332</v>
      </c>
      <c r="F18" s="142">
        <f t="shared" si="1"/>
        <v>-10.333333333333332</v>
      </c>
      <c r="G18" s="142">
        <f t="shared" si="2"/>
        <v>10.333333333333332</v>
      </c>
      <c r="H18" s="142">
        <f t="shared" si="3"/>
        <v>106.77777777777776</v>
      </c>
      <c r="I18" s="154">
        <f t="shared" si="4"/>
        <v>0.57407407407407396</v>
      </c>
    </row>
    <row r="19" spans="1:9" x14ac:dyDescent="0.25">
      <c r="A19" s="505" t="s">
        <v>466</v>
      </c>
      <c r="B19" s="502">
        <v>16</v>
      </c>
      <c r="C19" s="515"/>
      <c r="E19" s="143">
        <f t="shared" si="0"/>
        <v>23.333333333333332</v>
      </c>
      <c r="F19" s="142">
        <f t="shared" si="1"/>
        <v>-7.3333333333333321</v>
      </c>
      <c r="G19" s="142">
        <f t="shared" si="2"/>
        <v>7.3333333333333321</v>
      </c>
      <c r="H19" s="142">
        <f t="shared" si="3"/>
        <v>53.777777777777757</v>
      </c>
      <c r="I19" s="154">
        <f t="shared" si="4"/>
        <v>0.45833333333333326</v>
      </c>
    </row>
    <row r="20" spans="1:9" ht="13" thickBot="1" x14ac:dyDescent="0.3">
      <c r="A20" s="507" t="s">
        <v>467</v>
      </c>
      <c r="B20" s="526">
        <v>14</v>
      </c>
      <c r="C20" s="516"/>
      <c r="E20" s="143">
        <f t="shared" si="0"/>
        <v>18.666666666666668</v>
      </c>
      <c r="F20" s="142">
        <f t="shared" si="1"/>
        <v>-4.6666666666666679</v>
      </c>
      <c r="G20" s="142">
        <f t="shared" si="2"/>
        <v>4.6666666666666679</v>
      </c>
      <c r="H20" s="142">
        <f t="shared" si="3"/>
        <v>21.777777777777789</v>
      </c>
      <c r="I20" s="154">
        <f t="shared" si="4"/>
        <v>0.33333333333333343</v>
      </c>
    </row>
    <row r="21" spans="1:9" x14ac:dyDescent="0.25">
      <c r="E21" s="143" t="s">
        <v>57</v>
      </c>
      <c r="F21" s="142">
        <f>SUM(F12:F20)</f>
        <v>4.3333333333333357</v>
      </c>
      <c r="G21" s="142">
        <f>SUM(G12:G20)</f>
        <v>49</v>
      </c>
      <c r="H21" s="142">
        <f>SUM(H12:H20)</f>
        <v>323.33333333333331</v>
      </c>
      <c r="I21" s="154">
        <f>SUM(I12:I20)</f>
        <v>2.5467588343303444</v>
      </c>
    </row>
    <row r="22" spans="1:9" ht="13" x14ac:dyDescent="0.3">
      <c r="E22" s="145" t="s">
        <v>58</v>
      </c>
      <c r="F22" s="144">
        <f>AVERAGE(F12:F20)</f>
        <v>0.48148148148148173</v>
      </c>
      <c r="G22" s="144">
        <f>AVERAGE(G12:G20)</f>
        <v>5.4444444444444446</v>
      </c>
      <c r="H22" s="144">
        <f>AVERAGE(H12:H20)</f>
        <v>35.925925925925924</v>
      </c>
      <c r="I22" s="151">
        <f>AVERAGE(I12:I20)</f>
        <v>0.28297320381448271</v>
      </c>
    </row>
    <row r="23" spans="1:9" ht="13" x14ac:dyDescent="0.3">
      <c r="E23" s="145"/>
      <c r="F23" s="144" t="s">
        <v>59</v>
      </c>
      <c r="G23" s="144" t="s">
        <v>60</v>
      </c>
      <c r="H23" s="144" t="s">
        <v>61</v>
      </c>
      <c r="I23" s="152" t="s">
        <v>451</v>
      </c>
    </row>
    <row r="24" spans="1:9" ht="13.5" thickBot="1" x14ac:dyDescent="0.35">
      <c r="E24" s="148"/>
      <c r="F24" s="149"/>
      <c r="G24" s="149" t="s">
        <v>62</v>
      </c>
      <c r="H24" s="149">
        <f>SQRT(H21/(COUNT(H9:H20)-2))</f>
        <v>6.7963575678797383</v>
      </c>
      <c r="I24" s="153"/>
    </row>
    <row r="25" spans="1:9" ht="13.5" thickBot="1" x14ac:dyDescent="0.35">
      <c r="A25" s="209" t="s">
        <v>63</v>
      </c>
      <c r="B25" s="211">
        <f>SUMPRODUCT(B18:B20,$C$9:$C$11)/SUM($C$9:$C$11)</f>
        <v>15.333333333333334</v>
      </c>
      <c r="H25" s="160" t="str">
        <f>IF(COUNT(H9:H20)-2&lt;1,"Not enough data to compute the standard error","")</f>
        <v/>
      </c>
    </row>
  </sheetData>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3"/>
  <sheetViews>
    <sheetView workbookViewId="0">
      <selection activeCell="B11" sqref="B11:B17"/>
    </sheetView>
  </sheetViews>
  <sheetFormatPr defaultColWidth="9.08984375" defaultRowHeight="12.5" x14ac:dyDescent="0.25"/>
  <cols>
    <col min="1" max="1" width="14.36328125" style="160" bestFit="1" customWidth="1"/>
    <col min="2" max="7" width="9.08984375" style="160"/>
    <col min="8" max="8" width="8.26953125" style="160" bestFit="1" customWidth="1"/>
    <col min="9" max="16384" width="9.08984375" style="160"/>
  </cols>
  <sheetData>
    <row r="1" spans="1:10" ht="18" x14ac:dyDescent="0.4">
      <c r="A1" s="513" t="s">
        <v>427</v>
      </c>
    </row>
    <row r="3" spans="1:10" ht="15.5" x14ac:dyDescent="0.35">
      <c r="A3" s="500" t="s">
        <v>49</v>
      </c>
      <c r="B3" s="500"/>
      <c r="C3" s="500" t="s">
        <v>509</v>
      </c>
      <c r="D3" s="500"/>
      <c r="E3" s="500"/>
      <c r="F3" s="500"/>
      <c r="G3" s="500"/>
      <c r="H3" s="500"/>
      <c r="I3" s="500"/>
      <c r="J3" s="500"/>
    </row>
    <row r="4" spans="1:10" x14ac:dyDescent="0.25">
      <c r="A4" s="499"/>
      <c r="B4" s="499"/>
    </row>
    <row r="7" spans="1:10" ht="13" x14ac:dyDescent="0.3">
      <c r="A7" s="160" t="s">
        <v>64</v>
      </c>
      <c r="B7" s="502">
        <v>0.3</v>
      </c>
      <c r="C7" s="155" t="str">
        <f>IF(OR(B7&lt;0,B7&gt;1),"Alpha should be between 0 and 1","")</f>
        <v/>
      </c>
    </row>
    <row r="8" spans="1:10" ht="13" x14ac:dyDescent="0.3">
      <c r="A8" s="160" t="s">
        <v>510</v>
      </c>
      <c r="B8" s="502">
        <v>0.4</v>
      </c>
      <c r="C8" s="155" t="str">
        <f>IF(OR(B8&lt;0,B8&gt;1),"Beta should be between 0 and 1","")</f>
        <v/>
      </c>
      <c r="J8" s="161"/>
    </row>
    <row r="9" spans="1:10" ht="13.5" thickBot="1" x14ac:dyDescent="0.35">
      <c r="A9" s="501" t="s">
        <v>27</v>
      </c>
      <c r="D9" s="509" t="s">
        <v>452</v>
      </c>
      <c r="E9" s="509"/>
      <c r="F9" s="509"/>
      <c r="J9" s="161"/>
    </row>
    <row r="10" spans="1:10" s="202" customFormat="1" ht="53" x14ac:dyDescent="0.4">
      <c r="A10" s="542" t="s">
        <v>50</v>
      </c>
      <c r="B10" s="543" t="s">
        <v>51</v>
      </c>
      <c r="D10" s="212" t="s">
        <v>511</v>
      </c>
      <c r="E10" s="213" t="s">
        <v>512</v>
      </c>
      <c r="F10" s="213" t="s">
        <v>513</v>
      </c>
      <c r="G10" s="203" t="s">
        <v>54</v>
      </c>
      <c r="H10" s="203" t="s">
        <v>55</v>
      </c>
      <c r="I10" s="203" t="s">
        <v>56</v>
      </c>
      <c r="J10" s="204" t="s">
        <v>450</v>
      </c>
    </row>
    <row r="11" spans="1:10" x14ac:dyDescent="0.25">
      <c r="A11" s="505" t="s">
        <v>456</v>
      </c>
      <c r="B11" s="506">
        <v>74</v>
      </c>
      <c r="D11" s="541">
        <f>$B$11</f>
        <v>74</v>
      </c>
      <c r="E11" s="541"/>
      <c r="F11" s="198">
        <f>D11+E11</f>
        <v>74</v>
      </c>
      <c r="G11" s="142">
        <f t="shared" ref="G11:G17" si="0">B11-F11</f>
        <v>0</v>
      </c>
      <c r="H11" s="142">
        <f t="shared" ref="H11:H17" si="1">ABS(G11)</f>
        <v>0</v>
      </c>
      <c r="I11" s="142">
        <f t="shared" ref="I11:I17" si="2">G11^2</f>
        <v>0</v>
      </c>
      <c r="J11" s="154">
        <f t="shared" ref="J11:J17" si="3">H11/B11</f>
        <v>0</v>
      </c>
    </row>
    <row r="12" spans="1:10" x14ac:dyDescent="0.25">
      <c r="A12" s="505" t="s">
        <v>457</v>
      </c>
      <c r="B12" s="506">
        <v>79</v>
      </c>
      <c r="D12" s="143">
        <f>$B$7*B11+(1-$B$7)*F11</f>
        <v>74</v>
      </c>
      <c r="E12" s="198">
        <f>$B$8*(D12-D11)+(1-$B$8)*E11</f>
        <v>0</v>
      </c>
      <c r="F12" s="198">
        <f>D12+E12</f>
        <v>74</v>
      </c>
      <c r="G12" s="142">
        <f t="shared" si="0"/>
        <v>5</v>
      </c>
      <c r="H12" s="142">
        <f t="shared" si="1"/>
        <v>5</v>
      </c>
      <c r="I12" s="142">
        <f t="shared" si="2"/>
        <v>25</v>
      </c>
      <c r="J12" s="154">
        <f t="shared" si="3"/>
        <v>6.3291139240506333E-2</v>
      </c>
    </row>
    <row r="13" spans="1:10" x14ac:dyDescent="0.25">
      <c r="A13" s="505" t="s">
        <v>458</v>
      </c>
      <c r="B13" s="506">
        <v>80</v>
      </c>
      <c r="D13" s="143">
        <f t="shared" ref="D13:D18" si="4">$B$7*B12+(1-$B$7)*F12</f>
        <v>75.5</v>
      </c>
      <c r="E13" s="198">
        <f t="shared" ref="E13:E18" si="5">$B$8*(D13-D12)+(1-$B$8)*E12</f>
        <v>0.60000000000000009</v>
      </c>
      <c r="F13" s="198">
        <f t="shared" ref="F13:F18" si="6">D13+E13</f>
        <v>76.099999999999994</v>
      </c>
      <c r="G13" s="142">
        <f t="shared" si="0"/>
        <v>3.9000000000000057</v>
      </c>
      <c r="H13" s="142">
        <f t="shared" si="1"/>
        <v>3.9000000000000057</v>
      </c>
      <c r="I13" s="142">
        <f t="shared" si="2"/>
        <v>15.210000000000043</v>
      </c>
      <c r="J13" s="154">
        <f t="shared" si="3"/>
        <v>4.8750000000000071E-2</v>
      </c>
    </row>
    <row r="14" spans="1:10" x14ac:dyDescent="0.25">
      <c r="A14" s="505" t="s">
        <v>459</v>
      </c>
      <c r="B14" s="506">
        <v>90</v>
      </c>
      <c r="D14" s="143">
        <f t="shared" si="4"/>
        <v>77.27</v>
      </c>
      <c r="E14" s="198">
        <f t="shared" si="5"/>
        <v>1.0679999999999985</v>
      </c>
      <c r="F14" s="198">
        <f t="shared" si="6"/>
        <v>78.337999999999994</v>
      </c>
      <c r="G14" s="142">
        <f t="shared" si="0"/>
        <v>11.662000000000006</v>
      </c>
      <c r="H14" s="142">
        <f t="shared" si="1"/>
        <v>11.662000000000006</v>
      </c>
      <c r="I14" s="142">
        <f t="shared" si="2"/>
        <v>136.00224400000013</v>
      </c>
      <c r="J14" s="154">
        <f t="shared" si="3"/>
        <v>0.12957777777777785</v>
      </c>
    </row>
    <row r="15" spans="1:10" x14ac:dyDescent="0.25">
      <c r="A15" s="505" t="s">
        <v>460</v>
      </c>
      <c r="B15" s="506">
        <v>105</v>
      </c>
      <c r="D15" s="143">
        <f t="shared" si="4"/>
        <v>81.83659999999999</v>
      </c>
      <c r="E15" s="198">
        <f t="shared" si="5"/>
        <v>2.4674399999999967</v>
      </c>
      <c r="F15" s="198">
        <f t="shared" si="6"/>
        <v>84.304039999999986</v>
      </c>
      <c r="G15" s="142">
        <f t="shared" si="0"/>
        <v>20.695960000000014</v>
      </c>
      <c r="H15" s="142">
        <f t="shared" si="1"/>
        <v>20.695960000000014</v>
      </c>
      <c r="I15" s="142">
        <f t="shared" si="2"/>
        <v>428.32276032160058</v>
      </c>
      <c r="J15" s="154">
        <f t="shared" si="3"/>
        <v>0.19710438095238109</v>
      </c>
    </row>
    <row r="16" spans="1:10" x14ac:dyDescent="0.25">
      <c r="A16" s="505" t="s">
        <v>461</v>
      </c>
      <c r="B16" s="506">
        <v>142</v>
      </c>
      <c r="D16" s="143">
        <f t="shared" si="4"/>
        <v>90.512827999999985</v>
      </c>
      <c r="E16" s="198">
        <f t="shared" si="5"/>
        <v>4.9509551999999957</v>
      </c>
      <c r="F16" s="198">
        <f t="shared" si="6"/>
        <v>95.46378319999998</v>
      </c>
      <c r="G16" s="142">
        <f t="shared" si="0"/>
        <v>46.53621680000002</v>
      </c>
      <c r="H16" s="142">
        <f t="shared" si="1"/>
        <v>46.53621680000002</v>
      </c>
      <c r="I16" s="142">
        <f t="shared" si="2"/>
        <v>2165.6194740566038</v>
      </c>
      <c r="J16" s="154">
        <f t="shared" si="3"/>
        <v>0.32771983661971843</v>
      </c>
    </row>
    <row r="17" spans="1:10" ht="13" thickBot="1" x14ac:dyDescent="0.3">
      <c r="A17" s="507" t="s">
        <v>462</v>
      </c>
      <c r="B17" s="544">
        <v>122</v>
      </c>
      <c r="D17" s="205">
        <f t="shared" si="4"/>
        <v>109.42464823999998</v>
      </c>
      <c r="E17" s="206">
        <f t="shared" si="5"/>
        <v>10.535301215999997</v>
      </c>
      <c r="F17" s="206">
        <f t="shared" si="6"/>
        <v>119.95994945599998</v>
      </c>
      <c r="G17" s="142">
        <f t="shared" si="0"/>
        <v>2.0400505440000245</v>
      </c>
      <c r="H17" s="142">
        <f t="shared" si="1"/>
        <v>2.0400505440000245</v>
      </c>
      <c r="I17" s="142">
        <f t="shared" si="2"/>
        <v>4.1618062220747962</v>
      </c>
      <c r="J17" s="159">
        <f t="shared" si="3"/>
        <v>1.6721725770492003E-2</v>
      </c>
    </row>
    <row r="18" spans="1:10" ht="13.5" thickBot="1" x14ac:dyDescent="0.35">
      <c r="B18" s="209" t="s">
        <v>63</v>
      </c>
      <c r="C18" s="210"/>
      <c r="D18" s="210">
        <f t="shared" si="4"/>
        <v>120.57196461919997</v>
      </c>
      <c r="E18" s="210">
        <f t="shared" si="5"/>
        <v>10.780107281279996</v>
      </c>
      <c r="F18" s="211">
        <f t="shared" si="6"/>
        <v>131.35207190047998</v>
      </c>
      <c r="G18" s="198"/>
      <c r="H18" s="142"/>
      <c r="I18" s="142"/>
      <c r="J18" s="159"/>
    </row>
    <row r="19" spans="1:10" x14ac:dyDescent="0.25">
      <c r="D19" s="207" t="s">
        <v>57</v>
      </c>
      <c r="E19" s="208"/>
      <c r="F19" s="208"/>
      <c r="G19" s="142">
        <f>SUM(G11:G17)</f>
        <v>89.83422734400007</v>
      </c>
      <c r="H19" s="142">
        <f>SUM(H11:H17)</f>
        <v>89.83422734400007</v>
      </c>
      <c r="I19" s="142">
        <f>SUM(I11:I17)</f>
        <v>2774.3162846002792</v>
      </c>
      <c r="J19" s="154">
        <f>SUM(J11:J17)</f>
        <v>0.78316486036087574</v>
      </c>
    </row>
    <row r="20" spans="1:10" ht="13" x14ac:dyDescent="0.3">
      <c r="D20" s="157" t="s">
        <v>58</v>
      </c>
      <c r="E20" s="199"/>
      <c r="F20" s="199"/>
      <c r="G20" s="144">
        <f>AVERAGE(G11:G17)</f>
        <v>12.833461049142867</v>
      </c>
      <c r="H20" s="144">
        <f>AVERAGE(H11:H17)</f>
        <v>12.833461049142867</v>
      </c>
      <c r="I20" s="144">
        <f>AVERAGE(I11:I17)</f>
        <v>396.33089780003991</v>
      </c>
      <c r="J20" s="151">
        <f>AVERAGE(J11:J17)</f>
        <v>0.11188069433726797</v>
      </c>
    </row>
    <row r="21" spans="1:10" ht="13" x14ac:dyDescent="0.3">
      <c r="D21" s="145"/>
      <c r="E21" s="200"/>
      <c r="F21" s="200"/>
      <c r="G21" s="156" t="s">
        <v>59</v>
      </c>
      <c r="H21" s="156" t="s">
        <v>60</v>
      </c>
      <c r="I21" s="156" t="s">
        <v>61</v>
      </c>
      <c r="J21" s="152" t="s">
        <v>451</v>
      </c>
    </row>
    <row r="22" spans="1:10" ht="13.5" thickBot="1" x14ac:dyDescent="0.35">
      <c r="D22" s="148"/>
      <c r="E22" s="201"/>
      <c r="F22" s="201"/>
      <c r="G22" s="149"/>
      <c r="H22" s="158" t="s">
        <v>62</v>
      </c>
      <c r="I22" s="149">
        <f>SQRT(I19/(COUNT(I11:I17)-2))</f>
        <v>23.555535589751635</v>
      </c>
      <c r="J22" s="153"/>
    </row>
    <row r="23" spans="1:10" ht="13" x14ac:dyDescent="0.3">
      <c r="A23" s="509"/>
      <c r="B23" s="509"/>
      <c r="I23" s="160" t="str">
        <f>IF(COUNT(I11:I17)-2&lt;1,"Not enough data to compute the standard error","")</f>
        <v/>
      </c>
    </row>
  </sheetData>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
  <sheetViews>
    <sheetView workbookViewId="0">
      <selection activeCell="B10" sqref="B10:B16"/>
    </sheetView>
  </sheetViews>
  <sheetFormatPr defaultColWidth="9.08984375" defaultRowHeight="12.5" x14ac:dyDescent="0.25"/>
  <cols>
    <col min="1" max="2" width="10.7265625" style="160" customWidth="1"/>
    <col min="3" max="8" width="9.08984375" style="160"/>
    <col min="9" max="9" width="10.7265625" style="160" bestFit="1" customWidth="1"/>
    <col min="10" max="16384" width="9.08984375" style="160"/>
  </cols>
  <sheetData>
    <row r="1" spans="1:9" ht="18" x14ac:dyDescent="0.4">
      <c r="A1" s="513" t="s">
        <v>427</v>
      </c>
    </row>
    <row r="3" spans="1:9" ht="15.5" x14ac:dyDescent="0.35">
      <c r="A3" s="500" t="s">
        <v>49</v>
      </c>
      <c r="B3" s="500"/>
      <c r="C3" s="500" t="s">
        <v>917</v>
      </c>
      <c r="D3" s="500"/>
      <c r="E3" s="500"/>
      <c r="F3" s="500"/>
      <c r="G3" s="500"/>
      <c r="H3" s="500"/>
    </row>
    <row r="4" spans="1:9" x14ac:dyDescent="0.25">
      <c r="A4" s="499"/>
      <c r="B4" s="499"/>
    </row>
    <row r="8" spans="1:9" ht="13.5" thickBot="1" x14ac:dyDescent="0.35">
      <c r="A8" s="501" t="s">
        <v>27</v>
      </c>
      <c r="E8" s="509" t="s">
        <v>452</v>
      </c>
    </row>
    <row r="9" spans="1:9" x14ac:dyDescent="0.25">
      <c r="A9" s="503" t="s">
        <v>50</v>
      </c>
      <c r="B9" s="538" t="s">
        <v>65</v>
      </c>
      <c r="C9" s="539" t="s">
        <v>66</v>
      </c>
      <c r="E9" s="163" t="s">
        <v>53</v>
      </c>
      <c r="F9" s="164" t="s">
        <v>54</v>
      </c>
      <c r="G9" s="164" t="s">
        <v>55</v>
      </c>
      <c r="H9" s="164" t="s">
        <v>56</v>
      </c>
      <c r="I9" s="165" t="s">
        <v>450</v>
      </c>
    </row>
    <row r="10" spans="1:9" x14ac:dyDescent="0.25">
      <c r="A10" s="505" t="s">
        <v>456</v>
      </c>
      <c r="B10" s="502">
        <v>74</v>
      </c>
      <c r="C10" s="506">
        <v>1</v>
      </c>
      <c r="E10" s="143">
        <f t="shared" ref="E10:E16" si="0">$B$18+$B$19*C10</f>
        <v>67.25</v>
      </c>
      <c r="F10" s="142">
        <f t="shared" ref="F10:F16" si="1">B10-E10</f>
        <v>6.75</v>
      </c>
      <c r="G10" s="142">
        <f t="shared" ref="G10:G16" si="2">ABS(F10)</f>
        <v>6.75</v>
      </c>
      <c r="H10" s="142">
        <f t="shared" ref="H10:H16" si="3">F10^2</f>
        <v>45.5625</v>
      </c>
      <c r="I10" s="154">
        <f t="shared" ref="I10:I16" si="4">G10/B10</f>
        <v>9.1216216216216214E-2</v>
      </c>
    </row>
    <row r="11" spans="1:9" x14ac:dyDescent="0.25">
      <c r="A11" s="505" t="s">
        <v>457</v>
      </c>
      <c r="B11" s="502">
        <v>79</v>
      </c>
      <c r="C11" s="506">
        <v>2</v>
      </c>
      <c r="E11" s="143">
        <f t="shared" si="0"/>
        <v>77.785714285714292</v>
      </c>
      <c r="F11" s="142">
        <f t="shared" si="1"/>
        <v>1.2142857142857082</v>
      </c>
      <c r="G11" s="142">
        <f t="shared" si="2"/>
        <v>1.2142857142857082</v>
      </c>
      <c r="H11" s="142">
        <f t="shared" si="3"/>
        <v>1.4744897959183525</v>
      </c>
      <c r="I11" s="154">
        <f t="shared" si="4"/>
        <v>1.5370705244122889E-2</v>
      </c>
    </row>
    <row r="12" spans="1:9" x14ac:dyDescent="0.25">
      <c r="A12" s="505" t="s">
        <v>458</v>
      </c>
      <c r="B12" s="502">
        <v>80</v>
      </c>
      <c r="C12" s="506">
        <v>3</v>
      </c>
      <c r="E12" s="143">
        <f t="shared" si="0"/>
        <v>88.321428571428584</v>
      </c>
      <c r="F12" s="142">
        <f t="shared" si="1"/>
        <v>-8.3214285714285836</v>
      </c>
      <c r="G12" s="142">
        <f t="shared" si="2"/>
        <v>8.3214285714285836</v>
      </c>
      <c r="H12" s="142">
        <f t="shared" si="3"/>
        <v>69.246173469387955</v>
      </c>
      <c r="I12" s="154">
        <f t="shared" si="4"/>
        <v>0.1040178571428573</v>
      </c>
    </row>
    <row r="13" spans="1:9" x14ac:dyDescent="0.25">
      <c r="A13" s="505" t="s">
        <v>459</v>
      </c>
      <c r="B13" s="502">
        <v>90</v>
      </c>
      <c r="C13" s="506">
        <v>4</v>
      </c>
      <c r="E13" s="143">
        <f t="shared" si="0"/>
        <v>98.857142857142861</v>
      </c>
      <c r="F13" s="142">
        <f t="shared" si="1"/>
        <v>-8.8571428571428612</v>
      </c>
      <c r="G13" s="142">
        <f t="shared" si="2"/>
        <v>8.8571428571428612</v>
      </c>
      <c r="H13" s="142">
        <f t="shared" si="3"/>
        <v>78.448979591836803</v>
      </c>
      <c r="I13" s="154">
        <f t="shared" si="4"/>
        <v>9.8412698412698452E-2</v>
      </c>
    </row>
    <row r="14" spans="1:9" x14ac:dyDescent="0.25">
      <c r="A14" s="505" t="s">
        <v>460</v>
      </c>
      <c r="B14" s="502">
        <v>105</v>
      </c>
      <c r="C14" s="506">
        <v>5</v>
      </c>
      <c r="E14" s="143">
        <f t="shared" si="0"/>
        <v>109.39285714285714</v>
      </c>
      <c r="F14" s="142">
        <f t="shared" si="1"/>
        <v>-4.3928571428571388</v>
      </c>
      <c r="G14" s="142">
        <f t="shared" si="2"/>
        <v>4.3928571428571388</v>
      </c>
      <c r="H14" s="142">
        <f t="shared" si="3"/>
        <v>19.297193877550985</v>
      </c>
      <c r="I14" s="154">
        <f t="shared" si="4"/>
        <v>4.1836734693877511E-2</v>
      </c>
    </row>
    <row r="15" spans="1:9" x14ac:dyDescent="0.25">
      <c r="A15" s="505" t="s">
        <v>461</v>
      </c>
      <c r="B15" s="502">
        <v>142</v>
      </c>
      <c r="C15" s="506">
        <v>6</v>
      </c>
      <c r="E15" s="143">
        <f t="shared" si="0"/>
        <v>119.92857142857144</v>
      </c>
      <c r="F15" s="142">
        <f t="shared" si="1"/>
        <v>22.071428571428555</v>
      </c>
      <c r="G15" s="142">
        <f t="shared" si="2"/>
        <v>22.071428571428555</v>
      </c>
      <c r="H15" s="142">
        <f t="shared" si="3"/>
        <v>487.14795918367275</v>
      </c>
      <c r="I15" s="154">
        <f t="shared" si="4"/>
        <v>0.15543259557344052</v>
      </c>
    </row>
    <row r="16" spans="1:9" ht="13" thickBot="1" x14ac:dyDescent="0.3">
      <c r="A16" s="507" t="s">
        <v>462</v>
      </c>
      <c r="B16" s="526">
        <v>122</v>
      </c>
      <c r="C16" s="508">
        <v>7</v>
      </c>
      <c r="E16" s="205">
        <f t="shared" si="0"/>
        <v>130.46428571428572</v>
      </c>
      <c r="F16" s="498">
        <f t="shared" si="1"/>
        <v>-8.4642857142857224</v>
      </c>
      <c r="G16" s="498">
        <f t="shared" si="2"/>
        <v>8.4642857142857224</v>
      </c>
      <c r="H16" s="498">
        <f t="shared" si="3"/>
        <v>71.644132653061362</v>
      </c>
      <c r="I16" s="166">
        <f t="shared" si="4"/>
        <v>6.9379391100702639E-2</v>
      </c>
    </row>
    <row r="17" spans="1:9" ht="13" thickBot="1" x14ac:dyDescent="0.3">
      <c r="E17" s="163" t="s">
        <v>57</v>
      </c>
      <c r="F17" s="164">
        <f>SUM(F10:F16)</f>
        <v>-4.2632564145606011E-14</v>
      </c>
      <c r="G17" s="164">
        <f>SUM(G10:G16)</f>
        <v>60.071428571428569</v>
      </c>
      <c r="H17" s="164">
        <f>SUM(H10:H16)</f>
        <v>772.82142857142821</v>
      </c>
      <c r="I17" s="165">
        <f>SUM(I10:I16)</f>
        <v>0.57566619838391564</v>
      </c>
    </row>
    <row r="18" spans="1:9" ht="13" x14ac:dyDescent="0.3">
      <c r="A18" s="146" t="s">
        <v>67</v>
      </c>
      <c r="B18" s="167">
        <f>INTERCEPT(B10:B16,C10:C16)</f>
        <v>56.714285714285715</v>
      </c>
      <c r="E18" s="145" t="s">
        <v>58</v>
      </c>
      <c r="F18" s="144">
        <f>AVERAGE(F10:F16)</f>
        <v>-6.0903663065151441E-15</v>
      </c>
      <c r="G18" s="144">
        <f>AVERAGE(G10:G16)</f>
        <v>8.5816326530612237</v>
      </c>
      <c r="H18" s="144">
        <f>AVERAGE(H10:H16)</f>
        <v>110.40306122448975</v>
      </c>
      <c r="I18" s="151">
        <f>AVERAGE(I10:I16)</f>
        <v>8.2238028340559377E-2</v>
      </c>
    </row>
    <row r="19" spans="1:9" ht="13.5" thickBot="1" x14ac:dyDescent="0.35">
      <c r="A19" s="148" t="s">
        <v>68</v>
      </c>
      <c r="B19" s="153">
        <f>SLOPE(B10:B16,C10:C16)</f>
        <v>10.535714285714286</v>
      </c>
      <c r="E19" s="145"/>
      <c r="F19" s="144" t="s">
        <v>59</v>
      </c>
      <c r="G19" s="144" t="s">
        <v>60</v>
      </c>
      <c r="H19" s="144" t="s">
        <v>61</v>
      </c>
      <c r="I19" s="152" t="s">
        <v>451</v>
      </c>
    </row>
    <row r="20" spans="1:9" ht="13" x14ac:dyDescent="0.3">
      <c r="E20" s="145"/>
      <c r="F20" s="144"/>
      <c r="G20" s="144" t="s">
        <v>62</v>
      </c>
      <c r="H20" s="144">
        <f>STEYX(B10:B16,C10:C16)</f>
        <v>12.432388576387314</v>
      </c>
      <c r="I20" s="152"/>
    </row>
    <row r="21" spans="1:9" ht="13" x14ac:dyDescent="0.3">
      <c r="A21" s="509" t="s">
        <v>53</v>
      </c>
      <c r="B21" s="509">
        <f>$B$18+$B$19*C21</f>
        <v>141</v>
      </c>
      <c r="C21" s="162">
        <v>8</v>
      </c>
      <c r="E21" s="145"/>
      <c r="F21" s="144"/>
      <c r="G21" s="144"/>
      <c r="H21" s="144"/>
      <c r="I21" s="152"/>
    </row>
    <row r="22" spans="1:9" ht="13" x14ac:dyDescent="0.3">
      <c r="E22" s="145"/>
      <c r="F22" s="144"/>
      <c r="G22" s="144" t="s">
        <v>69</v>
      </c>
      <c r="H22" s="144">
        <f>CORREL(B10:B16,C10:C16)</f>
        <v>0.89490961072454145</v>
      </c>
      <c r="I22" s="152"/>
    </row>
    <row r="23" spans="1:9" ht="13.5" thickBot="1" x14ac:dyDescent="0.35">
      <c r="E23" s="148"/>
      <c r="F23" s="149"/>
      <c r="G23" s="158" t="s">
        <v>918</v>
      </c>
      <c r="H23" s="149">
        <f>H22*H22</f>
        <v>0.80086321136715033</v>
      </c>
      <c r="I23" s="153"/>
    </row>
  </sheetData>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26"/>
  <sheetViews>
    <sheetView workbookViewId="0">
      <selection activeCell="F29" sqref="F29"/>
    </sheetView>
  </sheetViews>
  <sheetFormatPr defaultColWidth="9.08984375" defaultRowHeight="12.5" x14ac:dyDescent="0.25"/>
  <cols>
    <col min="1" max="2" width="10.7265625" style="160" customWidth="1"/>
    <col min="3" max="16384" width="9.08984375" style="160"/>
  </cols>
  <sheetData>
    <row r="1" spans="1:12" ht="18" x14ac:dyDescent="0.4">
      <c r="A1" s="513" t="s">
        <v>433</v>
      </c>
    </row>
    <row r="3" spans="1:12" ht="15.5" x14ac:dyDescent="0.35">
      <c r="A3" s="500" t="s">
        <v>49</v>
      </c>
      <c r="B3" s="500"/>
      <c r="C3" s="500" t="s">
        <v>915</v>
      </c>
      <c r="D3" s="500"/>
      <c r="E3" s="500"/>
      <c r="F3" s="500"/>
      <c r="G3" s="500"/>
      <c r="H3" s="500"/>
    </row>
    <row r="4" spans="1:12" x14ac:dyDescent="0.25">
      <c r="A4" s="499"/>
      <c r="B4" s="499"/>
    </row>
    <row r="7" spans="1:12" ht="13.5" thickBot="1" x14ac:dyDescent="0.35">
      <c r="A7" s="501" t="s">
        <v>27</v>
      </c>
      <c r="H7" s="509" t="s">
        <v>452</v>
      </c>
    </row>
    <row r="8" spans="1:12" x14ac:dyDescent="0.25">
      <c r="A8" s="503"/>
      <c r="B8" s="538" t="s">
        <v>916</v>
      </c>
      <c r="C8" s="538" t="s">
        <v>549</v>
      </c>
      <c r="D8" s="538" t="s">
        <v>550</v>
      </c>
      <c r="E8" s="538" t="s">
        <v>919</v>
      </c>
      <c r="F8" s="539" t="s">
        <v>920</v>
      </c>
      <c r="H8" s="163" t="s">
        <v>53</v>
      </c>
      <c r="I8" s="164" t="s">
        <v>54</v>
      </c>
      <c r="J8" s="164" t="s">
        <v>55</v>
      </c>
      <c r="K8" s="164" t="s">
        <v>56</v>
      </c>
      <c r="L8" s="165" t="s">
        <v>450</v>
      </c>
    </row>
    <row r="9" spans="1:12" x14ac:dyDescent="0.25">
      <c r="A9" s="505" t="s">
        <v>456</v>
      </c>
      <c r="B9" s="502">
        <v>108</v>
      </c>
      <c r="C9" s="502">
        <v>1</v>
      </c>
      <c r="D9" s="502">
        <v>0</v>
      </c>
      <c r="E9" s="502">
        <v>0</v>
      </c>
      <c r="F9" s="506">
        <v>0</v>
      </c>
      <c r="H9" s="143">
        <f t="shared" ref="H9:H20" si="0">$B$22+$C$22*C9+$D$22*D9+$E$22*E9+$F$22*F9</f>
        <v>106.41666666666667</v>
      </c>
      <c r="I9" s="142">
        <f t="shared" ref="I9:I20" si="1">B9-H9</f>
        <v>1.5833333333333286</v>
      </c>
      <c r="J9" s="142">
        <f t="shared" ref="J9:J20" si="2">ABS(I9)</f>
        <v>1.5833333333333286</v>
      </c>
      <c r="K9" s="142">
        <f t="shared" ref="K9:K20" si="3">I9^2</f>
        <v>2.5069444444444295</v>
      </c>
      <c r="L9" s="154">
        <f t="shared" ref="L9:L20" si="4">J9/B9</f>
        <v>1.466049382716045E-2</v>
      </c>
    </row>
    <row r="10" spans="1:12" x14ac:dyDescent="0.25">
      <c r="A10" s="505" t="s">
        <v>457</v>
      </c>
      <c r="B10" s="502">
        <v>125</v>
      </c>
      <c r="C10" s="502">
        <v>2</v>
      </c>
      <c r="D10" s="502">
        <v>1</v>
      </c>
      <c r="E10" s="502">
        <v>0</v>
      </c>
      <c r="F10" s="506">
        <v>0</v>
      </c>
      <c r="H10" s="143">
        <f t="shared" si="0"/>
        <v>124.41666666666667</v>
      </c>
      <c r="I10" s="142">
        <f t="shared" si="1"/>
        <v>0.5833333333333286</v>
      </c>
      <c r="J10" s="142">
        <f t="shared" si="2"/>
        <v>0.5833333333333286</v>
      </c>
      <c r="K10" s="142">
        <f t="shared" si="3"/>
        <v>0.34027777777777224</v>
      </c>
      <c r="L10" s="154">
        <f t="shared" si="4"/>
        <v>4.6666666666666289E-3</v>
      </c>
    </row>
    <row r="11" spans="1:12" x14ac:dyDescent="0.25">
      <c r="A11" s="505" t="s">
        <v>458</v>
      </c>
      <c r="B11" s="502">
        <v>150</v>
      </c>
      <c r="C11" s="502">
        <v>3</v>
      </c>
      <c r="D11" s="502">
        <v>0</v>
      </c>
      <c r="E11" s="502">
        <v>1</v>
      </c>
      <c r="F11" s="506">
        <v>0</v>
      </c>
      <c r="H11" s="143">
        <f t="shared" si="0"/>
        <v>149.75</v>
      </c>
      <c r="I11" s="142">
        <f t="shared" si="1"/>
        <v>0.25</v>
      </c>
      <c r="J11" s="142">
        <f t="shared" si="2"/>
        <v>0.25</v>
      </c>
      <c r="K11" s="142">
        <f t="shared" si="3"/>
        <v>6.25E-2</v>
      </c>
      <c r="L11" s="154">
        <f t="shared" si="4"/>
        <v>1.6666666666666668E-3</v>
      </c>
    </row>
    <row r="12" spans="1:12" x14ac:dyDescent="0.25">
      <c r="A12" s="505" t="s">
        <v>459</v>
      </c>
      <c r="B12" s="502">
        <v>141</v>
      </c>
      <c r="C12" s="502">
        <v>4</v>
      </c>
      <c r="D12" s="502">
        <v>0</v>
      </c>
      <c r="E12" s="502">
        <v>0</v>
      </c>
      <c r="F12" s="506">
        <v>1</v>
      </c>
      <c r="H12" s="143">
        <f t="shared" si="0"/>
        <v>143.41666666666669</v>
      </c>
      <c r="I12" s="142">
        <f t="shared" si="1"/>
        <v>-2.4166666666666856</v>
      </c>
      <c r="J12" s="142">
        <f t="shared" si="2"/>
        <v>2.4166666666666856</v>
      </c>
      <c r="K12" s="142">
        <f t="shared" si="3"/>
        <v>5.8402777777778692</v>
      </c>
      <c r="L12" s="154">
        <f t="shared" si="4"/>
        <v>1.7139479905437488E-2</v>
      </c>
    </row>
    <row r="13" spans="1:12" x14ac:dyDescent="0.25">
      <c r="A13" s="505" t="s">
        <v>460</v>
      </c>
      <c r="B13" s="502">
        <v>116</v>
      </c>
      <c r="C13" s="502">
        <v>5</v>
      </c>
      <c r="D13" s="502">
        <v>0</v>
      </c>
      <c r="E13" s="502">
        <v>0</v>
      </c>
      <c r="F13" s="506">
        <v>0</v>
      </c>
      <c r="H13" s="143">
        <f t="shared" si="0"/>
        <v>115.66666666666667</v>
      </c>
      <c r="I13" s="142">
        <f t="shared" si="1"/>
        <v>0.3333333333333286</v>
      </c>
      <c r="J13" s="142">
        <f t="shared" si="2"/>
        <v>0.3333333333333286</v>
      </c>
      <c r="K13" s="142">
        <f t="shared" si="3"/>
        <v>0.11111111111110795</v>
      </c>
      <c r="L13" s="154">
        <f t="shared" si="4"/>
        <v>2.8735632183907638E-3</v>
      </c>
    </row>
    <row r="14" spans="1:12" x14ac:dyDescent="0.25">
      <c r="A14" s="505" t="s">
        <v>461</v>
      </c>
      <c r="B14" s="502">
        <v>134</v>
      </c>
      <c r="C14" s="502">
        <v>6</v>
      </c>
      <c r="D14" s="502">
        <v>1</v>
      </c>
      <c r="E14" s="502">
        <v>0</v>
      </c>
      <c r="F14" s="506">
        <v>0</v>
      </c>
      <c r="H14" s="143">
        <f t="shared" si="0"/>
        <v>133.66666666666669</v>
      </c>
      <c r="I14" s="142">
        <f t="shared" si="1"/>
        <v>0.33333333333331439</v>
      </c>
      <c r="J14" s="142">
        <f t="shared" si="2"/>
        <v>0.33333333333331439</v>
      </c>
      <c r="K14" s="142">
        <f t="shared" si="3"/>
        <v>0.11111111111109848</v>
      </c>
      <c r="L14" s="154">
        <f t="shared" si="4"/>
        <v>2.4875621890545849E-3</v>
      </c>
    </row>
    <row r="15" spans="1:12" x14ac:dyDescent="0.25">
      <c r="A15" s="505" t="s">
        <v>462</v>
      </c>
      <c r="B15" s="502">
        <v>159</v>
      </c>
      <c r="C15" s="502">
        <v>7</v>
      </c>
      <c r="D15" s="502">
        <v>0</v>
      </c>
      <c r="E15" s="502">
        <v>1</v>
      </c>
      <c r="F15" s="506">
        <v>0</v>
      </c>
      <c r="H15" s="143">
        <f t="shared" si="0"/>
        <v>159</v>
      </c>
      <c r="I15" s="142">
        <f t="shared" si="1"/>
        <v>0</v>
      </c>
      <c r="J15" s="142">
        <f t="shared" si="2"/>
        <v>0</v>
      </c>
      <c r="K15" s="142">
        <f t="shared" si="3"/>
        <v>0</v>
      </c>
      <c r="L15" s="154">
        <f t="shared" si="4"/>
        <v>0</v>
      </c>
    </row>
    <row r="16" spans="1:12" x14ac:dyDescent="0.25">
      <c r="A16" s="505" t="s">
        <v>463</v>
      </c>
      <c r="B16" s="502">
        <v>152</v>
      </c>
      <c r="C16" s="502">
        <v>8</v>
      </c>
      <c r="D16" s="502">
        <v>0</v>
      </c>
      <c r="E16" s="502">
        <v>0</v>
      </c>
      <c r="F16" s="506">
        <v>1</v>
      </c>
      <c r="H16" s="143">
        <f t="shared" si="0"/>
        <v>152.66666666666669</v>
      </c>
      <c r="I16" s="142">
        <f t="shared" si="1"/>
        <v>-0.66666666666668561</v>
      </c>
      <c r="J16" s="142">
        <f t="shared" si="2"/>
        <v>0.66666666666668561</v>
      </c>
      <c r="K16" s="142">
        <f t="shared" si="3"/>
        <v>0.44444444444446973</v>
      </c>
      <c r="L16" s="154">
        <f t="shared" si="4"/>
        <v>4.3859649122808264E-3</v>
      </c>
    </row>
    <row r="17" spans="1:12" x14ac:dyDescent="0.25">
      <c r="A17" s="505" t="s">
        <v>464</v>
      </c>
      <c r="B17" s="502">
        <v>123</v>
      </c>
      <c r="C17" s="502">
        <v>9</v>
      </c>
      <c r="D17" s="502">
        <v>0</v>
      </c>
      <c r="E17" s="502">
        <v>0</v>
      </c>
      <c r="F17" s="506">
        <v>0</v>
      </c>
      <c r="H17" s="143">
        <f t="shared" si="0"/>
        <v>124.91666666666667</v>
      </c>
      <c r="I17" s="142">
        <f t="shared" si="1"/>
        <v>-1.9166666666666714</v>
      </c>
      <c r="J17" s="142">
        <f t="shared" si="2"/>
        <v>1.9166666666666714</v>
      </c>
      <c r="K17" s="142">
        <f t="shared" si="3"/>
        <v>3.6736111111111294</v>
      </c>
      <c r="L17" s="154">
        <f t="shared" si="4"/>
        <v>1.5582655826558304E-2</v>
      </c>
    </row>
    <row r="18" spans="1:12" x14ac:dyDescent="0.25">
      <c r="A18" s="505" t="s">
        <v>465</v>
      </c>
      <c r="B18" s="502">
        <v>142</v>
      </c>
      <c r="C18" s="502">
        <v>10</v>
      </c>
      <c r="D18" s="502">
        <v>1</v>
      </c>
      <c r="E18" s="502">
        <v>0</v>
      </c>
      <c r="F18" s="506">
        <v>0</v>
      </c>
      <c r="H18" s="143">
        <f t="shared" si="0"/>
        <v>142.91666666666669</v>
      </c>
      <c r="I18" s="142">
        <f t="shared" si="1"/>
        <v>-0.91666666666668561</v>
      </c>
      <c r="J18" s="142">
        <f t="shared" si="2"/>
        <v>0.91666666666668561</v>
      </c>
      <c r="K18" s="142">
        <f t="shared" si="3"/>
        <v>0.84027777777781254</v>
      </c>
      <c r="L18" s="154">
        <f t="shared" si="4"/>
        <v>6.4553990610329969E-3</v>
      </c>
    </row>
    <row r="19" spans="1:12" x14ac:dyDescent="0.25">
      <c r="A19" s="505" t="s">
        <v>466</v>
      </c>
      <c r="B19" s="502">
        <v>168</v>
      </c>
      <c r="C19" s="502">
        <v>11</v>
      </c>
      <c r="D19" s="502">
        <v>0</v>
      </c>
      <c r="E19" s="502">
        <v>1</v>
      </c>
      <c r="F19" s="506">
        <v>0</v>
      </c>
      <c r="H19" s="143">
        <f t="shared" si="0"/>
        <v>168.25000000000003</v>
      </c>
      <c r="I19" s="142">
        <f t="shared" si="1"/>
        <v>-0.25000000000002842</v>
      </c>
      <c r="J19" s="142">
        <f t="shared" si="2"/>
        <v>0.25000000000002842</v>
      </c>
      <c r="K19" s="142">
        <f t="shared" si="3"/>
        <v>6.2500000000014211E-2</v>
      </c>
      <c r="L19" s="154">
        <f t="shared" si="4"/>
        <v>1.4880952380954074E-3</v>
      </c>
    </row>
    <row r="20" spans="1:12" ht="13" thickBot="1" x14ac:dyDescent="0.3">
      <c r="A20" s="507" t="s">
        <v>467</v>
      </c>
      <c r="B20" s="502">
        <v>165</v>
      </c>
      <c r="C20" s="502">
        <v>12</v>
      </c>
      <c r="D20" s="526">
        <v>0</v>
      </c>
      <c r="E20" s="526">
        <v>0</v>
      </c>
      <c r="F20" s="508">
        <v>1</v>
      </c>
      <c r="H20" s="205">
        <f t="shared" si="0"/>
        <v>161.91666666666669</v>
      </c>
      <c r="I20" s="498">
        <f t="shared" si="1"/>
        <v>3.0833333333333144</v>
      </c>
      <c r="J20" s="498">
        <f t="shared" si="2"/>
        <v>3.0833333333333144</v>
      </c>
      <c r="K20" s="498">
        <f t="shared" si="3"/>
        <v>9.5069444444443274</v>
      </c>
      <c r="L20" s="166">
        <f t="shared" si="4"/>
        <v>1.8686868686868571E-2</v>
      </c>
    </row>
    <row r="21" spans="1:12" ht="13" x14ac:dyDescent="0.3">
      <c r="H21" s="146" t="s">
        <v>57</v>
      </c>
      <c r="I21" s="147">
        <f>SUM(I9:I20)</f>
        <v>-1.4210854715202004E-13</v>
      </c>
      <c r="J21" s="147">
        <f>SUM(J9:J20)</f>
        <v>12.333333333333371</v>
      </c>
      <c r="K21" s="147">
        <f>SUM(K9:K20)</f>
        <v>23.500000000000028</v>
      </c>
      <c r="L21" s="150">
        <f>SUM(L9:L20)</f>
        <v>9.0093416198212706E-2</v>
      </c>
    </row>
    <row r="22" spans="1:12" ht="13" x14ac:dyDescent="0.3">
      <c r="A22" s="160" t="s">
        <v>406</v>
      </c>
      <c r="B22" s="160">
        <f>INDEX(LINEST($B$9:$B$20,$C$9:$F$20),5)</f>
        <v>104.10416666666667</v>
      </c>
      <c r="C22" s="160">
        <f>INDEX(LINEST($B$9:$B$20,$C$9:$F$20),4)</f>
        <v>2.3125</v>
      </c>
      <c r="D22" s="160">
        <f>INDEX(LINEST($B$9:$B$20,$C$9:$F$20),3)</f>
        <v>15.6875</v>
      </c>
      <c r="E22" s="160">
        <f>INDEX(LINEST($B$9:$B$20,$C$9:$F$20),2)</f>
        <v>38.708333333333336</v>
      </c>
      <c r="F22" s="160">
        <f>INDEX(LINEST($B$9:$B$20,$C$9:$F$20),1)</f>
        <v>30.062500000000007</v>
      </c>
      <c r="H22" s="145" t="s">
        <v>58</v>
      </c>
      <c r="I22" s="144">
        <f>AVERAGE(I9:I20)</f>
        <v>-1.1842378929335004E-14</v>
      </c>
      <c r="J22" s="144">
        <f>AVERAGE(J9:J20)</f>
        <v>1.027777777777781</v>
      </c>
      <c r="K22" s="144">
        <f>AVERAGE(K9:K20)</f>
        <v>1.9583333333333357</v>
      </c>
      <c r="L22" s="151">
        <f>AVERAGE(L9:L20)</f>
        <v>7.5077846831843919E-3</v>
      </c>
    </row>
    <row r="23" spans="1:12" ht="13" x14ac:dyDescent="0.3">
      <c r="H23" s="145"/>
      <c r="I23" s="144" t="s">
        <v>59</v>
      </c>
      <c r="J23" s="144" t="s">
        <v>60</v>
      </c>
      <c r="K23" s="144" t="s">
        <v>61</v>
      </c>
      <c r="L23" s="152" t="s">
        <v>451</v>
      </c>
    </row>
    <row r="24" spans="1:12" ht="13" x14ac:dyDescent="0.3">
      <c r="H24" s="145"/>
      <c r="I24" s="144"/>
      <c r="J24" s="144" t="s">
        <v>62</v>
      </c>
      <c r="K24" s="144">
        <f>SQRT(K21/(COUNT(K9:K20)-5))</f>
        <v>1.8322507626258098</v>
      </c>
      <c r="L24" s="152"/>
    </row>
    <row r="25" spans="1:12" ht="13" x14ac:dyDescent="0.3">
      <c r="A25" s="160" t="s">
        <v>53</v>
      </c>
      <c r="B25" s="160">
        <f>$B$22+$C$22*C25+$D$22*D25+$E$22*E25+$F$22*F25</f>
        <v>134.16666666666669</v>
      </c>
      <c r="C25" s="502">
        <v>13</v>
      </c>
      <c r="D25" s="502"/>
      <c r="E25" s="502"/>
      <c r="F25" s="502"/>
      <c r="H25" s="145"/>
      <c r="I25" s="144"/>
      <c r="J25" s="144"/>
      <c r="K25" s="144"/>
      <c r="L25" s="152"/>
    </row>
    <row r="26" spans="1:12" ht="13.5" thickBot="1" x14ac:dyDescent="0.35">
      <c r="H26" s="148"/>
      <c r="I26" s="149"/>
      <c r="J26" s="149" t="s">
        <v>69</v>
      </c>
      <c r="K26" s="149">
        <f>CORREL(B9:B20,H9:H20)</f>
        <v>0.99717708677340411</v>
      </c>
      <c r="L26" s="153"/>
    </row>
  </sheetData>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3"/>
  <sheetViews>
    <sheetView workbookViewId="0">
      <selection activeCell="B8" sqref="B8:B11"/>
    </sheetView>
  </sheetViews>
  <sheetFormatPr defaultColWidth="9.08984375" defaultRowHeight="12.5" x14ac:dyDescent="0.25"/>
  <cols>
    <col min="1" max="1" width="25.81640625" style="160" bestFit="1" customWidth="1"/>
    <col min="2" max="2" width="13.36328125" style="160" customWidth="1"/>
    <col min="3" max="16384" width="9.08984375" style="160"/>
  </cols>
  <sheetData>
    <row r="1" spans="1:8" ht="18" x14ac:dyDescent="0.4">
      <c r="A1" s="513" t="s">
        <v>6</v>
      </c>
    </row>
    <row r="3" spans="1:8" ht="15.5" x14ac:dyDescent="0.35">
      <c r="A3" s="500" t="s">
        <v>70</v>
      </c>
      <c r="B3" s="500" t="s">
        <v>71</v>
      </c>
      <c r="C3" s="500"/>
      <c r="D3" s="500"/>
      <c r="E3" s="500"/>
      <c r="F3" s="500"/>
      <c r="G3" s="500"/>
      <c r="H3" s="500"/>
    </row>
    <row r="4" spans="1:8" x14ac:dyDescent="0.25">
      <c r="A4" s="499"/>
      <c r="B4" s="499"/>
    </row>
    <row r="7" spans="1:8" ht="13.5" thickBot="1" x14ac:dyDescent="0.35">
      <c r="A7" s="501" t="s">
        <v>27</v>
      </c>
    </row>
    <row r="8" spans="1:8" x14ac:dyDescent="0.25">
      <c r="A8" s="503" t="s">
        <v>72</v>
      </c>
      <c r="B8" s="504">
        <v>1000</v>
      </c>
    </row>
    <row r="9" spans="1:8" x14ac:dyDescent="0.25">
      <c r="A9" s="505" t="s">
        <v>921</v>
      </c>
      <c r="B9" s="506">
        <v>10</v>
      </c>
    </row>
    <row r="10" spans="1:8" x14ac:dyDescent="0.25">
      <c r="A10" s="505" t="s">
        <v>73</v>
      </c>
      <c r="B10" s="506">
        <v>0.5</v>
      </c>
      <c r="C10" s="160" t="s">
        <v>74</v>
      </c>
    </row>
    <row r="11" spans="1:8" ht="13" thickBot="1" x14ac:dyDescent="0.3">
      <c r="A11" s="507" t="s">
        <v>75</v>
      </c>
      <c r="B11" s="508">
        <v>0</v>
      </c>
    </row>
    <row r="13" spans="1:8" ht="13.5" thickBot="1" x14ac:dyDescent="0.35">
      <c r="A13" s="509" t="s">
        <v>31</v>
      </c>
    </row>
    <row r="14" spans="1:8" ht="13" x14ac:dyDescent="0.3">
      <c r="A14" s="146" t="s">
        <v>76</v>
      </c>
      <c r="B14" s="167">
        <f>SQRT(2*B8*B9/B10)</f>
        <v>200</v>
      </c>
    </row>
    <row r="15" spans="1:8" ht="13" x14ac:dyDescent="0.3">
      <c r="A15" s="145" t="s">
        <v>77</v>
      </c>
      <c r="B15" s="152">
        <f>B14</f>
        <v>200</v>
      </c>
    </row>
    <row r="16" spans="1:8" ht="13" x14ac:dyDescent="0.3">
      <c r="A16" s="145" t="s">
        <v>78</v>
      </c>
      <c r="B16" s="152">
        <f>B14/2</f>
        <v>100</v>
      </c>
    </row>
    <row r="17" spans="1:2" ht="13" x14ac:dyDescent="0.3">
      <c r="A17" s="145" t="s">
        <v>922</v>
      </c>
      <c r="B17" s="152">
        <f>B8/B14</f>
        <v>5</v>
      </c>
    </row>
    <row r="18" spans="1:2" ht="13" x14ac:dyDescent="0.3">
      <c r="A18" s="145"/>
      <c r="B18" s="152"/>
    </row>
    <row r="19" spans="1:2" ht="13" x14ac:dyDescent="0.3">
      <c r="A19" s="145" t="s">
        <v>80</v>
      </c>
      <c r="B19" s="548">
        <f>B16*B10</f>
        <v>50</v>
      </c>
    </row>
    <row r="20" spans="1:2" ht="13" x14ac:dyDescent="0.3">
      <c r="A20" s="145" t="s">
        <v>923</v>
      </c>
      <c r="B20" s="548">
        <f>B17*B9</f>
        <v>50</v>
      </c>
    </row>
    <row r="21" spans="1:2" ht="13" x14ac:dyDescent="0.3">
      <c r="A21" s="145"/>
      <c r="B21" s="548"/>
    </row>
    <row r="22" spans="1:2" ht="13.5" thickBot="1" x14ac:dyDescent="0.35">
      <c r="A22" s="148" t="s">
        <v>82</v>
      </c>
      <c r="B22" s="549">
        <f>B11*B8</f>
        <v>0</v>
      </c>
    </row>
    <row r="23" spans="1:2" ht="15.5" x14ac:dyDescent="0.4">
      <c r="A23" s="160" t="s">
        <v>189</v>
      </c>
      <c r="B23" s="545">
        <f>B19+B20+B22</f>
        <v>100</v>
      </c>
    </row>
  </sheetData>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54"/>
  <sheetViews>
    <sheetView workbookViewId="0">
      <selection activeCell="B8" sqref="B8:B13"/>
    </sheetView>
  </sheetViews>
  <sheetFormatPr defaultColWidth="9.08984375" defaultRowHeight="12.5" x14ac:dyDescent="0.25"/>
  <cols>
    <col min="1" max="1" width="25.7265625" style="160" customWidth="1"/>
    <col min="2" max="16384" width="9.08984375" style="160"/>
  </cols>
  <sheetData>
    <row r="1" spans="1:8" ht="18" x14ac:dyDescent="0.4">
      <c r="A1" s="513" t="s">
        <v>7</v>
      </c>
    </row>
    <row r="3" spans="1:8" ht="15.5" x14ac:dyDescent="0.35">
      <c r="A3" s="500" t="s">
        <v>70</v>
      </c>
      <c r="B3" s="500" t="s">
        <v>88</v>
      </c>
      <c r="C3" s="500"/>
      <c r="D3" s="500"/>
      <c r="E3" s="500"/>
      <c r="F3" s="500"/>
      <c r="G3" s="500"/>
      <c r="H3" s="500"/>
    </row>
    <row r="4" spans="1:8" x14ac:dyDescent="0.25">
      <c r="A4" s="499"/>
      <c r="B4" s="499"/>
    </row>
    <row r="7" spans="1:8" ht="13.5" thickBot="1" x14ac:dyDescent="0.35">
      <c r="A7" s="501" t="s">
        <v>27</v>
      </c>
    </row>
    <row r="8" spans="1:8" x14ac:dyDescent="0.25">
      <c r="A8" s="503" t="s">
        <v>72</v>
      </c>
      <c r="B8" s="504">
        <v>10000</v>
      </c>
    </row>
    <row r="9" spans="1:8" x14ac:dyDescent="0.25">
      <c r="A9" s="505" t="s">
        <v>921</v>
      </c>
      <c r="B9" s="506">
        <v>100</v>
      </c>
    </row>
    <row r="10" spans="1:8" x14ac:dyDescent="0.25">
      <c r="A10" s="505" t="s">
        <v>73</v>
      </c>
      <c r="B10" s="506">
        <v>0.5</v>
      </c>
      <c r="C10" s="160" t="s">
        <v>74</v>
      </c>
    </row>
    <row r="11" spans="1:8" x14ac:dyDescent="0.25">
      <c r="A11" s="505" t="s">
        <v>89</v>
      </c>
      <c r="B11" s="506">
        <v>80</v>
      </c>
    </row>
    <row r="12" spans="1:8" x14ac:dyDescent="0.25">
      <c r="A12" s="505" t="s">
        <v>90</v>
      </c>
      <c r="B12" s="506">
        <v>60</v>
      </c>
    </row>
    <row r="13" spans="1:8" ht="13" thickBot="1" x14ac:dyDescent="0.3">
      <c r="A13" s="507" t="s">
        <v>91</v>
      </c>
      <c r="B13" s="508">
        <v>0</v>
      </c>
    </row>
    <row r="15" spans="1:8" ht="13.5" thickBot="1" x14ac:dyDescent="0.35">
      <c r="A15" s="509" t="s">
        <v>31</v>
      </c>
    </row>
    <row r="16" spans="1:8" ht="13" x14ac:dyDescent="0.3">
      <c r="A16" s="146" t="s">
        <v>92</v>
      </c>
      <c r="B16" s="167">
        <f>SQRT(2*B8*B9/B10)*SQRT(B11/(B11-B12))</f>
        <v>4000</v>
      </c>
    </row>
    <row r="17" spans="1:5" ht="13" x14ac:dyDescent="0.3">
      <c r="A17" s="145" t="s">
        <v>77</v>
      </c>
      <c r="B17" s="152">
        <f>B16*(B11-B12)/B11</f>
        <v>1000</v>
      </c>
    </row>
    <row r="18" spans="1:5" ht="13" x14ac:dyDescent="0.3">
      <c r="A18" s="145" t="s">
        <v>78</v>
      </c>
      <c r="B18" s="152">
        <f>B17/2</f>
        <v>500</v>
      </c>
    </row>
    <row r="19" spans="1:5" ht="13" x14ac:dyDescent="0.3">
      <c r="A19" s="145" t="s">
        <v>79</v>
      </c>
      <c r="B19" s="152">
        <f>B8/B16</f>
        <v>2.5</v>
      </c>
    </row>
    <row r="20" spans="1:5" ht="13" x14ac:dyDescent="0.3">
      <c r="A20" s="145"/>
      <c r="B20" s="152"/>
    </row>
    <row r="21" spans="1:5" ht="13" x14ac:dyDescent="0.3">
      <c r="A21" s="145" t="s">
        <v>80</v>
      </c>
      <c r="B21" s="152">
        <f>B18*B10</f>
        <v>250</v>
      </c>
    </row>
    <row r="22" spans="1:5" ht="13" x14ac:dyDescent="0.3">
      <c r="A22" s="145" t="s">
        <v>81</v>
      </c>
      <c r="B22" s="152">
        <f>B19*B9</f>
        <v>250</v>
      </c>
    </row>
    <row r="23" spans="1:5" ht="13" x14ac:dyDescent="0.3">
      <c r="A23" s="145"/>
      <c r="B23" s="152"/>
    </row>
    <row r="24" spans="1:5" ht="13" x14ac:dyDescent="0.3">
      <c r="A24" s="145" t="s">
        <v>82</v>
      </c>
      <c r="B24" s="152">
        <f>B13*B8</f>
        <v>0</v>
      </c>
    </row>
    <row r="25" spans="1:5" ht="13" x14ac:dyDescent="0.3">
      <c r="A25" s="145"/>
      <c r="B25" s="152"/>
    </row>
    <row r="26" spans="1:5" ht="15.5" thickBot="1" x14ac:dyDescent="0.45">
      <c r="A26" s="148" t="s">
        <v>924</v>
      </c>
      <c r="B26" s="153">
        <f>B21+B22+B24</f>
        <v>500</v>
      </c>
    </row>
    <row r="28" spans="1:5" x14ac:dyDescent="0.25">
      <c r="A28" s="160" t="s">
        <v>83</v>
      </c>
      <c r="B28" s="160" t="s">
        <v>84</v>
      </c>
      <c r="C28" s="502">
        <f>B16/4</f>
        <v>1000</v>
      </c>
      <c r="D28" s="160" t="s">
        <v>85</v>
      </c>
      <c r="E28" s="502">
        <f>B16/12</f>
        <v>333.33333333333331</v>
      </c>
    </row>
    <row r="30" spans="1:5" x14ac:dyDescent="0.25">
      <c r="B30" s="160" t="s">
        <v>86</v>
      </c>
      <c r="C30" s="160" t="s">
        <v>925</v>
      </c>
      <c r="D30" s="160" t="s">
        <v>80</v>
      </c>
      <c r="E30" s="160" t="s">
        <v>87</v>
      </c>
    </row>
    <row r="31" spans="1:5" x14ac:dyDescent="0.25">
      <c r="B31" s="160">
        <f>$B$16/4+A31*$B$16/12</f>
        <v>1000</v>
      </c>
      <c r="C31" s="160">
        <f>$B$8*$B$9/B31</f>
        <v>1000</v>
      </c>
      <c r="D31" s="160">
        <f>$B$10*(B31/2)*($B$11-$B$12)/$B$11</f>
        <v>62.5</v>
      </c>
      <c r="E31" s="160">
        <f>+C31+D31</f>
        <v>1062.5</v>
      </c>
    </row>
    <row r="32" spans="1:5" x14ac:dyDescent="0.25">
      <c r="B32" s="160">
        <f>B31+$E$28</f>
        <v>1333.3333333333333</v>
      </c>
      <c r="C32" s="160">
        <f t="shared" ref="C32:C54" si="0">$B$8*$B$9/B32</f>
        <v>750</v>
      </c>
      <c r="D32" s="160">
        <f t="shared" ref="D32:D54" si="1">$B$10*(B32/2)*($B$11-$B$12)/$B$11</f>
        <v>83.333333333333329</v>
      </c>
      <c r="E32" s="160">
        <f t="shared" ref="E32:E54" si="2">+C32+D32</f>
        <v>833.33333333333337</v>
      </c>
    </row>
    <row r="33" spans="2:5" x14ac:dyDescent="0.25">
      <c r="B33" s="160">
        <f t="shared" ref="B33:B54" si="3">B32+$E$28</f>
        <v>1666.6666666666665</v>
      </c>
      <c r="C33" s="160">
        <f t="shared" si="0"/>
        <v>600</v>
      </c>
      <c r="D33" s="160">
        <f t="shared" si="1"/>
        <v>104.16666666666666</v>
      </c>
      <c r="E33" s="160">
        <f t="shared" si="2"/>
        <v>704.16666666666663</v>
      </c>
    </row>
    <row r="34" spans="2:5" x14ac:dyDescent="0.25">
      <c r="B34" s="160">
        <f t="shared" si="3"/>
        <v>1999.9999999999998</v>
      </c>
      <c r="C34" s="160">
        <f t="shared" si="0"/>
        <v>500.00000000000006</v>
      </c>
      <c r="D34" s="160">
        <f t="shared" si="1"/>
        <v>124.99999999999997</v>
      </c>
      <c r="E34" s="160">
        <f t="shared" si="2"/>
        <v>625</v>
      </c>
    </row>
    <row r="35" spans="2:5" x14ac:dyDescent="0.25">
      <c r="B35" s="160">
        <f t="shared" si="3"/>
        <v>2333.333333333333</v>
      </c>
      <c r="C35" s="160">
        <f t="shared" si="0"/>
        <v>428.57142857142861</v>
      </c>
      <c r="D35" s="160">
        <f t="shared" si="1"/>
        <v>145.83333333333331</v>
      </c>
      <c r="E35" s="160">
        <f t="shared" si="2"/>
        <v>574.40476190476193</v>
      </c>
    </row>
    <row r="36" spans="2:5" x14ac:dyDescent="0.25">
      <c r="B36" s="160">
        <f t="shared" si="3"/>
        <v>2666.6666666666665</v>
      </c>
      <c r="C36" s="160">
        <f t="shared" si="0"/>
        <v>375</v>
      </c>
      <c r="D36" s="160">
        <f t="shared" si="1"/>
        <v>166.66666666666666</v>
      </c>
      <c r="E36" s="160">
        <f t="shared" si="2"/>
        <v>541.66666666666663</v>
      </c>
    </row>
    <row r="37" spans="2:5" x14ac:dyDescent="0.25">
      <c r="B37" s="160">
        <f t="shared" si="3"/>
        <v>3000</v>
      </c>
      <c r="C37" s="160">
        <f t="shared" si="0"/>
        <v>333.33333333333331</v>
      </c>
      <c r="D37" s="160">
        <f t="shared" si="1"/>
        <v>187.5</v>
      </c>
      <c r="E37" s="160">
        <f t="shared" si="2"/>
        <v>520.83333333333326</v>
      </c>
    </row>
    <row r="38" spans="2:5" x14ac:dyDescent="0.25">
      <c r="B38" s="160">
        <f t="shared" si="3"/>
        <v>3333.3333333333335</v>
      </c>
      <c r="C38" s="160">
        <f t="shared" si="0"/>
        <v>300</v>
      </c>
      <c r="D38" s="160">
        <f t="shared" si="1"/>
        <v>208.33333333333334</v>
      </c>
      <c r="E38" s="160">
        <f t="shared" si="2"/>
        <v>508.33333333333337</v>
      </c>
    </row>
    <row r="39" spans="2:5" x14ac:dyDescent="0.25">
      <c r="B39" s="160">
        <f t="shared" si="3"/>
        <v>3666.666666666667</v>
      </c>
      <c r="C39" s="160">
        <f t="shared" si="0"/>
        <v>272.72727272727269</v>
      </c>
      <c r="D39" s="160">
        <f t="shared" si="1"/>
        <v>229.16666666666669</v>
      </c>
      <c r="E39" s="160">
        <f t="shared" si="2"/>
        <v>501.89393939393938</v>
      </c>
    </row>
    <row r="40" spans="2:5" x14ac:dyDescent="0.25">
      <c r="B40" s="160">
        <f t="shared" si="3"/>
        <v>4000.0000000000005</v>
      </c>
      <c r="C40" s="160">
        <f t="shared" si="0"/>
        <v>249.99999999999997</v>
      </c>
      <c r="D40" s="160">
        <f t="shared" si="1"/>
        <v>250.00000000000006</v>
      </c>
      <c r="E40" s="160">
        <f t="shared" si="2"/>
        <v>500</v>
      </c>
    </row>
    <row r="41" spans="2:5" x14ac:dyDescent="0.25">
      <c r="B41" s="160">
        <f t="shared" si="3"/>
        <v>4333.3333333333339</v>
      </c>
      <c r="C41" s="160">
        <f t="shared" si="0"/>
        <v>230.76923076923075</v>
      </c>
      <c r="D41" s="160">
        <f t="shared" si="1"/>
        <v>270.83333333333337</v>
      </c>
      <c r="E41" s="160">
        <f t="shared" si="2"/>
        <v>501.60256410256409</v>
      </c>
    </row>
    <row r="42" spans="2:5" x14ac:dyDescent="0.25">
      <c r="B42" s="160">
        <f t="shared" si="3"/>
        <v>4666.666666666667</v>
      </c>
      <c r="C42" s="160">
        <f t="shared" si="0"/>
        <v>214.28571428571428</v>
      </c>
      <c r="D42" s="160">
        <f t="shared" si="1"/>
        <v>291.66666666666669</v>
      </c>
      <c r="E42" s="160">
        <f t="shared" si="2"/>
        <v>505.95238095238096</v>
      </c>
    </row>
    <row r="43" spans="2:5" x14ac:dyDescent="0.25">
      <c r="B43" s="160">
        <f t="shared" si="3"/>
        <v>5000</v>
      </c>
      <c r="C43" s="160">
        <f t="shared" si="0"/>
        <v>200</v>
      </c>
      <c r="D43" s="160">
        <f t="shared" si="1"/>
        <v>312.5</v>
      </c>
      <c r="E43" s="160">
        <f t="shared" si="2"/>
        <v>512.5</v>
      </c>
    </row>
    <row r="44" spans="2:5" x14ac:dyDescent="0.25">
      <c r="B44" s="160">
        <f t="shared" si="3"/>
        <v>5333.333333333333</v>
      </c>
      <c r="C44" s="160">
        <f t="shared" si="0"/>
        <v>187.5</v>
      </c>
      <c r="D44" s="160">
        <f t="shared" si="1"/>
        <v>333.33333333333331</v>
      </c>
      <c r="E44" s="160">
        <f t="shared" si="2"/>
        <v>520.83333333333326</v>
      </c>
    </row>
    <row r="45" spans="2:5" x14ac:dyDescent="0.25">
      <c r="B45" s="160">
        <f t="shared" si="3"/>
        <v>5666.6666666666661</v>
      </c>
      <c r="C45" s="160">
        <f t="shared" si="0"/>
        <v>176.47058823529414</v>
      </c>
      <c r="D45" s="160">
        <f t="shared" si="1"/>
        <v>354.16666666666663</v>
      </c>
      <c r="E45" s="160">
        <f t="shared" si="2"/>
        <v>530.63725490196077</v>
      </c>
    </row>
    <row r="46" spans="2:5" x14ac:dyDescent="0.25">
      <c r="B46" s="160">
        <f t="shared" si="3"/>
        <v>5999.9999999999991</v>
      </c>
      <c r="C46" s="160">
        <f t="shared" si="0"/>
        <v>166.66666666666669</v>
      </c>
      <c r="D46" s="160">
        <f t="shared" si="1"/>
        <v>374.99999999999994</v>
      </c>
      <c r="E46" s="160">
        <f t="shared" si="2"/>
        <v>541.66666666666663</v>
      </c>
    </row>
    <row r="47" spans="2:5" x14ac:dyDescent="0.25">
      <c r="B47" s="160">
        <f t="shared" si="3"/>
        <v>6333.3333333333321</v>
      </c>
      <c r="C47" s="160">
        <f t="shared" si="0"/>
        <v>157.89473684210529</v>
      </c>
      <c r="D47" s="160">
        <f t="shared" si="1"/>
        <v>395.83333333333326</v>
      </c>
      <c r="E47" s="160">
        <f t="shared" si="2"/>
        <v>553.72807017543857</v>
      </c>
    </row>
    <row r="48" spans="2:5" x14ac:dyDescent="0.25">
      <c r="B48" s="160">
        <f t="shared" si="3"/>
        <v>6666.6666666666652</v>
      </c>
      <c r="C48" s="160">
        <f t="shared" si="0"/>
        <v>150.00000000000003</v>
      </c>
      <c r="D48" s="160">
        <f t="shared" si="1"/>
        <v>416.66666666666663</v>
      </c>
      <c r="E48" s="160">
        <f t="shared" si="2"/>
        <v>566.66666666666663</v>
      </c>
    </row>
    <row r="49" spans="2:5" x14ac:dyDescent="0.25">
      <c r="B49" s="160">
        <f t="shared" si="3"/>
        <v>6999.9999999999982</v>
      </c>
      <c r="C49" s="160">
        <f t="shared" si="0"/>
        <v>142.85714285714289</v>
      </c>
      <c r="D49" s="160">
        <f t="shared" si="1"/>
        <v>437.49999999999989</v>
      </c>
      <c r="E49" s="160">
        <f t="shared" si="2"/>
        <v>580.35714285714278</v>
      </c>
    </row>
    <row r="50" spans="2:5" x14ac:dyDescent="0.25">
      <c r="B50" s="160">
        <f t="shared" si="3"/>
        <v>7333.3333333333312</v>
      </c>
      <c r="C50" s="160">
        <f t="shared" si="0"/>
        <v>136.3636363636364</v>
      </c>
      <c r="D50" s="160">
        <f t="shared" si="1"/>
        <v>458.3333333333332</v>
      </c>
      <c r="E50" s="160">
        <f t="shared" si="2"/>
        <v>594.69696969696963</v>
      </c>
    </row>
    <row r="51" spans="2:5" x14ac:dyDescent="0.25">
      <c r="B51" s="160">
        <f t="shared" si="3"/>
        <v>7666.6666666666642</v>
      </c>
      <c r="C51" s="160">
        <f t="shared" si="0"/>
        <v>130.43478260869568</v>
      </c>
      <c r="D51" s="160">
        <f t="shared" si="1"/>
        <v>479.16666666666652</v>
      </c>
      <c r="E51" s="160">
        <f t="shared" si="2"/>
        <v>609.60144927536226</v>
      </c>
    </row>
    <row r="52" spans="2:5" x14ac:dyDescent="0.25">
      <c r="B52" s="160">
        <f t="shared" si="3"/>
        <v>7999.9999999999973</v>
      </c>
      <c r="C52" s="160">
        <f t="shared" si="0"/>
        <v>125.00000000000004</v>
      </c>
      <c r="D52" s="160">
        <f t="shared" si="1"/>
        <v>499.99999999999983</v>
      </c>
      <c r="E52" s="160">
        <f t="shared" si="2"/>
        <v>624.99999999999989</v>
      </c>
    </row>
    <row r="53" spans="2:5" x14ac:dyDescent="0.25">
      <c r="B53" s="160">
        <f t="shared" si="3"/>
        <v>8333.3333333333303</v>
      </c>
      <c r="C53" s="160">
        <f t="shared" si="0"/>
        <v>120.00000000000004</v>
      </c>
      <c r="D53" s="160">
        <f t="shared" si="1"/>
        <v>520.83333333333314</v>
      </c>
      <c r="E53" s="160">
        <f t="shared" si="2"/>
        <v>640.83333333333314</v>
      </c>
    </row>
    <row r="54" spans="2:5" x14ac:dyDescent="0.25">
      <c r="B54" s="160">
        <f t="shared" si="3"/>
        <v>8666.6666666666642</v>
      </c>
      <c r="C54" s="160">
        <f t="shared" si="0"/>
        <v>115.38461538461542</v>
      </c>
      <c r="D54" s="160">
        <f t="shared" si="1"/>
        <v>541.66666666666652</v>
      </c>
      <c r="E54" s="160">
        <f t="shared" si="2"/>
        <v>657.05128205128199</v>
      </c>
    </row>
  </sheetData>
  <pageMargins left="0.7" right="0.7" top="0.75" bottom="0.75" header="0.3" footer="0.3"/>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6"/>
  <sheetViews>
    <sheetView workbookViewId="0">
      <selection activeCell="B8" sqref="B8:B10"/>
    </sheetView>
  </sheetViews>
  <sheetFormatPr defaultColWidth="9.08984375" defaultRowHeight="12.5" x14ac:dyDescent="0.25"/>
  <cols>
    <col min="1" max="1" width="23.6328125" style="160" bestFit="1" customWidth="1"/>
    <col min="2" max="6" width="13.36328125" style="160" customWidth="1"/>
    <col min="7" max="16384" width="9.08984375" style="160"/>
  </cols>
  <sheetData>
    <row r="1" spans="1:8" ht="18" x14ac:dyDescent="0.4">
      <c r="A1" s="513" t="s">
        <v>8</v>
      </c>
    </row>
    <row r="3" spans="1:8" ht="15.5" x14ac:dyDescent="0.35">
      <c r="A3" s="500" t="s">
        <v>70</v>
      </c>
      <c r="B3" s="500" t="s">
        <v>93</v>
      </c>
      <c r="C3" s="500"/>
      <c r="D3" s="500"/>
      <c r="E3" s="500"/>
      <c r="F3" s="500"/>
      <c r="G3" s="500"/>
      <c r="H3" s="500"/>
    </row>
    <row r="4" spans="1:8" x14ac:dyDescent="0.25">
      <c r="A4" s="499"/>
      <c r="B4" s="499"/>
    </row>
    <row r="7" spans="1:8" ht="13.5" thickBot="1" x14ac:dyDescent="0.35">
      <c r="A7" s="501" t="s">
        <v>27</v>
      </c>
    </row>
    <row r="8" spans="1:8" x14ac:dyDescent="0.25">
      <c r="A8" s="503" t="s">
        <v>72</v>
      </c>
      <c r="B8" s="514">
        <v>5000</v>
      </c>
      <c r="C8" s="538"/>
      <c r="D8" s="539"/>
    </row>
    <row r="9" spans="1:8" x14ac:dyDescent="0.25">
      <c r="A9" s="505" t="s">
        <v>926</v>
      </c>
      <c r="B9" s="502">
        <v>49</v>
      </c>
      <c r="D9" s="515"/>
    </row>
    <row r="10" spans="1:8" x14ac:dyDescent="0.25">
      <c r="A10" s="505" t="s">
        <v>94</v>
      </c>
      <c r="B10" s="550">
        <v>0.2</v>
      </c>
      <c r="C10" s="160" t="s">
        <v>927</v>
      </c>
      <c r="D10" s="515"/>
    </row>
    <row r="11" spans="1:8" x14ac:dyDescent="0.25">
      <c r="A11" s="505"/>
      <c r="D11" s="515"/>
    </row>
    <row r="12" spans="1:8" x14ac:dyDescent="0.25">
      <c r="A12" s="505"/>
      <c r="B12" s="160" t="s">
        <v>95</v>
      </c>
      <c r="C12" s="160" t="s">
        <v>96</v>
      </c>
      <c r="D12" s="515" t="s">
        <v>97</v>
      </c>
    </row>
    <row r="13" spans="1:8" x14ac:dyDescent="0.25">
      <c r="A13" s="505" t="s">
        <v>98</v>
      </c>
      <c r="B13" s="502">
        <v>0</v>
      </c>
      <c r="C13" s="502">
        <v>1000</v>
      </c>
      <c r="D13" s="506">
        <v>2000</v>
      </c>
    </row>
    <row r="14" spans="1:8" ht="13" thickBot="1" x14ac:dyDescent="0.3">
      <c r="A14" s="507" t="s">
        <v>75</v>
      </c>
      <c r="B14" s="526">
        <v>5</v>
      </c>
      <c r="C14" s="526">
        <v>4.8</v>
      </c>
      <c r="D14" s="508">
        <v>4.75</v>
      </c>
    </row>
    <row r="16" spans="1:8" ht="13.5" thickBot="1" x14ac:dyDescent="0.35">
      <c r="A16" s="509" t="s">
        <v>31</v>
      </c>
    </row>
    <row r="17" spans="1:4" ht="13" x14ac:dyDescent="0.3">
      <c r="A17" s="146"/>
      <c r="B17" s="147" t="str">
        <f>B12</f>
        <v>Range 1</v>
      </c>
      <c r="C17" s="147" t="str">
        <f t="shared" ref="C17:D17" si="0">C12</f>
        <v>Range 2</v>
      </c>
      <c r="D17" s="167" t="str">
        <f t="shared" si="0"/>
        <v>Range 3</v>
      </c>
    </row>
    <row r="18" spans="1:4" ht="13" x14ac:dyDescent="0.3">
      <c r="A18" s="145" t="s">
        <v>99</v>
      </c>
      <c r="B18" s="144">
        <f>SQRT(2*$B$8*$B$9/($B$10*B14))</f>
        <v>700</v>
      </c>
      <c r="C18" s="144">
        <f t="shared" ref="C18:D18" si="1">SQRT(2*$B$8*$B$9/($B$10*C14))</f>
        <v>714.43450831176028</v>
      </c>
      <c r="D18" s="152">
        <f t="shared" si="1"/>
        <v>718.1848464596078</v>
      </c>
    </row>
    <row r="19" spans="1:4" ht="13" x14ac:dyDescent="0.3">
      <c r="A19" s="145" t="s">
        <v>100</v>
      </c>
      <c r="B19" s="144">
        <f>IF(B18&gt;=C13,"NA",IF(B18&gt;=B13,B18,B13))</f>
        <v>700</v>
      </c>
      <c r="C19" s="144">
        <f t="shared" ref="C19" si="2">IF(C18&gt;=D13,"NA",IF(C18&gt;=C13,C18,C13))</f>
        <v>1000</v>
      </c>
      <c r="D19" s="152">
        <f t="shared" ref="D19" si="3">IF(D18&gt;=D13,D18,D13)</f>
        <v>2000</v>
      </c>
    </row>
    <row r="20" spans="1:4" ht="13" x14ac:dyDescent="0.3">
      <c r="A20" s="145"/>
      <c r="B20" s="144"/>
      <c r="C20" s="144"/>
      <c r="D20" s="152"/>
    </row>
    <row r="21" spans="1:4" ht="13" x14ac:dyDescent="0.3">
      <c r="A21" s="145" t="s">
        <v>80</v>
      </c>
      <c r="B21" s="546">
        <f>IF(B19="NA","NA",B19*$B$10*B14/2)</f>
        <v>350</v>
      </c>
      <c r="C21" s="546">
        <f t="shared" ref="C21:D21" si="4">IF(C19="NA","NA",C19*$B$10*C14/2)</f>
        <v>480</v>
      </c>
      <c r="D21" s="548">
        <f t="shared" si="4"/>
        <v>950</v>
      </c>
    </row>
    <row r="22" spans="1:4" ht="13" x14ac:dyDescent="0.3">
      <c r="A22" s="145" t="s">
        <v>923</v>
      </c>
      <c r="B22" s="546">
        <f>IF(B19="NA","NA",$B$9*$B$8/B19)</f>
        <v>350</v>
      </c>
      <c r="C22" s="546">
        <f t="shared" ref="C22:D22" si="5">IF(C19="NA","NA",$B$9*$B$8/C19)</f>
        <v>245</v>
      </c>
      <c r="D22" s="548">
        <f t="shared" si="5"/>
        <v>122.5</v>
      </c>
    </row>
    <row r="23" spans="1:4" ht="13" x14ac:dyDescent="0.3">
      <c r="A23" s="145"/>
      <c r="B23" s="546"/>
      <c r="C23" s="546"/>
      <c r="D23" s="548"/>
    </row>
    <row r="24" spans="1:4" ht="13" x14ac:dyDescent="0.3">
      <c r="A24" s="145" t="s">
        <v>82</v>
      </c>
      <c r="B24" s="546">
        <f>IF(B19="NA","NA",B14*$B$8)</f>
        <v>25000</v>
      </c>
      <c r="C24" s="546">
        <f t="shared" ref="C24:D24" si="6">IF(C19="NA","NA",C14*$B$8)</f>
        <v>24000</v>
      </c>
      <c r="D24" s="548">
        <f t="shared" si="6"/>
        <v>23750</v>
      </c>
    </row>
    <row r="25" spans="1:4" ht="13" x14ac:dyDescent="0.3">
      <c r="A25" s="145"/>
      <c r="B25" s="546"/>
      <c r="C25" s="546"/>
      <c r="D25" s="548"/>
    </row>
    <row r="26" spans="1:4" ht="15.5" thickBot="1" x14ac:dyDescent="0.45">
      <c r="A26" s="148" t="s">
        <v>924</v>
      </c>
      <c r="B26" s="547">
        <f>IF(B19="NA","NA",B21+B22+B24)</f>
        <v>25700</v>
      </c>
      <c r="C26" s="547">
        <f t="shared" ref="C26:D26" si="7">IF(C19="NA","NA",C21+C22+C24)</f>
        <v>24725</v>
      </c>
      <c r="D26" s="549">
        <f t="shared" si="7"/>
        <v>24822.5</v>
      </c>
    </row>
  </sheetData>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2">
    <pageSetUpPr fitToPage="1"/>
  </sheetPr>
  <dimension ref="A1:H36"/>
  <sheetViews>
    <sheetView zoomScale="92" workbookViewId="0">
      <selection activeCell="I21" sqref="I21"/>
    </sheetView>
  </sheetViews>
  <sheetFormatPr defaultColWidth="8.81640625" defaultRowHeight="13" x14ac:dyDescent="0.3"/>
  <cols>
    <col min="1" max="1" width="53" style="551" bestFit="1" customWidth="1"/>
    <col min="2" max="2" width="13.7265625" style="551" customWidth="1"/>
    <col min="3" max="3" width="8.7265625" style="551" customWidth="1"/>
    <col min="4" max="4" width="2" style="551" customWidth="1"/>
    <col min="5" max="6" width="8.81640625" style="551" hidden="1" customWidth="1"/>
    <col min="7" max="7" width="48.36328125" style="551" customWidth="1"/>
    <col min="8" max="9" width="8.81640625" style="551"/>
    <col min="10" max="10" width="12.36328125" style="551" customWidth="1"/>
    <col min="11" max="16384" width="8.81640625" style="551"/>
  </cols>
  <sheetData>
    <row r="1" spans="1:8" ht="18.5" x14ac:dyDescent="0.45">
      <c r="A1" s="577" t="s">
        <v>532</v>
      </c>
    </row>
    <row r="3" spans="1:8" x14ac:dyDescent="0.3">
      <c r="A3" s="575" t="s">
        <v>70</v>
      </c>
      <c r="B3" s="811" t="s">
        <v>514</v>
      </c>
      <c r="C3" s="811"/>
      <c r="D3" s="811"/>
      <c r="E3" s="811"/>
      <c r="F3" s="811"/>
      <c r="G3" s="811"/>
      <c r="H3" s="576"/>
    </row>
    <row r="4" spans="1:8" x14ac:dyDescent="0.3">
      <c r="A4" s="552"/>
      <c r="B4" s="552"/>
      <c r="D4" s="553"/>
    </row>
    <row r="5" spans="1:8" x14ac:dyDescent="0.3">
      <c r="D5" s="553"/>
    </row>
    <row r="6" spans="1:8" x14ac:dyDescent="0.3">
      <c r="A6" s="554" t="s">
        <v>515</v>
      </c>
      <c r="D6" s="553"/>
      <c r="G6" s="554" t="s">
        <v>516</v>
      </c>
    </row>
    <row r="7" spans="1:8" x14ac:dyDescent="0.3">
      <c r="D7" s="553"/>
    </row>
    <row r="8" spans="1:8" ht="13.5" thickBot="1" x14ac:dyDescent="0.35">
      <c r="A8" s="555" t="s">
        <v>27</v>
      </c>
      <c r="D8" s="553"/>
      <c r="G8" s="555" t="s">
        <v>27</v>
      </c>
    </row>
    <row r="9" spans="1:8" x14ac:dyDescent="0.3">
      <c r="A9" s="556" t="s">
        <v>517</v>
      </c>
      <c r="B9" s="562">
        <v>350</v>
      </c>
      <c r="D9" s="553"/>
      <c r="G9" s="556" t="s">
        <v>518</v>
      </c>
      <c r="H9" s="562">
        <v>15</v>
      </c>
    </row>
    <row r="10" spans="1:8" ht="15" x14ac:dyDescent="0.4">
      <c r="A10" s="557" t="s">
        <v>928</v>
      </c>
      <c r="B10" s="562">
        <v>10</v>
      </c>
      <c r="D10" s="553"/>
      <c r="G10" s="557" t="s">
        <v>929</v>
      </c>
      <c r="H10" s="562">
        <v>3</v>
      </c>
    </row>
    <row r="11" spans="1:8" ht="13.5" thickBot="1" x14ac:dyDescent="0.35">
      <c r="A11" s="558" t="s">
        <v>519</v>
      </c>
      <c r="B11" s="563">
        <v>0.95</v>
      </c>
      <c r="D11" s="553"/>
      <c r="G11" s="557" t="s">
        <v>520</v>
      </c>
      <c r="H11" s="562">
        <v>4</v>
      </c>
    </row>
    <row r="12" spans="1:8" ht="13.5" thickBot="1" x14ac:dyDescent="0.35">
      <c r="D12" s="553"/>
      <c r="G12" s="558" t="s">
        <v>519</v>
      </c>
      <c r="H12" s="563">
        <v>0.97</v>
      </c>
    </row>
    <row r="13" spans="1:8" x14ac:dyDescent="0.3">
      <c r="D13" s="553"/>
    </row>
    <row r="14" spans="1:8" ht="13.5" thickBot="1" x14ac:dyDescent="0.35">
      <c r="A14" s="559" t="s">
        <v>31</v>
      </c>
      <c r="D14" s="553"/>
      <c r="G14" s="559" t="s">
        <v>31</v>
      </c>
    </row>
    <row r="15" spans="1:8" x14ac:dyDescent="0.3">
      <c r="A15" s="564" t="s">
        <v>521</v>
      </c>
      <c r="B15" s="566">
        <f>NORMSINV(B11)</f>
        <v>1.6448536269514715</v>
      </c>
      <c r="D15" s="553"/>
      <c r="G15" s="568" t="s">
        <v>521</v>
      </c>
      <c r="H15" s="566">
        <f>NORMSINV(H12)</f>
        <v>1.8807936081512504</v>
      </c>
    </row>
    <row r="16" spans="1:8" ht="13.5" thickBot="1" x14ac:dyDescent="0.35">
      <c r="A16" s="565" t="s">
        <v>522</v>
      </c>
      <c r="B16" s="567">
        <f>B15*B10</f>
        <v>16.448536269514715</v>
      </c>
      <c r="D16" s="553"/>
      <c r="G16" s="569" t="s">
        <v>523</v>
      </c>
      <c r="H16" s="572">
        <f>H9*H11</f>
        <v>60</v>
      </c>
    </row>
    <row r="17" spans="1:8" ht="15" x14ac:dyDescent="0.4">
      <c r="A17" s="559"/>
      <c r="B17" s="559"/>
      <c r="D17" s="553"/>
      <c r="G17" s="569" t="s">
        <v>930</v>
      </c>
      <c r="H17" s="573">
        <f>H10*SQRT(H11)</f>
        <v>6</v>
      </c>
    </row>
    <row r="18" spans="1:8" x14ac:dyDescent="0.3">
      <c r="D18" s="553"/>
      <c r="G18" s="569" t="s">
        <v>522</v>
      </c>
      <c r="H18" s="573">
        <f>H15*H17</f>
        <v>11.284761648907502</v>
      </c>
    </row>
    <row r="19" spans="1:8" ht="13.5" thickBot="1" x14ac:dyDescent="0.35">
      <c r="D19" s="553"/>
      <c r="G19" s="570" t="s">
        <v>524</v>
      </c>
      <c r="H19" s="567">
        <f>H18+H16</f>
        <v>71.284761648907505</v>
      </c>
    </row>
    <row r="20" spans="1:8" x14ac:dyDescent="0.3">
      <c r="D20" s="553"/>
    </row>
    <row r="21" spans="1:8" s="553" customFormat="1" x14ac:dyDescent="0.3"/>
    <row r="22" spans="1:8" x14ac:dyDescent="0.3">
      <c r="A22" s="554" t="s">
        <v>525</v>
      </c>
    </row>
    <row r="24" spans="1:8" x14ac:dyDescent="0.3">
      <c r="A24" s="555" t="s">
        <v>27</v>
      </c>
    </row>
    <row r="25" spans="1:8" x14ac:dyDescent="0.3">
      <c r="A25" s="560" t="s">
        <v>526</v>
      </c>
      <c r="B25" s="562">
        <v>25</v>
      </c>
    </row>
    <row r="26" spans="1:8" x14ac:dyDescent="0.3">
      <c r="A26" s="560" t="s">
        <v>527</v>
      </c>
      <c r="B26" s="562">
        <v>0</v>
      </c>
      <c r="C26" s="812" t="s">
        <v>528</v>
      </c>
      <c r="D26" s="813"/>
      <c r="E26" s="813"/>
      <c r="F26" s="813"/>
      <c r="G26" s="813"/>
    </row>
    <row r="27" spans="1:8" x14ac:dyDescent="0.3">
      <c r="A27" s="560" t="s">
        <v>529</v>
      </c>
      <c r="B27" s="562">
        <v>6</v>
      </c>
    </row>
    <row r="28" spans="1:8" ht="15" x14ac:dyDescent="0.4">
      <c r="A28" s="560" t="s">
        <v>931</v>
      </c>
      <c r="B28" s="562">
        <v>3</v>
      </c>
      <c r="C28" s="812" t="s">
        <v>530</v>
      </c>
      <c r="D28" s="813"/>
      <c r="E28" s="813"/>
      <c r="F28" s="813"/>
      <c r="G28" s="813"/>
    </row>
    <row r="29" spans="1:8" ht="13.5" thickBot="1" x14ac:dyDescent="0.35">
      <c r="A29" s="558" t="s">
        <v>519</v>
      </c>
      <c r="B29" s="563">
        <v>0.98</v>
      </c>
    </row>
    <row r="31" spans="1:8" ht="13.5" thickBot="1" x14ac:dyDescent="0.35">
      <c r="A31" s="559" t="s">
        <v>31</v>
      </c>
    </row>
    <row r="32" spans="1:8" x14ac:dyDescent="0.3">
      <c r="A32" s="564" t="s">
        <v>521</v>
      </c>
      <c r="B32" s="566">
        <f>NORMSINV(B29)</f>
        <v>2.0537489106318221</v>
      </c>
    </row>
    <row r="33" spans="1:2" x14ac:dyDescent="0.3">
      <c r="A33" s="574" t="s">
        <v>523</v>
      </c>
      <c r="B33" s="572">
        <f>B27*B25</f>
        <v>150</v>
      </c>
    </row>
    <row r="34" spans="1:2" ht="15" x14ac:dyDescent="0.4">
      <c r="A34" s="561" t="s">
        <v>930</v>
      </c>
      <c r="B34" s="573">
        <f>SQRT(B27*B26^2+B25^2*B28^2)</f>
        <v>75</v>
      </c>
    </row>
    <row r="35" spans="1:2" x14ac:dyDescent="0.3">
      <c r="A35" s="574" t="s">
        <v>522</v>
      </c>
      <c r="B35" s="573">
        <f>B34*B32</f>
        <v>154.03116829738664</v>
      </c>
    </row>
    <row r="36" spans="1:2" ht="13.5" thickBot="1" x14ac:dyDescent="0.35">
      <c r="A36" s="570" t="s">
        <v>531</v>
      </c>
      <c r="B36" s="567">
        <f>B33+B35</f>
        <v>304.03116829738667</v>
      </c>
    </row>
  </sheetData>
  <mergeCells count="3">
    <mergeCell ref="B3:G3"/>
    <mergeCell ref="C26:G26"/>
    <mergeCell ref="C28:G28"/>
  </mergeCells>
  <pageMargins left="0.75" right="0.75" top="1" bottom="1" header="0.5" footer="0.5"/>
  <pageSetup scale="89" orientation="landscape"/>
  <headerFooter alignWithMargins="0">
    <oddHeader>&amp;A</oddHeader>
    <oddFooter>&amp;F</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
  <sheetViews>
    <sheetView workbookViewId="0">
      <selection activeCell="F8" sqref="F8:F9"/>
    </sheetView>
  </sheetViews>
  <sheetFormatPr defaultColWidth="9.08984375" defaultRowHeight="15.5" x14ac:dyDescent="0.35"/>
  <cols>
    <col min="1" max="1" width="20" style="216" bestFit="1" customWidth="1"/>
    <col min="2" max="3" width="12" style="215" customWidth="1"/>
    <col min="4" max="4" width="13.6328125" style="215" customWidth="1"/>
    <col min="5" max="5" width="5.81640625" style="215" customWidth="1"/>
    <col min="6" max="6" width="6.81640625" style="215" customWidth="1"/>
    <col min="7" max="16384" width="9.08984375" style="216"/>
  </cols>
  <sheetData>
    <row r="1" spans="1:6" ht="18.5" x14ac:dyDescent="0.45">
      <c r="A1" s="214" t="s">
        <v>9</v>
      </c>
    </row>
    <row r="3" spans="1:6" ht="16" thickBot="1" x14ac:dyDescent="0.4">
      <c r="A3" s="216" t="s">
        <v>441</v>
      </c>
      <c r="B3" s="215" t="s">
        <v>533</v>
      </c>
      <c r="C3" s="215" t="s">
        <v>534</v>
      </c>
      <c r="D3" s="216"/>
    </row>
    <row r="4" spans="1:6" ht="16" thickBot="1" x14ac:dyDescent="0.4">
      <c r="A4" s="216" t="s">
        <v>535</v>
      </c>
      <c r="B4" s="217">
        <v>30</v>
      </c>
      <c r="C4" s="218">
        <v>40</v>
      </c>
      <c r="D4" s="215" t="s">
        <v>38</v>
      </c>
    </row>
    <row r="5" spans="1:6" ht="16" thickBot="1" x14ac:dyDescent="0.4">
      <c r="A5" s="216" t="s">
        <v>536</v>
      </c>
      <c r="B5" s="219">
        <v>70</v>
      </c>
      <c r="C5" s="220">
        <v>50</v>
      </c>
      <c r="D5" s="221">
        <f>SUMPRODUCT($B$4:$C$4,B5:C5)</f>
        <v>4100</v>
      </c>
    </row>
    <row r="7" spans="1:6" ht="16" thickBot="1" x14ac:dyDescent="0.4">
      <c r="A7" s="216" t="s">
        <v>537</v>
      </c>
      <c r="D7" s="215" t="s">
        <v>538</v>
      </c>
      <c r="F7" s="215" t="s">
        <v>446</v>
      </c>
    </row>
    <row r="8" spans="1:6" x14ac:dyDescent="0.35">
      <c r="A8" s="216" t="s">
        <v>102</v>
      </c>
      <c r="B8" s="222">
        <v>4</v>
      </c>
      <c r="C8" s="223">
        <v>3</v>
      </c>
      <c r="D8" s="221">
        <f>SUMPRODUCT($B$4:$C$4,B8:C8)</f>
        <v>240</v>
      </c>
      <c r="E8" s="215" t="s">
        <v>126</v>
      </c>
      <c r="F8" s="224">
        <v>240</v>
      </c>
    </row>
    <row r="9" spans="1:6" ht="16" thickBot="1" x14ac:dyDescent="0.4">
      <c r="A9" s="216" t="s">
        <v>103</v>
      </c>
      <c r="B9" s="225">
        <v>2</v>
      </c>
      <c r="C9" s="226">
        <v>1</v>
      </c>
      <c r="D9" s="221">
        <f>SUMPRODUCT($B$4:$C$4,B9:C9)</f>
        <v>100</v>
      </c>
      <c r="E9" s="215" t="s">
        <v>126</v>
      </c>
      <c r="F9" s="227">
        <v>100</v>
      </c>
    </row>
    <row r="12" spans="1:6" x14ac:dyDescent="0.35">
      <c r="B12" s="216"/>
      <c r="C12" s="21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dimension ref="A1:M18"/>
  <sheetViews>
    <sheetView workbookViewId="0">
      <selection activeCell="E13" sqref="E13:E14"/>
    </sheetView>
  </sheetViews>
  <sheetFormatPr defaultColWidth="8.81640625" defaultRowHeight="13" x14ac:dyDescent="0.3"/>
  <cols>
    <col min="1" max="1" width="72.7265625" style="551" customWidth="1"/>
    <col min="2" max="5" width="8.81640625" style="551"/>
    <col min="6" max="6" width="8.81640625" style="551" customWidth="1"/>
    <col min="7" max="7" width="8.81640625" style="551"/>
    <col min="8" max="9" width="8.81640625" style="551" customWidth="1"/>
    <col min="10" max="16384" width="8.81640625" style="551"/>
  </cols>
  <sheetData>
    <row r="1" spans="1:13" ht="18.5" x14ac:dyDescent="0.45">
      <c r="A1" s="577" t="s">
        <v>9</v>
      </c>
    </row>
    <row r="3" spans="1:13" ht="15.5" x14ac:dyDescent="0.35">
      <c r="A3" s="611" t="s">
        <v>932</v>
      </c>
      <c r="B3" s="586"/>
      <c r="C3" s="586"/>
      <c r="D3" s="586"/>
      <c r="E3" s="586"/>
      <c r="F3" s="586"/>
      <c r="G3" s="586"/>
      <c r="H3" s="586"/>
    </row>
    <row r="4" spans="1:13" x14ac:dyDescent="0.3">
      <c r="A4" s="587"/>
      <c r="B4" s="587"/>
    </row>
    <row r="5" spans="1:13" x14ac:dyDescent="0.3">
      <c r="A5" s="551" t="s">
        <v>544</v>
      </c>
    </row>
    <row r="6" spans="1:13" x14ac:dyDescent="0.3">
      <c r="B6" s="578" t="s">
        <v>126</v>
      </c>
      <c r="C6" s="551" t="s">
        <v>545</v>
      </c>
    </row>
    <row r="7" spans="1:13" x14ac:dyDescent="0.3">
      <c r="B7" s="579" t="s">
        <v>101</v>
      </c>
      <c r="C7" s="551" t="s">
        <v>546</v>
      </c>
    </row>
    <row r="8" spans="1:13" x14ac:dyDescent="0.3">
      <c r="B8" s="578" t="s">
        <v>149</v>
      </c>
      <c r="C8" s="551" t="s">
        <v>547</v>
      </c>
    </row>
    <row r="10" spans="1:13" ht="13.5" thickBot="1" x14ac:dyDescent="0.35">
      <c r="A10" s="588" t="s">
        <v>27</v>
      </c>
      <c r="G10" s="581" t="s">
        <v>31</v>
      </c>
      <c r="J10" s="551" t="s">
        <v>548</v>
      </c>
    </row>
    <row r="11" spans="1:13" x14ac:dyDescent="0.3">
      <c r="A11" s="589"/>
      <c r="B11" s="590" t="s">
        <v>549</v>
      </c>
      <c r="C11" s="590" t="s">
        <v>550</v>
      </c>
      <c r="D11" s="590"/>
      <c r="E11" s="591"/>
      <c r="G11" s="600" t="s">
        <v>551</v>
      </c>
      <c r="H11" s="602" t="s">
        <v>552</v>
      </c>
    </row>
    <row r="12" spans="1:13" x14ac:dyDescent="0.3">
      <c r="A12" s="592" t="s">
        <v>553</v>
      </c>
      <c r="B12" s="562">
        <v>70</v>
      </c>
      <c r="C12" s="562">
        <v>50</v>
      </c>
      <c r="D12" s="551" t="s">
        <v>145</v>
      </c>
      <c r="E12" s="593" t="s">
        <v>446</v>
      </c>
      <c r="G12" s="599">
        <f>SUMPRODUCT(B12:C12,$B$17:$C$17)</f>
        <v>4100</v>
      </c>
      <c r="H12" s="603"/>
      <c r="J12" s="582" t="s">
        <v>554</v>
      </c>
      <c r="K12" s="582"/>
      <c r="L12" s="551" t="s">
        <v>555</v>
      </c>
    </row>
    <row r="13" spans="1:13" x14ac:dyDescent="0.3">
      <c r="A13" s="592" t="s">
        <v>148</v>
      </c>
      <c r="B13" s="562">
        <v>4</v>
      </c>
      <c r="C13" s="562">
        <v>3</v>
      </c>
      <c r="D13" s="562" t="s">
        <v>126</v>
      </c>
      <c r="E13" s="594">
        <v>240</v>
      </c>
      <c r="G13" s="599">
        <f>SUMPRODUCT(B13:C13,$B$17:$C$17)</f>
        <v>240</v>
      </c>
      <c r="H13" s="603">
        <f>E13-G13</f>
        <v>0</v>
      </c>
      <c r="J13" s="551">
        <f>IF($D13&lt;&gt;$B$8,G13,0)</f>
        <v>240</v>
      </c>
      <c r="K13" s="551">
        <f>IF($D13&lt;&gt;$B$8,E13,0)</f>
        <v>240</v>
      </c>
      <c r="L13" s="551">
        <f>IF($D13&lt;&gt;$B$6,G13,0)</f>
        <v>0</v>
      </c>
      <c r="M13" s="551">
        <f>IF($D13&lt;&gt;$B$6,E13,0)</f>
        <v>0</v>
      </c>
    </row>
    <row r="14" spans="1:13" ht="13.5" thickBot="1" x14ac:dyDescent="0.35">
      <c r="A14" s="595" t="s">
        <v>150</v>
      </c>
      <c r="B14" s="596">
        <v>2</v>
      </c>
      <c r="C14" s="596">
        <v>1</v>
      </c>
      <c r="D14" s="596" t="s">
        <v>126</v>
      </c>
      <c r="E14" s="597">
        <v>100</v>
      </c>
      <c r="G14" s="601">
        <f t="shared" ref="G14" si="0">SUMPRODUCT(B14:C14,$B$17:$C$17)</f>
        <v>100</v>
      </c>
      <c r="H14" s="604">
        <f t="shared" ref="H14" si="1">E14-G14</f>
        <v>0</v>
      </c>
      <c r="J14" s="551">
        <f t="shared" ref="J14" si="2">IF($D14&lt;&gt;$B$8,G14,0)</f>
        <v>100</v>
      </c>
      <c r="K14" s="551">
        <f t="shared" ref="K14" si="3">IF($D14&lt;&gt;$B$8,E14,0)</f>
        <v>100</v>
      </c>
      <c r="L14" s="551">
        <f t="shared" ref="L14" si="4">IF($D14&lt;&gt;$B$6,G14,0)</f>
        <v>0</v>
      </c>
      <c r="M14" s="551">
        <f t="shared" ref="M14" si="5">IF($D14&lt;&gt;$B$6,E14,0)</f>
        <v>0</v>
      </c>
    </row>
    <row r="16" spans="1:13" ht="13.5" thickBot="1" x14ac:dyDescent="0.35">
      <c r="A16" s="581" t="s">
        <v>31</v>
      </c>
    </row>
    <row r="17" spans="1:5" x14ac:dyDescent="0.3">
      <c r="A17" s="605" t="s">
        <v>441</v>
      </c>
      <c r="B17" s="606">
        <v>30</v>
      </c>
      <c r="C17" s="606">
        <v>40</v>
      </c>
      <c r="D17" s="606"/>
      <c r="E17" s="609"/>
    </row>
    <row r="18" spans="1:5" ht="13.5" thickBot="1" x14ac:dyDescent="0.35">
      <c r="A18" s="607" t="s">
        <v>553</v>
      </c>
      <c r="B18" s="608"/>
      <c r="C18" s="608"/>
      <c r="D18" s="608"/>
      <c r="E18" s="610">
        <f>G12</f>
        <v>4100</v>
      </c>
    </row>
  </sheetData>
  <printOptions gridLines="1" gridLinesSet="0"/>
  <pageMargins left="0.75" right="0.75" top="1" bottom="1" header="0.5" footer="0.5"/>
  <pageSetup orientation="landscape" horizontalDpi="4294967292" verticalDpi="360" r:id="rId1"/>
  <headerFooter alignWithMargins="0">
    <oddHeader>&amp;A</oddHeader>
    <oddFooter>Page &amp;P</oddFooter>
  </headerFooter>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0"/>
  <sheetViews>
    <sheetView workbookViewId="0"/>
  </sheetViews>
  <sheetFormatPr defaultColWidth="9.08984375" defaultRowHeight="15.5" x14ac:dyDescent="0.35"/>
  <cols>
    <col min="1" max="1" width="19" style="216" customWidth="1"/>
    <col min="2" max="3" width="8.6328125" style="216" bestFit="1" customWidth="1"/>
    <col min="4" max="4" width="20.08984375" style="216" customWidth="1"/>
    <col min="5" max="5" width="7.6328125" style="216" customWidth="1"/>
    <col min="6" max="6" width="10.08984375" style="216" customWidth="1"/>
    <col min="7" max="16384" width="9.08984375" style="216"/>
  </cols>
  <sheetData>
    <row r="1" spans="1:6" ht="18.5" x14ac:dyDescent="0.45">
      <c r="A1" s="214" t="s">
        <v>10</v>
      </c>
    </row>
    <row r="3" spans="1:6" ht="16" thickBot="1" x14ac:dyDescent="0.4">
      <c r="A3" s="216" t="s">
        <v>441</v>
      </c>
      <c r="B3" s="215" t="s">
        <v>104</v>
      </c>
      <c r="C3" s="215" t="s">
        <v>105</v>
      </c>
      <c r="E3" s="215"/>
      <c r="F3" s="215"/>
    </row>
    <row r="4" spans="1:6" ht="16" thickBot="1" x14ac:dyDescent="0.4">
      <c r="A4" s="216" t="s">
        <v>535</v>
      </c>
      <c r="B4" s="217">
        <v>8.4</v>
      </c>
      <c r="C4" s="218">
        <v>4.8</v>
      </c>
      <c r="D4" s="215" t="s">
        <v>115</v>
      </c>
      <c r="E4" s="215"/>
      <c r="F4" s="215"/>
    </row>
    <row r="5" spans="1:6" ht="16" thickBot="1" x14ac:dyDescent="0.4">
      <c r="A5" s="216" t="s">
        <v>536</v>
      </c>
      <c r="B5" s="219">
        <v>2</v>
      </c>
      <c r="C5" s="220">
        <v>3</v>
      </c>
      <c r="D5" s="221">
        <f>SUMPRODUCT($B$4:$C$4,B5:C5)</f>
        <v>31.2</v>
      </c>
      <c r="E5" s="215"/>
      <c r="F5" s="215"/>
    </row>
    <row r="6" spans="1:6" x14ac:dyDescent="0.35">
      <c r="B6" s="215"/>
      <c r="C6" s="215"/>
      <c r="D6" s="215"/>
      <c r="E6" s="215"/>
      <c r="F6" s="215"/>
    </row>
    <row r="7" spans="1:6" ht="16" thickBot="1" x14ac:dyDescent="0.4">
      <c r="A7" s="216" t="s">
        <v>537</v>
      </c>
      <c r="B7" s="215"/>
      <c r="C7" s="215"/>
      <c r="D7" s="215" t="s">
        <v>539</v>
      </c>
      <c r="E7" s="215"/>
      <c r="F7" s="215" t="s">
        <v>446</v>
      </c>
    </row>
    <row r="8" spans="1:6" x14ac:dyDescent="0.35">
      <c r="A8" s="216" t="s">
        <v>106</v>
      </c>
      <c r="B8" s="222">
        <v>5</v>
      </c>
      <c r="C8" s="223">
        <v>10</v>
      </c>
      <c r="D8" s="221">
        <f>SUMPRODUCT($B$4:$C$4,B8:C8)</f>
        <v>90</v>
      </c>
      <c r="E8" s="215" t="s">
        <v>149</v>
      </c>
      <c r="F8" s="224">
        <v>90</v>
      </c>
    </row>
    <row r="9" spans="1:6" x14ac:dyDescent="0.35">
      <c r="A9" s="216" t="s">
        <v>107</v>
      </c>
      <c r="B9" s="228">
        <v>4</v>
      </c>
      <c r="C9" s="229">
        <v>3</v>
      </c>
      <c r="D9" s="221">
        <f>SUMPRODUCT($B$4:$C$4,B9:C9)</f>
        <v>48</v>
      </c>
      <c r="E9" s="215" t="s">
        <v>149</v>
      </c>
      <c r="F9" s="230">
        <v>48</v>
      </c>
    </row>
    <row r="10" spans="1:6" ht="16" thickBot="1" x14ac:dyDescent="0.4">
      <c r="A10" s="216" t="s">
        <v>108</v>
      </c>
      <c r="B10" s="225">
        <v>0.5</v>
      </c>
      <c r="C10" s="226">
        <v>0</v>
      </c>
      <c r="D10" s="221">
        <f>SUMPRODUCT($B$4:$C$4,B10:C10)</f>
        <v>4.2</v>
      </c>
      <c r="E10" s="215" t="s">
        <v>149</v>
      </c>
      <c r="F10" s="227">
        <v>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1"/>
  <sheetViews>
    <sheetView workbookViewId="0">
      <selection activeCell="B3" sqref="B3"/>
    </sheetView>
  </sheetViews>
  <sheetFormatPr defaultColWidth="9.08984375" defaultRowHeight="15.5" x14ac:dyDescent="0.35"/>
  <cols>
    <col min="1" max="1" width="19.7265625" style="231" customWidth="1"/>
    <col min="2" max="2" width="11.36328125" style="231" customWidth="1"/>
    <col min="3" max="3" width="10.81640625" style="231" customWidth="1"/>
    <col min="4" max="4" width="16" style="231" customWidth="1"/>
    <col min="5" max="5" width="5.26953125" style="231" customWidth="1"/>
    <col min="6" max="6" width="3.7265625" style="231" customWidth="1"/>
    <col min="7" max="7" width="14" style="231" customWidth="1"/>
    <col min="8" max="16384" width="9.08984375" style="231"/>
  </cols>
  <sheetData>
    <row r="1" spans="1:7" ht="18.5" x14ac:dyDescent="0.45">
      <c r="A1" s="214" t="s">
        <v>540</v>
      </c>
    </row>
    <row r="3" spans="1:7" ht="16" thickBot="1" x14ac:dyDescent="0.4">
      <c r="A3" s="216" t="s">
        <v>441</v>
      </c>
      <c r="B3" s="215" t="s">
        <v>933</v>
      </c>
      <c r="C3" s="215" t="s">
        <v>109</v>
      </c>
      <c r="D3" s="216"/>
      <c r="E3" s="215"/>
      <c r="F3" s="215"/>
      <c r="G3" s="216"/>
    </row>
    <row r="4" spans="1:7" ht="16" thickBot="1" x14ac:dyDescent="0.4">
      <c r="A4" s="216" t="s">
        <v>535</v>
      </c>
      <c r="B4" s="217">
        <v>0</v>
      </c>
      <c r="C4" s="218">
        <v>20</v>
      </c>
      <c r="D4" s="215" t="s">
        <v>38</v>
      </c>
      <c r="E4" s="215"/>
      <c r="F4" s="215"/>
      <c r="G4" s="216"/>
    </row>
    <row r="5" spans="1:7" ht="19" thickBot="1" x14ac:dyDescent="0.5">
      <c r="A5" s="216" t="s">
        <v>536</v>
      </c>
      <c r="B5" s="219">
        <v>50</v>
      </c>
      <c r="C5" s="220">
        <v>120</v>
      </c>
      <c r="D5" s="232">
        <f>SUMPRODUCT($B$4:$C$4,B5:C5)</f>
        <v>2400</v>
      </c>
      <c r="E5" s="215"/>
      <c r="F5" s="215"/>
      <c r="G5" s="216"/>
    </row>
    <row r="6" spans="1:7" x14ac:dyDescent="0.35">
      <c r="A6" s="216"/>
      <c r="B6" s="215"/>
      <c r="C6" s="215"/>
      <c r="D6" s="215"/>
      <c r="E6" s="215"/>
      <c r="F6" s="215"/>
      <c r="G6" s="216"/>
    </row>
    <row r="7" spans="1:7" ht="16" thickBot="1" x14ac:dyDescent="0.4">
      <c r="A7" s="216" t="s">
        <v>537</v>
      </c>
      <c r="B7" s="215"/>
      <c r="C7" s="215"/>
      <c r="D7" s="215" t="s">
        <v>541</v>
      </c>
      <c r="E7" s="215"/>
      <c r="F7" s="215" t="s">
        <v>446</v>
      </c>
      <c r="G7" s="216"/>
    </row>
    <row r="8" spans="1:7" ht="18.5" x14ac:dyDescent="0.45">
      <c r="A8" s="216" t="s">
        <v>542</v>
      </c>
      <c r="B8" s="222">
        <v>2</v>
      </c>
      <c r="C8" s="223">
        <v>4</v>
      </c>
      <c r="D8" s="232">
        <f>SUMPRODUCT($B$4:$C$4,B8:C8)</f>
        <v>80</v>
      </c>
      <c r="E8" s="215" t="s">
        <v>126</v>
      </c>
      <c r="F8" s="221">
        <v>80</v>
      </c>
      <c r="G8" s="216"/>
    </row>
    <row r="9" spans="1:7" ht="19" thickBot="1" x14ac:dyDescent="0.5">
      <c r="A9" s="216" t="s">
        <v>543</v>
      </c>
      <c r="B9" s="225">
        <v>3</v>
      </c>
      <c r="C9" s="226">
        <v>1</v>
      </c>
      <c r="D9" s="232">
        <f>SUMPRODUCT($B$4:$C$4,B9:C9)</f>
        <v>20</v>
      </c>
      <c r="E9" s="215" t="s">
        <v>126</v>
      </c>
      <c r="F9" s="221">
        <v>60</v>
      </c>
      <c r="G9" s="216"/>
    </row>
    <row r="10" spans="1:7" x14ac:dyDescent="0.35">
      <c r="A10" s="216"/>
      <c r="B10" s="216"/>
      <c r="C10" s="216"/>
      <c r="D10" s="216"/>
      <c r="E10" s="216"/>
      <c r="F10" s="216"/>
      <c r="G10" s="216"/>
    </row>
    <row r="11" spans="1:7" x14ac:dyDescent="0.35">
      <c r="A11" s="216"/>
      <c r="B11" s="216"/>
      <c r="C11" s="216"/>
      <c r="D11" s="216"/>
      <c r="E11" s="216"/>
      <c r="F11" s="216"/>
      <c r="G11" s="21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J19" sqref="J19"/>
    </sheetView>
  </sheetViews>
  <sheetFormatPr defaultColWidth="9.08984375" defaultRowHeight="15.5" x14ac:dyDescent="0.35"/>
  <cols>
    <col min="1" max="1" width="20" style="244" customWidth="1"/>
    <col min="2" max="5" width="13" style="241" customWidth="1"/>
    <col min="6" max="6" width="16.81640625" style="241" customWidth="1"/>
    <col min="7" max="7" width="5.08984375" style="243" customWidth="1"/>
    <col min="8" max="8" width="6.81640625" style="241" customWidth="1"/>
    <col min="9" max="16384" width="9.08984375" style="241"/>
  </cols>
  <sheetData>
    <row r="1" spans="1:8" ht="18.5" x14ac:dyDescent="0.45">
      <c r="A1" s="240" t="s">
        <v>12</v>
      </c>
      <c r="D1" s="242"/>
    </row>
    <row r="2" spans="1:8" x14ac:dyDescent="0.35">
      <c r="D2" s="245" t="s">
        <v>556</v>
      </c>
      <c r="E2" s="245" t="s">
        <v>556</v>
      </c>
    </row>
    <row r="3" spans="1:8" x14ac:dyDescent="0.35">
      <c r="A3" s="241"/>
      <c r="B3" s="246" t="s">
        <v>557</v>
      </c>
      <c r="C3" s="246" t="s">
        <v>558</v>
      </c>
      <c r="D3" s="246" t="s">
        <v>559</v>
      </c>
      <c r="E3" s="246" t="s">
        <v>560</v>
      </c>
    </row>
    <row r="4" spans="1:8" ht="16" thickBot="1" x14ac:dyDescent="0.4">
      <c r="A4" s="247" t="s">
        <v>441</v>
      </c>
      <c r="B4" s="245" t="s">
        <v>442</v>
      </c>
      <c r="C4" s="245" t="s">
        <v>443</v>
      </c>
      <c r="D4" s="245" t="s">
        <v>444</v>
      </c>
      <c r="E4" s="245" t="s">
        <v>445</v>
      </c>
    </row>
    <row r="5" spans="1:8" ht="16" thickBot="1" x14ac:dyDescent="0.4">
      <c r="A5" s="247" t="s">
        <v>144</v>
      </c>
      <c r="B5" s="248">
        <v>1.96875</v>
      </c>
      <c r="C5" s="249">
        <v>5</v>
      </c>
      <c r="D5" s="250">
        <v>6.2068965517241379</v>
      </c>
      <c r="E5" s="251">
        <v>0</v>
      </c>
      <c r="F5" s="245" t="s">
        <v>561</v>
      </c>
    </row>
    <row r="6" spans="1:8" ht="16" thickBot="1" x14ac:dyDescent="0.4">
      <c r="A6" s="247" t="s">
        <v>562</v>
      </c>
      <c r="B6" s="252">
        <v>5000</v>
      </c>
      <c r="C6" s="253">
        <v>8500</v>
      </c>
      <c r="D6" s="253">
        <v>2400</v>
      </c>
      <c r="E6" s="254">
        <v>2800</v>
      </c>
      <c r="F6" s="255">
        <f>SUMPRODUCT($B$5:$E$5,B6:E6)</f>
        <v>67240.301724137928</v>
      </c>
      <c r="H6" s="256"/>
    </row>
    <row r="7" spans="1:8" x14ac:dyDescent="0.35">
      <c r="A7" s="247"/>
      <c r="B7" s="243"/>
      <c r="C7" s="243"/>
      <c r="D7" s="243"/>
      <c r="E7" s="243"/>
      <c r="H7" s="256"/>
    </row>
    <row r="8" spans="1:8" ht="16" thickBot="1" x14ac:dyDescent="0.4">
      <c r="A8" s="257" t="s">
        <v>537</v>
      </c>
      <c r="B8" s="243"/>
      <c r="C8" s="243"/>
      <c r="D8" s="243"/>
      <c r="E8" s="243"/>
      <c r="F8" s="245" t="s">
        <v>551</v>
      </c>
      <c r="G8" s="258"/>
      <c r="H8" s="258" t="s">
        <v>446</v>
      </c>
    </row>
    <row r="9" spans="1:8" x14ac:dyDescent="0.35">
      <c r="A9" s="247" t="s">
        <v>563</v>
      </c>
      <c r="B9" s="259">
        <v>1</v>
      </c>
      <c r="C9" s="260"/>
      <c r="D9" s="260"/>
      <c r="E9" s="261"/>
      <c r="F9" s="262">
        <f t="shared" ref="F9:F15" si="0">SUMPRODUCT($B$5:$E$5,B9:E9)</f>
        <v>1.96875</v>
      </c>
      <c r="G9" s="263" t="s">
        <v>126</v>
      </c>
      <c r="H9" s="264">
        <v>12</v>
      </c>
    </row>
    <row r="10" spans="1:8" x14ac:dyDescent="0.35">
      <c r="A10" s="247" t="s">
        <v>564</v>
      </c>
      <c r="B10" s="265"/>
      <c r="C10" s="243">
        <v>1</v>
      </c>
      <c r="D10" s="243"/>
      <c r="E10" s="266"/>
      <c r="F10" s="241">
        <f t="shared" si="0"/>
        <v>5</v>
      </c>
      <c r="G10" s="263" t="s">
        <v>126</v>
      </c>
      <c r="H10" s="267">
        <v>5</v>
      </c>
    </row>
    <row r="11" spans="1:8" x14ac:dyDescent="0.35">
      <c r="A11" s="247" t="s">
        <v>565</v>
      </c>
      <c r="B11" s="265"/>
      <c r="C11" s="243"/>
      <c r="D11" s="243">
        <v>1</v>
      </c>
      <c r="E11" s="266"/>
      <c r="F11" s="262">
        <f t="shared" si="0"/>
        <v>6.2068965517241379</v>
      </c>
      <c r="G11" s="263" t="s">
        <v>126</v>
      </c>
      <c r="H11" s="267">
        <v>25</v>
      </c>
    </row>
    <row r="12" spans="1:8" x14ac:dyDescent="0.35">
      <c r="A12" s="247" t="s">
        <v>566</v>
      </c>
      <c r="B12" s="265"/>
      <c r="C12" s="243"/>
      <c r="D12" s="243"/>
      <c r="E12" s="266">
        <v>1</v>
      </c>
      <c r="F12" s="241">
        <f t="shared" si="0"/>
        <v>0</v>
      </c>
      <c r="G12" s="263" t="s">
        <v>126</v>
      </c>
      <c r="H12" s="267">
        <v>20</v>
      </c>
    </row>
    <row r="13" spans="1:8" x14ac:dyDescent="0.35">
      <c r="A13" s="247" t="s">
        <v>115</v>
      </c>
      <c r="B13" s="265">
        <v>800</v>
      </c>
      <c r="C13" s="243">
        <v>925</v>
      </c>
      <c r="D13" s="243">
        <v>290</v>
      </c>
      <c r="E13" s="266">
        <v>380</v>
      </c>
      <c r="F13" s="241">
        <f t="shared" si="0"/>
        <v>8000</v>
      </c>
      <c r="G13" s="263" t="s">
        <v>126</v>
      </c>
      <c r="H13" s="267">
        <v>8000</v>
      </c>
    </row>
    <row r="14" spans="1:8" x14ac:dyDescent="0.35">
      <c r="A14" s="247" t="s">
        <v>112</v>
      </c>
      <c r="B14" s="265"/>
      <c r="C14" s="243"/>
      <c r="D14" s="243">
        <v>290</v>
      </c>
      <c r="E14" s="266">
        <v>380</v>
      </c>
      <c r="F14" s="241">
        <f t="shared" si="0"/>
        <v>1800</v>
      </c>
      <c r="G14" s="263" t="s">
        <v>126</v>
      </c>
      <c r="H14" s="267">
        <v>1800</v>
      </c>
    </row>
    <row r="15" spans="1:8" ht="16" thickBot="1" x14ac:dyDescent="0.4">
      <c r="A15" s="247" t="s">
        <v>113</v>
      </c>
      <c r="B15" s="268"/>
      <c r="C15" s="269"/>
      <c r="D15" s="269">
        <v>1</v>
      </c>
      <c r="E15" s="270">
        <v>1</v>
      </c>
      <c r="F15" s="262">
        <f t="shared" si="0"/>
        <v>6.2068965517241379</v>
      </c>
      <c r="G15" s="263" t="s">
        <v>149</v>
      </c>
      <c r="H15" s="271">
        <v>5</v>
      </c>
    </row>
  </sheetData>
  <printOptions headings="1" gridLines="1"/>
  <pageMargins left="0.75" right="0.75" top="1" bottom="1" header="0.5" footer="0.5"/>
  <pageSetup orientation="portrait" horizontalDpi="4294967293"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12"/>
  <sheetViews>
    <sheetView zoomScaleNormal="100" workbookViewId="0">
      <selection activeCell="J19" sqref="J19"/>
    </sheetView>
  </sheetViews>
  <sheetFormatPr defaultColWidth="9.08984375" defaultRowHeight="15.5" x14ac:dyDescent="0.35"/>
  <cols>
    <col min="1" max="1" width="17.36328125" style="241" customWidth="1"/>
    <col min="2" max="5" width="7.6328125" style="241" customWidth="1"/>
    <col min="6" max="6" width="6.6328125" style="241" customWidth="1"/>
    <col min="7" max="7" width="6.7265625" style="241" customWidth="1"/>
    <col min="8" max="8" width="10.7265625" style="241" bestFit="1" customWidth="1"/>
    <col min="9" max="9" width="4.26953125" style="241" customWidth="1"/>
    <col min="10" max="10" width="9" style="241" customWidth="1"/>
    <col min="11" max="11" width="1.81640625" style="241" customWidth="1"/>
    <col min="12" max="12" width="15.6328125" style="241" customWidth="1"/>
    <col min="13" max="13" width="15.7265625" style="241" customWidth="1"/>
    <col min="14" max="16384" width="9.08984375" style="241"/>
  </cols>
  <sheetData>
    <row r="1" spans="1:10" ht="18.5" x14ac:dyDescent="0.45">
      <c r="A1" s="240" t="s">
        <v>567</v>
      </c>
    </row>
    <row r="3" spans="1:10" ht="16" thickBot="1" x14ac:dyDescent="0.4">
      <c r="A3" s="257" t="s">
        <v>568</v>
      </c>
      <c r="B3" s="258" t="s">
        <v>442</v>
      </c>
      <c r="C3" s="258" t="s">
        <v>443</v>
      </c>
      <c r="D3" s="258" t="s">
        <v>444</v>
      </c>
      <c r="E3" s="258" t="s">
        <v>445</v>
      </c>
      <c r="F3" s="258" t="s">
        <v>569</v>
      </c>
      <c r="G3" s="258" t="s">
        <v>570</v>
      </c>
      <c r="H3" s="257"/>
      <c r="I3" s="241" t="s">
        <v>124</v>
      </c>
    </row>
    <row r="4" spans="1:10" ht="16" thickBot="1" x14ac:dyDescent="0.4">
      <c r="A4" s="257" t="s">
        <v>144</v>
      </c>
      <c r="B4" s="272">
        <v>0</v>
      </c>
      <c r="C4" s="273">
        <v>600</v>
      </c>
      <c r="D4" s="273">
        <v>139.99999999999994</v>
      </c>
      <c r="E4" s="273">
        <v>999.99999999999989</v>
      </c>
      <c r="F4" s="273">
        <v>0</v>
      </c>
      <c r="G4" s="274">
        <v>559.99999999999989</v>
      </c>
      <c r="H4" s="245" t="s">
        <v>118</v>
      </c>
    </row>
    <row r="5" spans="1:10" ht="16" thickBot="1" x14ac:dyDescent="0.4">
      <c r="A5" s="257" t="s">
        <v>571</v>
      </c>
      <c r="B5" s="275">
        <v>7.5</v>
      </c>
      <c r="C5" s="276">
        <v>6.8</v>
      </c>
      <c r="D5" s="276">
        <v>5.5</v>
      </c>
      <c r="E5" s="276">
        <v>6.9</v>
      </c>
      <c r="F5" s="276">
        <v>7.25</v>
      </c>
      <c r="G5" s="277">
        <v>6.1</v>
      </c>
      <c r="H5" s="278">
        <f>SUMPRODUCT($B$4:$G$4,B5:G5)</f>
        <v>15166</v>
      </c>
    </row>
    <row r="6" spans="1:10" ht="15.75" customHeight="1" x14ac:dyDescent="0.35">
      <c r="A6" s="257"/>
      <c r="B6" s="279"/>
      <c r="C6" s="279"/>
      <c r="D6" s="279"/>
      <c r="E6" s="279"/>
      <c r="F6" s="279"/>
      <c r="G6" s="279"/>
    </row>
    <row r="7" spans="1:10" ht="16" thickBot="1" x14ac:dyDescent="0.4">
      <c r="A7" s="257" t="s">
        <v>537</v>
      </c>
      <c r="B7" s="279"/>
      <c r="C7" s="279"/>
      <c r="D7" s="279"/>
      <c r="E7" s="279"/>
      <c r="F7" s="279"/>
      <c r="G7" s="279"/>
      <c r="H7" s="245" t="s">
        <v>551</v>
      </c>
      <c r="I7" s="241" t="s">
        <v>124</v>
      </c>
      <c r="J7" s="257" t="s">
        <v>446</v>
      </c>
    </row>
    <row r="8" spans="1:10" x14ac:dyDescent="0.35">
      <c r="A8" s="257" t="s">
        <v>572</v>
      </c>
      <c r="B8" s="280">
        <v>1</v>
      </c>
      <c r="C8" s="281">
        <v>1</v>
      </c>
      <c r="D8" s="281">
        <v>1</v>
      </c>
      <c r="E8" s="281">
        <v>1</v>
      </c>
      <c r="F8" s="281">
        <v>1</v>
      </c>
      <c r="G8" s="282">
        <v>1</v>
      </c>
      <c r="H8" s="241">
        <f>SUMPRODUCT($B$4:$G$4,B8:G8)</f>
        <v>2300</v>
      </c>
      <c r="I8" s="283" t="s">
        <v>149</v>
      </c>
      <c r="J8" s="284">
        <v>2300</v>
      </c>
    </row>
    <row r="9" spans="1:10" x14ac:dyDescent="0.35">
      <c r="A9" s="285" t="s">
        <v>573</v>
      </c>
      <c r="B9" s="286">
        <v>1</v>
      </c>
      <c r="C9" s="279">
        <v>0</v>
      </c>
      <c r="D9" s="279">
        <v>0</v>
      </c>
      <c r="E9" s="279">
        <v>1</v>
      </c>
      <c r="F9" s="279">
        <v>0</v>
      </c>
      <c r="G9" s="287">
        <v>0</v>
      </c>
      <c r="H9" s="241">
        <f>SUMPRODUCT($B$4:$G$4,B9:G9)</f>
        <v>999.99999999999989</v>
      </c>
      <c r="I9" s="283" t="s">
        <v>149</v>
      </c>
      <c r="J9" s="288">
        <v>1000</v>
      </c>
    </row>
    <row r="10" spans="1:10" x14ac:dyDescent="0.35">
      <c r="A10" s="285" t="s">
        <v>574</v>
      </c>
      <c r="B10" s="286">
        <v>0</v>
      </c>
      <c r="C10" s="279">
        <v>1</v>
      </c>
      <c r="D10" s="279">
        <v>0</v>
      </c>
      <c r="E10" s="279">
        <v>0</v>
      </c>
      <c r="F10" s="279">
        <v>1</v>
      </c>
      <c r="G10" s="287">
        <v>0</v>
      </c>
      <c r="H10" s="241">
        <f>SUMPRODUCT($B$4:$G$4,B10:G10)</f>
        <v>600</v>
      </c>
      <c r="I10" s="283" t="s">
        <v>149</v>
      </c>
      <c r="J10" s="267">
        <v>600</v>
      </c>
    </row>
    <row r="11" spans="1:10" x14ac:dyDescent="0.35">
      <c r="A11" s="257" t="s">
        <v>575</v>
      </c>
      <c r="B11" s="286">
        <v>0.85</v>
      </c>
      <c r="C11" s="279">
        <v>0.85</v>
      </c>
      <c r="D11" s="279">
        <v>0.85</v>
      </c>
      <c r="E11" s="279">
        <v>-0.15</v>
      </c>
      <c r="F11" s="279">
        <v>-0.15</v>
      </c>
      <c r="G11" s="287">
        <v>-0.15</v>
      </c>
      <c r="H11" s="241">
        <f>SUMPRODUCT($B$4:$G$4,B11:G11)</f>
        <v>395</v>
      </c>
      <c r="I11" s="283" t="s">
        <v>149</v>
      </c>
      <c r="J11" s="267">
        <v>0</v>
      </c>
    </row>
    <row r="12" spans="1:10" ht="16" thickBot="1" x14ac:dyDescent="0.4">
      <c r="A12" s="285" t="s">
        <v>576</v>
      </c>
      <c r="B12" s="289">
        <v>0</v>
      </c>
      <c r="C12" s="290">
        <v>0</v>
      </c>
      <c r="D12" s="290">
        <v>0.8</v>
      </c>
      <c r="E12" s="290">
        <v>0</v>
      </c>
      <c r="F12" s="290">
        <v>0</v>
      </c>
      <c r="G12" s="291">
        <v>-0.2</v>
      </c>
      <c r="H12" s="292">
        <f>SUMPRODUCT($B$4:$G$4,B12:G12)</f>
        <v>-2.8421709430404007E-14</v>
      </c>
      <c r="I12" s="283" t="s">
        <v>126</v>
      </c>
      <c r="J12" s="271">
        <v>0</v>
      </c>
    </row>
  </sheetData>
  <printOptions headings="1" gridLines="1"/>
  <pageMargins left="0.7" right="0.7" top="0.75" bottom="0.75" header="0.3" footer="0.3"/>
  <pageSetup orientation="portrait" blackAndWhite="1"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0"/>
  <sheetViews>
    <sheetView zoomScaleNormal="100" workbookViewId="0">
      <selection activeCell="J19" sqref="J19"/>
    </sheetView>
  </sheetViews>
  <sheetFormatPr defaultColWidth="9.08984375" defaultRowHeight="15.5" x14ac:dyDescent="0.35"/>
  <cols>
    <col min="1" max="1" width="20.08984375" style="241" customWidth="1"/>
    <col min="2" max="2" width="8.08984375" style="241" customWidth="1"/>
    <col min="3" max="3" width="9.26953125" style="241" customWidth="1"/>
    <col min="4" max="4" width="11.36328125" style="241" customWidth="1"/>
    <col min="5" max="5" width="10.81640625" style="241" customWidth="1"/>
    <col min="6" max="6" width="18.08984375" style="241" bestFit="1" customWidth="1"/>
    <col min="7" max="7" width="5" style="241" customWidth="1"/>
    <col min="8" max="8" width="8.08984375" style="241" customWidth="1"/>
    <col min="9" max="16384" width="9.08984375" style="241"/>
  </cols>
  <sheetData>
    <row r="1" spans="1:10" ht="18.5" x14ac:dyDescent="0.45">
      <c r="A1" s="240" t="s">
        <v>13</v>
      </c>
    </row>
    <row r="3" spans="1:10" x14ac:dyDescent="0.35">
      <c r="B3" s="293" t="s">
        <v>114</v>
      </c>
      <c r="C3" s="293" t="s">
        <v>577</v>
      </c>
      <c r="D3" s="293" t="s">
        <v>578</v>
      </c>
      <c r="E3" s="293" t="s">
        <v>579</v>
      </c>
    </row>
    <row r="4" spans="1:10" ht="16" thickBot="1" x14ac:dyDescent="0.4">
      <c r="A4" s="257" t="s">
        <v>441</v>
      </c>
      <c r="B4" s="245" t="s">
        <v>442</v>
      </c>
      <c r="C4" s="245" t="s">
        <v>443</v>
      </c>
      <c r="D4" s="245" t="s">
        <v>444</v>
      </c>
      <c r="E4" s="245" t="s">
        <v>445</v>
      </c>
    </row>
    <row r="5" spans="1:10" ht="16" thickBot="1" x14ac:dyDescent="0.4">
      <c r="A5" s="257" t="s">
        <v>227</v>
      </c>
      <c r="B5" s="294">
        <v>5112</v>
      </c>
      <c r="C5" s="295">
        <v>14000</v>
      </c>
      <c r="D5" s="295">
        <v>16000</v>
      </c>
      <c r="E5" s="296">
        <v>8500</v>
      </c>
      <c r="F5" s="245" t="s">
        <v>119</v>
      </c>
    </row>
    <row r="6" spans="1:10" ht="16" thickBot="1" x14ac:dyDescent="0.4">
      <c r="A6" s="257" t="s">
        <v>38</v>
      </c>
      <c r="B6" s="252">
        <f>B30</f>
        <v>16.239999999999998</v>
      </c>
      <c r="C6" s="253">
        <f>C30</f>
        <v>8.2199999999999989</v>
      </c>
      <c r="D6" s="253">
        <f>D30</f>
        <v>8.77</v>
      </c>
      <c r="E6" s="254">
        <f>E30</f>
        <v>8.66</v>
      </c>
      <c r="F6" s="278">
        <f>SUMPRODUCT($B$5:$E$5,B6:E6)</f>
        <v>412028.88</v>
      </c>
    </row>
    <row r="7" spans="1:10" x14ac:dyDescent="0.35">
      <c r="A7" s="257"/>
      <c r="B7" s="243"/>
      <c r="C7" s="243"/>
      <c r="D7" s="243"/>
      <c r="E7" s="243"/>
    </row>
    <row r="8" spans="1:10" ht="16" thickBot="1" x14ac:dyDescent="0.4">
      <c r="A8" s="257" t="s">
        <v>537</v>
      </c>
      <c r="B8" s="243"/>
      <c r="C8" s="243"/>
      <c r="D8" s="243"/>
      <c r="E8" s="243"/>
      <c r="F8" s="245" t="s">
        <v>551</v>
      </c>
      <c r="G8" s="245"/>
      <c r="H8" s="245" t="s">
        <v>446</v>
      </c>
      <c r="J8" s="241" t="s">
        <v>552</v>
      </c>
    </row>
    <row r="9" spans="1:10" x14ac:dyDescent="0.35">
      <c r="A9" s="247" t="s">
        <v>580</v>
      </c>
      <c r="B9" s="259">
        <v>0.125</v>
      </c>
      <c r="C9" s="260"/>
      <c r="D9" s="260"/>
      <c r="E9" s="261">
        <v>6.6000000000000003E-2</v>
      </c>
      <c r="F9" s="241">
        <f t="shared" ref="F9:F16" si="0">SUMPRODUCT($B$5:$E$5,B9:E9)</f>
        <v>1200</v>
      </c>
      <c r="G9" s="263" t="s">
        <v>126</v>
      </c>
      <c r="H9" s="264">
        <v>1200</v>
      </c>
      <c r="J9" s="241">
        <f>H9-F9</f>
        <v>0</v>
      </c>
    </row>
    <row r="10" spans="1:10" x14ac:dyDescent="0.35">
      <c r="A10" s="247" t="s">
        <v>581</v>
      </c>
      <c r="B10" s="265"/>
      <c r="C10" s="243">
        <v>0.08</v>
      </c>
      <c r="D10" s="243">
        <v>0.05</v>
      </c>
      <c r="E10" s="266"/>
      <c r="F10" s="241">
        <f t="shared" si="0"/>
        <v>1920</v>
      </c>
      <c r="G10" s="263" t="s">
        <v>126</v>
      </c>
      <c r="H10" s="267">
        <v>3000</v>
      </c>
      <c r="J10" s="241">
        <f t="shared" ref="J10:J15" si="1">H10-F10</f>
        <v>1080</v>
      </c>
    </row>
    <row r="11" spans="1:10" x14ac:dyDescent="0.35">
      <c r="A11" s="247" t="s">
        <v>582</v>
      </c>
      <c r="B11" s="265"/>
      <c r="C11" s="243"/>
      <c r="D11" s="243">
        <v>0.05</v>
      </c>
      <c r="E11" s="266">
        <v>4.3999999999999997E-2</v>
      </c>
      <c r="F11" s="241">
        <f t="shared" si="0"/>
        <v>1174</v>
      </c>
      <c r="G11" s="263" t="s">
        <v>126</v>
      </c>
      <c r="H11" s="267">
        <v>1600</v>
      </c>
      <c r="J11" s="241">
        <f t="shared" si="1"/>
        <v>426</v>
      </c>
    </row>
    <row r="12" spans="1:10" x14ac:dyDescent="0.35">
      <c r="A12" s="247" t="s">
        <v>583</v>
      </c>
      <c r="B12" s="265">
        <v>1</v>
      </c>
      <c r="C12" s="243"/>
      <c r="D12" s="243"/>
      <c r="E12" s="266"/>
      <c r="F12" s="241">
        <f t="shared" si="0"/>
        <v>5112</v>
      </c>
      <c r="G12" s="263" t="s">
        <v>126</v>
      </c>
      <c r="H12" s="267">
        <v>7000</v>
      </c>
      <c r="J12" s="241">
        <f t="shared" si="1"/>
        <v>1888</v>
      </c>
    </row>
    <row r="13" spans="1:10" ht="15" customHeight="1" x14ac:dyDescent="0.35">
      <c r="A13" s="247" t="s">
        <v>584</v>
      </c>
      <c r="B13" s="265"/>
      <c r="C13" s="243">
        <v>1</v>
      </c>
      <c r="D13" s="243"/>
      <c r="E13" s="266"/>
      <c r="F13" s="241">
        <f t="shared" si="0"/>
        <v>14000</v>
      </c>
      <c r="G13" s="263" t="s">
        <v>126</v>
      </c>
      <c r="H13" s="267">
        <v>14000</v>
      </c>
      <c r="J13" s="241">
        <f t="shared" si="1"/>
        <v>0</v>
      </c>
    </row>
    <row r="14" spans="1:10" x14ac:dyDescent="0.35">
      <c r="A14" s="247" t="s">
        <v>585</v>
      </c>
      <c r="B14" s="265"/>
      <c r="C14" s="243"/>
      <c r="D14" s="243">
        <v>1</v>
      </c>
      <c r="E14" s="266"/>
      <c r="F14" s="241">
        <f t="shared" si="0"/>
        <v>16000</v>
      </c>
      <c r="G14" s="263" t="s">
        <v>126</v>
      </c>
      <c r="H14" s="267">
        <v>16000</v>
      </c>
      <c r="J14" s="241">
        <f t="shared" si="1"/>
        <v>0</v>
      </c>
    </row>
    <row r="15" spans="1:10" x14ac:dyDescent="0.35">
      <c r="A15" s="247" t="s">
        <v>586</v>
      </c>
      <c r="B15" s="265"/>
      <c r="C15" s="243"/>
      <c r="D15" s="243"/>
      <c r="E15" s="266">
        <v>1</v>
      </c>
      <c r="F15" s="241">
        <f t="shared" si="0"/>
        <v>8500</v>
      </c>
      <c r="G15" s="263" t="s">
        <v>126</v>
      </c>
      <c r="H15" s="267">
        <v>8500</v>
      </c>
      <c r="J15" s="241">
        <f t="shared" si="1"/>
        <v>0</v>
      </c>
    </row>
    <row r="16" spans="1:10" x14ac:dyDescent="0.35">
      <c r="A16" s="247" t="s">
        <v>587</v>
      </c>
      <c r="B16" s="265">
        <v>1</v>
      </c>
      <c r="C16" s="243"/>
      <c r="D16" s="243"/>
      <c r="E16" s="266"/>
      <c r="F16" s="241">
        <f t="shared" si="0"/>
        <v>5112</v>
      </c>
      <c r="G16" s="263" t="s">
        <v>149</v>
      </c>
      <c r="H16" s="267">
        <v>5000</v>
      </c>
      <c r="J16" s="241">
        <f>F16-H16</f>
        <v>112</v>
      </c>
    </row>
    <row r="17" spans="1:11" ht="15.75" customHeight="1" x14ac:dyDescent="0.35">
      <c r="A17" s="247" t="s">
        <v>588</v>
      </c>
      <c r="B17" s="265"/>
      <c r="C17" s="243">
        <v>1</v>
      </c>
      <c r="D17" s="243"/>
      <c r="E17" s="266"/>
      <c r="F17" s="241">
        <f>SUMPRODUCT($B$5:$E$5,B17:E17)</f>
        <v>14000</v>
      </c>
      <c r="G17" s="263" t="s">
        <v>149</v>
      </c>
      <c r="H17" s="267">
        <v>10000</v>
      </c>
      <c r="J17" s="241">
        <f>F17-H17</f>
        <v>4000</v>
      </c>
    </row>
    <row r="18" spans="1:11" x14ac:dyDescent="0.35">
      <c r="A18" s="247" t="s">
        <v>589</v>
      </c>
      <c r="B18" s="265"/>
      <c r="C18" s="243"/>
      <c r="D18" s="243">
        <v>1</v>
      </c>
      <c r="E18" s="266"/>
      <c r="F18" s="241">
        <f>SUMPRODUCT($B$5:$E$5,B18:E18)</f>
        <v>16000</v>
      </c>
      <c r="G18" s="263" t="s">
        <v>149</v>
      </c>
      <c r="H18" s="267">
        <v>13000</v>
      </c>
      <c r="J18" s="241">
        <f>F18-H18</f>
        <v>3000</v>
      </c>
    </row>
    <row r="19" spans="1:11" ht="16" thickBot="1" x14ac:dyDescent="0.4">
      <c r="A19" s="247" t="s">
        <v>590</v>
      </c>
      <c r="B19" s="268"/>
      <c r="C19" s="269"/>
      <c r="D19" s="269"/>
      <c r="E19" s="270">
        <v>1</v>
      </c>
      <c r="F19" s="241">
        <f>SUMPRODUCT($B$5:$E$5,B19:E19)</f>
        <v>8500</v>
      </c>
      <c r="G19" s="263" t="s">
        <v>149</v>
      </c>
      <c r="H19" s="271">
        <v>5000</v>
      </c>
      <c r="J19" s="241">
        <f>F19-H19</f>
        <v>3500</v>
      </c>
    </row>
    <row r="23" spans="1:11" x14ac:dyDescent="0.35">
      <c r="A23" s="257" t="s">
        <v>591</v>
      </c>
    </row>
    <row r="24" spans="1:11" ht="31.5" thickBot="1" x14ac:dyDescent="0.4">
      <c r="A24" s="257"/>
      <c r="B24" s="246" t="s">
        <v>116</v>
      </c>
      <c r="C24" s="246" t="s">
        <v>117</v>
      </c>
      <c r="D24" s="246" t="s">
        <v>578</v>
      </c>
      <c r="E24" s="246" t="s">
        <v>578</v>
      </c>
    </row>
    <row r="25" spans="1:11" ht="16" thickBot="1" x14ac:dyDescent="0.4">
      <c r="A25" s="297" t="s">
        <v>592</v>
      </c>
      <c r="B25" s="260">
        <v>19.239999999999998</v>
      </c>
      <c r="C25" s="260">
        <v>8.6999999999999993</v>
      </c>
      <c r="D25" s="260">
        <v>9.52</v>
      </c>
      <c r="E25" s="260">
        <v>10.64</v>
      </c>
      <c r="F25" s="298" t="s">
        <v>593</v>
      </c>
      <c r="G25" s="299"/>
      <c r="H25" s="300"/>
      <c r="K25" s="301"/>
    </row>
    <row r="26" spans="1:11" ht="31" x14ac:dyDescent="0.35">
      <c r="A26" s="302" t="s">
        <v>594</v>
      </c>
      <c r="B26" s="260">
        <f>B9</f>
        <v>0.125</v>
      </c>
      <c r="C26" s="260">
        <f>C9</f>
        <v>0</v>
      </c>
      <c r="D26" s="260">
        <f>D9</f>
        <v>0</v>
      </c>
      <c r="E26" s="261">
        <f>E9</f>
        <v>6.6000000000000003E-2</v>
      </c>
      <c r="F26" s="257">
        <v>24</v>
      </c>
      <c r="H26" s="303"/>
    </row>
    <row r="27" spans="1:11" ht="31" x14ac:dyDescent="0.35">
      <c r="A27" s="304" t="s">
        <v>595</v>
      </c>
      <c r="B27" s="243">
        <f t="shared" ref="B27:E28" si="2">B10</f>
        <v>0</v>
      </c>
      <c r="C27" s="243">
        <f t="shared" si="2"/>
        <v>0.08</v>
      </c>
      <c r="D27" s="243">
        <f t="shared" si="2"/>
        <v>0.05</v>
      </c>
      <c r="E27" s="266">
        <f t="shared" si="2"/>
        <v>0</v>
      </c>
      <c r="F27" s="257">
        <v>6</v>
      </c>
      <c r="H27" s="303"/>
    </row>
    <row r="28" spans="1:11" ht="31.5" thickBot="1" x14ac:dyDescent="0.4">
      <c r="A28" s="305" t="s">
        <v>596</v>
      </c>
      <c r="B28" s="269">
        <f t="shared" si="2"/>
        <v>0</v>
      </c>
      <c r="C28" s="269">
        <f t="shared" si="2"/>
        <v>0</v>
      </c>
      <c r="D28" s="269">
        <f t="shared" si="2"/>
        <v>0.05</v>
      </c>
      <c r="E28" s="270">
        <f t="shared" si="2"/>
        <v>4.3999999999999997E-2</v>
      </c>
      <c r="F28" s="257">
        <v>9</v>
      </c>
      <c r="H28" s="303"/>
    </row>
    <row r="29" spans="1:11" x14ac:dyDescent="0.35">
      <c r="A29" s="306" t="s">
        <v>597</v>
      </c>
      <c r="B29" s="241">
        <f>SUMPRODUCT($F$26:$F$28,B26:B28)</f>
        <v>3</v>
      </c>
      <c r="C29" s="241">
        <f>SUMPRODUCT($F$26:$F$28,C26:C28)</f>
        <v>0.48</v>
      </c>
      <c r="D29" s="241">
        <f>SUMPRODUCT($F$26:$F$28,D26:D28)</f>
        <v>0.75</v>
      </c>
      <c r="E29" s="241">
        <f>SUMPRODUCT($F$26:$F$28,E26:E28)</f>
        <v>1.98</v>
      </c>
      <c r="H29" s="303"/>
    </row>
    <row r="30" spans="1:11" ht="16" thickBot="1" x14ac:dyDescent="0.4">
      <c r="A30" s="307" t="s">
        <v>598</v>
      </c>
      <c r="B30" s="308">
        <f>B25-B29</f>
        <v>16.239999999999998</v>
      </c>
      <c r="C30" s="308">
        <f>C25-C29</f>
        <v>8.2199999999999989</v>
      </c>
      <c r="D30" s="308">
        <f>D25-D29</f>
        <v>8.77</v>
      </c>
      <c r="E30" s="308">
        <f>E25-E29</f>
        <v>8.66</v>
      </c>
      <c r="F30" s="308"/>
      <c r="G30" s="308"/>
      <c r="H30" s="309"/>
    </row>
  </sheetData>
  <printOptions headings="1" gridLines="1"/>
  <pageMargins left="0.75" right="0.75" top="1" bottom="1" header="0.5" footer="0.5"/>
  <pageSetup orientation="portrait" horizontalDpi="4294967293"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V39"/>
  <sheetViews>
    <sheetView zoomScaleNormal="100" workbookViewId="0">
      <selection activeCell="J19" sqref="J19"/>
    </sheetView>
  </sheetViews>
  <sheetFormatPr defaultColWidth="9.08984375" defaultRowHeight="14.5" x14ac:dyDescent="0.35"/>
  <cols>
    <col min="1" max="1" width="13.36328125" style="312" customWidth="1"/>
    <col min="2" max="5" width="7.26953125" style="312" bestFit="1" customWidth="1"/>
    <col min="6" max="6" width="5.6328125" style="312" bestFit="1" customWidth="1"/>
    <col min="7" max="7" width="7.26953125" style="312" bestFit="1" customWidth="1"/>
    <col min="8" max="9" width="5.6328125" style="312" bestFit="1" customWidth="1"/>
    <col min="10" max="10" width="6.08984375" style="312" bestFit="1" customWidth="1"/>
    <col min="11" max="11" width="5.6328125" style="312" bestFit="1" customWidth="1"/>
    <col min="12" max="12" width="6.08984375" style="312" bestFit="1" customWidth="1"/>
    <col min="13" max="14" width="5.6328125" style="312" bestFit="1" customWidth="1"/>
    <col min="15" max="15" width="7.26953125" style="312" bestFit="1" customWidth="1"/>
    <col min="16" max="17" width="5.6328125" style="312" bestFit="1" customWidth="1"/>
    <col min="18" max="18" width="10" style="312" customWidth="1"/>
    <col min="19" max="19" width="4.08984375" style="312" bestFit="1" customWidth="1"/>
    <col min="20" max="20" width="5.7265625" style="312" bestFit="1" customWidth="1"/>
    <col min="21" max="21" width="9.08984375" style="312" customWidth="1"/>
    <col min="22" max="22" width="9.36328125" style="312" bestFit="1" customWidth="1"/>
    <col min="23" max="16384" width="9.08984375" style="312"/>
  </cols>
  <sheetData>
    <row r="1" spans="1:22" ht="18.5" x14ac:dyDescent="0.45">
      <c r="A1" s="310" t="s">
        <v>599</v>
      </c>
      <c r="B1" s="311"/>
      <c r="C1" s="311"/>
      <c r="D1" s="311"/>
      <c r="E1" s="311"/>
      <c r="F1" s="311"/>
      <c r="G1" s="311"/>
      <c r="H1" s="311"/>
      <c r="I1" s="311"/>
      <c r="J1" s="311"/>
      <c r="K1" s="311"/>
      <c r="L1" s="311"/>
      <c r="M1" s="311"/>
      <c r="N1" s="311"/>
      <c r="O1" s="311"/>
      <c r="P1" s="311"/>
      <c r="Q1" s="311"/>
      <c r="S1" s="313"/>
    </row>
    <row r="2" spans="1:22" ht="12" customHeight="1" x14ac:dyDescent="0.35">
      <c r="B2" s="311"/>
      <c r="C2" s="311"/>
      <c r="D2" s="311"/>
      <c r="E2" s="311"/>
      <c r="F2" s="311"/>
      <c r="G2" s="311"/>
      <c r="H2" s="311"/>
      <c r="I2" s="311"/>
      <c r="J2" s="311"/>
      <c r="K2" s="311"/>
      <c r="L2" s="311"/>
      <c r="M2" s="311"/>
      <c r="N2" s="311"/>
      <c r="O2" s="311"/>
      <c r="P2" s="311"/>
      <c r="Q2" s="311"/>
      <c r="S2" s="313"/>
    </row>
    <row r="3" spans="1:22" ht="15" thickBot="1" x14ac:dyDescent="0.4">
      <c r="A3" s="314" t="s">
        <v>568</v>
      </c>
      <c r="B3" s="311" t="s">
        <v>600</v>
      </c>
      <c r="C3" s="311" t="s">
        <v>601</v>
      </c>
      <c r="D3" s="311" t="s">
        <v>602</v>
      </c>
      <c r="E3" s="311" t="s">
        <v>603</v>
      </c>
      <c r="F3" s="311" t="s">
        <v>604</v>
      </c>
      <c r="G3" s="311" t="s">
        <v>605</v>
      </c>
      <c r="H3" s="311" t="s">
        <v>606</v>
      </c>
      <c r="I3" s="311" t="s">
        <v>607</v>
      </c>
      <c r="J3" s="311" t="s">
        <v>608</v>
      </c>
      <c r="K3" s="311" t="s">
        <v>609</v>
      </c>
      <c r="L3" s="311" t="s">
        <v>610</v>
      </c>
      <c r="M3" s="311" t="s">
        <v>611</v>
      </c>
      <c r="N3" s="311" t="s">
        <v>612</v>
      </c>
      <c r="O3" s="311" t="s">
        <v>613</v>
      </c>
      <c r="P3" s="311" t="s">
        <v>614</v>
      </c>
      <c r="Q3" s="311" t="s">
        <v>615</v>
      </c>
      <c r="S3" s="313"/>
    </row>
    <row r="4" spans="1:22" x14ac:dyDescent="0.35">
      <c r="A4" s="314" t="s">
        <v>144</v>
      </c>
      <c r="B4" s="315">
        <v>1276.9230769230769</v>
      </c>
      <c r="C4" s="316">
        <v>223.07692307692315</v>
      </c>
      <c r="D4" s="316">
        <v>1757.6923076923076</v>
      </c>
      <c r="E4" s="316">
        <v>792.30769230769226</v>
      </c>
      <c r="F4" s="317">
        <v>999.99999999999977</v>
      </c>
      <c r="G4" s="316">
        <v>2522.2222222222217</v>
      </c>
      <c r="H4" s="316">
        <v>77.77777777777851</v>
      </c>
      <c r="I4" s="317">
        <v>1699.9999999999998</v>
      </c>
      <c r="J4" s="316">
        <v>476.92307692307685</v>
      </c>
      <c r="K4" s="317">
        <v>0</v>
      </c>
      <c r="L4" s="316">
        <v>757.69230769230774</v>
      </c>
      <c r="M4" s="317">
        <v>450</v>
      </c>
      <c r="N4" s="317">
        <v>0</v>
      </c>
      <c r="O4" s="316">
        <v>1322.2222222222215</v>
      </c>
      <c r="P4" s="317">
        <v>0</v>
      </c>
      <c r="Q4" s="318">
        <v>300</v>
      </c>
      <c r="R4" s="313" t="s">
        <v>118</v>
      </c>
      <c r="S4" s="313"/>
    </row>
    <row r="5" spans="1:22" x14ac:dyDescent="0.35">
      <c r="A5" s="314" t="s">
        <v>571</v>
      </c>
      <c r="B5" s="311">
        <v>20</v>
      </c>
      <c r="C5" s="311">
        <v>20</v>
      </c>
      <c r="D5" s="311">
        <v>22</v>
      </c>
      <c r="E5" s="311">
        <v>22</v>
      </c>
      <c r="F5" s="311">
        <v>15</v>
      </c>
      <c r="G5" s="311">
        <v>15</v>
      </c>
      <c r="H5" s="311">
        <v>16.5</v>
      </c>
      <c r="I5" s="311">
        <v>16.5</v>
      </c>
      <c r="J5" s="311">
        <v>0.36</v>
      </c>
      <c r="K5" s="311">
        <v>0.36</v>
      </c>
      <c r="L5" s="311">
        <v>0.36</v>
      </c>
      <c r="M5" s="311">
        <v>0.36</v>
      </c>
      <c r="N5" s="311">
        <v>0.26</v>
      </c>
      <c r="O5" s="311">
        <v>0.26</v>
      </c>
      <c r="P5" s="311">
        <v>0.26</v>
      </c>
      <c r="Q5" s="311">
        <v>0.26</v>
      </c>
      <c r="R5" s="319">
        <f>SUMPRODUCT($B$4:$Q$4,B5:Q5)</f>
        <v>169294.90598290597</v>
      </c>
      <c r="S5" s="313"/>
    </row>
    <row r="6" spans="1:22" x14ac:dyDescent="0.35">
      <c r="B6" s="311"/>
      <c r="C6" s="311"/>
      <c r="D6" s="311"/>
      <c r="E6" s="311"/>
      <c r="F6" s="311"/>
      <c r="G6" s="311"/>
      <c r="H6" s="311"/>
      <c r="I6" s="311"/>
      <c r="J6" s="311"/>
      <c r="K6" s="311"/>
      <c r="L6" s="311"/>
      <c r="M6" s="311"/>
      <c r="N6" s="311"/>
      <c r="O6" s="311"/>
      <c r="P6" s="311"/>
      <c r="Q6" s="311"/>
      <c r="S6" s="313"/>
    </row>
    <row r="7" spans="1:22" ht="15" thickBot="1" x14ac:dyDescent="0.4">
      <c r="A7" s="314" t="s">
        <v>616</v>
      </c>
      <c r="B7" s="311"/>
      <c r="C7" s="311"/>
      <c r="D7" s="311"/>
      <c r="E7" s="311"/>
      <c r="F7" s="311"/>
      <c r="G7" s="311"/>
      <c r="H7" s="311"/>
      <c r="I7" s="311"/>
      <c r="J7" s="311"/>
      <c r="K7" s="311"/>
      <c r="L7" s="311"/>
      <c r="M7" s="311"/>
      <c r="N7" s="311"/>
      <c r="O7" s="311"/>
      <c r="P7" s="311"/>
      <c r="Q7" s="311"/>
      <c r="R7" s="313" t="s">
        <v>551</v>
      </c>
      <c r="S7" s="313" t="s">
        <v>110</v>
      </c>
      <c r="T7" s="313" t="s">
        <v>446</v>
      </c>
    </row>
    <row r="8" spans="1:22" x14ac:dyDescent="0.35">
      <c r="A8" s="312" t="s">
        <v>617</v>
      </c>
      <c r="B8" s="320">
        <v>1</v>
      </c>
      <c r="C8" s="321"/>
      <c r="D8" s="321"/>
      <c r="E8" s="321"/>
      <c r="F8" s="321"/>
      <c r="G8" s="321"/>
      <c r="H8" s="321"/>
      <c r="I8" s="321"/>
      <c r="J8" s="321">
        <v>-1</v>
      </c>
      <c r="K8" s="321"/>
      <c r="L8" s="321"/>
      <c r="M8" s="321"/>
      <c r="N8" s="321"/>
      <c r="O8" s="321"/>
      <c r="P8" s="321"/>
      <c r="Q8" s="322"/>
      <c r="R8" s="312">
        <f t="shared" ref="R8:R17" si="0">SUMPRODUCT($B$4:$Q$4,B8:Q8)</f>
        <v>800</v>
      </c>
      <c r="S8" s="313" t="s">
        <v>101</v>
      </c>
      <c r="T8" s="323">
        <v>800</v>
      </c>
      <c r="V8" s="311"/>
    </row>
    <row r="9" spans="1:22" x14ac:dyDescent="0.35">
      <c r="A9" s="312" t="s">
        <v>618</v>
      </c>
      <c r="B9" s="324"/>
      <c r="C9" s="311">
        <v>1</v>
      </c>
      <c r="D9" s="311"/>
      <c r="E9" s="311"/>
      <c r="F9" s="311"/>
      <c r="G9" s="311"/>
      <c r="H9" s="311"/>
      <c r="I9" s="311"/>
      <c r="J9" s="311">
        <v>1</v>
      </c>
      <c r="K9" s="311">
        <v>-1</v>
      </c>
      <c r="L9" s="311"/>
      <c r="M9" s="311"/>
      <c r="N9" s="311"/>
      <c r="O9" s="311"/>
      <c r="P9" s="311"/>
      <c r="Q9" s="325"/>
      <c r="R9" s="312">
        <f t="shared" si="0"/>
        <v>700</v>
      </c>
      <c r="S9" s="313" t="s">
        <v>101</v>
      </c>
      <c r="T9" s="326">
        <v>700</v>
      </c>
      <c r="V9" s="311"/>
    </row>
    <row r="10" spans="1:22" x14ac:dyDescent="0.35">
      <c r="A10" s="312" t="s">
        <v>619</v>
      </c>
      <c r="B10" s="324"/>
      <c r="C10" s="311"/>
      <c r="D10" s="311">
        <v>1</v>
      </c>
      <c r="E10" s="311"/>
      <c r="F10" s="311"/>
      <c r="G10" s="311"/>
      <c r="H10" s="311"/>
      <c r="I10" s="311"/>
      <c r="J10" s="311"/>
      <c r="K10" s="311">
        <v>1</v>
      </c>
      <c r="L10" s="311">
        <v>-1</v>
      </c>
      <c r="M10" s="311"/>
      <c r="N10" s="311"/>
      <c r="O10" s="311"/>
      <c r="P10" s="311"/>
      <c r="Q10" s="325"/>
      <c r="R10" s="312">
        <f t="shared" si="0"/>
        <v>999.99999999999989</v>
      </c>
      <c r="S10" s="313" t="s">
        <v>101</v>
      </c>
      <c r="T10" s="326">
        <v>1000</v>
      </c>
      <c r="V10" s="311"/>
    </row>
    <row r="11" spans="1:22" x14ac:dyDescent="0.35">
      <c r="A11" s="312" t="s">
        <v>620</v>
      </c>
      <c r="B11" s="324"/>
      <c r="C11" s="311"/>
      <c r="D11" s="311"/>
      <c r="E11" s="311">
        <v>1</v>
      </c>
      <c r="F11" s="311"/>
      <c r="G11" s="311"/>
      <c r="H11" s="311"/>
      <c r="I11" s="311"/>
      <c r="J11" s="311"/>
      <c r="K11" s="311"/>
      <c r="L11" s="311">
        <v>1</v>
      </c>
      <c r="M11" s="311">
        <v>-1</v>
      </c>
      <c r="N11" s="311"/>
      <c r="O11" s="311"/>
      <c r="P11" s="311"/>
      <c r="Q11" s="325"/>
      <c r="R11" s="312">
        <f t="shared" si="0"/>
        <v>1100</v>
      </c>
      <c r="S11" s="313" t="s">
        <v>101</v>
      </c>
      <c r="T11" s="326">
        <v>1100</v>
      </c>
      <c r="V11" s="311"/>
    </row>
    <row r="12" spans="1:22" x14ac:dyDescent="0.35">
      <c r="A12" s="312" t="s">
        <v>621</v>
      </c>
      <c r="B12" s="327"/>
      <c r="F12" s="311">
        <v>1</v>
      </c>
      <c r="G12" s="311"/>
      <c r="H12" s="311"/>
      <c r="I12" s="311"/>
      <c r="J12" s="311"/>
      <c r="K12" s="311"/>
      <c r="L12" s="311"/>
      <c r="M12" s="311"/>
      <c r="N12" s="311">
        <v>-1</v>
      </c>
      <c r="O12" s="311"/>
      <c r="P12" s="311"/>
      <c r="Q12" s="325"/>
      <c r="R12" s="312">
        <f t="shared" si="0"/>
        <v>999.99999999999977</v>
      </c>
      <c r="S12" s="313" t="s">
        <v>101</v>
      </c>
      <c r="T12" s="326">
        <v>1000</v>
      </c>
      <c r="V12" s="311"/>
    </row>
    <row r="13" spans="1:22" x14ac:dyDescent="0.35">
      <c r="A13" s="312" t="s">
        <v>622</v>
      </c>
      <c r="B13" s="327"/>
      <c r="F13" s="311"/>
      <c r="G13" s="311">
        <v>1</v>
      </c>
      <c r="H13" s="311"/>
      <c r="I13" s="311"/>
      <c r="J13" s="311"/>
      <c r="K13" s="311"/>
      <c r="L13" s="311"/>
      <c r="M13" s="311"/>
      <c r="N13" s="311">
        <v>1</v>
      </c>
      <c r="O13" s="311">
        <v>-1</v>
      </c>
      <c r="P13" s="311"/>
      <c r="Q13" s="325"/>
      <c r="R13" s="312">
        <f t="shared" si="0"/>
        <v>1200.0000000000002</v>
      </c>
      <c r="S13" s="313" t="s">
        <v>101</v>
      </c>
      <c r="T13" s="326">
        <v>1200</v>
      </c>
      <c r="V13" s="311"/>
    </row>
    <row r="14" spans="1:22" x14ac:dyDescent="0.35">
      <c r="A14" s="312" t="s">
        <v>623</v>
      </c>
      <c r="B14" s="327"/>
      <c r="F14" s="311"/>
      <c r="G14" s="311"/>
      <c r="H14" s="311">
        <v>1</v>
      </c>
      <c r="I14" s="311"/>
      <c r="J14" s="311"/>
      <c r="K14" s="311"/>
      <c r="L14" s="311"/>
      <c r="M14" s="311"/>
      <c r="N14" s="311"/>
      <c r="O14" s="311">
        <v>1</v>
      </c>
      <c r="P14" s="311">
        <v>-1</v>
      </c>
      <c r="Q14" s="325"/>
      <c r="R14" s="312">
        <f t="shared" si="0"/>
        <v>1400</v>
      </c>
      <c r="S14" s="313" t="s">
        <v>101</v>
      </c>
      <c r="T14" s="326">
        <v>1400</v>
      </c>
      <c r="V14" s="311"/>
    </row>
    <row r="15" spans="1:22" x14ac:dyDescent="0.35">
      <c r="A15" s="312" t="s">
        <v>624</v>
      </c>
      <c r="B15" s="327"/>
      <c r="F15" s="311"/>
      <c r="G15" s="311"/>
      <c r="H15" s="311"/>
      <c r="I15" s="311">
        <v>1</v>
      </c>
      <c r="J15" s="311"/>
      <c r="K15" s="311"/>
      <c r="L15" s="311"/>
      <c r="M15" s="311"/>
      <c r="N15" s="311"/>
      <c r="O15" s="311"/>
      <c r="P15" s="311">
        <v>1</v>
      </c>
      <c r="Q15" s="325">
        <v>-1</v>
      </c>
      <c r="R15" s="312">
        <f t="shared" si="0"/>
        <v>1399.9999999999998</v>
      </c>
      <c r="S15" s="313" t="s">
        <v>101</v>
      </c>
      <c r="T15" s="326">
        <v>1400</v>
      </c>
      <c r="V15" s="311"/>
    </row>
    <row r="16" spans="1:22" x14ac:dyDescent="0.35">
      <c r="A16" s="312" t="s">
        <v>625</v>
      </c>
      <c r="B16" s="327"/>
      <c r="F16" s="311"/>
      <c r="G16" s="311"/>
      <c r="H16" s="311"/>
      <c r="I16" s="311"/>
      <c r="J16" s="311"/>
      <c r="K16" s="311"/>
      <c r="L16" s="311"/>
      <c r="M16" s="311">
        <v>1</v>
      </c>
      <c r="N16" s="311"/>
      <c r="O16" s="311"/>
      <c r="P16" s="311"/>
      <c r="Q16" s="325"/>
      <c r="R16" s="312">
        <f t="shared" si="0"/>
        <v>450</v>
      </c>
      <c r="S16" s="313" t="s">
        <v>101</v>
      </c>
      <c r="T16" s="326">
        <v>450</v>
      </c>
      <c r="V16" s="311"/>
    </row>
    <row r="17" spans="1:22" ht="15" thickBot="1" x14ac:dyDescent="0.4">
      <c r="A17" s="312" t="s">
        <v>626</v>
      </c>
      <c r="B17" s="328"/>
      <c r="C17" s="329"/>
      <c r="D17" s="329"/>
      <c r="E17" s="329"/>
      <c r="F17" s="330"/>
      <c r="G17" s="330"/>
      <c r="H17" s="330"/>
      <c r="I17" s="330"/>
      <c r="J17" s="330"/>
      <c r="K17" s="330"/>
      <c r="L17" s="330"/>
      <c r="M17" s="330"/>
      <c r="N17" s="330"/>
      <c r="O17" s="330"/>
      <c r="P17" s="330"/>
      <c r="Q17" s="331">
        <v>1</v>
      </c>
      <c r="R17" s="312">
        <f t="shared" si="0"/>
        <v>300</v>
      </c>
      <c r="S17" s="313" t="s">
        <v>101</v>
      </c>
      <c r="T17" s="332">
        <v>300</v>
      </c>
      <c r="V17" s="311"/>
    </row>
    <row r="18" spans="1:22" ht="15" thickBot="1" x14ac:dyDescent="0.4">
      <c r="A18" s="314" t="s">
        <v>627</v>
      </c>
      <c r="B18" s="311"/>
      <c r="C18" s="311"/>
      <c r="D18" s="311"/>
      <c r="E18" s="311"/>
      <c r="F18" s="311"/>
      <c r="G18" s="311"/>
      <c r="H18" s="311"/>
      <c r="I18" s="311"/>
      <c r="J18" s="311"/>
      <c r="K18" s="311"/>
      <c r="L18" s="311"/>
      <c r="M18" s="311"/>
      <c r="N18" s="311"/>
      <c r="O18" s="311"/>
      <c r="P18" s="311"/>
      <c r="Q18" s="311"/>
      <c r="S18" s="313"/>
      <c r="V18" s="314" t="s">
        <v>552</v>
      </c>
    </row>
    <row r="19" spans="1:22" x14ac:dyDescent="0.35">
      <c r="A19" s="312" t="s">
        <v>628</v>
      </c>
      <c r="B19" s="320">
        <v>1.3</v>
      </c>
      <c r="C19" s="321"/>
      <c r="D19" s="321"/>
      <c r="E19" s="321"/>
      <c r="F19" s="321">
        <v>0.9</v>
      </c>
      <c r="G19" s="321"/>
      <c r="H19" s="321"/>
      <c r="I19" s="321"/>
      <c r="J19" s="321"/>
      <c r="K19" s="321"/>
      <c r="L19" s="321"/>
      <c r="M19" s="321"/>
      <c r="N19" s="321"/>
      <c r="O19" s="321"/>
      <c r="P19" s="321"/>
      <c r="Q19" s="322"/>
      <c r="R19" s="312">
        <f t="shared" ref="R19:R26" si="1">SUMPRODUCT($B$4:$Q$4,B19:Q19)</f>
        <v>2560</v>
      </c>
      <c r="S19" s="333" t="s">
        <v>149</v>
      </c>
      <c r="T19" s="323">
        <v>2240</v>
      </c>
      <c r="V19" s="312">
        <f>R19-T19</f>
        <v>320</v>
      </c>
    </row>
    <row r="20" spans="1:22" x14ac:dyDescent="0.35">
      <c r="A20" s="312" t="s">
        <v>629</v>
      </c>
      <c r="B20" s="324"/>
      <c r="C20" s="311">
        <v>1.3</v>
      </c>
      <c r="D20" s="311"/>
      <c r="E20" s="311"/>
      <c r="F20" s="311"/>
      <c r="G20" s="311">
        <v>0.9</v>
      </c>
      <c r="H20" s="311"/>
      <c r="I20" s="311"/>
      <c r="J20" s="311"/>
      <c r="K20" s="311"/>
      <c r="L20" s="311"/>
      <c r="M20" s="311"/>
      <c r="N20" s="311"/>
      <c r="O20" s="311"/>
      <c r="P20" s="311"/>
      <c r="Q20" s="325"/>
      <c r="R20" s="312">
        <f t="shared" si="1"/>
        <v>2559.9999999999995</v>
      </c>
      <c r="S20" s="333" t="s">
        <v>149</v>
      </c>
      <c r="T20" s="326">
        <v>2240</v>
      </c>
      <c r="V20" s="312">
        <f>R20-T20</f>
        <v>319.99999999999955</v>
      </c>
    </row>
    <row r="21" spans="1:22" x14ac:dyDescent="0.35">
      <c r="A21" s="312" t="s">
        <v>630</v>
      </c>
      <c r="B21" s="324"/>
      <c r="C21" s="311"/>
      <c r="D21" s="311">
        <v>1.3</v>
      </c>
      <c r="E21" s="311"/>
      <c r="F21" s="311"/>
      <c r="G21" s="311"/>
      <c r="H21" s="311">
        <v>0.9</v>
      </c>
      <c r="I21" s="311"/>
      <c r="J21" s="311"/>
      <c r="K21" s="311"/>
      <c r="L21" s="311"/>
      <c r="M21" s="311"/>
      <c r="N21" s="311"/>
      <c r="O21" s="311"/>
      <c r="P21" s="311"/>
      <c r="Q21" s="325"/>
      <c r="R21" s="312">
        <f t="shared" si="1"/>
        <v>2355.0000000000005</v>
      </c>
      <c r="S21" s="333" t="s">
        <v>149</v>
      </c>
      <c r="T21" s="326">
        <v>2240</v>
      </c>
      <c r="V21" s="312">
        <f>R21-T21</f>
        <v>115.00000000000045</v>
      </c>
    </row>
    <row r="22" spans="1:22" x14ac:dyDescent="0.35">
      <c r="A22" s="312" t="s">
        <v>631</v>
      </c>
      <c r="B22" s="324"/>
      <c r="C22" s="311"/>
      <c r="D22" s="311"/>
      <c r="E22" s="311">
        <v>1.3</v>
      </c>
      <c r="F22" s="311"/>
      <c r="G22" s="311"/>
      <c r="H22" s="311"/>
      <c r="I22" s="311">
        <v>0.9</v>
      </c>
      <c r="J22" s="311"/>
      <c r="K22" s="311"/>
      <c r="L22" s="311"/>
      <c r="M22" s="311"/>
      <c r="N22" s="311"/>
      <c r="O22" s="311"/>
      <c r="P22" s="311"/>
      <c r="Q22" s="325"/>
      <c r="R22" s="312">
        <f t="shared" si="1"/>
        <v>2560</v>
      </c>
      <c r="S22" s="333" t="s">
        <v>149</v>
      </c>
      <c r="T22" s="326">
        <v>2240</v>
      </c>
      <c r="V22" s="312">
        <f>R22-T22</f>
        <v>320</v>
      </c>
    </row>
    <row r="23" spans="1:22" x14ac:dyDescent="0.35">
      <c r="A23" s="312" t="s">
        <v>632</v>
      </c>
      <c r="B23" s="324">
        <v>1.3</v>
      </c>
      <c r="C23" s="311"/>
      <c r="D23" s="311"/>
      <c r="E23" s="311"/>
      <c r="F23" s="311">
        <v>0.9</v>
      </c>
      <c r="G23" s="311"/>
      <c r="H23" s="311"/>
      <c r="I23" s="311"/>
      <c r="J23" s="311"/>
      <c r="K23" s="311"/>
      <c r="L23" s="311"/>
      <c r="M23" s="311"/>
      <c r="N23" s="311"/>
      <c r="O23" s="311"/>
      <c r="P23" s="311"/>
      <c r="Q23" s="325"/>
      <c r="R23" s="312">
        <f t="shared" si="1"/>
        <v>2560</v>
      </c>
      <c r="S23" s="333" t="s">
        <v>126</v>
      </c>
      <c r="T23" s="326">
        <v>2560</v>
      </c>
      <c r="V23" s="312">
        <f>T23-R23</f>
        <v>0</v>
      </c>
    </row>
    <row r="24" spans="1:22" x14ac:dyDescent="0.35">
      <c r="A24" s="312" t="s">
        <v>633</v>
      </c>
      <c r="B24" s="324"/>
      <c r="C24" s="311">
        <v>1.3</v>
      </c>
      <c r="D24" s="311"/>
      <c r="E24" s="311"/>
      <c r="F24" s="311"/>
      <c r="G24" s="311">
        <v>0.9</v>
      </c>
      <c r="H24" s="311"/>
      <c r="I24" s="311"/>
      <c r="J24" s="311"/>
      <c r="K24" s="311"/>
      <c r="L24" s="311"/>
      <c r="M24" s="311"/>
      <c r="N24" s="311"/>
      <c r="O24" s="311"/>
      <c r="P24" s="311"/>
      <c r="Q24" s="325"/>
      <c r="R24" s="312">
        <f t="shared" si="1"/>
        <v>2559.9999999999995</v>
      </c>
      <c r="S24" s="333" t="s">
        <v>126</v>
      </c>
      <c r="T24" s="326">
        <v>2560</v>
      </c>
      <c r="V24" s="312">
        <f>T24-R24</f>
        <v>0</v>
      </c>
    </row>
    <row r="25" spans="1:22" x14ac:dyDescent="0.35">
      <c r="A25" s="312" t="s">
        <v>634</v>
      </c>
      <c r="B25" s="324"/>
      <c r="C25" s="311"/>
      <c r="D25" s="311">
        <v>1.3</v>
      </c>
      <c r="E25" s="311"/>
      <c r="F25" s="311"/>
      <c r="G25" s="311"/>
      <c r="H25" s="311">
        <v>0.9</v>
      </c>
      <c r="I25" s="311"/>
      <c r="J25" s="311"/>
      <c r="K25" s="311"/>
      <c r="L25" s="311"/>
      <c r="M25" s="311"/>
      <c r="N25" s="311"/>
      <c r="O25" s="311"/>
      <c r="P25" s="311"/>
      <c r="Q25" s="325"/>
      <c r="R25" s="312">
        <f t="shared" si="1"/>
        <v>2355.0000000000005</v>
      </c>
      <c r="S25" s="333" t="s">
        <v>126</v>
      </c>
      <c r="T25" s="326">
        <v>2560</v>
      </c>
      <c r="V25" s="312">
        <f>T25-R25</f>
        <v>204.99999999999955</v>
      </c>
    </row>
    <row r="26" spans="1:22" ht="15" thickBot="1" x14ac:dyDescent="0.4">
      <c r="A26" s="312" t="s">
        <v>635</v>
      </c>
      <c r="B26" s="334"/>
      <c r="C26" s="330"/>
      <c r="D26" s="330"/>
      <c r="E26" s="330">
        <v>1.3</v>
      </c>
      <c r="F26" s="330"/>
      <c r="G26" s="330"/>
      <c r="H26" s="330"/>
      <c r="I26" s="330">
        <v>0.9</v>
      </c>
      <c r="J26" s="330"/>
      <c r="K26" s="330"/>
      <c r="L26" s="330"/>
      <c r="M26" s="330"/>
      <c r="N26" s="330"/>
      <c r="O26" s="330"/>
      <c r="P26" s="330"/>
      <c r="Q26" s="331"/>
      <c r="R26" s="312">
        <f t="shared" si="1"/>
        <v>2560</v>
      </c>
      <c r="S26" s="333" t="s">
        <v>126</v>
      </c>
      <c r="T26" s="332">
        <v>2560</v>
      </c>
      <c r="V26" s="312">
        <f>T26-R26</f>
        <v>0</v>
      </c>
    </row>
    <row r="27" spans="1:22" ht="15" thickBot="1" x14ac:dyDescent="0.4">
      <c r="A27" s="314" t="s">
        <v>636</v>
      </c>
      <c r="B27" s="311"/>
      <c r="C27" s="311"/>
      <c r="D27" s="311"/>
      <c r="E27" s="311"/>
      <c r="F27" s="311"/>
      <c r="G27" s="311"/>
      <c r="H27" s="311"/>
      <c r="I27" s="311"/>
      <c r="J27" s="311"/>
      <c r="K27" s="311"/>
      <c r="L27" s="311"/>
      <c r="M27" s="311"/>
      <c r="N27" s="311"/>
      <c r="O27" s="311"/>
      <c r="P27" s="311"/>
      <c r="Q27" s="311"/>
      <c r="S27" s="313"/>
    </row>
    <row r="28" spans="1:22" x14ac:dyDescent="0.35">
      <c r="A28" s="312" t="s">
        <v>637</v>
      </c>
      <c r="B28" s="320"/>
      <c r="C28" s="321"/>
      <c r="D28" s="321"/>
      <c r="E28" s="321"/>
      <c r="F28" s="321"/>
      <c r="G28" s="321"/>
      <c r="H28" s="321"/>
      <c r="I28" s="321"/>
      <c r="J28" s="321">
        <v>1</v>
      </c>
      <c r="K28" s="321"/>
      <c r="L28" s="321"/>
      <c r="M28" s="321"/>
      <c r="N28" s="321">
        <v>1</v>
      </c>
      <c r="O28" s="321"/>
      <c r="P28" s="321"/>
      <c r="Q28" s="322"/>
      <c r="R28" s="335">
        <f>SUMPRODUCT($B$4:$Q$4,B28:Q28)</f>
        <v>476.92307692307685</v>
      </c>
      <c r="S28" s="333" t="s">
        <v>126</v>
      </c>
      <c r="T28" s="323">
        <v>3300</v>
      </c>
    </row>
    <row r="29" spans="1:22" x14ac:dyDescent="0.35">
      <c r="A29" s="312" t="s">
        <v>638</v>
      </c>
      <c r="B29" s="324"/>
      <c r="C29" s="311"/>
      <c r="D29" s="311"/>
      <c r="E29" s="311"/>
      <c r="F29" s="311"/>
      <c r="G29" s="311"/>
      <c r="H29" s="311"/>
      <c r="I29" s="311"/>
      <c r="J29" s="311"/>
      <c r="K29" s="311">
        <v>1</v>
      </c>
      <c r="L29" s="311"/>
      <c r="M29" s="311"/>
      <c r="N29" s="311"/>
      <c r="O29" s="311">
        <v>1</v>
      </c>
      <c r="P29" s="311"/>
      <c r="Q29" s="325"/>
      <c r="R29" s="335">
        <f>SUMPRODUCT($B$4:$Q$4,B29:Q29)</f>
        <v>1322.2222222222215</v>
      </c>
      <c r="S29" s="333" t="s">
        <v>126</v>
      </c>
      <c r="T29" s="326">
        <v>3300</v>
      </c>
    </row>
    <row r="30" spans="1:22" x14ac:dyDescent="0.35">
      <c r="A30" s="312" t="s">
        <v>639</v>
      </c>
      <c r="B30" s="324"/>
      <c r="C30" s="311"/>
      <c r="D30" s="311"/>
      <c r="E30" s="311"/>
      <c r="F30" s="311"/>
      <c r="G30" s="311"/>
      <c r="H30" s="311"/>
      <c r="I30" s="311"/>
      <c r="J30" s="311"/>
      <c r="K30" s="311"/>
      <c r="L30" s="311">
        <v>1</v>
      </c>
      <c r="M30" s="311"/>
      <c r="N30" s="311"/>
      <c r="O30" s="311"/>
      <c r="P30" s="311">
        <v>1</v>
      </c>
      <c r="Q30" s="325"/>
      <c r="R30" s="335">
        <f>SUMPRODUCT($B$4:$Q$4,B30:Q30)</f>
        <v>757.69230769230774</v>
      </c>
      <c r="S30" s="333" t="s">
        <v>126</v>
      </c>
      <c r="T30" s="326">
        <v>3300</v>
      </c>
    </row>
    <row r="31" spans="1:22" ht="15" thickBot="1" x14ac:dyDescent="0.4">
      <c r="A31" s="312" t="s">
        <v>640</v>
      </c>
      <c r="B31" s="334"/>
      <c r="C31" s="330"/>
      <c r="D31" s="330"/>
      <c r="E31" s="330"/>
      <c r="F31" s="330"/>
      <c r="G31" s="330"/>
      <c r="H31" s="330"/>
      <c r="I31" s="330"/>
      <c r="J31" s="330"/>
      <c r="K31" s="330"/>
      <c r="L31" s="330"/>
      <c r="M31" s="330">
        <v>1</v>
      </c>
      <c r="N31" s="330"/>
      <c r="O31" s="330"/>
      <c r="P31" s="330"/>
      <c r="Q31" s="331">
        <v>1</v>
      </c>
      <c r="R31" s="312">
        <f>SUMPRODUCT($B$4:$Q$4,B31:Q31)</f>
        <v>750</v>
      </c>
      <c r="S31" s="333" t="s">
        <v>126</v>
      </c>
      <c r="T31" s="332">
        <v>3300</v>
      </c>
    </row>
    <row r="32" spans="1:22" x14ac:dyDescent="0.35">
      <c r="S32" s="313"/>
    </row>
    <row r="34" spans="1:5" ht="15" thickBot="1" x14ac:dyDescent="0.4">
      <c r="B34" s="313" t="s">
        <v>641</v>
      </c>
      <c r="C34" s="313" t="s">
        <v>642</v>
      </c>
      <c r="D34" s="313" t="s">
        <v>643</v>
      </c>
      <c r="E34" s="313" t="s">
        <v>644</v>
      </c>
    </row>
    <row r="35" spans="1:5" x14ac:dyDescent="0.35">
      <c r="A35" s="314" t="s">
        <v>645</v>
      </c>
      <c r="B35" s="336">
        <f>B4</f>
        <v>1276.9230769230769</v>
      </c>
      <c r="C35" s="337">
        <f>C4</f>
        <v>223.07692307692315</v>
      </c>
      <c r="D35" s="337">
        <f>D4</f>
        <v>1757.6923076923076</v>
      </c>
      <c r="E35" s="338">
        <f>E4</f>
        <v>792.30769230769226</v>
      </c>
    </row>
    <row r="36" spans="1:5" x14ac:dyDescent="0.35">
      <c r="A36" s="314" t="s">
        <v>646</v>
      </c>
      <c r="B36" s="339">
        <f>F4</f>
        <v>999.99999999999977</v>
      </c>
      <c r="C36" s="340">
        <f>G4</f>
        <v>2522.2222222222217</v>
      </c>
      <c r="D36" s="340">
        <f>H4</f>
        <v>77.77777777777851</v>
      </c>
      <c r="E36" s="341">
        <f>I4</f>
        <v>1699.9999999999998</v>
      </c>
    </row>
    <row r="37" spans="1:5" x14ac:dyDescent="0.35">
      <c r="A37" s="314" t="s">
        <v>647</v>
      </c>
      <c r="B37" s="339">
        <f>J4</f>
        <v>476.92307692307685</v>
      </c>
      <c r="C37" s="340">
        <f>K4</f>
        <v>0</v>
      </c>
      <c r="D37" s="340">
        <f>L4</f>
        <v>757.69230769230774</v>
      </c>
      <c r="E37" s="341">
        <f>M4</f>
        <v>450</v>
      </c>
    </row>
    <row r="38" spans="1:5" x14ac:dyDescent="0.35">
      <c r="A38" s="314" t="s">
        <v>648</v>
      </c>
      <c r="B38" s="339">
        <f>N4</f>
        <v>0</v>
      </c>
      <c r="C38" s="340">
        <f>O4</f>
        <v>1322.2222222222215</v>
      </c>
      <c r="D38" s="340">
        <f>P4</f>
        <v>0</v>
      </c>
      <c r="E38" s="341">
        <f>Q4</f>
        <v>300</v>
      </c>
    </row>
    <row r="39" spans="1:5" ht="15" thickBot="1" x14ac:dyDescent="0.4">
      <c r="A39" s="314" t="s">
        <v>649</v>
      </c>
      <c r="B39" s="342">
        <f>1.3*B35+0.9*B36</f>
        <v>2560</v>
      </c>
      <c r="C39" s="343">
        <f>1.3*C35+0.9*C36</f>
        <v>2559.9999999999995</v>
      </c>
      <c r="D39" s="343">
        <f>1.3*D35+0.9*D36</f>
        <v>2355.0000000000005</v>
      </c>
      <c r="E39" s="344">
        <f>1.3*E35+0.9*E36</f>
        <v>2560</v>
      </c>
    </row>
  </sheetData>
  <printOptions headings="1" gridLines="1"/>
  <pageMargins left="0.70000000000000007" right="0.70000000000000007" top="0.75" bottom="0.75" header="0.30000000000000004" footer="0.30000000000000004"/>
  <pageSetup fitToWidth="0" fitToHeight="0"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27"/>
  <sheetViews>
    <sheetView zoomScaleNormal="100" workbookViewId="0">
      <selection activeCell="J19" sqref="J19"/>
    </sheetView>
  </sheetViews>
  <sheetFormatPr defaultColWidth="9.08984375" defaultRowHeight="15.5" x14ac:dyDescent="0.35"/>
  <cols>
    <col min="1" max="1" width="16.26953125" style="241" customWidth="1"/>
    <col min="2" max="7" width="6.26953125" style="241" customWidth="1"/>
    <col min="8" max="8" width="17.6328125" style="241" customWidth="1"/>
    <col min="9" max="9" width="6" style="241" customWidth="1"/>
    <col min="10" max="10" width="7" style="241" customWidth="1"/>
    <col min="11" max="16384" width="9.08984375" style="241"/>
  </cols>
  <sheetData>
    <row r="1" spans="1:12" ht="18.5" x14ac:dyDescent="0.45">
      <c r="A1" s="240" t="s">
        <v>650</v>
      </c>
    </row>
    <row r="2" spans="1:12" x14ac:dyDescent="0.35">
      <c r="A2" s="257"/>
    </row>
    <row r="3" spans="1:12" x14ac:dyDescent="0.35">
      <c r="A3" s="257"/>
    </row>
    <row r="4" spans="1:12" ht="16" thickBot="1" x14ac:dyDescent="0.4">
      <c r="A4" s="257" t="s">
        <v>441</v>
      </c>
      <c r="B4" s="245" t="s">
        <v>404</v>
      </c>
      <c r="C4" s="245" t="s">
        <v>651</v>
      </c>
      <c r="D4" s="245" t="s">
        <v>652</v>
      </c>
      <c r="E4" s="245" t="s">
        <v>653</v>
      </c>
      <c r="F4" s="245" t="s">
        <v>654</v>
      </c>
      <c r="G4" s="245" t="s">
        <v>655</v>
      </c>
    </row>
    <row r="5" spans="1:12" ht="16" thickBot="1" x14ac:dyDescent="0.4">
      <c r="A5" s="257" t="s">
        <v>227</v>
      </c>
      <c r="B5" s="294">
        <v>10</v>
      </c>
      <c r="C5" s="295">
        <v>0</v>
      </c>
      <c r="D5" s="295">
        <v>7</v>
      </c>
      <c r="E5" s="295">
        <v>2</v>
      </c>
      <c r="F5" s="295">
        <v>5</v>
      </c>
      <c r="G5" s="296">
        <v>0</v>
      </c>
      <c r="H5" s="245" t="s">
        <v>118</v>
      </c>
    </row>
    <row r="6" spans="1:12" ht="16" thickBot="1" x14ac:dyDescent="0.4">
      <c r="A6" s="257" t="s">
        <v>115</v>
      </c>
      <c r="B6" s="252">
        <v>100</v>
      </c>
      <c r="C6" s="253">
        <v>32</v>
      </c>
      <c r="D6" s="253">
        <v>32</v>
      </c>
      <c r="E6" s="253">
        <v>32</v>
      </c>
      <c r="F6" s="253">
        <v>32</v>
      </c>
      <c r="G6" s="254">
        <v>32</v>
      </c>
      <c r="H6" s="345">
        <f>SUMPRODUCT($B$5:$G$5,B6:G6)</f>
        <v>1448</v>
      </c>
    </row>
    <row r="7" spans="1:12" x14ac:dyDescent="0.35">
      <c r="A7" s="257"/>
      <c r="B7" s="243"/>
      <c r="C7" s="243"/>
      <c r="D7" s="243"/>
      <c r="E7" s="243"/>
      <c r="F7" s="243"/>
      <c r="G7" s="243"/>
    </row>
    <row r="8" spans="1:12" ht="16" thickBot="1" x14ac:dyDescent="0.4">
      <c r="A8" s="257" t="s">
        <v>537</v>
      </c>
      <c r="B8" s="243"/>
      <c r="C8" s="243"/>
      <c r="D8" s="243"/>
      <c r="E8" s="243"/>
      <c r="F8" s="243"/>
      <c r="G8" s="243"/>
      <c r="H8" s="245" t="s">
        <v>551</v>
      </c>
      <c r="I8" s="245" t="s">
        <v>110</v>
      </c>
      <c r="J8" s="245" t="s">
        <v>446</v>
      </c>
      <c r="L8" s="241" t="s">
        <v>552</v>
      </c>
    </row>
    <row r="9" spans="1:12" x14ac:dyDescent="0.35">
      <c r="A9" s="285" t="s">
        <v>656</v>
      </c>
      <c r="B9" s="259">
        <v>1</v>
      </c>
      <c r="C9" s="260">
        <v>1</v>
      </c>
      <c r="D9" s="260"/>
      <c r="E9" s="260"/>
      <c r="F9" s="260"/>
      <c r="G9" s="261"/>
      <c r="H9" s="243">
        <f t="shared" ref="H9:H18" si="0">SUMPRODUCT($B$5:$G$5,B9:G9)</f>
        <v>10</v>
      </c>
      <c r="I9" s="263" t="s">
        <v>149</v>
      </c>
      <c r="J9" s="346">
        <v>10</v>
      </c>
      <c r="L9" s="241">
        <f>H9-J9</f>
        <v>0</v>
      </c>
    </row>
    <row r="10" spans="1:12" x14ac:dyDescent="0.35">
      <c r="A10" s="285" t="s">
        <v>657</v>
      </c>
      <c r="B10" s="265">
        <v>1</v>
      </c>
      <c r="C10" s="243">
        <v>1</v>
      </c>
      <c r="D10" s="243">
        <v>1</v>
      </c>
      <c r="E10" s="243"/>
      <c r="F10" s="243"/>
      <c r="G10" s="266"/>
      <c r="H10" s="243">
        <f t="shared" si="0"/>
        <v>17</v>
      </c>
      <c r="I10" s="263" t="s">
        <v>149</v>
      </c>
      <c r="J10" s="347">
        <v>12</v>
      </c>
      <c r="L10" s="241">
        <f t="shared" ref="L10:L16" si="1">H10-J10</f>
        <v>5</v>
      </c>
    </row>
    <row r="11" spans="1:12" x14ac:dyDescent="0.35">
      <c r="A11" s="257" t="s">
        <v>658</v>
      </c>
      <c r="B11" s="265">
        <v>0.5</v>
      </c>
      <c r="C11" s="243">
        <v>1</v>
      </c>
      <c r="D11" s="243">
        <v>1</v>
      </c>
      <c r="E11" s="243">
        <v>1</v>
      </c>
      <c r="F11" s="243"/>
      <c r="G11" s="266"/>
      <c r="H11" s="243">
        <f t="shared" si="0"/>
        <v>14</v>
      </c>
      <c r="I11" s="263" t="s">
        <v>149</v>
      </c>
      <c r="J11" s="347">
        <v>14</v>
      </c>
      <c r="L11" s="241">
        <f t="shared" si="1"/>
        <v>0</v>
      </c>
    </row>
    <row r="12" spans="1:12" x14ac:dyDescent="0.35">
      <c r="A12" s="257" t="s">
        <v>659</v>
      </c>
      <c r="B12" s="265">
        <v>0.5</v>
      </c>
      <c r="C12" s="243">
        <v>1</v>
      </c>
      <c r="D12" s="243">
        <v>1</v>
      </c>
      <c r="E12" s="243">
        <v>1</v>
      </c>
      <c r="F12" s="243">
        <v>1</v>
      </c>
      <c r="G12" s="266"/>
      <c r="H12" s="243">
        <f t="shared" si="0"/>
        <v>19</v>
      </c>
      <c r="I12" s="263" t="s">
        <v>149</v>
      </c>
      <c r="J12" s="347">
        <v>16</v>
      </c>
      <c r="L12" s="241">
        <f t="shared" si="1"/>
        <v>3</v>
      </c>
    </row>
    <row r="13" spans="1:12" x14ac:dyDescent="0.35">
      <c r="A13" s="257" t="s">
        <v>660</v>
      </c>
      <c r="B13" s="265">
        <v>1</v>
      </c>
      <c r="C13" s="243"/>
      <c r="D13" s="243">
        <v>1</v>
      </c>
      <c r="E13" s="243">
        <v>1</v>
      </c>
      <c r="F13" s="243">
        <v>1</v>
      </c>
      <c r="G13" s="266">
        <v>1</v>
      </c>
      <c r="H13" s="243">
        <f t="shared" si="0"/>
        <v>24</v>
      </c>
      <c r="I13" s="263" t="s">
        <v>149</v>
      </c>
      <c r="J13" s="347">
        <v>18</v>
      </c>
      <c r="L13" s="241">
        <f t="shared" si="1"/>
        <v>6</v>
      </c>
    </row>
    <row r="14" spans="1:12" x14ac:dyDescent="0.35">
      <c r="A14" s="257" t="s">
        <v>661</v>
      </c>
      <c r="B14" s="265">
        <v>1</v>
      </c>
      <c r="C14" s="243"/>
      <c r="D14" s="243"/>
      <c r="E14" s="243">
        <v>1</v>
      </c>
      <c r="F14" s="243">
        <v>1</v>
      </c>
      <c r="G14" s="266">
        <v>1</v>
      </c>
      <c r="H14" s="243">
        <f t="shared" si="0"/>
        <v>17</v>
      </c>
      <c r="I14" s="263" t="s">
        <v>149</v>
      </c>
      <c r="J14" s="347">
        <v>17</v>
      </c>
      <c r="L14" s="241">
        <f t="shared" si="1"/>
        <v>0</v>
      </c>
    </row>
    <row r="15" spans="1:12" x14ac:dyDescent="0.35">
      <c r="A15" s="285" t="s">
        <v>662</v>
      </c>
      <c r="B15" s="265">
        <v>1</v>
      </c>
      <c r="C15" s="243"/>
      <c r="D15" s="243"/>
      <c r="E15" s="243"/>
      <c r="F15" s="243">
        <v>1</v>
      </c>
      <c r="G15" s="266">
        <v>1</v>
      </c>
      <c r="H15" s="243">
        <f t="shared" si="0"/>
        <v>15</v>
      </c>
      <c r="I15" s="263" t="s">
        <v>149</v>
      </c>
      <c r="J15" s="347">
        <v>15</v>
      </c>
      <c r="L15" s="241">
        <f t="shared" si="1"/>
        <v>0</v>
      </c>
    </row>
    <row r="16" spans="1:12" x14ac:dyDescent="0.35">
      <c r="A16" s="285" t="s">
        <v>663</v>
      </c>
      <c r="B16" s="265">
        <v>1</v>
      </c>
      <c r="C16" s="243"/>
      <c r="D16" s="243"/>
      <c r="E16" s="243"/>
      <c r="F16" s="243"/>
      <c r="G16" s="266">
        <v>1</v>
      </c>
      <c r="H16" s="243">
        <f t="shared" si="0"/>
        <v>10</v>
      </c>
      <c r="I16" s="263" t="s">
        <v>149</v>
      </c>
      <c r="J16" s="347">
        <v>10</v>
      </c>
      <c r="L16" s="241">
        <f t="shared" si="1"/>
        <v>0</v>
      </c>
    </row>
    <row r="17" spans="1:15" x14ac:dyDescent="0.35">
      <c r="A17" s="257" t="s">
        <v>664</v>
      </c>
      <c r="B17" s="265">
        <v>1</v>
      </c>
      <c r="C17" s="243"/>
      <c r="D17" s="243"/>
      <c r="E17" s="243"/>
      <c r="F17" s="243"/>
      <c r="G17" s="266"/>
      <c r="H17" s="243">
        <f t="shared" si="0"/>
        <v>10</v>
      </c>
      <c r="I17" s="263" t="s">
        <v>126</v>
      </c>
      <c r="J17" s="347">
        <v>12</v>
      </c>
      <c r="L17" s="241">
        <f>J17-H17</f>
        <v>2</v>
      </c>
    </row>
    <row r="18" spans="1:15" ht="16" thickBot="1" x14ac:dyDescent="0.4">
      <c r="A18" s="257" t="s">
        <v>665</v>
      </c>
      <c r="B18" s="268"/>
      <c r="C18" s="269">
        <v>4</v>
      </c>
      <c r="D18" s="269">
        <v>4</v>
      </c>
      <c r="E18" s="269">
        <v>4</v>
      </c>
      <c r="F18" s="269">
        <v>4</v>
      </c>
      <c r="G18" s="270">
        <v>4</v>
      </c>
      <c r="H18" s="243">
        <f t="shared" si="0"/>
        <v>56</v>
      </c>
      <c r="I18" s="263" t="s">
        <v>126</v>
      </c>
      <c r="J18" s="348">
        <v>56</v>
      </c>
      <c r="L18" s="241">
        <f>J18-H18</f>
        <v>0</v>
      </c>
    </row>
    <row r="27" spans="1:15" x14ac:dyDescent="0.35">
      <c r="O27" s="241" t="s">
        <v>124</v>
      </c>
    </row>
  </sheetData>
  <printOptions headings="1" gridLines="1"/>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4"/>
  <sheetViews>
    <sheetView zoomScaleNormal="100" workbookViewId="0">
      <selection activeCell="K20" sqref="K20"/>
    </sheetView>
  </sheetViews>
  <sheetFormatPr defaultColWidth="9.08984375" defaultRowHeight="15.5" x14ac:dyDescent="0.35"/>
  <cols>
    <col min="1" max="1" width="16.26953125" style="241" customWidth="1"/>
    <col min="2" max="5" width="10.36328125" style="241" customWidth="1"/>
    <col min="6" max="6" width="13.7265625" style="241" bestFit="1" customWidth="1"/>
    <col min="7" max="7" width="4.26953125" style="241" customWidth="1"/>
    <col min="8" max="8" width="10.81640625" style="241" customWidth="1"/>
    <col min="9" max="9" width="9.08984375" style="241"/>
    <col min="10" max="10" width="15.6328125" style="241" customWidth="1"/>
    <col min="11" max="11" width="15.7265625" style="241" customWidth="1"/>
    <col min="12" max="16384" width="9.08984375" style="241"/>
  </cols>
  <sheetData>
    <row r="1" spans="1:8" ht="18.5" x14ac:dyDescent="0.45">
      <c r="A1" s="240" t="s">
        <v>675</v>
      </c>
      <c r="F1" s="243"/>
    </row>
    <row r="2" spans="1:8" x14ac:dyDescent="0.35">
      <c r="F2" s="243"/>
    </row>
    <row r="3" spans="1:8" ht="16" thickBot="1" x14ac:dyDescent="0.4">
      <c r="A3" s="257" t="s">
        <v>568</v>
      </c>
      <c r="B3" s="258" t="s">
        <v>442</v>
      </c>
      <c r="C3" s="258" t="s">
        <v>443</v>
      </c>
      <c r="D3" s="258" t="s">
        <v>444</v>
      </c>
      <c r="E3" s="258" t="s">
        <v>445</v>
      </c>
      <c r="F3" s="245"/>
      <c r="G3" s="241" t="s">
        <v>124</v>
      </c>
    </row>
    <row r="4" spans="1:8" ht="16" thickBot="1" x14ac:dyDescent="0.4">
      <c r="A4" s="257" t="s">
        <v>144</v>
      </c>
      <c r="B4" s="272">
        <v>750000.00000000023</v>
      </c>
      <c r="C4" s="273">
        <v>950000.00000000047</v>
      </c>
      <c r="D4" s="273">
        <v>1499999.9999999998</v>
      </c>
      <c r="E4" s="274">
        <v>1800000</v>
      </c>
      <c r="F4" s="245" t="s">
        <v>676</v>
      </c>
    </row>
    <row r="5" spans="1:8" ht="16" thickBot="1" x14ac:dyDescent="0.4">
      <c r="A5" s="257" t="s">
        <v>677</v>
      </c>
      <c r="B5" s="275">
        <v>7.0000000000000007E-2</v>
      </c>
      <c r="C5" s="276">
        <v>0.11</v>
      </c>
      <c r="D5" s="276">
        <v>0.19</v>
      </c>
      <c r="E5" s="277">
        <v>0.15</v>
      </c>
      <c r="F5" s="345">
        <f>SUMPRODUCT($B$4:$E$4,B5:E5)</f>
        <v>712000</v>
      </c>
    </row>
    <row r="6" spans="1:8" ht="15.75" customHeight="1" x14ac:dyDescent="0.35">
      <c r="A6" s="257"/>
      <c r="B6" s="279"/>
      <c r="C6" s="279"/>
      <c r="D6" s="279"/>
      <c r="E6" s="279"/>
      <c r="F6" s="243"/>
    </row>
    <row r="7" spans="1:8" ht="16" thickBot="1" x14ac:dyDescent="0.4">
      <c r="A7" s="257"/>
      <c r="B7" s="279"/>
      <c r="C7" s="279"/>
      <c r="D7" s="279"/>
      <c r="E7" s="279"/>
      <c r="F7" s="245" t="s">
        <v>551</v>
      </c>
      <c r="G7" s="241" t="s">
        <v>124</v>
      </c>
      <c r="H7" s="245" t="s">
        <v>446</v>
      </c>
    </row>
    <row r="8" spans="1:8" ht="16" thickBot="1" x14ac:dyDescent="0.4">
      <c r="A8" s="257" t="s">
        <v>678</v>
      </c>
      <c r="B8" s="280">
        <v>1</v>
      </c>
      <c r="C8" s="281"/>
      <c r="D8" s="281"/>
      <c r="E8" s="282"/>
      <c r="F8" s="243">
        <f>SUMPRODUCT($B$4:$E$4,B8:E8)</f>
        <v>750000.00000000023</v>
      </c>
      <c r="G8" s="263" t="s">
        <v>126</v>
      </c>
      <c r="H8" s="284">
        <v>1000000</v>
      </c>
    </row>
    <row r="9" spans="1:8" ht="16" thickBot="1" x14ac:dyDescent="0.4">
      <c r="A9" s="257" t="s">
        <v>679</v>
      </c>
      <c r="B9" s="286"/>
      <c r="C9" s="279">
        <v>1</v>
      </c>
      <c r="D9" s="279"/>
      <c r="E9" s="287"/>
      <c r="F9" s="243">
        <f t="shared" ref="F9:F14" si="0">SUMPRODUCT($B$4:$E$4,B9:E9)</f>
        <v>950000.00000000047</v>
      </c>
      <c r="G9" s="263" t="s">
        <v>126</v>
      </c>
      <c r="H9" s="284">
        <v>2500000</v>
      </c>
    </row>
    <row r="10" spans="1:8" ht="16" thickBot="1" x14ac:dyDescent="0.4">
      <c r="A10" s="257" t="s">
        <v>680</v>
      </c>
      <c r="B10" s="286"/>
      <c r="C10" s="279"/>
      <c r="D10" s="279">
        <v>1</v>
      </c>
      <c r="E10" s="287"/>
      <c r="F10" s="243">
        <f t="shared" si="0"/>
        <v>1499999.9999999998</v>
      </c>
      <c r="G10" s="263" t="s">
        <v>126</v>
      </c>
      <c r="H10" s="284">
        <v>1500000</v>
      </c>
    </row>
    <row r="11" spans="1:8" x14ac:dyDescent="0.35">
      <c r="A11" s="257" t="s">
        <v>681</v>
      </c>
      <c r="B11" s="286"/>
      <c r="C11" s="279"/>
      <c r="D11" s="279"/>
      <c r="E11" s="287">
        <v>1</v>
      </c>
      <c r="F11" s="243">
        <f t="shared" si="0"/>
        <v>1800000</v>
      </c>
      <c r="G11" s="263" t="s">
        <v>126</v>
      </c>
      <c r="H11" s="284">
        <v>1800000</v>
      </c>
    </row>
    <row r="12" spans="1:8" x14ac:dyDescent="0.35">
      <c r="A12" s="257" t="s">
        <v>682</v>
      </c>
      <c r="B12" s="286">
        <v>-0.55000000000000004</v>
      </c>
      <c r="C12" s="279">
        <v>-0.55000000000000004</v>
      </c>
      <c r="D12" s="279">
        <v>0.45</v>
      </c>
      <c r="E12" s="287">
        <v>0.45</v>
      </c>
      <c r="F12" s="243">
        <f t="shared" si="0"/>
        <v>549999.99999999942</v>
      </c>
      <c r="G12" s="263" t="s">
        <v>149</v>
      </c>
      <c r="H12" s="267">
        <v>0</v>
      </c>
    </row>
    <row r="13" spans="1:8" x14ac:dyDescent="0.35">
      <c r="A13" s="257" t="s">
        <v>683</v>
      </c>
      <c r="B13" s="286">
        <v>0.85</v>
      </c>
      <c r="C13" s="279">
        <v>-0.15</v>
      </c>
      <c r="D13" s="279">
        <v>-0.15</v>
      </c>
      <c r="E13" s="287">
        <v>-0.15</v>
      </c>
      <c r="F13" s="350">
        <f t="shared" si="0"/>
        <v>2.3283064365386963E-10</v>
      </c>
      <c r="G13" s="263" t="s">
        <v>149</v>
      </c>
      <c r="H13" s="267">
        <v>0</v>
      </c>
    </row>
    <row r="14" spans="1:8" ht="16" thickBot="1" x14ac:dyDescent="0.4">
      <c r="A14" s="257" t="s">
        <v>684</v>
      </c>
      <c r="B14" s="289">
        <v>1</v>
      </c>
      <c r="C14" s="290">
        <v>1</v>
      </c>
      <c r="D14" s="290">
        <v>1</v>
      </c>
      <c r="E14" s="291">
        <v>1</v>
      </c>
      <c r="F14" s="243">
        <f t="shared" si="0"/>
        <v>5000000</v>
      </c>
      <c r="G14" s="263" t="s">
        <v>126</v>
      </c>
      <c r="H14" s="271">
        <v>5000000</v>
      </c>
    </row>
  </sheetData>
  <printOptions headings="1" gridLines="1"/>
  <pageMargins left="0.7" right="0.7" top="0.75" bottom="0.75" header="0.3" footer="0.3"/>
  <pageSetup orientation="portrait" blackAndWhite="1"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7"/>
  <sheetViews>
    <sheetView zoomScaleNormal="100" workbookViewId="0">
      <selection activeCell="N18" sqref="N18"/>
    </sheetView>
  </sheetViews>
  <sheetFormatPr defaultColWidth="9.08984375" defaultRowHeight="15.5" x14ac:dyDescent="0.35"/>
  <cols>
    <col min="1" max="1" width="13.7265625" style="241" customWidth="1"/>
    <col min="2" max="7" width="8.08984375" style="241" customWidth="1"/>
    <col min="8" max="8" width="11.36328125" style="241" customWidth="1"/>
    <col min="9" max="9" width="6.7265625" style="241" customWidth="1"/>
    <col min="10" max="10" width="7.7265625" style="241" customWidth="1"/>
    <col min="11" max="16384" width="9.08984375" style="241"/>
  </cols>
  <sheetData>
    <row r="1" spans="1:10" ht="18.5" x14ac:dyDescent="0.45">
      <c r="A1" s="240" t="s">
        <v>15</v>
      </c>
    </row>
    <row r="2" spans="1:10" x14ac:dyDescent="0.35">
      <c r="B2" s="243"/>
      <c r="C2" s="243"/>
      <c r="D2" s="243"/>
      <c r="E2" s="243"/>
      <c r="F2" s="243"/>
      <c r="G2" s="243"/>
      <c r="H2" s="243"/>
      <c r="I2" s="243"/>
      <c r="J2" s="243"/>
    </row>
    <row r="3" spans="1:10" x14ac:dyDescent="0.35">
      <c r="A3" s="257" t="s">
        <v>441</v>
      </c>
      <c r="B3" s="245" t="s">
        <v>442</v>
      </c>
      <c r="C3" s="245" t="s">
        <v>443</v>
      </c>
      <c r="D3" s="245" t="s">
        <v>444</v>
      </c>
      <c r="E3" s="245" t="s">
        <v>445</v>
      </c>
      <c r="F3" s="245" t="s">
        <v>569</v>
      </c>
      <c r="G3" s="245" t="s">
        <v>570</v>
      </c>
      <c r="H3" s="243"/>
      <c r="I3" s="243"/>
      <c r="J3" s="243"/>
    </row>
    <row r="4" spans="1:10" ht="16" thickBot="1" x14ac:dyDescent="0.4">
      <c r="A4" s="257" t="s">
        <v>227</v>
      </c>
      <c r="B4" s="345">
        <v>0.33333333333333337</v>
      </c>
      <c r="C4" s="345">
        <v>1</v>
      </c>
      <c r="D4" s="345">
        <v>0</v>
      </c>
      <c r="E4" s="345">
        <v>0</v>
      </c>
      <c r="F4" s="345">
        <v>0</v>
      </c>
      <c r="G4" s="345">
        <v>0</v>
      </c>
      <c r="H4" s="245" t="s">
        <v>666</v>
      </c>
      <c r="I4" s="243"/>
      <c r="J4" s="243"/>
    </row>
    <row r="5" spans="1:10" ht="16" thickBot="1" x14ac:dyDescent="0.4">
      <c r="A5" s="257" t="s">
        <v>667</v>
      </c>
      <c r="B5" s="252">
        <v>22500</v>
      </c>
      <c r="C5" s="253">
        <v>24000</v>
      </c>
      <c r="D5" s="253">
        <v>8000</v>
      </c>
      <c r="E5" s="253">
        <v>9500</v>
      </c>
      <c r="F5" s="253">
        <v>11500</v>
      </c>
      <c r="G5" s="254">
        <v>9750</v>
      </c>
      <c r="H5" s="345">
        <f>SUMPRODUCT($B$4:$G$4,B5:G5)</f>
        <v>31500</v>
      </c>
      <c r="I5" s="243"/>
      <c r="J5" s="243"/>
    </row>
    <row r="6" spans="1:10" x14ac:dyDescent="0.35">
      <c r="B6" s="243"/>
      <c r="C6" s="243"/>
      <c r="D6" s="243"/>
      <c r="E6" s="243"/>
      <c r="F6" s="243"/>
      <c r="G6" s="243"/>
      <c r="H6" s="243"/>
      <c r="I6" s="243"/>
      <c r="J6" s="243"/>
    </row>
    <row r="7" spans="1:10" ht="16" thickBot="1" x14ac:dyDescent="0.4">
      <c r="A7" s="257" t="s">
        <v>537</v>
      </c>
      <c r="B7" s="243"/>
      <c r="C7" s="243"/>
      <c r="D7" s="243"/>
      <c r="E7" s="243"/>
      <c r="F7" s="243"/>
      <c r="G7" s="243"/>
      <c r="H7" s="245" t="s">
        <v>551</v>
      </c>
      <c r="I7" s="245" t="s">
        <v>110</v>
      </c>
      <c r="J7" s="245" t="s">
        <v>446</v>
      </c>
    </row>
    <row r="8" spans="1:10" x14ac:dyDescent="0.35">
      <c r="A8" s="257" t="s">
        <v>668</v>
      </c>
      <c r="B8" s="297">
        <v>7500</v>
      </c>
      <c r="C8" s="299">
        <v>7500</v>
      </c>
      <c r="D8" s="299">
        <v>3000</v>
      </c>
      <c r="E8" s="299">
        <v>3500</v>
      </c>
      <c r="F8" s="299">
        <v>4000</v>
      </c>
      <c r="G8" s="300">
        <v>3500</v>
      </c>
      <c r="H8" s="243">
        <f t="shared" ref="H8:H14" si="0">SUMPRODUCT($B$4:$G$4,B8:G8)</f>
        <v>10000</v>
      </c>
      <c r="I8" s="263" t="s">
        <v>126</v>
      </c>
      <c r="J8" s="346">
        <v>10000</v>
      </c>
    </row>
    <row r="9" spans="1:10" x14ac:dyDescent="0.35">
      <c r="A9" s="245" t="s">
        <v>669</v>
      </c>
      <c r="B9" s="265">
        <v>1</v>
      </c>
      <c r="C9" s="243"/>
      <c r="D9" s="243"/>
      <c r="E9" s="243"/>
      <c r="F9" s="243"/>
      <c r="G9" s="266"/>
      <c r="H9" s="243">
        <f t="shared" si="0"/>
        <v>0.33333333333333337</v>
      </c>
      <c r="I9" s="263" t="s">
        <v>126</v>
      </c>
      <c r="J9" s="347">
        <v>1</v>
      </c>
    </row>
    <row r="10" spans="1:10" x14ac:dyDescent="0.35">
      <c r="A10" s="245" t="s">
        <v>670</v>
      </c>
      <c r="B10" s="265"/>
      <c r="C10" s="243">
        <v>1</v>
      </c>
      <c r="D10" s="243"/>
      <c r="E10" s="243"/>
      <c r="F10" s="243"/>
      <c r="G10" s="266"/>
      <c r="H10" s="243">
        <f t="shared" si="0"/>
        <v>1</v>
      </c>
      <c r="I10" s="263" t="s">
        <v>126</v>
      </c>
      <c r="J10" s="347">
        <v>1</v>
      </c>
    </row>
    <row r="11" spans="1:10" x14ac:dyDescent="0.35">
      <c r="A11" s="245" t="s">
        <v>671</v>
      </c>
      <c r="B11" s="265"/>
      <c r="C11" s="243"/>
      <c r="D11" s="243">
        <v>1</v>
      </c>
      <c r="E11" s="243"/>
      <c r="F11" s="243"/>
      <c r="G11" s="266"/>
      <c r="H11" s="243">
        <f t="shared" si="0"/>
        <v>0</v>
      </c>
      <c r="I11" s="263" t="s">
        <v>126</v>
      </c>
      <c r="J11" s="347">
        <v>1</v>
      </c>
    </row>
    <row r="12" spans="1:10" x14ac:dyDescent="0.35">
      <c r="A12" s="245" t="s">
        <v>672</v>
      </c>
      <c r="B12" s="265"/>
      <c r="C12" s="243"/>
      <c r="D12" s="243"/>
      <c r="E12" s="243">
        <v>1</v>
      </c>
      <c r="F12" s="243"/>
      <c r="G12" s="266"/>
      <c r="H12" s="243">
        <f t="shared" si="0"/>
        <v>0</v>
      </c>
      <c r="I12" s="263" t="s">
        <v>126</v>
      </c>
      <c r="J12" s="347">
        <v>1</v>
      </c>
    </row>
    <row r="13" spans="1:10" x14ac:dyDescent="0.35">
      <c r="A13" s="245" t="s">
        <v>673</v>
      </c>
      <c r="B13" s="265"/>
      <c r="C13" s="243"/>
      <c r="D13" s="243"/>
      <c r="E13" s="243"/>
      <c r="F13" s="243">
        <v>1</v>
      </c>
      <c r="G13" s="266"/>
      <c r="H13" s="243">
        <f t="shared" si="0"/>
        <v>0</v>
      </c>
      <c r="I13" s="263" t="s">
        <v>126</v>
      </c>
      <c r="J13" s="347">
        <v>1</v>
      </c>
    </row>
    <row r="14" spans="1:10" ht="16" thickBot="1" x14ac:dyDescent="0.4">
      <c r="A14" s="245" t="s">
        <v>674</v>
      </c>
      <c r="B14" s="268"/>
      <c r="C14" s="269"/>
      <c r="D14" s="269"/>
      <c r="E14" s="269"/>
      <c r="F14" s="269"/>
      <c r="G14" s="270">
        <v>1</v>
      </c>
      <c r="H14" s="243">
        <f t="shared" si="0"/>
        <v>0</v>
      </c>
      <c r="I14" s="263" t="s">
        <v>126</v>
      </c>
      <c r="J14" s="348">
        <v>1</v>
      </c>
    </row>
    <row r="17" spans="3:5" x14ac:dyDescent="0.35">
      <c r="C17" s="247"/>
      <c r="D17" s="244"/>
    </row>
    <row r="18" spans="3:5" x14ac:dyDescent="0.35">
      <c r="C18" s="257"/>
    </row>
    <row r="19" spans="3:5" x14ac:dyDescent="0.35">
      <c r="C19" s="257"/>
    </row>
    <row r="20" spans="3:5" x14ac:dyDescent="0.35">
      <c r="C20" s="257"/>
    </row>
    <row r="21" spans="3:5" x14ac:dyDescent="0.35">
      <c r="C21" s="257"/>
    </row>
    <row r="22" spans="3:5" x14ac:dyDescent="0.35">
      <c r="C22" s="257"/>
    </row>
    <row r="23" spans="3:5" x14ac:dyDescent="0.35">
      <c r="C23" s="257"/>
    </row>
    <row r="24" spans="3:5" x14ac:dyDescent="0.35">
      <c r="C24" s="257"/>
    </row>
    <row r="25" spans="3:5" x14ac:dyDescent="0.35">
      <c r="C25" s="257"/>
      <c r="E25" s="349"/>
    </row>
    <row r="26" spans="3:5" x14ac:dyDescent="0.35">
      <c r="C26" s="257"/>
    </row>
    <row r="27" spans="3:5" x14ac:dyDescent="0.35">
      <c r="C27" s="25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
  <sheetViews>
    <sheetView zoomScaleNormal="100" workbookViewId="0"/>
  </sheetViews>
  <sheetFormatPr defaultColWidth="9.08984375" defaultRowHeight="15.5" x14ac:dyDescent="0.35"/>
  <cols>
    <col min="1" max="1" width="12.7265625" style="241" customWidth="1"/>
    <col min="2" max="4" width="9.08984375" style="241"/>
    <col min="5" max="5" width="17.08984375" style="241" customWidth="1"/>
    <col min="6" max="6" width="6.81640625" style="241" customWidth="1"/>
    <col min="7" max="16384" width="9.08984375" style="241"/>
  </cols>
  <sheetData>
    <row r="1" spans="1:9" ht="18.5" x14ac:dyDescent="0.45">
      <c r="A1" s="351" t="s">
        <v>698</v>
      </c>
    </row>
    <row r="3" spans="1:9" x14ac:dyDescent="0.35">
      <c r="B3" s="245" t="s">
        <v>697</v>
      </c>
      <c r="C3" s="245" t="s">
        <v>696</v>
      </c>
      <c r="D3" s="245" t="s">
        <v>695</v>
      </c>
    </row>
    <row r="4" spans="1:9" x14ac:dyDescent="0.35">
      <c r="A4" s="257" t="s">
        <v>568</v>
      </c>
      <c r="B4" s="245" t="s">
        <v>694</v>
      </c>
      <c r="C4" s="245" t="s">
        <v>693</v>
      </c>
      <c r="D4" s="245" t="s">
        <v>692</v>
      </c>
      <c r="F4" s="241" t="s">
        <v>124</v>
      </c>
    </row>
    <row r="5" spans="1:9" ht="16" thickBot="1" x14ac:dyDescent="0.4">
      <c r="A5" s="257" t="s">
        <v>691</v>
      </c>
      <c r="B5" s="345">
        <v>2.4999999999999592E-2</v>
      </c>
      <c r="C5" s="345">
        <v>5.0000000000000065E-2</v>
      </c>
      <c r="D5" s="345">
        <v>5.0000000000000343E-2</v>
      </c>
      <c r="E5" s="245" t="s">
        <v>118</v>
      </c>
    </row>
    <row r="6" spans="1:9" ht="16" thickBot="1" x14ac:dyDescent="0.4">
      <c r="A6" s="257" t="s">
        <v>690</v>
      </c>
      <c r="B6" s="252">
        <v>0.33</v>
      </c>
      <c r="C6" s="253">
        <v>0.47</v>
      </c>
      <c r="D6" s="254">
        <v>0.38</v>
      </c>
      <c r="E6" s="278">
        <f>SUMPRODUCT($B$5:$D$5,B6:D6)</f>
        <v>5.0750000000000017E-2</v>
      </c>
      <c r="F6" s="241" t="s">
        <v>124</v>
      </c>
      <c r="G6" s="241" t="s">
        <v>124</v>
      </c>
    </row>
    <row r="7" spans="1:9" x14ac:dyDescent="0.35">
      <c r="A7" s="257"/>
      <c r="B7" s="243"/>
      <c r="C7" s="243"/>
      <c r="D7" s="243"/>
    </row>
    <row r="8" spans="1:9" ht="16" thickBot="1" x14ac:dyDescent="0.4">
      <c r="A8" s="257" t="s">
        <v>537</v>
      </c>
      <c r="B8" s="243"/>
      <c r="C8" s="243"/>
      <c r="D8" s="243"/>
      <c r="E8" s="245" t="s">
        <v>551</v>
      </c>
      <c r="F8" s="245" t="s">
        <v>110</v>
      </c>
      <c r="G8" s="245" t="s">
        <v>446</v>
      </c>
      <c r="I8" s="241" t="s">
        <v>552</v>
      </c>
    </row>
    <row r="9" spans="1:9" x14ac:dyDescent="0.35">
      <c r="A9" s="257" t="s">
        <v>689</v>
      </c>
      <c r="B9" s="259">
        <v>22</v>
      </c>
      <c r="C9" s="260">
        <v>28</v>
      </c>
      <c r="D9" s="261">
        <v>21</v>
      </c>
      <c r="E9" s="243">
        <f>SUMPRODUCT($B$5:$D$5,B9:D9)</f>
        <v>3</v>
      </c>
      <c r="F9" s="263" t="s">
        <v>149</v>
      </c>
      <c r="G9" s="346">
        <v>3</v>
      </c>
      <c r="I9" s="241">
        <f>E9-G9</f>
        <v>0</v>
      </c>
    </row>
    <row r="10" spans="1:9" x14ac:dyDescent="0.35">
      <c r="A10" s="257" t="s">
        <v>688</v>
      </c>
      <c r="B10" s="265">
        <v>16</v>
      </c>
      <c r="C10" s="243">
        <v>14</v>
      </c>
      <c r="D10" s="266">
        <v>25</v>
      </c>
      <c r="E10" s="243">
        <f>SUMPRODUCT($B$5:$D$5,B10:D10)</f>
        <v>2.3500000000000032</v>
      </c>
      <c r="F10" s="263" t="s">
        <v>149</v>
      </c>
      <c r="G10" s="347">
        <v>2</v>
      </c>
      <c r="I10" s="241">
        <f>E10-G10</f>
        <v>0.3500000000000032</v>
      </c>
    </row>
    <row r="11" spans="1:9" x14ac:dyDescent="0.35">
      <c r="A11" s="257" t="s">
        <v>687</v>
      </c>
      <c r="B11" s="265">
        <v>8</v>
      </c>
      <c r="C11" s="243">
        <v>7</v>
      </c>
      <c r="D11" s="266">
        <v>9</v>
      </c>
      <c r="E11" s="243">
        <f>SUMPRODUCT($B$5:$D$5,B11:D11)</f>
        <v>1.0000000000000002</v>
      </c>
      <c r="F11" s="263" t="s">
        <v>149</v>
      </c>
      <c r="G11" s="347">
        <v>1</v>
      </c>
      <c r="I11" s="241">
        <f>E11-G11</f>
        <v>0</v>
      </c>
    </row>
    <row r="12" spans="1:9" x14ac:dyDescent="0.35">
      <c r="A12" s="257" t="s">
        <v>686</v>
      </c>
      <c r="B12" s="265">
        <v>5</v>
      </c>
      <c r="C12" s="243">
        <v>0</v>
      </c>
      <c r="D12" s="266">
        <v>6</v>
      </c>
      <c r="E12" s="243">
        <f>SUMPRODUCT($B$5:$D$5,B12:D12)</f>
        <v>0.42499999999999999</v>
      </c>
      <c r="F12" s="263" t="s">
        <v>149</v>
      </c>
      <c r="G12" s="347">
        <v>0.42499999999999999</v>
      </c>
      <c r="I12" s="241">
        <f>E12-G12</f>
        <v>0</v>
      </c>
    </row>
    <row r="13" spans="1:9" ht="16" thickBot="1" x14ac:dyDescent="0.4">
      <c r="A13" s="257" t="s">
        <v>685</v>
      </c>
      <c r="B13" s="268">
        <v>1</v>
      </c>
      <c r="C13" s="269">
        <v>1</v>
      </c>
      <c r="D13" s="270">
        <v>1</v>
      </c>
      <c r="E13" s="243">
        <f>SUMPRODUCT($B$5:$D$5,B13:D13)</f>
        <v>0.125</v>
      </c>
      <c r="F13" s="245" t="s">
        <v>101</v>
      </c>
      <c r="G13" s="348">
        <v>0.125</v>
      </c>
      <c r="I13" s="241">
        <f>E13-G13</f>
        <v>0</v>
      </c>
    </row>
  </sheetData>
  <printOptions headings="1" gridLines="1"/>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13"/>
  <sheetViews>
    <sheetView zoomScaleNormal="100" workbookViewId="0"/>
  </sheetViews>
  <sheetFormatPr defaultColWidth="9.08984375" defaultRowHeight="15.5" x14ac:dyDescent="0.35"/>
  <cols>
    <col min="1" max="1" width="18.36328125" style="352" customWidth="1"/>
    <col min="2" max="2" width="9.81640625" style="352" bestFit="1" customWidth="1"/>
    <col min="3" max="3" width="11" style="352" bestFit="1" customWidth="1"/>
    <col min="4" max="4" width="9.81640625" style="352" bestFit="1" customWidth="1"/>
    <col min="5" max="5" width="11" style="352" bestFit="1" customWidth="1"/>
    <col min="6" max="6" width="17" style="352" customWidth="1"/>
    <col min="7" max="9" width="9.08984375" style="352"/>
    <col min="10" max="10" width="13.7265625" style="352" bestFit="1" customWidth="1"/>
    <col min="11" max="16384" width="9.08984375" style="352"/>
  </cols>
  <sheetData>
    <row r="1" spans="1:12" ht="18.5" x14ac:dyDescent="0.45">
      <c r="A1" s="240" t="s">
        <v>699</v>
      </c>
      <c r="B1" s="241"/>
      <c r="C1" s="241"/>
      <c r="D1" s="241"/>
      <c r="E1" s="241"/>
      <c r="F1" s="241"/>
      <c r="G1" s="241"/>
      <c r="H1" s="241"/>
      <c r="I1" s="241"/>
      <c r="J1" s="241"/>
      <c r="K1" s="241"/>
      <c r="L1" s="241"/>
    </row>
    <row r="2" spans="1:12" x14ac:dyDescent="0.35">
      <c r="A2" s="241"/>
      <c r="B2" s="241"/>
      <c r="C2" s="241"/>
      <c r="D2" s="241"/>
      <c r="E2" s="241"/>
      <c r="F2" s="241"/>
      <c r="G2" s="241"/>
      <c r="H2" s="241"/>
      <c r="I2" s="241"/>
      <c r="J2" s="241"/>
      <c r="K2" s="241"/>
      <c r="L2" s="241"/>
    </row>
    <row r="3" spans="1:12" x14ac:dyDescent="0.35">
      <c r="A3" s="241"/>
      <c r="B3" s="257" t="s">
        <v>700</v>
      </c>
      <c r="C3" s="257" t="s">
        <v>701</v>
      </c>
      <c r="D3" s="257" t="s">
        <v>702</v>
      </c>
      <c r="E3" s="257" t="s">
        <v>703</v>
      </c>
      <c r="F3" s="241"/>
      <c r="G3" s="241"/>
      <c r="H3" s="241"/>
      <c r="I3" s="241"/>
      <c r="J3" s="241"/>
      <c r="K3" s="241"/>
      <c r="L3" s="241"/>
    </row>
    <row r="4" spans="1:12" x14ac:dyDescent="0.35">
      <c r="A4" s="257" t="s">
        <v>568</v>
      </c>
      <c r="B4" s="245" t="s">
        <v>442</v>
      </c>
      <c r="C4" s="245" t="s">
        <v>443</v>
      </c>
      <c r="D4" s="245" t="s">
        <v>444</v>
      </c>
      <c r="E4" s="245" t="s">
        <v>445</v>
      </c>
      <c r="F4" s="241"/>
      <c r="G4" s="241" t="s">
        <v>124</v>
      </c>
      <c r="H4" s="241"/>
      <c r="I4" s="241"/>
      <c r="J4" s="241"/>
      <c r="K4" s="241"/>
      <c r="L4" s="241"/>
    </row>
    <row r="5" spans="1:12" ht="16" thickBot="1" x14ac:dyDescent="0.4">
      <c r="A5" s="257" t="s">
        <v>691</v>
      </c>
      <c r="B5" s="345">
        <v>15000</v>
      </c>
      <c r="C5" s="353">
        <v>26666.666666666664</v>
      </c>
      <c r="D5" s="345">
        <v>10000.000000000002</v>
      </c>
      <c r="E5" s="353">
        <v>5333.333333333333</v>
      </c>
      <c r="F5" s="245" t="s">
        <v>118</v>
      </c>
      <c r="G5" s="241"/>
      <c r="H5" s="241"/>
      <c r="I5" s="241"/>
      <c r="J5" s="241"/>
      <c r="K5" s="241"/>
      <c r="L5" s="241"/>
    </row>
    <row r="6" spans="1:12" ht="16" thickBot="1" x14ac:dyDescent="0.4">
      <c r="A6" s="257" t="s">
        <v>115</v>
      </c>
      <c r="B6" s="252">
        <v>30</v>
      </c>
      <c r="C6" s="253">
        <v>30</v>
      </c>
      <c r="D6" s="253">
        <v>34.799999999999997</v>
      </c>
      <c r="E6" s="254">
        <v>34.799999999999997</v>
      </c>
      <c r="F6" s="278">
        <f>SUMPRODUCT($B$5:$E$5,B6:E6)</f>
        <v>1783600</v>
      </c>
      <c r="G6" s="241" t="s">
        <v>124</v>
      </c>
      <c r="H6" s="241" t="s">
        <v>124</v>
      </c>
      <c r="I6" s="241"/>
      <c r="J6" s="241"/>
      <c r="K6" s="241"/>
      <c r="L6" s="241"/>
    </row>
    <row r="7" spans="1:12" x14ac:dyDescent="0.35">
      <c r="A7" s="257"/>
      <c r="B7" s="243"/>
      <c r="C7" s="243"/>
      <c r="D7" s="243"/>
      <c r="E7" s="243"/>
      <c r="F7" s="241"/>
      <c r="G7" s="241"/>
      <c r="H7" s="241"/>
      <c r="I7" s="241"/>
      <c r="J7" s="241"/>
      <c r="K7" s="241"/>
      <c r="L7" s="241"/>
    </row>
    <row r="8" spans="1:12" ht="16" thickBot="1" x14ac:dyDescent="0.4">
      <c r="A8" s="257" t="s">
        <v>537</v>
      </c>
      <c r="B8" s="243"/>
      <c r="C8" s="243"/>
      <c r="D8" s="243"/>
      <c r="E8" s="243"/>
      <c r="F8" s="245" t="s">
        <v>551</v>
      </c>
      <c r="G8" s="245" t="s">
        <v>110</v>
      </c>
      <c r="H8" s="245" t="s">
        <v>446</v>
      </c>
      <c r="I8" s="241"/>
      <c r="J8" s="241" t="s">
        <v>552</v>
      </c>
      <c r="K8" s="241"/>
      <c r="L8" s="241"/>
    </row>
    <row r="9" spans="1:12" x14ac:dyDescent="0.35">
      <c r="A9" s="257" t="s">
        <v>704</v>
      </c>
      <c r="B9" s="259">
        <v>1</v>
      </c>
      <c r="C9" s="260"/>
      <c r="D9" s="260">
        <v>1</v>
      </c>
      <c r="E9" s="261"/>
      <c r="F9" s="278">
        <f>SUMPRODUCT($B$5:$E$5,B9:E9)</f>
        <v>25000</v>
      </c>
      <c r="G9" s="263" t="s">
        <v>149</v>
      </c>
      <c r="H9" s="346">
        <v>25000</v>
      </c>
      <c r="I9" s="241"/>
      <c r="J9" s="241">
        <f>F9-H9</f>
        <v>0</v>
      </c>
      <c r="K9" s="241"/>
      <c r="L9" s="241"/>
    </row>
    <row r="10" spans="1:12" x14ac:dyDescent="0.35">
      <c r="A10" s="257" t="s">
        <v>705</v>
      </c>
      <c r="B10" s="265"/>
      <c r="C10" s="243">
        <v>1</v>
      </c>
      <c r="D10" s="243"/>
      <c r="E10" s="266">
        <v>1</v>
      </c>
      <c r="F10" s="278">
        <f>SUMPRODUCT($B$5:$E$5,B10:E10)</f>
        <v>31999.999999999996</v>
      </c>
      <c r="G10" s="263" t="s">
        <v>149</v>
      </c>
      <c r="H10" s="347">
        <v>32000</v>
      </c>
      <c r="I10" s="241"/>
      <c r="J10" s="241">
        <f>F10-H10</f>
        <v>0</v>
      </c>
      <c r="K10" s="241"/>
      <c r="L10" s="241"/>
    </row>
    <row r="11" spans="1:12" x14ac:dyDescent="0.35">
      <c r="A11" s="257" t="s">
        <v>706</v>
      </c>
      <c r="B11" s="265">
        <v>-0.1</v>
      </c>
      <c r="C11" s="243"/>
      <c r="D11" s="243">
        <v>0.15</v>
      </c>
      <c r="E11" s="266"/>
      <c r="F11" s="354">
        <f>SUMPRODUCT($B$5:$E$5,B11:E11)</f>
        <v>2.2737367544323206E-13</v>
      </c>
      <c r="G11" s="263" t="s">
        <v>149</v>
      </c>
      <c r="H11" s="347">
        <v>0</v>
      </c>
      <c r="I11" s="241"/>
      <c r="J11" s="292">
        <f>F11-H11</f>
        <v>2.2737367544323206E-13</v>
      </c>
      <c r="K11" s="241"/>
      <c r="L11" s="241"/>
    </row>
    <row r="12" spans="1:12" ht="16" thickBot="1" x14ac:dyDescent="0.4">
      <c r="A12" s="257" t="s">
        <v>707</v>
      </c>
      <c r="B12" s="268"/>
      <c r="C12" s="269">
        <v>0.05</v>
      </c>
      <c r="D12" s="269"/>
      <c r="E12" s="270">
        <v>-0.25</v>
      </c>
      <c r="F12" s="278">
        <f>SUMPRODUCT($B$5:$E$5,B12:E12)</f>
        <v>0</v>
      </c>
      <c r="G12" s="263" t="s">
        <v>126</v>
      </c>
      <c r="H12" s="348">
        <v>0</v>
      </c>
      <c r="I12" s="241"/>
      <c r="J12" s="241">
        <f>F12-H12</f>
        <v>0</v>
      </c>
      <c r="K12" s="241"/>
      <c r="L12" s="241"/>
    </row>
    <row r="13" spans="1:12" x14ac:dyDescent="0.35">
      <c r="A13" s="241"/>
      <c r="B13" s="241"/>
      <c r="C13" s="241"/>
      <c r="D13" s="241"/>
      <c r="E13" s="241"/>
      <c r="F13" s="241"/>
      <c r="G13" s="241"/>
      <c r="H13" s="241"/>
      <c r="I13" s="241"/>
      <c r="J13" s="241"/>
      <c r="K13" s="241"/>
      <c r="L13" s="241"/>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3"/>
  <dimension ref="A1:I23"/>
  <sheetViews>
    <sheetView zoomScale="90" zoomScaleNormal="90" workbookViewId="0">
      <selection activeCell="B13" sqref="B13:D13"/>
    </sheetView>
  </sheetViews>
  <sheetFormatPr defaultColWidth="8.81640625" defaultRowHeight="13" x14ac:dyDescent="0.3"/>
  <cols>
    <col min="1" max="1" width="15.81640625" style="613" bestFit="1" customWidth="1"/>
    <col min="2" max="16384" width="8.81640625" style="613"/>
  </cols>
  <sheetData>
    <row r="1" spans="1:9" ht="18.5" x14ac:dyDescent="0.45">
      <c r="A1" s="648" t="s">
        <v>943</v>
      </c>
    </row>
    <row r="3" spans="1:9" ht="15.5" x14ac:dyDescent="0.35">
      <c r="A3" s="647" t="s">
        <v>17</v>
      </c>
      <c r="B3" s="616"/>
      <c r="C3" s="616"/>
      <c r="D3" s="616"/>
      <c r="E3" s="616"/>
      <c r="F3" s="616"/>
      <c r="G3" s="616"/>
      <c r="H3" s="616"/>
      <c r="I3" s="616"/>
    </row>
    <row r="4" spans="1:9" x14ac:dyDescent="0.3">
      <c r="A4" s="617"/>
      <c r="B4" s="617"/>
      <c r="C4" s="617"/>
    </row>
    <row r="8" spans="1:9" ht="13.5" thickBot="1" x14ac:dyDescent="0.35">
      <c r="A8" s="618" t="s">
        <v>27</v>
      </c>
      <c r="B8" s="612" t="str">
        <f>IF(SUM(B13:D13)&gt;SUM(E10:E12),"Demand is greater than supply! Recreate this model with an extra (dummy) row that has a supply equal to the difference between total supply and total demand.","")</f>
        <v/>
      </c>
      <c r="C8" s="612"/>
    </row>
    <row r="9" spans="1:9" x14ac:dyDescent="0.3">
      <c r="A9" s="620" t="s">
        <v>120</v>
      </c>
      <c r="B9" s="621" t="s">
        <v>127</v>
      </c>
      <c r="C9" s="621" t="s">
        <v>128</v>
      </c>
      <c r="D9" s="621" t="s">
        <v>129</v>
      </c>
      <c r="E9" s="622" t="s">
        <v>121</v>
      </c>
    </row>
    <row r="10" spans="1:9" x14ac:dyDescent="0.3">
      <c r="A10" s="623" t="s">
        <v>130</v>
      </c>
      <c r="B10" s="619">
        <v>5</v>
      </c>
      <c r="C10" s="619">
        <v>4</v>
      </c>
      <c r="D10" s="619">
        <v>3</v>
      </c>
      <c r="E10" s="624">
        <v>100</v>
      </c>
    </row>
    <row r="11" spans="1:9" x14ac:dyDescent="0.3">
      <c r="A11" s="623" t="s">
        <v>131</v>
      </c>
      <c r="B11" s="619">
        <v>8</v>
      </c>
      <c r="C11" s="619">
        <v>4</v>
      </c>
      <c r="D11" s="619">
        <v>3</v>
      </c>
      <c r="E11" s="624">
        <v>300</v>
      </c>
    </row>
    <row r="12" spans="1:9" x14ac:dyDescent="0.3">
      <c r="A12" s="623" t="s">
        <v>132</v>
      </c>
      <c r="B12" s="619">
        <v>9</v>
      </c>
      <c r="C12" s="619">
        <v>7</v>
      </c>
      <c r="D12" s="619">
        <v>5</v>
      </c>
      <c r="E12" s="624">
        <v>300</v>
      </c>
    </row>
    <row r="13" spans="1:9" ht="13.5" thickBot="1" x14ac:dyDescent="0.35">
      <c r="A13" s="625" t="s">
        <v>51</v>
      </c>
      <c r="B13" s="626">
        <v>300</v>
      </c>
      <c r="C13" s="626">
        <v>200</v>
      </c>
      <c r="D13" s="626">
        <v>200</v>
      </c>
      <c r="E13" s="627" t="str">
        <f>CONCATENATE(SUM(B13:D13)," \ ",SUM(E10:E12))</f>
        <v>700 \ 700</v>
      </c>
    </row>
    <row r="15" spans="1:9" ht="13.5" thickBot="1" x14ac:dyDescent="0.35">
      <c r="A15" s="629" t="s">
        <v>122</v>
      </c>
      <c r="B15" s="630"/>
      <c r="C15" s="630"/>
      <c r="D15" s="630"/>
      <c r="E15" s="630"/>
    </row>
    <row r="16" spans="1:9" ht="13.5" thickBot="1" x14ac:dyDescent="0.35">
      <c r="A16" s="633" t="s">
        <v>122</v>
      </c>
      <c r="B16" s="642" t="str">
        <f>B9</f>
        <v>Albuquerque</v>
      </c>
      <c r="C16" s="642" t="str">
        <f>C9</f>
        <v>Boston</v>
      </c>
      <c r="D16" s="642" t="str">
        <f>D9</f>
        <v>Cleveland</v>
      </c>
      <c r="E16" s="637" t="s">
        <v>123</v>
      </c>
      <c r="F16" s="628" t="s">
        <v>124</v>
      </c>
    </row>
    <row r="17" spans="1:6" x14ac:dyDescent="0.3">
      <c r="A17" s="640" t="str">
        <f>A10</f>
        <v>Des Moines</v>
      </c>
      <c r="B17" s="633">
        <v>100</v>
      </c>
      <c r="C17" s="634">
        <v>0</v>
      </c>
      <c r="D17" s="637">
        <v>0</v>
      </c>
      <c r="E17" s="641">
        <f>SUM(B17:D17)</f>
        <v>100</v>
      </c>
      <c r="F17" s="628"/>
    </row>
    <row r="18" spans="1:6" x14ac:dyDescent="0.3">
      <c r="A18" s="640" t="str">
        <f>A11</f>
        <v>Evansville</v>
      </c>
      <c r="B18" s="632">
        <v>0</v>
      </c>
      <c r="C18" s="631">
        <v>200</v>
      </c>
      <c r="D18" s="638">
        <v>100</v>
      </c>
      <c r="E18" s="641">
        <f t="shared" ref="E18:E19" si="0">SUM(B18:D18)</f>
        <v>300</v>
      </c>
      <c r="F18" s="628"/>
    </row>
    <row r="19" spans="1:6" ht="13.5" thickBot="1" x14ac:dyDescent="0.35">
      <c r="A19" s="640" t="str">
        <f>A12</f>
        <v>Fort Lauderdale</v>
      </c>
      <c r="B19" s="635">
        <v>200</v>
      </c>
      <c r="C19" s="636">
        <v>0</v>
      </c>
      <c r="D19" s="639">
        <v>100</v>
      </c>
      <c r="E19" s="641">
        <f t="shared" si="0"/>
        <v>300</v>
      </c>
      <c r="F19" s="628"/>
    </row>
    <row r="20" spans="1:6" ht="13.5" thickBot="1" x14ac:dyDescent="0.35">
      <c r="A20" s="635" t="s">
        <v>125</v>
      </c>
      <c r="B20" s="643">
        <f>SUM(B17:B19)</f>
        <v>300</v>
      </c>
      <c r="C20" s="643">
        <f t="shared" ref="C20:D20" si="1">SUM(C17:C19)</f>
        <v>200</v>
      </c>
      <c r="D20" s="643">
        <f t="shared" si="1"/>
        <v>200</v>
      </c>
      <c r="E20" s="639" t="str">
        <f>CONCATENATE(INT(SUM(B20:D20)+0.5)," \ ",INT(SUM(E17:E19)+0.5))</f>
        <v>700 \ 700</v>
      </c>
      <c r="F20" s="628"/>
    </row>
    <row r="21" spans="1:6" ht="13.5" thickBot="1" x14ac:dyDescent="0.35">
      <c r="A21" s="614" t="s">
        <v>124</v>
      </c>
      <c r="B21" s="614"/>
      <c r="C21" s="614"/>
      <c r="D21" s="614"/>
      <c r="E21" s="614"/>
    </row>
    <row r="22" spans="1:6" ht="13.5" thickBot="1" x14ac:dyDescent="0.35">
      <c r="A22" s="645" t="s">
        <v>118</v>
      </c>
      <c r="B22" s="646">
        <f>SUMPRODUCT(B10:D12,B17:D19)</f>
        <v>3900</v>
      </c>
      <c r="C22" s="615"/>
      <c r="D22" s="614"/>
      <c r="E22" s="614"/>
    </row>
    <row r="23" spans="1:6" x14ac:dyDescent="0.3">
      <c r="A23" s="644"/>
      <c r="B23" s="644"/>
    </row>
  </sheetData>
  <conditionalFormatting sqref="B17:D19">
    <cfRule type="cellIs" dxfId="6"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2"/>
  <dimension ref="A1:J25"/>
  <sheetViews>
    <sheetView zoomScale="90" zoomScaleNormal="90" workbookViewId="0">
      <selection activeCell="E14" sqref="E14"/>
    </sheetView>
  </sheetViews>
  <sheetFormatPr defaultColWidth="8.81640625" defaultRowHeight="13" x14ac:dyDescent="0.3"/>
  <cols>
    <col min="1" max="1" width="15.81640625" style="613" bestFit="1" customWidth="1"/>
    <col min="2" max="16384" width="8.81640625" style="613"/>
  </cols>
  <sheetData>
    <row r="1" spans="1:10" ht="18.5" x14ac:dyDescent="0.45">
      <c r="A1" s="648" t="s">
        <v>935</v>
      </c>
    </row>
    <row r="3" spans="1:10" ht="15.5" x14ac:dyDescent="0.35">
      <c r="A3" s="647" t="s">
        <v>17</v>
      </c>
      <c r="B3" s="616"/>
      <c r="C3" s="616"/>
      <c r="D3" s="616"/>
      <c r="E3" s="616"/>
      <c r="F3" s="616"/>
      <c r="G3" s="616"/>
      <c r="H3" s="616"/>
      <c r="I3" s="616"/>
      <c r="J3" s="616"/>
    </row>
    <row r="4" spans="1:10" x14ac:dyDescent="0.3">
      <c r="A4" s="617"/>
      <c r="B4" s="617"/>
      <c r="C4" s="617"/>
      <c r="D4" s="617"/>
    </row>
    <row r="8" spans="1:10" ht="13.5" thickBot="1" x14ac:dyDescent="0.35">
      <c r="A8" s="618" t="s">
        <v>27</v>
      </c>
      <c r="B8" s="612" t="str">
        <f>IF(SUM(B14:E14)&gt;SUM(F10:F13),"Demand is greater than supply! Recreate this model with an extra (dummy) row that has a supply equal to the difference between total supply and total demand.","")</f>
        <v/>
      </c>
      <c r="C8" s="612"/>
      <c r="D8" s="612"/>
    </row>
    <row r="9" spans="1:10" x14ac:dyDescent="0.3">
      <c r="A9" s="620" t="s">
        <v>120</v>
      </c>
      <c r="B9" s="621" t="s">
        <v>133</v>
      </c>
      <c r="C9" s="621" t="s">
        <v>936</v>
      </c>
      <c r="D9" s="621" t="s">
        <v>937</v>
      </c>
      <c r="E9" s="621" t="s">
        <v>938</v>
      </c>
      <c r="F9" s="622" t="s">
        <v>121</v>
      </c>
    </row>
    <row r="10" spans="1:10" x14ac:dyDescent="0.3">
      <c r="A10" s="623" t="s">
        <v>939</v>
      </c>
      <c r="B10" s="619">
        <v>73</v>
      </c>
      <c r="C10" s="619">
        <v>103</v>
      </c>
      <c r="D10" s="619">
        <v>88</v>
      </c>
      <c r="E10" s="619">
        <v>108</v>
      </c>
      <c r="F10" s="624">
        <v>15000</v>
      </c>
    </row>
    <row r="11" spans="1:10" x14ac:dyDescent="0.3">
      <c r="A11" s="623" t="s">
        <v>940</v>
      </c>
      <c r="B11" s="619">
        <v>85</v>
      </c>
      <c r="C11" s="619">
        <v>80</v>
      </c>
      <c r="D11" s="619">
        <v>100</v>
      </c>
      <c r="E11" s="619">
        <v>90</v>
      </c>
      <c r="F11" s="624">
        <v>6000</v>
      </c>
    </row>
    <row r="12" spans="1:10" x14ac:dyDescent="0.3">
      <c r="A12" s="623" t="s">
        <v>941</v>
      </c>
      <c r="B12" s="619">
        <v>88</v>
      </c>
      <c r="C12" s="619">
        <v>97</v>
      </c>
      <c r="D12" s="619">
        <v>78</v>
      </c>
      <c r="E12" s="619">
        <v>118</v>
      </c>
      <c r="F12" s="624">
        <v>14000</v>
      </c>
    </row>
    <row r="13" spans="1:10" x14ac:dyDescent="0.3">
      <c r="A13" s="623" t="s">
        <v>942</v>
      </c>
      <c r="B13" s="619">
        <v>113</v>
      </c>
      <c r="C13" s="619">
        <v>91</v>
      </c>
      <c r="D13" s="619">
        <v>118</v>
      </c>
      <c r="E13" s="619">
        <v>80</v>
      </c>
      <c r="F13" s="624">
        <v>11000</v>
      </c>
    </row>
    <row r="14" spans="1:10" ht="13.5" thickBot="1" x14ac:dyDescent="0.35">
      <c r="A14" s="625" t="s">
        <v>51</v>
      </c>
      <c r="B14" s="626">
        <v>10000</v>
      </c>
      <c r="C14" s="626">
        <v>12000</v>
      </c>
      <c r="D14" s="626">
        <v>15000</v>
      </c>
      <c r="E14" s="626">
        <v>9000</v>
      </c>
      <c r="F14" s="627" t="str">
        <f>CONCATENATE(SUM(B14:E14)," \ ",SUM(F10:F13))</f>
        <v>46000 \ 46000</v>
      </c>
    </row>
    <row r="16" spans="1:10" ht="13.5" thickBot="1" x14ac:dyDescent="0.35">
      <c r="A16" s="629" t="s">
        <v>122</v>
      </c>
      <c r="B16" s="630"/>
      <c r="C16" s="630"/>
      <c r="D16" s="630"/>
      <c r="E16" s="630"/>
      <c r="F16" s="630"/>
    </row>
    <row r="17" spans="1:7" ht="13.5" thickBot="1" x14ac:dyDescent="0.35">
      <c r="A17" s="633" t="s">
        <v>122</v>
      </c>
      <c r="B17" s="642" t="str">
        <f>B9</f>
        <v>Detroit</v>
      </c>
      <c r="C17" s="642" t="str">
        <f>C9</f>
        <v>Dallas</v>
      </c>
      <c r="D17" s="642" t="str">
        <f>D9</f>
        <v>New York</v>
      </c>
      <c r="E17" s="642" t="str">
        <f>E9</f>
        <v>Los Angeles</v>
      </c>
      <c r="F17" s="637" t="s">
        <v>123</v>
      </c>
      <c r="G17" s="628" t="s">
        <v>124</v>
      </c>
    </row>
    <row r="18" spans="1:7" x14ac:dyDescent="0.3">
      <c r="A18" s="640" t="str">
        <f>A10</f>
        <v>Cincinnati</v>
      </c>
      <c r="B18" s="633">
        <v>10000</v>
      </c>
      <c r="C18" s="634">
        <v>4000</v>
      </c>
      <c r="D18" s="634">
        <v>1000</v>
      </c>
      <c r="E18" s="637">
        <v>0</v>
      </c>
      <c r="F18" s="641">
        <f>SUM(B18:E18)</f>
        <v>15000</v>
      </c>
      <c r="G18" s="628"/>
    </row>
    <row r="19" spans="1:7" x14ac:dyDescent="0.3">
      <c r="A19" s="640" t="str">
        <f>A11</f>
        <v>Salt Lake City</v>
      </c>
      <c r="B19" s="632">
        <v>0</v>
      </c>
      <c r="C19" s="631">
        <v>6000</v>
      </c>
      <c r="D19" s="631">
        <v>0</v>
      </c>
      <c r="E19" s="638">
        <v>0</v>
      </c>
      <c r="F19" s="641">
        <f t="shared" ref="F19:F21" si="0">SUM(B19:E19)</f>
        <v>6000</v>
      </c>
      <c r="G19" s="628"/>
    </row>
    <row r="20" spans="1:7" x14ac:dyDescent="0.3">
      <c r="A20" s="640" t="str">
        <f>A12</f>
        <v>Pittsburgh</v>
      </c>
      <c r="B20" s="632">
        <v>0</v>
      </c>
      <c r="C20" s="631">
        <v>0</v>
      </c>
      <c r="D20" s="631">
        <v>14000</v>
      </c>
      <c r="E20" s="638">
        <v>0</v>
      </c>
      <c r="F20" s="641">
        <f t="shared" si="0"/>
        <v>14000</v>
      </c>
      <c r="G20" s="628"/>
    </row>
    <row r="21" spans="1:7" ht="13.5" thickBot="1" x14ac:dyDescent="0.35">
      <c r="A21" s="640" t="str">
        <f>A13</f>
        <v>Seattle</v>
      </c>
      <c r="B21" s="635">
        <v>0</v>
      </c>
      <c r="C21" s="636">
        <v>2000</v>
      </c>
      <c r="D21" s="636">
        <v>0</v>
      </c>
      <c r="E21" s="639">
        <v>9000</v>
      </c>
      <c r="F21" s="641">
        <f t="shared" si="0"/>
        <v>11000</v>
      </c>
      <c r="G21" s="628"/>
    </row>
    <row r="22" spans="1:7" ht="13.5" thickBot="1" x14ac:dyDescent="0.35">
      <c r="A22" s="635" t="s">
        <v>125</v>
      </c>
      <c r="B22" s="643">
        <f>SUM(B18:B21)</f>
        <v>10000</v>
      </c>
      <c r="C22" s="643">
        <f t="shared" ref="C22:E22" si="1">SUM(C18:C21)</f>
        <v>12000</v>
      </c>
      <c r="D22" s="643">
        <f t="shared" si="1"/>
        <v>15000</v>
      </c>
      <c r="E22" s="643">
        <f t="shared" si="1"/>
        <v>9000</v>
      </c>
      <c r="F22" s="639" t="str">
        <f>CONCATENATE(INT(SUM(B22:E22)+0.5)," \ ",INT(SUM(F18:F21)+0.5))</f>
        <v>46000 \ 46000</v>
      </c>
      <c r="G22" s="628"/>
    </row>
    <row r="23" spans="1:7" ht="13.5" thickBot="1" x14ac:dyDescent="0.35">
      <c r="A23" s="614" t="s">
        <v>124</v>
      </c>
      <c r="B23" s="614"/>
      <c r="C23" s="614"/>
      <c r="D23" s="614"/>
      <c r="E23" s="614"/>
      <c r="F23" s="614"/>
    </row>
    <row r="24" spans="1:7" ht="13.5" thickBot="1" x14ac:dyDescent="0.35">
      <c r="A24" s="645" t="s">
        <v>118</v>
      </c>
      <c r="B24" s="646">
        <f>SUMPRODUCT(B10:E13,B18:E21)</f>
        <v>3704000</v>
      </c>
      <c r="C24" s="615"/>
      <c r="D24" s="615"/>
      <c r="E24" s="614"/>
      <c r="F24" s="614"/>
    </row>
    <row r="25" spans="1:7" x14ac:dyDescent="0.3">
      <c r="A25" s="644"/>
      <c r="B25" s="644"/>
    </row>
  </sheetData>
  <conditionalFormatting sqref="B18:E21">
    <cfRule type="cellIs" dxfId="5"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4"/>
  <dimension ref="A1:J25"/>
  <sheetViews>
    <sheetView zoomScale="90" zoomScaleNormal="90" workbookViewId="0">
      <selection activeCell="B12" sqref="B12"/>
    </sheetView>
  </sheetViews>
  <sheetFormatPr defaultColWidth="8.81640625" defaultRowHeight="13" x14ac:dyDescent="0.3"/>
  <cols>
    <col min="1" max="1" width="15.81640625" style="613" bestFit="1" customWidth="1"/>
    <col min="2" max="16384" width="8.81640625" style="613"/>
  </cols>
  <sheetData>
    <row r="1" spans="1:10" ht="18.5" x14ac:dyDescent="0.45">
      <c r="A1" s="648" t="s">
        <v>935</v>
      </c>
    </row>
    <row r="3" spans="1:10" ht="15.5" x14ac:dyDescent="0.35">
      <c r="A3" s="647" t="s">
        <v>17</v>
      </c>
      <c r="B3" s="616"/>
      <c r="C3" s="616"/>
      <c r="D3" s="616"/>
      <c r="E3" s="616"/>
      <c r="F3" s="616"/>
      <c r="G3" s="616"/>
      <c r="H3" s="616"/>
      <c r="I3" s="616"/>
      <c r="J3" s="616"/>
    </row>
    <row r="4" spans="1:10" x14ac:dyDescent="0.3">
      <c r="A4" s="617"/>
      <c r="B4" s="617"/>
      <c r="C4" s="617"/>
      <c r="D4" s="617"/>
    </row>
    <row r="8" spans="1:10" ht="13.5" thickBot="1" x14ac:dyDescent="0.35">
      <c r="A8" s="618" t="s">
        <v>27</v>
      </c>
      <c r="B8" s="612" t="str">
        <f>IF(SUM(B14:E14)&gt;SUM(F10:F13),"Demand is greater than supply! Recreate this model with an extra (dummy) row that has a supply equal to the difference between total supply and total demand.","")</f>
        <v/>
      </c>
      <c r="C8" s="612"/>
      <c r="D8" s="612"/>
    </row>
    <row r="9" spans="1:10" x14ac:dyDescent="0.3">
      <c r="A9" s="620" t="s">
        <v>120</v>
      </c>
      <c r="B9" s="621" t="s">
        <v>133</v>
      </c>
      <c r="C9" s="621" t="s">
        <v>936</v>
      </c>
      <c r="D9" s="621" t="s">
        <v>937</v>
      </c>
      <c r="E9" s="621" t="s">
        <v>938</v>
      </c>
      <c r="F9" s="622" t="s">
        <v>121</v>
      </c>
    </row>
    <row r="10" spans="1:10" x14ac:dyDescent="0.3">
      <c r="A10" s="623" t="s">
        <v>939</v>
      </c>
      <c r="B10" s="619">
        <v>73</v>
      </c>
      <c r="C10" s="619">
        <v>103</v>
      </c>
      <c r="D10" s="619">
        <v>88</v>
      </c>
      <c r="E10" s="619">
        <v>108</v>
      </c>
      <c r="F10" s="624">
        <v>15000</v>
      </c>
    </row>
    <row r="11" spans="1:10" x14ac:dyDescent="0.3">
      <c r="A11" s="623" t="s">
        <v>940</v>
      </c>
      <c r="B11" s="619">
        <v>85</v>
      </c>
      <c r="C11" s="619">
        <v>80</v>
      </c>
      <c r="D11" s="619">
        <v>100</v>
      </c>
      <c r="E11" s="619">
        <v>90</v>
      </c>
      <c r="F11" s="624">
        <v>6000</v>
      </c>
    </row>
    <row r="12" spans="1:10" x14ac:dyDescent="0.3">
      <c r="A12" s="623" t="s">
        <v>941</v>
      </c>
      <c r="B12" s="619">
        <v>88</v>
      </c>
      <c r="C12" s="619">
        <v>97</v>
      </c>
      <c r="D12" s="619">
        <v>78</v>
      </c>
      <c r="E12" s="619">
        <v>118</v>
      </c>
      <c r="F12" s="624">
        <v>14000</v>
      </c>
    </row>
    <row r="13" spans="1:10" x14ac:dyDescent="0.3">
      <c r="A13" s="623" t="s">
        <v>134</v>
      </c>
      <c r="B13" s="619">
        <v>84</v>
      </c>
      <c r="C13" s="619">
        <v>79</v>
      </c>
      <c r="D13" s="619">
        <v>90</v>
      </c>
      <c r="E13" s="619">
        <v>99</v>
      </c>
      <c r="F13" s="624">
        <v>11000</v>
      </c>
    </row>
    <row r="14" spans="1:10" ht="13.5" thickBot="1" x14ac:dyDescent="0.35">
      <c r="A14" s="625" t="s">
        <v>51</v>
      </c>
      <c r="B14" s="626">
        <v>10000</v>
      </c>
      <c r="C14" s="626">
        <v>12000</v>
      </c>
      <c r="D14" s="626">
        <v>15000</v>
      </c>
      <c r="E14" s="626">
        <v>9000</v>
      </c>
      <c r="F14" s="627" t="str">
        <f>CONCATENATE(SUM(B14:E14)," \ ",SUM(F10:F13))</f>
        <v>46000 \ 46000</v>
      </c>
    </row>
    <row r="16" spans="1:10" ht="13.5" thickBot="1" x14ac:dyDescent="0.35">
      <c r="A16" s="629" t="s">
        <v>122</v>
      </c>
      <c r="B16" s="630"/>
      <c r="C16" s="630"/>
      <c r="D16" s="630"/>
      <c r="E16" s="630"/>
      <c r="F16" s="630"/>
    </row>
    <row r="17" spans="1:7" ht="13.5" thickBot="1" x14ac:dyDescent="0.35">
      <c r="A17" s="633" t="s">
        <v>122</v>
      </c>
      <c r="B17" s="642" t="str">
        <f>B9</f>
        <v>Detroit</v>
      </c>
      <c r="C17" s="642" t="str">
        <f>C9</f>
        <v>Dallas</v>
      </c>
      <c r="D17" s="642" t="str">
        <f>D9</f>
        <v>New York</v>
      </c>
      <c r="E17" s="642" t="str">
        <f>E9</f>
        <v>Los Angeles</v>
      </c>
      <c r="F17" s="637" t="s">
        <v>123</v>
      </c>
      <c r="G17" s="628" t="s">
        <v>124</v>
      </c>
    </row>
    <row r="18" spans="1:7" x14ac:dyDescent="0.3">
      <c r="A18" s="640" t="str">
        <f>A10</f>
        <v>Cincinnati</v>
      </c>
      <c r="B18" s="633">
        <v>10000</v>
      </c>
      <c r="C18" s="634">
        <v>0</v>
      </c>
      <c r="D18" s="634">
        <v>1000</v>
      </c>
      <c r="E18" s="637">
        <v>4000</v>
      </c>
      <c r="F18" s="641">
        <f>SUM(B18:E18)</f>
        <v>15000</v>
      </c>
      <c r="G18" s="628"/>
    </row>
    <row r="19" spans="1:7" x14ac:dyDescent="0.3">
      <c r="A19" s="640" t="str">
        <f>A11</f>
        <v>Salt Lake City</v>
      </c>
      <c r="B19" s="632">
        <v>0</v>
      </c>
      <c r="C19" s="631">
        <v>1000</v>
      </c>
      <c r="D19" s="631">
        <v>0</v>
      </c>
      <c r="E19" s="638">
        <v>5000</v>
      </c>
      <c r="F19" s="641">
        <f t="shared" ref="F19:F21" si="0">SUM(B19:E19)</f>
        <v>6000</v>
      </c>
      <c r="G19" s="628"/>
    </row>
    <row r="20" spans="1:7" x14ac:dyDescent="0.3">
      <c r="A20" s="640" t="str">
        <f>A12</f>
        <v>Pittsburgh</v>
      </c>
      <c r="B20" s="632">
        <v>0</v>
      </c>
      <c r="C20" s="631">
        <v>0</v>
      </c>
      <c r="D20" s="631">
        <v>14000</v>
      </c>
      <c r="E20" s="638">
        <v>0</v>
      </c>
      <c r="F20" s="641">
        <f t="shared" si="0"/>
        <v>14000</v>
      </c>
      <c r="G20" s="628"/>
    </row>
    <row r="21" spans="1:7" ht="13.5" thickBot="1" x14ac:dyDescent="0.35">
      <c r="A21" s="640" t="str">
        <f>A13</f>
        <v>Birmingham</v>
      </c>
      <c r="B21" s="635">
        <v>0</v>
      </c>
      <c r="C21" s="636">
        <v>11000</v>
      </c>
      <c r="D21" s="636">
        <v>0</v>
      </c>
      <c r="E21" s="639">
        <v>0</v>
      </c>
      <c r="F21" s="641">
        <f t="shared" si="0"/>
        <v>11000</v>
      </c>
      <c r="G21" s="628"/>
    </row>
    <row r="22" spans="1:7" ht="13.5" thickBot="1" x14ac:dyDescent="0.35">
      <c r="A22" s="635" t="s">
        <v>125</v>
      </c>
      <c r="B22" s="643">
        <f>SUM(B18:B21)</f>
        <v>10000</v>
      </c>
      <c r="C22" s="643">
        <f t="shared" ref="C22:E22" si="1">SUM(C18:C21)</f>
        <v>12000</v>
      </c>
      <c r="D22" s="643">
        <f t="shared" si="1"/>
        <v>15000</v>
      </c>
      <c r="E22" s="643">
        <f t="shared" si="1"/>
        <v>9000</v>
      </c>
      <c r="F22" s="639" t="str">
        <f>CONCATENATE(INT(SUM(B22:E22)+0.5)," \ ",INT(SUM(F18:F21)+0.5))</f>
        <v>46000 \ 46000</v>
      </c>
      <c r="G22" s="628"/>
    </row>
    <row r="23" spans="1:7" ht="13.5" thickBot="1" x14ac:dyDescent="0.35">
      <c r="A23" s="614" t="s">
        <v>124</v>
      </c>
      <c r="B23" s="614"/>
      <c r="C23" s="614"/>
      <c r="D23" s="614"/>
      <c r="E23" s="614"/>
      <c r="F23" s="614"/>
    </row>
    <row r="24" spans="1:7" ht="13.5" thickBot="1" x14ac:dyDescent="0.35">
      <c r="A24" s="645" t="s">
        <v>118</v>
      </c>
      <c r="B24" s="646">
        <f>SUMPRODUCT(B10:E13,B18:E21)</f>
        <v>3741000</v>
      </c>
      <c r="C24" s="615"/>
      <c r="D24" s="615"/>
      <c r="E24" s="614"/>
      <c r="F24" s="614"/>
    </row>
    <row r="25" spans="1:7" x14ac:dyDescent="0.3">
      <c r="A25" s="644"/>
      <c r="B25" s="644"/>
    </row>
  </sheetData>
  <conditionalFormatting sqref="B18:E21">
    <cfRule type="cellIs" dxfId="4"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9"/>
  <dimension ref="A1:I22"/>
  <sheetViews>
    <sheetView workbookViewId="0">
      <selection activeCell="B10" sqref="B10:D12"/>
    </sheetView>
  </sheetViews>
  <sheetFormatPr defaultColWidth="8.81640625" defaultRowHeight="13" x14ac:dyDescent="0.3"/>
  <cols>
    <col min="1" max="1" width="12.26953125" style="649" bestFit="1" customWidth="1"/>
    <col min="2" max="4" width="8" style="649" bestFit="1" customWidth="1"/>
    <col min="5" max="5" width="8.7265625" style="649" bestFit="1" customWidth="1"/>
    <col min="6" max="16384" width="8.81640625" style="649"/>
  </cols>
  <sheetData>
    <row r="1" spans="1:9" ht="18.5" x14ac:dyDescent="0.45">
      <c r="A1" s="686" t="s">
        <v>944</v>
      </c>
    </row>
    <row r="3" spans="1:9" ht="15.5" x14ac:dyDescent="0.35">
      <c r="A3" s="685" t="s">
        <v>18</v>
      </c>
      <c r="B3" s="651"/>
      <c r="C3" s="651"/>
      <c r="D3" s="651"/>
      <c r="E3" s="651"/>
      <c r="F3" s="651"/>
      <c r="G3" s="651"/>
      <c r="H3" s="651"/>
      <c r="I3" s="651"/>
    </row>
    <row r="4" spans="1:9" x14ac:dyDescent="0.3">
      <c r="A4" s="652"/>
      <c r="B4" s="652"/>
      <c r="C4" s="652"/>
    </row>
    <row r="8" spans="1:9" ht="13.5" thickBot="1" x14ac:dyDescent="0.35">
      <c r="A8" s="653" t="s">
        <v>27</v>
      </c>
    </row>
    <row r="9" spans="1:9" x14ac:dyDescent="0.3">
      <c r="A9" s="655" t="s">
        <v>120</v>
      </c>
      <c r="B9" s="656" t="s">
        <v>135</v>
      </c>
      <c r="C9" s="656" t="s">
        <v>136</v>
      </c>
      <c r="D9" s="657" t="s">
        <v>137</v>
      </c>
      <c r="E9" s="650"/>
    </row>
    <row r="10" spans="1:9" x14ac:dyDescent="0.3">
      <c r="A10" s="658" t="s">
        <v>138</v>
      </c>
      <c r="B10" s="654">
        <v>11</v>
      </c>
      <c r="C10" s="654">
        <v>14</v>
      </c>
      <c r="D10" s="659">
        <v>6</v>
      </c>
      <c r="E10" s="650"/>
    </row>
    <row r="11" spans="1:9" x14ac:dyDescent="0.3">
      <c r="A11" s="658" t="s">
        <v>139</v>
      </c>
      <c r="B11" s="654">
        <v>8</v>
      </c>
      <c r="C11" s="654">
        <v>10</v>
      </c>
      <c r="D11" s="659">
        <v>11</v>
      </c>
      <c r="E11" s="650"/>
    </row>
    <row r="12" spans="1:9" ht="13.5" thickBot="1" x14ac:dyDescent="0.35">
      <c r="A12" s="660" t="s">
        <v>140</v>
      </c>
      <c r="B12" s="661">
        <v>9</v>
      </c>
      <c r="C12" s="661">
        <v>12</v>
      </c>
      <c r="D12" s="662">
        <v>7</v>
      </c>
      <c r="E12" s="650"/>
    </row>
    <row r="13" spans="1:9" x14ac:dyDescent="0.3">
      <c r="A13" s="650"/>
      <c r="B13" s="650"/>
      <c r="C13" s="650"/>
      <c r="D13" s="650"/>
      <c r="E13" s="650"/>
    </row>
    <row r="14" spans="1:9" ht="13.5" thickBot="1" x14ac:dyDescent="0.35">
      <c r="A14" s="663" t="s">
        <v>141</v>
      </c>
      <c r="B14" s="664"/>
      <c r="C14" s="664"/>
      <c r="D14" s="664"/>
      <c r="E14" s="664"/>
    </row>
    <row r="15" spans="1:9" ht="13.5" thickBot="1" x14ac:dyDescent="0.35">
      <c r="A15" s="665" t="s">
        <v>122</v>
      </c>
      <c r="B15" s="680" t="str">
        <f>B9</f>
        <v>Project 1</v>
      </c>
      <c r="C15" s="680" t="str">
        <f>C9</f>
        <v>Project 2</v>
      </c>
      <c r="D15" s="680" t="str">
        <f>D9</f>
        <v>Project 3</v>
      </c>
      <c r="E15" s="677" t="s">
        <v>123</v>
      </c>
      <c r="F15" s="675" t="s">
        <v>124</v>
      </c>
    </row>
    <row r="16" spans="1:9" x14ac:dyDescent="0.3">
      <c r="A16" s="674" t="str">
        <f>A10</f>
        <v>Adams</v>
      </c>
      <c r="B16" s="665">
        <v>0</v>
      </c>
      <c r="C16" s="666">
        <v>0</v>
      </c>
      <c r="D16" s="667">
        <v>1</v>
      </c>
      <c r="E16" s="679">
        <f>SUM(B16:D16)</f>
        <v>1</v>
      </c>
      <c r="F16" s="675"/>
    </row>
    <row r="17" spans="1:6" x14ac:dyDescent="0.3">
      <c r="A17" s="674" t="str">
        <f>A11</f>
        <v>Brown</v>
      </c>
      <c r="B17" s="668">
        <v>0</v>
      </c>
      <c r="C17" s="669">
        <v>1</v>
      </c>
      <c r="D17" s="670">
        <v>0</v>
      </c>
      <c r="E17" s="679">
        <f t="shared" ref="E17:E19" si="0">SUM(B17:D17)</f>
        <v>1</v>
      </c>
      <c r="F17" s="675"/>
    </row>
    <row r="18" spans="1:6" ht="13.5" thickBot="1" x14ac:dyDescent="0.35">
      <c r="A18" s="674" t="str">
        <f>A12</f>
        <v>Cooper</v>
      </c>
      <c r="B18" s="671">
        <v>1</v>
      </c>
      <c r="C18" s="672">
        <v>0</v>
      </c>
      <c r="D18" s="673">
        <v>0</v>
      </c>
      <c r="E18" s="679">
        <f t="shared" si="0"/>
        <v>1</v>
      </c>
      <c r="F18" s="675"/>
    </row>
    <row r="19" spans="1:6" ht="13.5" thickBot="1" x14ac:dyDescent="0.35">
      <c r="A19" s="676" t="s">
        <v>125</v>
      </c>
      <c r="B19" s="681">
        <f>SUM(B16:B18)</f>
        <v>1</v>
      </c>
      <c r="C19" s="681">
        <f t="shared" ref="C19:D19" si="1">SUM(C16:C18)</f>
        <v>1</v>
      </c>
      <c r="D19" s="681">
        <f t="shared" si="1"/>
        <v>1</v>
      </c>
      <c r="E19" s="678">
        <f t="shared" si="0"/>
        <v>3</v>
      </c>
      <c r="F19" s="675"/>
    </row>
    <row r="20" spans="1:6" ht="13.5" thickBot="1" x14ac:dyDescent="0.35">
      <c r="A20" s="650" t="s">
        <v>124</v>
      </c>
      <c r="B20" s="650"/>
      <c r="C20" s="650"/>
      <c r="D20" s="650"/>
      <c r="E20" s="650"/>
    </row>
    <row r="21" spans="1:6" ht="13.5" thickBot="1" x14ac:dyDescent="0.35">
      <c r="A21" s="683" t="s">
        <v>118</v>
      </c>
      <c r="B21" s="684">
        <f>SUMPRODUCT(B10:D12,B16:D18)</f>
        <v>25</v>
      </c>
      <c r="C21" s="650"/>
      <c r="D21" s="650"/>
      <c r="E21" s="650"/>
    </row>
    <row r="22" spans="1:6" x14ac:dyDescent="0.3">
      <c r="A22" s="682"/>
      <c r="B22" s="682"/>
    </row>
  </sheetData>
  <printOptions headings="1" gridLines="1" gridLinesSet="0"/>
  <pageMargins left="0.75" right="0.75" top="1" bottom="1" header="0.5" footer="0.5"/>
  <pageSetup orientation="portrait" horizontalDpi="4294967292" verticalDpi="300"/>
  <headerFooter alignWithMargins="0">
    <oddHeader>&amp;A</oddHeader>
    <oddFooter>Page &amp;P</oddFooter>
  </headerFooter>
  <drawing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51"/>
  <dimension ref="A1:U23"/>
  <sheetViews>
    <sheetView workbookViewId="0">
      <selection activeCell="K13" sqref="K13"/>
    </sheetView>
  </sheetViews>
  <sheetFormatPr defaultColWidth="8.81640625" defaultRowHeight="13" x14ac:dyDescent="0.3"/>
  <cols>
    <col min="1" max="1" width="29.08984375" style="551" customWidth="1"/>
    <col min="2" max="13" width="8.81640625" style="551"/>
    <col min="14" max="14" width="8.81640625" style="551" customWidth="1"/>
    <col min="15" max="15" width="8.81640625" style="551"/>
    <col min="16" max="17" width="8.81640625" style="551" customWidth="1"/>
    <col min="18" max="16384" width="8.81640625" style="551"/>
  </cols>
  <sheetData>
    <row r="1" spans="1:21" ht="18.5" x14ac:dyDescent="0.45">
      <c r="A1" s="577" t="s">
        <v>948</v>
      </c>
    </row>
    <row r="3" spans="1:21" ht="15.5" x14ac:dyDescent="0.35">
      <c r="A3" s="611" t="s">
        <v>932</v>
      </c>
      <c r="B3" s="586"/>
      <c r="C3" s="586"/>
      <c r="D3" s="586"/>
      <c r="E3" s="586"/>
      <c r="F3" s="586"/>
      <c r="G3" s="586"/>
      <c r="H3" s="586"/>
      <c r="I3" s="586"/>
      <c r="J3" s="586"/>
      <c r="K3" s="586"/>
      <c r="L3" s="586"/>
      <c r="M3" s="586"/>
      <c r="N3" s="586"/>
      <c r="O3" s="586"/>
      <c r="P3" s="586"/>
    </row>
    <row r="4" spans="1:21" x14ac:dyDescent="0.3">
      <c r="A4" s="587"/>
      <c r="B4" s="587"/>
      <c r="C4" s="587"/>
      <c r="D4" s="587"/>
      <c r="E4" s="587"/>
      <c r="F4" s="587"/>
      <c r="G4" s="587"/>
      <c r="H4" s="587"/>
      <c r="I4" s="587"/>
      <c r="J4" s="587"/>
    </row>
    <row r="5" spans="1:21" x14ac:dyDescent="0.3">
      <c r="A5" s="551" t="s">
        <v>544</v>
      </c>
    </row>
    <row r="6" spans="1:21" x14ac:dyDescent="0.3">
      <c r="B6" s="578" t="s">
        <v>126</v>
      </c>
      <c r="C6" s="578"/>
      <c r="D6" s="578"/>
      <c r="E6" s="578"/>
      <c r="F6" s="578"/>
      <c r="G6" s="578"/>
      <c r="H6" s="578"/>
      <c r="I6" s="578"/>
      <c r="J6" s="578"/>
      <c r="K6" s="551" t="s">
        <v>545</v>
      </c>
    </row>
    <row r="7" spans="1:21" x14ac:dyDescent="0.3">
      <c r="B7" s="579" t="s">
        <v>101</v>
      </c>
      <c r="C7" s="579"/>
      <c r="D7" s="579"/>
      <c r="E7" s="579"/>
      <c r="F7" s="579"/>
      <c r="G7" s="579"/>
      <c r="H7" s="579"/>
      <c r="I7" s="579"/>
      <c r="J7" s="579"/>
      <c r="K7" s="551" t="s">
        <v>546</v>
      </c>
    </row>
    <row r="8" spans="1:21" x14ac:dyDescent="0.3">
      <c r="B8" s="578" t="s">
        <v>149</v>
      </c>
      <c r="C8" s="578"/>
      <c r="D8" s="578"/>
      <c r="E8" s="578"/>
      <c r="F8" s="578"/>
      <c r="G8" s="578"/>
      <c r="H8" s="578"/>
      <c r="I8" s="578"/>
      <c r="J8" s="578"/>
      <c r="K8" s="551" t="s">
        <v>547</v>
      </c>
    </row>
    <row r="10" spans="1:21" ht="13.5" thickBot="1" x14ac:dyDescent="0.35">
      <c r="A10" s="588" t="s">
        <v>27</v>
      </c>
      <c r="O10" s="581" t="s">
        <v>31</v>
      </c>
      <c r="R10" s="551" t="s">
        <v>548</v>
      </c>
    </row>
    <row r="11" spans="1:21" x14ac:dyDescent="0.3">
      <c r="A11" s="688"/>
      <c r="B11" s="689" t="s">
        <v>709</v>
      </c>
      <c r="C11" s="689" t="s">
        <v>955</v>
      </c>
      <c r="D11" s="689" t="s">
        <v>710</v>
      </c>
      <c r="E11" s="689" t="s">
        <v>949</v>
      </c>
      <c r="F11" s="689" t="s">
        <v>950</v>
      </c>
      <c r="G11" s="689" t="s">
        <v>956</v>
      </c>
      <c r="H11" s="689" t="s">
        <v>951</v>
      </c>
      <c r="I11" s="689" t="s">
        <v>952</v>
      </c>
      <c r="J11" s="689" t="s">
        <v>953</v>
      </c>
      <c r="K11" s="689" t="s">
        <v>954</v>
      </c>
      <c r="L11" s="690"/>
      <c r="M11" s="691"/>
      <c r="O11" s="600" t="s">
        <v>551</v>
      </c>
      <c r="P11" s="602" t="s">
        <v>552</v>
      </c>
    </row>
    <row r="12" spans="1:21" x14ac:dyDescent="0.3">
      <c r="A12" s="692" t="s">
        <v>553</v>
      </c>
      <c r="B12" s="562">
        <v>4</v>
      </c>
      <c r="C12" s="562">
        <v>7</v>
      </c>
      <c r="D12" s="562">
        <v>5</v>
      </c>
      <c r="E12" s="562">
        <v>7</v>
      </c>
      <c r="F12" s="562">
        <v>6</v>
      </c>
      <c r="G12" s="562">
        <v>4</v>
      </c>
      <c r="H12" s="562">
        <v>5</v>
      </c>
      <c r="I12" s="562">
        <v>2</v>
      </c>
      <c r="J12" s="562">
        <v>3</v>
      </c>
      <c r="K12" s="562">
        <v>4</v>
      </c>
      <c r="L12" s="687" t="s">
        <v>145</v>
      </c>
      <c r="M12" s="693" t="s">
        <v>446</v>
      </c>
      <c r="O12" s="599">
        <f>SUMPRODUCT(B12:K12,$B$22:$K$22)</f>
        <v>9550</v>
      </c>
      <c r="P12" s="603"/>
      <c r="R12" s="582" t="s">
        <v>554</v>
      </c>
      <c r="S12" s="582"/>
      <c r="T12" s="551" t="s">
        <v>555</v>
      </c>
    </row>
    <row r="13" spans="1:21" x14ac:dyDescent="0.3">
      <c r="A13" s="692" t="s">
        <v>148</v>
      </c>
      <c r="B13" s="562">
        <v>1</v>
      </c>
      <c r="C13" s="562">
        <v>1</v>
      </c>
      <c r="D13" s="562"/>
      <c r="E13" s="562"/>
      <c r="F13" s="562"/>
      <c r="G13" s="562"/>
      <c r="H13" s="562"/>
      <c r="I13" s="562"/>
      <c r="J13" s="562"/>
      <c r="K13" s="562"/>
      <c r="L13" s="562" t="s">
        <v>126</v>
      </c>
      <c r="M13" s="594">
        <v>800</v>
      </c>
      <c r="O13" s="599">
        <f>SUMPRODUCT(B13:K13,$B$22:$K$22)</f>
        <v>800</v>
      </c>
      <c r="P13" s="603">
        <f>M13-O13</f>
        <v>0</v>
      </c>
      <c r="R13" s="551">
        <f>IF($L13&lt;&gt;$B$8,O13,0)</f>
        <v>800</v>
      </c>
      <c r="S13" s="551">
        <f>IF($L13&lt;&gt;$B$8,M13,0)</f>
        <v>800</v>
      </c>
      <c r="T13" s="551">
        <f>IF($L13&lt;&gt;$B$6,O13,0)</f>
        <v>0</v>
      </c>
      <c r="U13" s="551">
        <f>IF($L13&lt;&gt;$B$6,M13,0)</f>
        <v>0</v>
      </c>
    </row>
    <row r="14" spans="1:21" x14ac:dyDescent="0.3">
      <c r="A14" s="692" t="s">
        <v>150</v>
      </c>
      <c r="B14" s="562"/>
      <c r="C14" s="562"/>
      <c r="D14" s="562">
        <v>1</v>
      </c>
      <c r="E14" s="562">
        <v>1</v>
      </c>
      <c r="F14" s="562"/>
      <c r="G14" s="562"/>
      <c r="H14" s="562"/>
      <c r="I14" s="562"/>
      <c r="J14" s="562"/>
      <c r="K14" s="562"/>
      <c r="L14" s="562" t="s">
        <v>126</v>
      </c>
      <c r="M14" s="594">
        <v>700</v>
      </c>
      <c r="O14" s="599">
        <f t="shared" ref="O14:O19" si="0">SUMPRODUCT(B14:K14,$B$22:$K$22)</f>
        <v>300</v>
      </c>
      <c r="P14" s="603">
        <f t="shared" ref="P14:P19" si="1">M14-O14</f>
        <v>400</v>
      </c>
      <c r="R14" s="551">
        <f t="shared" ref="R14:R19" si="2">IF($L14&lt;&gt;$B$8,O14,0)</f>
        <v>300</v>
      </c>
      <c r="S14" s="551">
        <f t="shared" ref="S14:S19" si="3">IF($L14&lt;&gt;$B$8,M14,0)</f>
        <v>700</v>
      </c>
      <c r="T14" s="551">
        <f t="shared" ref="T14:T19" si="4">IF($L14&lt;&gt;$B$6,O14,0)</f>
        <v>0</v>
      </c>
      <c r="U14" s="551">
        <f t="shared" ref="U14:U19" si="5">IF($L14&lt;&gt;$B$6,M14,0)</f>
        <v>0</v>
      </c>
    </row>
    <row r="15" spans="1:21" x14ac:dyDescent="0.3">
      <c r="A15" s="692" t="s">
        <v>151</v>
      </c>
      <c r="B15" s="562"/>
      <c r="C15" s="562"/>
      <c r="D15" s="562"/>
      <c r="E15" s="562"/>
      <c r="F15" s="562">
        <v>1</v>
      </c>
      <c r="G15" s="562"/>
      <c r="H15" s="562"/>
      <c r="I15" s="562">
        <v>1</v>
      </c>
      <c r="J15" s="562"/>
      <c r="K15" s="562"/>
      <c r="L15" s="694" t="s">
        <v>101</v>
      </c>
      <c r="M15" s="594">
        <v>450</v>
      </c>
      <c r="O15" s="599">
        <f t="shared" si="0"/>
        <v>450</v>
      </c>
      <c r="P15" s="603">
        <f t="shared" si="1"/>
        <v>0</v>
      </c>
      <c r="R15" s="551">
        <f t="shared" si="2"/>
        <v>450</v>
      </c>
      <c r="S15" s="551">
        <f t="shared" si="3"/>
        <v>450</v>
      </c>
      <c r="T15" s="551">
        <f t="shared" si="4"/>
        <v>450</v>
      </c>
      <c r="U15" s="551">
        <f t="shared" si="5"/>
        <v>450</v>
      </c>
    </row>
    <row r="16" spans="1:21" x14ac:dyDescent="0.3">
      <c r="A16" s="692" t="s">
        <v>764</v>
      </c>
      <c r="B16" s="562"/>
      <c r="C16" s="562"/>
      <c r="D16" s="562"/>
      <c r="E16" s="562"/>
      <c r="F16" s="562"/>
      <c r="G16" s="562">
        <v>1</v>
      </c>
      <c r="H16" s="562"/>
      <c r="I16" s="562"/>
      <c r="J16" s="562">
        <v>1</v>
      </c>
      <c r="K16" s="562"/>
      <c r="L16" s="694" t="s">
        <v>101</v>
      </c>
      <c r="M16" s="594">
        <v>350</v>
      </c>
      <c r="O16" s="599">
        <f t="shared" si="0"/>
        <v>350</v>
      </c>
      <c r="P16" s="603">
        <f t="shared" si="1"/>
        <v>0</v>
      </c>
      <c r="R16" s="551">
        <f t="shared" si="2"/>
        <v>350</v>
      </c>
      <c r="S16" s="551">
        <f t="shared" si="3"/>
        <v>350</v>
      </c>
      <c r="T16" s="551">
        <f t="shared" si="4"/>
        <v>350</v>
      </c>
      <c r="U16" s="551">
        <f t="shared" si="5"/>
        <v>350</v>
      </c>
    </row>
    <row r="17" spans="1:21" x14ac:dyDescent="0.3">
      <c r="A17" s="692" t="s">
        <v>945</v>
      </c>
      <c r="B17" s="562"/>
      <c r="C17" s="562"/>
      <c r="D17" s="562"/>
      <c r="E17" s="562"/>
      <c r="F17" s="562"/>
      <c r="G17" s="562"/>
      <c r="H17" s="562">
        <v>1</v>
      </c>
      <c r="I17" s="562"/>
      <c r="J17" s="562"/>
      <c r="K17" s="562">
        <v>1</v>
      </c>
      <c r="L17" s="694" t="s">
        <v>101</v>
      </c>
      <c r="M17" s="594">
        <v>300</v>
      </c>
      <c r="O17" s="599">
        <f t="shared" si="0"/>
        <v>300</v>
      </c>
      <c r="P17" s="603">
        <f t="shared" si="1"/>
        <v>0</v>
      </c>
      <c r="R17" s="551">
        <f t="shared" si="2"/>
        <v>300</v>
      </c>
      <c r="S17" s="551">
        <f t="shared" si="3"/>
        <v>300</v>
      </c>
      <c r="T17" s="551">
        <f t="shared" si="4"/>
        <v>300</v>
      </c>
      <c r="U17" s="551">
        <f t="shared" si="5"/>
        <v>300</v>
      </c>
    </row>
    <row r="18" spans="1:21" x14ac:dyDescent="0.3">
      <c r="A18" s="692" t="s">
        <v>946</v>
      </c>
      <c r="B18" s="562">
        <v>1</v>
      </c>
      <c r="C18" s="562"/>
      <c r="D18" s="562">
        <v>1</v>
      </c>
      <c r="E18" s="562"/>
      <c r="F18" s="562">
        <v>-1</v>
      </c>
      <c r="G18" s="562">
        <v>-1</v>
      </c>
      <c r="H18" s="562">
        <v>-1</v>
      </c>
      <c r="I18" s="562"/>
      <c r="J18" s="562"/>
      <c r="K18" s="562"/>
      <c r="L18" s="694" t="s">
        <v>101</v>
      </c>
      <c r="M18" s="594">
        <v>0</v>
      </c>
      <c r="O18" s="599">
        <f t="shared" si="0"/>
        <v>0</v>
      </c>
      <c r="P18" s="603">
        <f t="shared" si="1"/>
        <v>0</v>
      </c>
      <c r="R18" s="551">
        <f t="shared" si="2"/>
        <v>0</v>
      </c>
      <c r="S18" s="551">
        <f t="shared" si="3"/>
        <v>0</v>
      </c>
      <c r="T18" s="551">
        <f t="shared" si="4"/>
        <v>0</v>
      </c>
      <c r="U18" s="551">
        <f t="shared" si="5"/>
        <v>0</v>
      </c>
    </row>
    <row r="19" spans="1:21" ht="13.5" thickBot="1" x14ac:dyDescent="0.35">
      <c r="A19" s="595" t="s">
        <v>947</v>
      </c>
      <c r="B19" s="596"/>
      <c r="C19" s="596">
        <v>1</v>
      </c>
      <c r="D19" s="596"/>
      <c r="E19" s="596">
        <v>1</v>
      </c>
      <c r="F19" s="596"/>
      <c r="G19" s="596"/>
      <c r="H19" s="596"/>
      <c r="I19" s="596">
        <v>-1</v>
      </c>
      <c r="J19" s="596">
        <v>-1</v>
      </c>
      <c r="K19" s="596">
        <v>-1</v>
      </c>
      <c r="L19" s="694" t="s">
        <v>101</v>
      </c>
      <c r="M19" s="597">
        <v>0</v>
      </c>
      <c r="O19" s="601">
        <f t="shared" si="0"/>
        <v>0</v>
      </c>
      <c r="P19" s="604">
        <f t="shared" si="1"/>
        <v>0</v>
      </c>
      <c r="R19" s="551">
        <f t="shared" si="2"/>
        <v>0</v>
      </c>
      <c r="S19" s="551">
        <f t="shared" si="3"/>
        <v>0</v>
      </c>
      <c r="T19" s="551">
        <f t="shared" si="4"/>
        <v>0</v>
      </c>
      <c r="U19" s="551">
        <f t="shared" si="5"/>
        <v>0</v>
      </c>
    </row>
    <row r="21" spans="1:21" ht="13.5" thickBot="1" x14ac:dyDescent="0.35">
      <c r="A21" s="581" t="s">
        <v>31</v>
      </c>
    </row>
    <row r="22" spans="1:21" x14ac:dyDescent="0.3">
      <c r="A22" s="605" t="s">
        <v>441</v>
      </c>
      <c r="B22" s="606">
        <v>650</v>
      </c>
      <c r="C22" s="606">
        <v>150</v>
      </c>
      <c r="D22" s="606">
        <v>0</v>
      </c>
      <c r="E22" s="606">
        <v>300</v>
      </c>
      <c r="F22" s="606">
        <v>0</v>
      </c>
      <c r="G22" s="606">
        <v>350</v>
      </c>
      <c r="H22" s="606">
        <v>300</v>
      </c>
      <c r="I22" s="606">
        <v>450</v>
      </c>
      <c r="J22" s="606">
        <v>0</v>
      </c>
      <c r="K22" s="606">
        <v>0</v>
      </c>
      <c r="L22" s="606"/>
      <c r="M22" s="609"/>
    </row>
    <row r="23" spans="1:21" ht="13.5" thickBot="1" x14ac:dyDescent="0.35">
      <c r="A23" s="607" t="s">
        <v>553</v>
      </c>
      <c r="B23" s="608"/>
      <c r="C23" s="608"/>
      <c r="D23" s="608"/>
      <c r="E23" s="608"/>
      <c r="F23" s="608"/>
      <c r="G23" s="608"/>
      <c r="H23" s="608"/>
      <c r="I23" s="608"/>
      <c r="J23" s="608"/>
      <c r="K23" s="608"/>
      <c r="L23" s="608"/>
      <c r="M23" s="610">
        <f>O12</f>
        <v>9550</v>
      </c>
    </row>
  </sheetData>
  <printOptions gridLines="1" gridLinesSet="0"/>
  <pageMargins left="0.75" right="0.75" top="1" bottom="1" header="0.5" footer="0.5"/>
  <pageSetup orientation="landscape" horizontalDpi="4294967292" verticalDpi="360" r:id="rId1"/>
  <headerFooter alignWithMargins="0">
    <oddHeader>&amp;A</oddHeader>
    <oddFooter>Page &amp;P</oddFooter>
  </headerFooter>
  <drawing r:id="rId2"/>
  <legacy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7"/>
  <dimension ref="A1:L31"/>
  <sheetViews>
    <sheetView workbookViewId="0">
      <selection activeCell="D11" sqref="D11"/>
    </sheetView>
  </sheetViews>
  <sheetFormatPr defaultColWidth="8.81640625" defaultRowHeight="13" x14ac:dyDescent="0.3"/>
  <cols>
    <col min="1" max="1" width="16.6328125" style="551" bestFit="1" customWidth="1"/>
    <col min="2" max="16384" width="8.81640625" style="551"/>
  </cols>
  <sheetData>
    <row r="1" spans="1:12" ht="18.5" x14ac:dyDescent="0.45">
      <c r="A1" s="577" t="s">
        <v>972</v>
      </c>
    </row>
    <row r="3" spans="1:12" ht="15.5" x14ac:dyDescent="0.35">
      <c r="A3" s="611" t="s">
        <v>962</v>
      </c>
      <c r="B3" s="611"/>
      <c r="C3" s="611"/>
      <c r="D3" s="611"/>
      <c r="E3" s="611"/>
      <c r="F3" s="611"/>
      <c r="G3" s="586"/>
      <c r="H3" s="586"/>
      <c r="I3" s="586"/>
      <c r="J3" s="586"/>
      <c r="K3" s="586"/>
      <c r="L3" s="586"/>
    </row>
    <row r="4" spans="1:12" x14ac:dyDescent="0.3">
      <c r="A4" s="587"/>
      <c r="B4" s="587"/>
      <c r="C4" s="587"/>
      <c r="D4" s="587"/>
      <c r="E4" s="587"/>
      <c r="F4" s="587"/>
    </row>
    <row r="8" spans="1:12" ht="13.5" thickBot="1" x14ac:dyDescent="0.35">
      <c r="A8" s="697" t="s">
        <v>963</v>
      </c>
      <c r="G8" s="696"/>
      <c r="H8" s="582"/>
    </row>
    <row r="9" spans="1:12" x14ac:dyDescent="0.3">
      <c r="A9" s="589" t="s">
        <v>957</v>
      </c>
      <c r="B9" s="698" t="str">
        <f>A10</f>
        <v>Node 1</v>
      </c>
      <c r="C9" s="698" t="str">
        <f>A11</f>
        <v>Node 2</v>
      </c>
      <c r="D9" s="698" t="str">
        <f>A12</f>
        <v>Node 3</v>
      </c>
      <c r="E9" s="698" t="str">
        <f>A13</f>
        <v>Node 4</v>
      </c>
      <c r="F9" s="698" t="str">
        <f>A14</f>
        <v>Node 5</v>
      </c>
      <c r="G9" s="699" t="str">
        <f>A15</f>
        <v>Node 6</v>
      </c>
    </row>
    <row r="10" spans="1:12" x14ac:dyDescent="0.3">
      <c r="A10" s="700" t="s">
        <v>964</v>
      </c>
      <c r="B10" s="562">
        <v>0</v>
      </c>
      <c r="C10" s="562">
        <v>3</v>
      </c>
      <c r="D10" s="562">
        <v>10</v>
      </c>
      <c r="E10" s="562">
        <v>2</v>
      </c>
      <c r="F10" s="562">
        <v>0</v>
      </c>
      <c r="G10" s="594">
        <v>0</v>
      </c>
    </row>
    <row r="11" spans="1:12" x14ac:dyDescent="0.3">
      <c r="A11" s="700" t="s">
        <v>965</v>
      </c>
      <c r="B11" s="562">
        <v>1</v>
      </c>
      <c r="C11" s="562">
        <v>0</v>
      </c>
      <c r="D11" s="562">
        <v>0</v>
      </c>
      <c r="E11" s="562">
        <v>1</v>
      </c>
      <c r="F11" s="562">
        <v>0</v>
      </c>
      <c r="G11" s="594">
        <v>2</v>
      </c>
    </row>
    <row r="12" spans="1:12" x14ac:dyDescent="0.3">
      <c r="A12" s="700" t="s">
        <v>966</v>
      </c>
      <c r="B12" s="562">
        <v>0</v>
      </c>
      <c r="C12" s="562">
        <v>0</v>
      </c>
      <c r="D12" s="562">
        <v>0</v>
      </c>
      <c r="E12" s="562">
        <v>3</v>
      </c>
      <c r="F12" s="562">
        <v>2</v>
      </c>
      <c r="G12" s="594">
        <v>0</v>
      </c>
    </row>
    <row r="13" spans="1:12" x14ac:dyDescent="0.3">
      <c r="A13" s="700" t="s">
        <v>967</v>
      </c>
      <c r="B13" s="562">
        <v>0</v>
      </c>
      <c r="C13" s="562">
        <v>1</v>
      </c>
      <c r="D13" s="562">
        <v>1</v>
      </c>
      <c r="E13" s="562">
        <v>0</v>
      </c>
      <c r="F13" s="562">
        <v>0</v>
      </c>
      <c r="G13" s="594">
        <v>1</v>
      </c>
    </row>
    <row r="14" spans="1:12" x14ac:dyDescent="0.3">
      <c r="A14" s="700" t="s">
        <v>968</v>
      </c>
      <c r="B14" s="562">
        <v>0</v>
      </c>
      <c r="C14" s="562">
        <v>0</v>
      </c>
      <c r="D14" s="562">
        <v>1</v>
      </c>
      <c r="E14" s="562">
        <v>0</v>
      </c>
      <c r="F14" s="562">
        <v>0</v>
      </c>
      <c r="G14" s="594">
        <v>6</v>
      </c>
    </row>
    <row r="15" spans="1:12" ht="13.5" thickBot="1" x14ac:dyDescent="0.35">
      <c r="A15" s="701" t="s">
        <v>969</v>
      </c>
      <c r="B15" s="702">
        <v>999999</v>
      </c>
      <c r="C15" s="596">
        <v>2</v>
      </c>
      <c r="D15" s="596">
        <v>0</v>
      </c>
      <c r="E15" s="596">
        <v>1</v>
      </c>
      <c r="F15" s="596">
        <v>0</v>
      </c>
      <c r="G15" s="597">
        <v>0</v>
      </c>
    </row>
    <row r="19" spans="1:8" ht="13.5" thickBot="1" x14ac:dyDescent="0.35">
      <c r="A19" s="703" t="s">
        <v>960</v>
      </c>
      <c r="G19" s="696"/>
      <c r="H19" s="582"/>
    </row>
    <row r="20" spans="1:8" x14ac:dyDescent="0.3">
      <c r="A20" s="707" t="s">
        <v>957</v>
      </c>
      <c r="B20" s="708" t="str">
        <f t="shared" ref="B20:G20" si="0">B9</f>
        <v>Node 1</v>
      </c>
      <c r="C20" s="708" t="str">
        <f t="shared" si="0"/>
        <v>Node 2</v>
      </c>
      <c r="D20" s="708" t="str">
        <f t="shared" si="0"/>
        <v>Node 3</v>
      </c>
      <c r="E20" s="708" t="str">
        <f t="shared" si="0"/>
        <v>Node 4</v>
      </c>
      <c r="F20" s="708" t="str">
        <f t="shared" si="0"/>
        <v>Node 5</v>
      </c>
      <c r="G20" s="711" t="str">
        <f t="shared" si="0"/>
        <v>Node 6</v>
      </c>
      <c r="H20" s="696" t="s">
        <v>970</v>
      </c>
    </row>
    <row r="21" spans="1:8" x14ac:dyDescent="0.3">
      <c r="A21" s="706" t="str">
        <f t="shared" ref="A21:A26" si="1">A10</f>
        <v>Node 1</v>
      </c>
      <c r="B21" s="705">
        <v>0</v>
      </c>
      <c r="C21" s="705">
        <v>0</v>
      </c>
      <c r="D21" s="705">
        <v>2</v>
      </c>
      <c r="E21" s="705">
        <v>0</v>
      </c>
      <c r="F21" s="705">
        <v>0</v>
      </c>
      <c r="G21" s="712">
        <v>0</v>
      </c>
      <c r="H21" s="704">
        <f t="shared" ref="H21:H26" si="2">SUM(B21:G21)</f>
        <v>2</v>
      </c>
    </row>
    <row r="22" spans="1:8" x14ac:dyDescent="0.3">
      <c r="A22" s="706" t="str">
        <f t="shared" si="1"/>
        <v>Node 2</v>
      </c>
      <c r="B22" s="705">
        <v>0</v>
      </c>
      <c r="C22" s="705">
        <v>0</v>
      </c>
      <c r="D22" s="705">
        <v>0</v>
      </c>
      <c r="E22" s="705">
        <v>0</v>
      </c>
      <c r="F22" s="705">
        <v>0</v>
      </c>
      <c r="G22" s="712">
        <v>2</v>
      </c>
      <c r="H22" s="704">
        <f t="shared" si="2"/>
        <v>2</v>
      </c>
    </row>
    <row r="23" spans="1:8" x14ac:dyDescent="0.3">
      <c r="A23" s="706" t="str">
        <f t="shared" si="1"/>
        <v>Node 3</v>
      </c>
      <c r="B23" s="705">
        <v>0</v>
      </c>
      <c r="C23" s="705">
        <v>0</v>
      </c>
      <c r="D23" s="705">
        <v>0</v>
      </c>
      <c r="E23" s="705">
        <v>0</v>
      </c>
      <c r="F23" s="705">
        <v>2</v>
      </c>
      <c r="G23" s="712">
        <v>0</v>
      </c>
      <c r="H23" s="704">
        <f t="shared" si="2"/>
        <v>2</v>
      </c>
    </row>
    <row r="24" spans="1:8" x14ac:dyDescent="0.3">
      <c r="A24" s="706" t="str">
        <f t="shared" si="1"/>
        <v>Node 4</v>
      </c>
      <c r="B24" s="705">
        <v>0</v>
      </c>
      <c r="C24" s="705">
        <v>0</v>
      </c>
      <c r="D24" s="705">
        <v>0</v>
      </c>
      <c r="E24" s="705">
        <v>0</v>
      </c>
      <c r="F24" s="705">
        <v>0</v>
      </c>
      <c r="G24" s="712">
        <v>1</v>
      </c>
      <c r="H24" s="704">
        <f t="shared" si="2"/>
        <v>1</v>
      </c>
    </row>
    <row r="25" spans="1:8" x14ac:dyDescent="0.3">
      <c r="A25" s="706" t="str">
        <f t="shared" si="1"/>
        <v>Node 5</v>
      </c>
      <c r="B25" s="705">
        <v>0</v>
      </c>
      <c r="C25" s="705">
        <v>0</v>
      </c>
      <c r="D25" s="705">
        <v>0</v>
      </c>
      <c r="E25" s="705">
        <v>0</v>
      </c>
      <c r="F25" s="705">
        <v>0</v>
      </c>
      <c r="G25" s="712">
        <v>2</v>
      </c>
      <c r="H25" s="704">
        <f t="shared" si="2"/>
        <v>2</v>
      </c>
    </row>
    <row r="26" spans="1:8" ht="13.5" thickBot="1" x14ac:dyDescent="0.35">
      <c r="A26" s="709" t="str">
        <f t="shared" si="1"/>
        <v>Node 6</v>
      </c>
      <c r="B26" s="710">
        <v>2</v>
      </c>
      <c r="C26" s="710">
        <v>2</v>
      </c>
      <c r="D26" s="710">
        <v>0</v>
      </c>
      <c r="E26" s="710">
        <v>1</v>
      </c>
      <c r="F26" s="710">
        <v>0</v>
      </c>
      <c r="G26" s="713">
        <v>0</v>
      </c>
      <c r="H26" s="704">
        <f t="shared" si="2"/>
        <v>5</v>
      </c>
    </row>
    <row r="27" spans="1:8" x14ac:dyDescent="0.3">
      <c r="A27" s="551" t="s">
        <v>971</v>
      </c>
      <c r="B27" s="704">
        <f t="shared" ref="B27:G27" si="3">SUM(B21:B26)</f>
        <v>2</v>
      </c>
      <c r="C27" s="704">
        <f t="shared" si="3"/>
        <v>2</v>
      </c>
      <c r="D27" s="704">
        <f t="shared" si="3"/>
        <v>2</v>
      </c>
      <c r="E27" s="704">
        <f t="shared" si="3"/>
        <v>1</v>
      </c>
      <c r="F27" s="704">
        <f t="shared" si="3"/>
        <v>2</v>
      </c>
      <c r="G27" s="704">
        <f t="shared" si="3"/>
        <v>5</v>
      </c>
    </row>
    <row r="28" spans="1:8" x14ac:dyDescent="0.3">
      <c r="A28" s="551" t="s">
        <v>970</v>
      </c>
      <c r="B28" s="704">
        <f>H21</f>
        <v>2</v>
      </c>
      <c r="C28" s="704">
        <f>H22</f>
        <v>2</v>
      </c>
      <c r="D28" s="704">
        <f>H23</f>
        <v>2</v>
      </c>
      <c r="E28" s="704">
        <f>H24</f>
        <v>1</v>
      </c>
      <c r="F28" s="704">
        <f>H25</f>
        <v>2</v>
      </c>
      <c r="G28" s="704">
        <f>H26</f>
        <v>5</v>
      </c>
    </row>
    <row r="31" spans="1:8" x14ac:dyDescent="0.3">
      <c r="A31" s="551" t="s">
        <v>961</v>
      </c>
      <c r="B31" s="551">
        <f>G27</f>
        <v>5</v>
      </c>
    </row>
  </sheetData>
  <printOptions headings="1" gridLines="1"/>
  <pageMargins left="0.75" right="0.75" top="1" bottom="1" header="0.5" footer="0.5"/>
  <pageSetup orientation="landscape" horizontalDpi="4294967292" verticalDpi="300"/>
  <headerFooter alignWithMargins="0"/>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6"/>
  <dimension ref="A1:L31"/>
  <sheetViews>
    <sheetView workbookViewId="0">
      <selection activeCell="A2" sqref="A2"/>
    </sheetView>
  </sheetViews>
  <sheetFormatPr defaultColWidth="8.81640625" defaultRowHeight="13" x14ac:dyDescent="0.3"/>
  <cols>
    <col min="1" max="1" width="17.36328125" style="551" bestFit="1" customWidth="1"/>
    <col min="2" max="16384" width="8.81640625" style="551"/>
  </cols>
  <sheetData>
    <row r="1" spans="1:12" ht="18.5" x14ac:dyDescent="0.45">
      <c r="A1" s="577" t="s">
        <v>982</v>
      </c>
    </row>
    <row r="3" spans="1:12" ht="15.5" x14ac:dyDescent="0.35">
      <c r="A3" s="611" t="s">
        <v>974</v>
      </c>
      <c r="B3" s="586"/>
      <c r="C3" s="586"/>
      <c r="D3" s="586"/>
      <c r="E3" s="586"/>
      <c r="F3" s="586"/>
      <c r="G3" s="586"/>
      <c r="H3" s="586"/>
      <c r="I3" s="586"/>
      <c r="J3" s="586"/>
      <c r="K3" s="586"/>
      <c r="L3" s="586"/>
    </row>
    <row r="4" spans="1:12" x14ac:dyDescent="0.3">
      <c r="A4" s="587"/>
      <c r="B4" s="587"/>
      <c r="C4" s="587"/>
      <c r="D4" s="587"/>
      <c r="E4" s="587"/>
      <c r="F4" s="587"/>
    </row>
    <row r="8" spans="1:12" ht="13.5" thickBot="1" x14ac:dyDescent="0.35">
      <c r="A8" s="697" t="s">
        <v>975</v>
      </c>
      <c r="G8" s="696"/>
      <c r="H8" s="582"/>
    </row>
    <row r="9" spans="1:12" x14ac:dyDescent="0.3">
      <c r="A9" s="589" t="s">
        <v>957</v>
      </c>
      <c r="B9" s="698" t="str">
        <f>A10</f>
        <v>City 1</v>
      </c>
      <c r="C9" s="698" t="str">
        <f>A11</f>
        <v>City 2</v>
      </c>
      <c r="D9" s="698" t="str">
        <f>A12</f>
        <v>City 3</v>
      </c>
      <c r="E9" s="698" t="str">
        <f>A13</f>
        <v>City 4</v>
      </c>
      <c r="F9" s="698" t="str">
        <f>A14</f>
        <v>City 5</v>
      </c>
      <c r="G9" s="699" t="str">
        <f>A15</f>
        <v>City 6</v>
      </c>
    </row>
    <row r="10" spans="1:12" x14ac:dyDescent="0.3">
      <c r="A10" s="700" t="s">
        <v>958</v>
      </c>
      <c r="B10" s="562">
        <v>0</v>
      </c>
      <c r="C10" s="562">
        <v>100</v>
      </c>
      <c r="D10" s="562">
        <v>200</v>
      </c>
      <c r="E10" s="562">
        <v>0</v>
      </c>
      <c r="F10" s="562">
        <v>0</v>
      </c>
      <c r="G10" s="594">
        <v>0</v>
      </c>
    </row>
    <row r="11" spans="1:12" x14ac:dyDescent="0.3">
      <c r="A11" s="700" t="s">
        <v>959</v>
      </c>
      <c r="B11" s="562">
        <v>100</v>
      </c>
      <c r="C11" s="562">
        <v>0</v>
      </c>
      <c r="D11" s="562">
        <v>50</v>
      </c>
      <c r="E11" s="562">
        <v>200</v>
      </c>
      <c r="F11" s="562">
        <v>100</v>
      </c>
      <c r="G11" s="594">
        <v>0</v>
      </c>
    </row>
    <row r="12" spans="1:12" x14ac:dyDescent="0.3">
      <c r="A12" s="700" t="s">
        <v>977</v>
      </c>
      <c r="B12" s="562">
        <v>200</v>
      </c>
      <c r="C12" s="562">
        <v>50</v>
      </c>
      <c r="D12" s="562">
        <v>0</v>
      </c>
      <c r="E12" s="562">
        <v>0</v>
      </c>
      <c r="F12" s="562">
        <v>40</v>
      </c>
      <c r="G12" s="594">
        <v>0</v>
      </c>
    </row>
    <row r="13" spans="1:12" x14ac:dyDescent="0.3">
      <c r="A13" s="700" t="s">
        <v>978</v>
      </c>
      <c r="B13" s="562">
        <v>0</v>
      </c>
      <c r="C13" s="562">
        <v>200</v>
      </c>
      <c r="D13" s="562">
        <v>0</v>
      </c>
      <c r="E13" s="562">
        <v>0</v>
      </c>
      <c r="F13" s="562">
        <v>150</v>
      </c>
      <c r="G13" s="594">
        <v>100</v>
      </c>
    </row>
    <row r="14" spans="1:12" x14ac:dyDescent="0.3">
      <c r="A14" s="700" t="s">
        <v>979</v>
      </c>
      <c r="B14" s="562">
        <v>0</v>
      </c>
      <c r="C14" s="562">
        <v>100</v>
      </c>
      <c r="D14" s="562">
        <v>40</v>
      </c>
      <c r="E14" s="562">
        <v>150</v>
      </c>
      <c r="F14" s="562">
        <v>0</v>
      </c>
      <c r="G14" s="594">
        <v>100</v>
      </c>
    </row>
    <row r="15" spans="1:12" ht="13.5" thickBot="1" x14ac:dyDescent="0.35">
      <c r="A15" s="701" t="s">
        <v>980</v>
      </c>
      <c r="B15" s="596">
        <v>0</v>
      </c>
      <c r="C15" s="596">
        <v>0</v>
      </c>
      <c r="D15" s="596">
        <v>0</v>
      </c>
      <c r="E15" s="596">
        <v>100</v>
      </c>
      <c r="F15" s="596">
        <v>100</v>
      </c>
      <c r="G15" s="597">
        <v>0</v>
      </c>
    </row>
    <row r="16" spans="1:12" x14ac:dyDescent="0.3">
      <c r="B16" s="551">
        <v>1</v>
      </c>
      <c r="C16" s="551">
        <v>0</v>
      </c>
      <c r="D16" s="551">
        <v>0</v>
      </c>
      <c r="E16" s="551">
        <v>0</v>
      </c>
      <c r="F16" s="551">
        <v>0</v>
      </c>
      <c r="G16" s="551">
        <v>-1</v>
      </c>
    </row>
    <row r="17" spans="1:8" x14ac:dyDescent="0.3">
      <c r="A17" s="551" t="s">
        <v>976</v>
      </c>
    </row>
    <row r="19" spans="1:8" ht="13.5" thickBot="1" x14ac:dyDescent="0.35">
      <c r="A19" s="703" t="s">
        <v>960</v>
      </c>
      <c r="G19" s="696"/>
      <c r="H19" s="582"/>
    </row>
    <row r="20" spans="1:8" x14ac:dyDescent="0.3">
      <c r="A20" s="717" t="s">
        <v>957</v>
      </c>
      <c r="B20" s="718" t="str">
        <f t="shared" ref="B20:G20" si="0">B9</f>
        <v>City 1</v>
      </c>
      <c r="C20" s="718" t="str">
        <f t="shared" si="0"/>
        <v>City 2</v>
      </c>
      <c r="D20" s="718" t="str">
        <f t="shared" si="0"/>
        <v>City 3</v>
      </c>
      <c r="E20" s="718" t="str">
        <f t="shared" si="0"/>
        <v>City 4</v>
      </c>
      <c r="F20" s="718" t="str">
        <f t="shared" si="0"/>
        <v>City 5</v>
      </c>
      <c r="G20" s="721" t="str">
        <f t="shared" si="0"/>
        <v>City 6</v>
      </c>
      <c r="H20" s="696" t="s">
        <v>970</v>
      </c>
    </row>
    <row r="21" spans="1:8" x14ac:dyDescent="0.3">
      <c r="A21" s="716" t="str">
        <f t="shared" ref="A21:A26" si="1">A10</f>
        <v>City 1</v>
      </c>
      <c r="B21" s="715">
        <v>0</v>
      </c>
      <c r="C21" s="715">
        <v>1</v>
      </c>
      <c r="D21" s="715">
        <v>0</v>
      </c>
      <c r="E21" s="715">
        <v>0</v>
      </c>
      <c r="F21" s="715">
        <v>0</v>
      </c>
      <c r="G21" s="722">
        <v>0</v>
      </c>
      <c r="H21" s="714">
        <f t="shared" ref="H21:H26" si="2">SUM(B21:G21)</f>
        <v>1</v>
      </c>
    </row>
    <row r="22" spans="1:8" x14ac:dyDescent="0.3">
      <c r="A22" s="716" t="str">
        <f t="shared" si="1"/>
        <v>City 2</v>
      </c>
      <c r="B22" s="715">
        <v>0</v>
      </c>
      <c r="C22" s="715">
        <v>0</v>
      </c>
      <c r="D22" s="715">
        <v>1</v>
      </c>
      <c r="E22" s="715">
        <v>0</v>
      </c>
      <c r="F22" s="715">
        <v>0</v>
      </c>
      <c r="G22" s="722">
        <v>0</v>
      </c>
      <c r="H22" s="714">
        <f t="shared" si="2"/>
        <v>1</v>
      </c>
    </row>
    <row r="23" spans="1:8" x14ac:dyDescent="0.3">
      <c r="A23" s="716" t="str">
        <f t="shared" si="1"/>
        <v>City 3</v>
      </c>
      <c r="B23" s="715">
        <v>0</v>
      </c>
      <c r="C23" s="715">
        <v>0</v>
      </c>
      <c r="D23" s="715">
        <v>0</v>
      </c>
      <c r="E23" s="715">
        <v>0</v>
      </c>
      <c r="F23" s="715">
        <v>1</v>
      </c>
      <c r="G23" s="722">
        <v>0</v>
      </c>
      <c r="H23" s="714">
        <f t="shared" si="2"/>
        <v>1</v>
      </c>
    </row>
    <row r="24" spans="1:8" x14ac:dyDescent="0.3">
      <c r="A24" s="716" t="str">
        <f t="shared" si="1"/>
        <v>City 4</v>
      </c>
      <c r="B24" s="715">
        <v>0</v>
      </c>
      <c r="C24" s="715">
        <v>0</v>
      </c>
      <c r="D24" s="715">
        <v>0</v>
      </c>
      <c r="E24" s="715">
        <v>0</v>
      </c>
      <c r="F24" s="715">
        <v>0</v>
      </c>
      <c r="G24" s="722">
        <v>0</v>
      </c>
      <c r="H24" s="714">
        <f t="shared" si="2"/>
        <v>0</v>
      </c>
    </row>
    <row r="25" spans="1:8" x14ac:dyDescent="0.3">
      <c r="A25" s="716" t="str">
        <f t="shared" si="1"/>
        <v>City 5</v>
      </c>
      <c r="B25" s="715">
        <v>0</v>
      </c>
      <c r="C25" s="715">
        <v>0</v>
      </c>
      <c r="D25" s="715">
        <v>0</v>
      </c>
      <c r="E25" s="715">
        <v>0</v>
      </c>
      <c r="F25" s="715">
        <v>0</v>
      </c>
      <c r="G25" s="722">
        <v>1</v>
      </c>
      <c r="H25" s="714">
        <f t="shared" si="2"/>
        <v>1</v>
      </c>
    </row>
    <row r="26" spans="1:8" ht="13.5" thickBot="1" x14ac:dyDescent="0.35">
      <c r="A26" s="719" t="str">
        <f t="shared" si="1"/>
        <v>City 6</v>
      </c>
      <c r="B26" s="720">
        <v>0</v>
      </c>
      <c r="C26" s="720">
        <v>0</v>
      </c>
      <c r="D26" s="720">
        <v>0</v>
      </c>
      <c r="E26" s="720">
        <v>0</v>
      </c>
      <c r="F26" s="720">
        <v>0</v>
      </c>
      <c r="G26" s="723">
        <v>0</v>
      </c>
      <c r="H26" s="714">
        <f t="shared" si="2"/>
        <v>0</v>
      </c>
    </row>
    <row r="27" spans="1:8" x14ac:dyDescent="0.3">
      <c r="A27" s="551" t="s">
        <v>971</v>
      </c>
      <c r="B27" s="714">
        <f t="shared" ref="B27:G27" si="3">SUM(B21:B26)</f>
        <v>0</v>
      </c>
      <c r="C27" s="714">
        <f t="shared" si="3"/>
        <v>1</v>
      </c>
      <c r="D27" s="714">
        <f t="shared" si="3"/>
        <v>1</v>
      </c>
      <c r="E27" s="714">
        <f t="shared" si="3"/>
        <v>0</v>
      </c>
      <c r="F27" s="714">
        <f t="shared" si="3"/>
        <v>1</v>
      </c>
      <c r="G27" s="714">
        <f t="shared" si="3"/>
        <v>1</v>
      </c>
    </row>
    <row r="28" spans="1:8" x14ac:dyDescent="0.3">
      <c r="A28" s="551" t="s">
        <v>970</v>
      </c>
      <c r="B28" s="714">
        <f>H21</f>
        <v>1</v>
      </c>
      <c r="C28" s="714">
        <f>H22</f>
        <v>1</v>
      </c>
      <c r="D28" s="714">
        <f>H23</f>
        <v>1</v>
      </c>
      <c r="E28" s="714">
        <f>H24</f>
        <v>0</v>
      </c>
      <c r="F28" s="714">
        <f>H25</f>
        <v>1</v>
      </c>
      <c r="G28" s="714">
        <f>H26</f>
        <v>0</v>
      </c>
    </row>
    <row r="29" spans="1:8" x14ac:dyDescent="0.3">
      <c r="A29" s="551" t="s">
        <v>981</v>
      </c>
      <c r="B29" s="714">
        <f t="shared" ref="B29:G29" si="4">B28-B27</f>
        <v>1</v>
      </c>
      <c r="C29" s="714">
        <f t="shared" si="4"/>
        <v>0</v>
      </c>
      <c r="D29" s="714">
        <f t="shared" si="4"/>
        <v>0</v>
      </c>
      <c r="E29" s="714">
        <f t="shared" si="4"/>
        <v>0</v>
      </c>
      <c r="F29" s="714">
        <f t="shared" si="4"/>
        <v>0</v>
      </c>
      <c r="G29" s="714">
        <f t="shared" si="4"/>
        <v>-1</v>
      </c>
    </row>
    <row r="31" spans="1:8" x14ac:dyDescent="0.3">
      <c r="A31" s="551" t="s">
        <v>973</v>
      </c>
      <c r="B31" s="551">
        <f>SUMPRODUCT(B10:G15,B21:G26)</f>
        <v>290</v>
      </c>
    </row>
  </sheetData>
  <printOptions headings="1" gridLines="1"/>
  <pageMargins left="0.75" right="0.75" top="1" bottom="1" header="0.5" footer="0.5"/>
  <pageSetup orientation="landscape" horizontalDpi="4294967292" verticalDpi="300"/>
  <headerFooter alignWithMargins="0"/>
  <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34"/>
  <sheetViews>
    <sheetView workbookViewId="0">
      <selection activeCell="D23" sqref="D23"/>
    </sheetView>
  </sheetViews>
  <sheetFormatPr defaultColWidth="9.08984375" defaultRowHeight="12.5" x14ac:dyDescent="0.25"/>
  <cols>
    <col min="1" max="1" width="20.6328125" style="160" bestFit="1" customWidth="1"/>
    <col min="2" max="16384" width="9.08984375" style="160"/>
  </cols>
  <sheetData>
    <row r="1" spans="1:8" ht="18" x14ac:dyDescent="0.4">
      <c r="A1" s="513" t="s">
        <v>1003</v>
      </c>
    </row>
    <row r="3" spans="1:8" ht="15.5" x14ac:dyDescent="0.35">
      <c r="A3" s="500" t="s">
        <v>983</v>
      </c>
      <c r="B3" s="500"/>
      <c r="C3" s="500"/>
      <c r="D3" s="500" t="s">
        <v>984</v>
      </c>
      <c r="E3" s="500"/>
      <c r="F3" s="500"/>
      <c r="G3" s="500"/>
      <c r="H3" s="500"/>
    </row>
    <row r="4" spans="1:8" x14ac:dyDescent="0.25">
      <c r="A4" s="499"/>
      <c r="B4" s="499"/>
    </row>
    <row r="6" spans="1:8" x14ac:dyDescent="0.25">
      <c r="A6" s="160" t="s">
        <v>986</v>
      </c>
      <c r="B6" s="502">
        <v>1</v>
      </c>
    </row>
    <row r="7" spans="1:8" x14ac:dyDescent="0.25">
      <c r="F7" s="160" t="s">
        <v>988</v>
      </c>
      <c r="G7" s="160" t="s">
        <v>115</v>
      </c>
    </row>
    <row r="8" spans="1:8" ht="13.5" thickBot="1" x14ac:dyDescent="0.35">
      <c r="A8" s="501" t="s">
        <v>27</v>
      </c>
      <c r="F8" s="509" t="s">
        <v>31</v>
      </c>
    </row>
    <row r="9" spans="1:8" ht="13" thickBot="1" x14ac:dyDescent="0.3">
      <c r="A9" s="503" t="s">
        <v>985</v>
      </c>
      <c r="B9" s="538" t="s">
        <v>986</v>
      </c>
      <c r="C9" s="538" t="s">
        <v>987</v>
      </c>
      <c r="D9" s="539" t="s">
        <v>115</v>
      </c>
      <c r="F9" s="160" t="s">
        <v>988</v>
      </c>
      <c r="G9" s="160" t="s">
        <v>115</v>
      </c>
    </row>
    <row r="10" spans="1:8" ht="13" x14ac:dyDescent="0.3">
      <c r="A10" s="505" t="s">
        <v>990</v>
      </c>
      <c r="B10" s="502">
        <v>1</v>
      </c>
      <c r="C10" s="502">
        <v>2</v>
      </c>
      <c r="D10" s="506">
        <v>3</v>
      </c>
      <c r="F10" s="146">
        <v>1</v>
      </c>
      <c r="G10" s="167">
        <f>D10*F10</f>
        <v>3</v>
      </c>
    </row>
    <row r="11" spans="1:8" ht="13" x14ac:dyDescent="0.3">
      <c r="A11" s="505" t="s">
        <v>991</v>
      </c>
      <c r="B11" s="502">
        <v>1</v>
      </c>
      <c r="C11" s="502">
        <v>3</v>
      </c>
      <c r="D11" s="506">
        <v>2</v>
      </c>
      <c r="F11" s="145">
        <v>1</v>
      </c>
      <c r="G11" s="152">
        <f>D11*F11</f>
        <v>2</v>
      </c>
    </row>
    <row r="12" spans="1:8" ht="13" x14ac:dyDescent="0.3">
      <c r="A12" s="505" t="s">
        <v>992</v>
      </c>
      <c r="B12" s="502">
        <v>1</v>
      </c>
      <c r="C12" s="502">
        <v>4</v>
      </c>
      <c r="D12" s="506">
        <v>5</v>
      </c>
      <c r="F12" s="145"/>
      <c r="G12" s="152"/>
    </row>
    <row r="13" spans="1:8" ht="13" x14ac:dyDescent="0.3">
      <c r="A13" s="505" t="s">
        <v>993</v>
      </c>
      <c r="B13" s="502">
        <v>2</v>
      </c>
      <c r="C13" s="502">
        <v>3</v>
      </c>
      <c r="D13" s="506">
        <v>3</v>
      </c>
      <c r="F13" s="145"/>
      <c r="G13" s="152"/>
    </row>
    <row r="14" spans="1:8" ht="13" x14ac:dyDescent="0.3">
      <c r="A14" s="505" t="s">
        <v>994</v>
      </c>
      <c r="B14" s="502">
        <v>2</v>
      </c>
      <c r="C14" s="502">
        <v>5</v>
      </c>
      <c r="D14" s="506">
        <v>3</v>
      </c>
      <c r="F14" s="145">
        <v>1</v>
      </c>
      <c r="G14" s="152">
        <f>D14*F14</f>
        <v>3</v>
      </c>
    </row>
    <row r="15" spans="1:8" ht="13" x14ac:dyDescent="0.3">
      <c r="A15" s="505" t="s">
        <v>995</v>
      </c>
      <c r="B15" s="502">
        <v>3</v>
      </c>
      <c r="C15" s="502">
        <v>4</v>
      </c>
      <c r="D15" s="506">
        <v>2</v>
      </c>
      <c r="F15" s="145">
        <v>1</v>
      </c>
      <c r="G15" s="152">
        <f>D15*F15</f>
        <v>2</v>
      </c>
    </row>
    <row r="16" spans="1:8" ht="13" x14ac:dyDescent="0.3">
      <c r="A16" s="505" t="s">
        <v>996</v>
      </c>
      <c r="B16" s="502">
        <v>3</v>
      </c>
      <c r="C16" s="502">
        <v>5</v>
      </c>
      <c r="D16" s="506">
        <v>5</v>
      </c>
      <c r="F16" s="145"/>
      <c r="G16" s="152"/>
    </row>
    <row r="17" spans="1:7" ht="13" x14ac:dyDescent="0.3">
      <c r="A17" s="505" t="s">
        <v>997</v>
      </c>
      <c r="B17" s="502">
        <v>3</v>
      </c>
      <c r="C17" s="502">
        <v>6</v>
      </c>
      <c r="D17" s="506">
        <v>3</v>
      </c>
      <c r="F17" s="145">
        <v>1</v>
      </c>
      <c r="G17" s="152">
        <f>D17*F17</f>
        <v>3</v>
      </c>
    </row>
    <row r="18" spans="1:7" ht="13" x14ac:dyDescent="0.3">
      <c r="A18" s="505" t="s">
        <v>998</v>
      </c>
      <c r="B18" s="502">
        <v>3</v>
      </c>
      <c r="C18" s="502">
        <v>7</v>
      </c>
      <c r="D18" s="506">
        <v>7</v>
      </c>
      <c r="F18" s="145"/>
      <c r="G18" s="152"/>
    </row>
    <row r="19" spans="1:7" ht="13" x14ac:dyDescent="0.3">
      <c r="A19" s="505" t="s">
        <v>999</v>
      </c>
      <c r="B19" s="502">
        <v>4</v>
      </c>
      <c r="C19" s="502">
        <v>6</v>
      </c>
      <c r="D19" s="506">
        <v>6</v>
      </c>
      <c r="F19" s="145"/>
      <c r="G19" s="152"/>
    </row>
    <row r="20" spans="1:7" ht="13" x14ac:dyDescent="0.3">
      <c r="A20" s="505" t="s">
        <v>1000</v>
      </c>
      <c r="B20" s="502">
        <v>5</v>
      </c>
      <c r="C20" s="502">
        <v>7</v>
      </c>
      <c r="D20" s="506">
        <v>4</v>
      </c>
      <c r="F20" s="145"/>
      <c r="G20" s="152"/>
    </row>
    <row r="21" spans="1:7" ht="13" x14ac:dyDescent="0.3">
      <c r="A21" s="505" t="s">
        <v>1001</v>
      </c>
      <c r="B21" s="502">
        <v>6</v>
      </c>
      <c r="C21" s="502">
        <v>8</v>
      </c>
      <c r="D21" s="506">
        <v>1</v>
      </c>
      <c r="F21" s="145">
        <v>1</v>
      </c>
      <c r="G21" s="152">
        <f>D21*F21</f>
        <v>1</v>
      </c>
    </row>
    <row r="22" spans="1:7" ht="13.5" thickBot="1" x14ac:dyDescent="0.35">
      <c r="A22" s="507" t="s">
        <v>1002</v>
      </c>
      <c r="B22" s="526">
        <v>7</v>
      </c>
      <c r="C22" s="526">
        <v>8</v>
      </c>
      <c r="D22" s="508">
        <v>2</v>
      </c>
      <c r="F22" s="145">
        <v>1</v>
      </c>
      <c r="G22" s="152">
        <f>D22*F22</f>
        <v>2</v>
      </c>
    </row>
    <row r="23" spans="1:7" ht="13" x14ac:dyDescent="0.3">
      <c r="F23" s="145"/>
      <c r="G23" s="152"/>
    </row>
    <row r="24" spans="1:7" ht="13.5" thickBot="1" x14ac:dyDescent="0.35">
      <c r="F24" s="148" t="s">
        <v>989</v>
      </c>
      <c r="G24" s="153">
        <f>SUM(G10:G23)</f>
        <v>16</v>
      </c>
    </row>
    <row r="27" spans="1:7" x14ac:dyDescent="0.25">
      <c r="A27" s="160" t="s">
        <v>1004</v>
      </c>
    </row>
    <row r="28" spans="1:7" x14ac:dyDescent="0.25">
      <c r="A28" s="160" t="s">
        <v>991</v>
      </c>
      <c r="B28" s="160">
        <v>1</v>
      </c>
      <c r="C28" s="160">
        <v>3</v>
      </c>
      <c r="D28" s="160">
        <v>2</v>
      </c>
    </row>
    <row r="29" spans="1:7" x14ac:dyDescent="0.25">
      <c r="A29" s="160" t="s">
        <v>995</v>
      </c>
      <c r="B29" s="160">
        <v>3</v>
      </c>
      <c r="C29" s="160">
        <v>4</v>
      </c>
      <c r="D29" s="160">
        <v>2</v>
      </c>
    </row>
    <row r="30" spans="1:7" x14ac:dyDescent="0.25">
      <c r="A30" s="160" t="s">
        <v>990</v>
      </c>
      <c r="B30" s="160">
        <v>1</v>
      </c>
      <c r="C30" s="160">
        <v>2</v>
      </c>
      <c r="D30" s="160">
        <v>3</v>
      </c>
    </row>
    <row r="31" spans="1:7" x14ac:dyDescent="0.25">
      <c r="A31" s="160" t="s">
        <v>994</v>
      </c>
      <c r="B31" s="160">
        <v>2</v>
      </c>
      <c r="C31" s="160">
        <v>5</v>
      </c>
      <c r="D31" s="160">
        <v>3</v>
      </c>
    </row>
    <row r="32" spans="1:7" x14ac:dyDescent="0.25">
      <c r="A32" s="160" t="s">
        <v>997</v>
      </c>
      <c r="B32" s="160">
        <v>3</v>
      </c>
      <c r="C32" s="160">
        <v>6</v>
      </c>
      <c r="D32" s="160">
        <v>3</v>
      </c>
    </row>
    <row r="33" spans="1:4" x14ac:dyDescent="0.25">
      <c r="A33" s="160" t="s">
        <v>1001</v>
      </c>
      <c r="B33" s="160">
        <v>6</v>
      </c>
      <c r="C33" s="160">
        <v>8</v>
      </c>
      <c r="D33" s="160">
        <v>1</v>
      </c>
    </row>
    <row r="34" spans="1:4" x14ac:dyDescent="0.25">
      <c r="A34" s="160" t="s">
        <v>1002</v>
      </c>
      <c r="B34" s="160">
        <v>7</v>
      </c>
      <c r="C34" s="160">
        <v>8</v>
      </c>
      <c r="D34" s="160">
        <v>2</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72386" r:id="rId4" name="Button 2">
              <controlPr defaultSize="0" print="0" autoFill="0" autoPict="0" macro="[6]!minSpan_solve">
                <anchor moveWithCells="1" sizeWithCells="1">
                  <from>
                    <xdr:col>0</xdr:col>
                    <xdr:colOff>0</xdr:colOff>
                    <xdr:row>3</xdr:row>
                    <xdr:rowOff>114300</xdr:rowOff>
                  </from>
                  <to>
                    <xdr:col>1</xdr:col>
                    <xdr:colOff>0</xdr:colOff>
                    <xdr:row>4</xdr:row>
                    <xdr:rowOff>146050</xdr:rowOff>
                  </to>
                </anchor>
              </controlPr>
            </control>
          </mc:Choice>
        </mc:AlternateContent>
      </controls>
    </mc:Choice>
  </mc:AlternateContent>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15"/>
  <dimension ref="A1:I23"/>
  <sheetViews>
    <sheetView zoomScale="90" zoomScaleNormal="90" workbookViewId="0">
      <selection activeCell="A2" sqref="A2"/>
    </sheetView>
  </sheetViews>
  <sheetFormatPr defaultColWidth="8.7265625" defaultRowHeight="13" x14ac:dyDescent="0.3"/>
  <cols>
    <col min="1" max="1" width="15.81640625" style="613" bestFit="1" customWidth="1"/>
    <col min="2" max="16384" width="8.7265625" style="613"/>
  </cols>
  <sheetData>
    <row r="1" spans="1:9" ht="18.5" x14ac:dyDescent="0.45">
      <c r="A1" s="648" t="s">
        <v>1008</v>
      </c>
    </row>
    <row r="3" spans="1:9" ht="15.5" x14ac:dyDescent="0.35">
      <c r="A3" s="647" t="s">
        <v>17</v>
      </c>
      <c r="B3" s="616"/>
      <c r="C3" s="616"/>
      <c r="D3" s="616"/>
      <c r="E3" s="616"/>
      <c r="F3" s="616"/>
      <c r="G3" s="616"/>
      <c r="H3" s="616"/>
      <c r="I3" s="616"/>
    </row>
    <row r="4" spans="1:9" x14ac:dyDescent="0.3">
      <c r="A4" s="617"/>
      <c r="B4" s="617"/>
      <c r="C4" s="617"/>
    </row>
    <row r="8" spans="1:9" ht="13.5" thickBot="1" x14ac:dyDescent="0.35">
      <c r="A8" s="618" t="s">
        <v>27</v>
      </c>
      <c r="B8" s="612" t="str">
        <f>IF(SUM(B13:D13)&gt;SUM(E10:E12),"Demand is greater than supply! Recreate this model with an extra (dummy) row that has a supply equal to the difference between total supply and total demand.","")</f>
        <v/>
      </c>
      <c r="C8" s="612"/>
    </row>
    <row r="9" spans="1:9" x14ac:dyDescent="0.3">
      <c r="A9" s="620" t="s">
        <v>120</v>
      </c>
      <c r="B9" s="621" t="s">
        <v>135</v>
      </c>
      <c r="C9" s="621" t="s">
        <v>136</v>
      </c>
      <c r="D9" s="621" t="s">
        <v>137</v>
      </c>
      <c r="E9" s="622" t="s">
        <v>121</v>
      </c>
    </row>
    <row r="10" spans="1:9" x14ac:dyDescent="0.3">
      <c r="A10" s="623" t="s">
        <v>1005</v>
      </c>
      <c r="B10" s="619">
        <v>10</v>
      </c>
      <c r="C10" s="619">
        <v>4</v>
      </c>
      <c r="D10" s="619">
        <v>11</v>
      </c>
      <c r="E10" s="624">
        <v>70</v>
      </c>
    </row>
    <row r="11" spans="1:9" x14ac:dyDescent="0.3">
      <c r="A11" s="623" t="s">
        <v>1006</v>
      </c>
      <c r="B11" s="619">
        <v>12</v>
      </c>
      <c r="C11" s="619">
        <v>5</v>
      </c>
      <c r="D11" s="619">
        <v>8</v>
      </c>
      <c r="E11" s="624">
        <v>50</v>
      </c>
    </row>
    <row r="12" spans="1:9" x14ac:dyDescent="0.3">
      <c r="A12" s="623" t="s">
        <v>1007</v>
      </c>
      <c r="B12" s="619">
        <v>9</v>
      </c>
      <c r="C12" s="619">
        <v>7</v>
      </c>
      <c r="D12" s="619">
        <v>6</v>
      </c>
      <c r="E12" s="624">
        <v>30</v>
      </c>
    </row>
    <row r="13" spans="1:9" ht="13.5" thickBot="1" x14ac:dyDescent="0.35">
      <c r="A13" s="625" t="s">
        <v>51</v>
      </c>
      <c r="B13" s="626">
        <v>40</v>
      </c>
      <c r="C13" s="626">
        <v>50</v>
      </c>
      <c r="D13" s="626">
        <v>60</v>
      </c>
      <c r="E13" s="627" t="str">
        <f>CONCATENATE(SUM(B13:D13)," \ ",SUM(E10:E12))</f>
        <v>150 \ 150</v>
      </c>
    </row>
    <row r="15" spans="1:9" ht="13.5" thickBot="1" x14ac:dyDescent="0.35">
      <c r="A15" s="629" t="s">
        <v>122</v>
      </c>
      <c r="B15" s="630"/>
      <c r="C15" s="630"/>
      <c r="D15" s="630"/>
      <c r="E15" s="630"/>
    </row>
    <row r="16" spans="1:9" ht="13.5" thickBot="1" x14ac:dyDescent="0.35">
      <c r="A16" s="633" t="s">
        <v>122</v>
      </c>
      <c r="B16" s="642" t="str">
        <f>B9</f>
        <v>Project 1</v>
      </c>
      <c r="C16" s="642" t="str">
        <f>C9</f>
        <v>Project 2</v>
      </c>
      <c r="D16" s="642" t="str">
        <f>D9</f>
        <v>Project 3</v>
      </c>
      <c r="E16" s="637" t="s">
        <v>123</v>
      </c>
      <c r="F16" s="628" t="s">
        <v>124</v>
      </c>
    </row>
    <row r="17" spans="1:6" x14ac:dyDescent="0.3">
      <c r="A17" s="640" t="str">
        <f>A10</f>
        <v>Plant 1</v>
      </c>
      <c r="B17" s="633">
        <v>20</v>
      </c>
      <c r="C17" s="634">
        <v>50</v>
      </c>
      <c r="D17" s="637">
        <v>0</v>
      </c>
      <c r="E17" s="641">
        <f>SUM(B17:D17)</f>
        <v>70</v>
      </c>
      <c r="F17" s="628"/>
    </row>
    <row r="18" spans="1:6" x14ac:dyDescent="0.3">
      <c r="A18" s="640" t="str">
        <f>A11</f>
        <v>Plant 2</v>
      </c>
      <c r="B18" s="632">
        <v>0</v>
      </c>
      <c r="C18" s="631">
        <v>0</v>
      </c>
      <c r="D18" s="638">
        <v>50</v>
      </c>
      <c r="E18" s="641">
        <f t="shared" ref="E18:E19" si="0">SUM(B18:D18)</f>
        <v>50</v>
      </c>
      <c r="F18" s="628"/>
    </row>
    <row r="19" spans="1:6" ht="13.5" thickBot="1" x14ac:dyDescent="0.35">
      <c r="A19" s="640" t="str">
        <f>A12</f>
        <v>Plant 3</v>
      </c>
      <c r="B19" s="635">
        <v>20</v>
      </c>
      <c r="C19" s="636">
        <v>0</v>
      </c>
      <c r="D19" s="639">
        <v>10</v>
      </c>
      <c r="E19" s="641">
        <f t="shared" si="0"/>
        <v>30</v>
      </c>
      <c r="F19" s="628"/>
    </row>
    <row r="20" spans="1:6" ht="13.5" thickBot="1" x14ac:dyDescent="0.35">
      <c r="A20" s="635" t="s">
        <v>125</v>
      </c>
      <c r="B20" s="643">
        <f>SUM(B17:B19)</f>
        <v>40</v>
      </c>
      <c r="C20" s="643">
        <f t="shared" ref="C20:D20" si="1">SUM(C17:C19)</f>
        <v>50</v>
      </c>
      <c r="D20" s="643">
        <f t="shared" si="1"/>
        <v>60</v>
      </c>
      <c r="E20" s="639" t="str">
        <f>CONCATENATE(INT(SUM(B20:D20)+0.5)," \ ",INT(SUM(E17:E19)+0.5))</f>
        <v>150 \ 150</v>
      </c>
      <c r="F20" s="628"/>
    </row>
    <row r="21" spans="1:6" ht="13.5" thickBot="1" x14ac:dyDescent="0.35">
      <c r="A21" s="614" t="s">
        <v>124</v>
      </c>
      <c r="B21" s="614"/>
      <c r="C21" s="614"/>
      <c r="D21" s="614"/>
      <c r="E21" s="614"/>
    </row>
    <row r="22" spans="1:6" ht="13.5" thickBot="1" x14ac:dyDescent="0.35">
      <c r="A22" s="645" t="s">
        <v>118</v>
      </c>
      <c r="B22" s="646">
        <f>SUMPRODUCT(B10:D12,B17:D19)</f>
        <v>1040</v>
      </c>
      <c r="C22" s="615"/>
      <c r="D22" s="614"/>
      <c r="E22" s="614"/>
    </row>
    <row r="23" spans="1:6" x14ac:dyDescent="0.3">
      <c r="A23" s="644"/>
      <c r="B23" s="644"/>
    </row>
  </sheetData>
  <conditionalFormatting sqref="B17:D19">
    <cfRule type="cellIs" dxfId="3"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10"/>
  <dimension ref="A1:J24"/>
  <sheetViews>
    <sheetView workbookViewId="0">
      <selection activeCell="E14" sqref="E14"/>
    </sheetView>
  </sheetViews>
  <sheetFormatPr defaultColWidth="8.7265625" defaultRowHeight="13" x14ac:dyDescent="0.3"/>
  <cols>
    <col min="1" max="1" width="12.26953125" style="649" bestFit="1" customWidth="1"/>
    <col min="2" max="5" width="9.26953125" style="649" bestFit="1" customWidth="1"/>
    <col min="6" max="16384" width="8.7265625" style="649"/>
  </cols>
  <sheetData>
    <row r="1" spans="1:10" ht="18.5" x14ac:dyDescent="0.45">
      <c r="A1" s="686" t="s">
        <v>1009</v>
      </c>
    </row>
    <row r="3" spans="1:10" ht="15.5" x14ac:dyDescent="0.35">
      <c r="A3" s="685" t="s">
        <v>18</v>
      </c>
      <c r="B3" s="651"/>
      <c r="C3" s="651"/>
      <c r="D3" s="651"/>
      <c r="E3" s="651"/>
      <c r="F3" s="651"/>
      <c r="G3" s="651"/>
      <c r="H3" s="651"/>
      <c r="I3" s="651"/>
      <c r="J3" s="651"/>
    </row>
    <row r="4" spans="1:10" x14ac:dyDescent="0.3">
      <c r="A4" s="652"/>
      <c r="B4" s="652"/>
      <c r="C4" s="652"/>
      <c r="D4" s="652"/>
    </row>
    <row r="8" spans="1:10" ht="13.5" thickBot="1" x14ac:dyDescent="0.35">
      <c r="A8" s="653" t="s">
        <v>27</v>
      </c>
    </row>
    <row r="9" spans="1:10" x14ac:dyDescent="0.3">
      <c r="A9" s="655" t="s">
        <v>120</v>
      </c>
      <c r="B9" s="656" t="s">
        <v>1010</v>
      </c>
      <c r="C9" s="656" t="s">
        <v>1011</v>
      </c>
      <c r="D9" s="656" t="s">
        <v>936</v>
      </c>
      <c r="E9" s="657" t="s">
        <v>708</v>
      </c>
      <c r="F9" s="650"/>
    </row>
    <row r="10" spans="1:10" x14ac:dyDescent="0.3">
      <c r="A10" s="658" t="s">
        <v>1012</v>
      </c>
      <c r="B10" s="654">
        <v>800</v>
      </c>
      <c r="C10" s="654">
        <v>1100</v>
      </c>
      <c r="D10" s="654">
        <v>1200</v>
      </c>
      <c r="E10" s="659">
        <v>1000</v>
      </c>
      <c r="F10" s="650"/>
    </row>
    <row r="11" spans="1:10" x14ac:dyDescent="0.3">
      <c r="A11" s="658" t="s">
        <v>1013</v>
      </c>
      <c r="B11" s="654">
        <v>500</v>
      </c>
      <c r="C11" s="654">
        <v>1600</v>
      </c>
      <c r="D11" s="654">
        <v>1300</v>
      </c>
      <c r="E11" s="659">
        <v>800</v>
      </c>
      <c r="F11" s="650"/>
    </row>
    <row r="12" spans="1:10" x14ac:dyDescent="0.3">
      <c r="A12" s="658" t="s">
        <v>1014</v>
      </c>
      <c r="B12" s="654">
        <v>500</v>
      </c>
      <c r="C12" s="654">
        <v>1000</v>
      </c>
      <c r="D12" s="654">
        <v>2300</v>
      </c>
      <c r="E12" s="659">
        <v>1500</v>
      </c>
      <c r="F12" s="650"/>
    </row>
    <row r="13" spans="1:10" ht="13.5" thickBot="1" x14ac:dyDescent="0.35">
      <c r="A13" s="660" t="s">
        <v>1015</v>
      </c>
      <c r="B13" s="661">
        <v>0</v>
      </c>
      <c r="C13" s="661">
        <v>0</v>
      </c>
      <c r="D13" s="661">
        <v>0</v>
      </c>
      <c r="E13" s="662">
        <v>0</v>
      </c>
      <c r="F13" s="650"/>
    </row>
    <row r="14" spans="1:10" x14ac:dyDescent="0.3">
      <c r="A14" s="650"/>
      <c r="B14" s="650"/>
      <c r="C14" s="650"/>
      <c r="D14" s="650"/>
      <c r="E14" s="650"/>
      <c r="F14" s="650"/>
    </row>
    <row r="15" spans="1:10" ht="13.5" thickBot="1" x14ac:dyDescent="0.35">
      <c r="A15" s="663" t="s">
        <v>141</v>
      </c>
      <c r="B15" s="664"/>
      <c r="C15" s="664"/>
      <c r="D15" s="664"/>
      <c r="E15" s="664"/>
      <c r="F15" s="664"/>
    </row>
    <row r="16" spans="1:10" ht="13.5" thickBot="1" x14ac:dyDescent="0.35">
      <c r="A16" s="665" t="s">
        <v>122</v>
      </c>
      <c r="B16" s="680" t="str">
        <f>B9</f>
        <v>Omaha</v>
      </c>
      <c r="C16" s="680" t="str">
        <f>C9</f>
        <v>Miami</v>
      </c>
      <c r="D16" s="680" t="str">
        <f>D9</f>
        <v>Dallas</v>
      </c>
      <c r="E16" s="680" t="str">
        <f>E9</f>
        <v>NY</v>
      </c>
      <c r="F16" s="677" t="s">
        <v>123</v>
      </c>
      <c r="G16" s="675" t="s">
        <v>124</v>
      </c>
    </row>
    <row r="17" spans="1:7" x14ac:dyDescent="0.3">
      <c r="A17" s="674" t="str">
        <f>A10</f>
        <v>Jones</v>
      </c>
      <c r="B17" s="665">
        <v>0</v>
      </c>
      <c r="C17" s="666">
        <v>1</v>
      </c>
      <c r="D17" s="666">
        <v>0</v>
      </c>
      <c r="E17" s="667">
        <v>0</v>
      </c>
      <c r="F17" s="679">
        <f>SUM(B17:E17)</f>
        <v>1</v>
      </c>
      <c r="G17" s="675"/>
    </row>
    <row r="18" spans="1:7" x14ac:dyDescent="0.3">
      <c r="A18" s="674" t="str">
        <f>A11</f>
        <v>Smith</v>
      </c>
      <c r="B18" s="668">
        <v>0</v>
      </c>
      <c r="C18" s="669">
        <v>0</v>
      </c>
      <c r="D18" s="669">
        <v>0</v>
      </c>
      <c r="E18" s="670">
        <v>1</v>
      </c>
      <c r="F18" s="679">
        <f t="shared" ref="F18:F21" si="0">SUM(B18:E18)</f>
        <v>1</v>
      </c>
      <c r="G18" s="675"/>
    </row>
    <row r="19" spans="1:7" x14ac:dyDescent="0.3">
      <c r="A19" s="674" t="str">
        <f>A12</f>
        <v>Wilson</v>
      </c>
      <c r="B19" s="668">
        <v>1</v>
      </c>
      <c r="C19" s="669">
        <v>0</v>
      </c>
      <c r="D19" s="669">
        <v>0</v>
      </c>
      <c r="E19" s="670">
        <v>0</v>
      </c>
      <c r="F19" s="679">
        <f t="shared" si="0"/>
        <v>1</v>
      </c>
      <c r="G19" s="675"/>
    </row>
    <row r="20" spans="1:7" ht="13.5" thickBot="1" x14ac:dyDescent="0.35">
      <c r="A20" s="674" t="str">
        <f>A13</f>
        <v>Dummy</v>
      </c>
      <c r="B20" s="671">
        <v>0</v>
      </c>
      <c r="C20" s="672">
        <v>0</v>
      </c>
      <c r="D20" s="672">
        <v>1</v>
      </c>
      <c r="E20" s="673">
        <v>0</v>
      </c>
      <c r="F20" s="679">
        <f t="shared" si="0"/>
        <v>1</v>
      </c>
      <c r="G20" s="675"/>
    </row>
    <row r="21" spans="1:7" ht="13.5" thickBot="1" x14ac:dyDescent="0.35">
      <c r="A21" s="676" t="s">
        <v>125</v>
      </c>
      <c r="B21" s="681">
        <f>SUM(B17:B20)</f>
        <v>1</v>
      </c>
      <c r="C21" s="681">
        <f t="shared" ref="C21:E21" si="1">SUM(C17:C20)</f>
        <v>1</v>
      </c>
      <c r="D21" s="681">
        <f t="shared" si="1"/>
        <v>1</v>
      </c>
      <c r="E21" s="681">
        <f t="shared" si="1"/>
        <v>1</v>
      </c>
      <c r="F21" s="678">
        <f t="shared" si="0"/>
        <v>4</v>
      </c>
      <c r="G21" s="675"/>
    </row>
    <row r="22" spans="1:7" ht="13.5" thickBot="1" x14ac:dyDescent="0.35">
      <c r="A22" s="650" t="s">
        <v>124</v>
      </c>
      <c r="B22" s="650"/>
      <c r="C22" s="650"/>
      <c r="D22" s="650"/>
      <c r="E22" s="650"/>
      <c r="F22" s="650"/>
    </row>
    <row r="23" spans="1:7" ht="13.5" thickBot="1" x14ac:dyDescent="0.35">
      <c r="A23" s="683" t="s">
        <v>118</v>
      </c>
      <c r="B23" s="684">
        <f>SUMPRODUCT(B10:E13,B17:E20)</f>
        <v>2400</v>
      </c>
      <c r="C23" s="650"/>
      <c r="D23" s="650"/>
      <c r="E23" s="650"/>
      <c r="F23" s="650"/>
    </row>
    <row r="24" spans="1:7" x14ac:dyDescent="0.3">
      <c r="A24" s="682"/>
      <c r="B24" s="682"/>
    </row>
  </sheetData>
  <printOptions headings="1" gridLines="1" gridLinesSet="0"/>
  <pageMargins left="0.75" right="0.75" top="1" bottom="1" header="0.5" footer="0.5"/>
  <pageSetup orientation="portrait" horizontalDpi="4294967292" verticalDpi="300"/>
  <headerFooter alignWithMargins="0">
    <oddHeader>&amp;A</oddHeader>
    <oddFooter>Page &amp;P</oddFooter>
  </headerFooter>
  <drawing r:id="rId1"/>
  <legacy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0"/>
  <sheetViews>
    <sheetView zoomScaleNormal="100" workbookViewId="0"/>
  </sheetViews>
  <sheetFormatPr defaultColWidth="9.08984375" defaultRowHeight="15.5" x14ac:dyDescent="0.35"/>
  <cols>
    <col min="1" max="1" width="19.08984375" style="355" customWidth="1"/>
    <col min="2" max="2" width="11.7265625" style="355" customWidth="1"/>
    <col min="3" max="3" width="9.08984375" style="355"/>
    <col min="4" max="4" width="17.08984375" style="355" bestFit="1" customWidth="1"/>
    <col min="5" max="5" width="7" style="355" customWidth="1"/>
    <col min="6" max="6" width="8" style="355" customWidth="1"/>
    <col min="7" max="16384" width="9.08984375" style="355"/>
  </cols>
  <sheetData>
    <row r="1" spans="1:6" ht="18.5" x14ac:dyDescent="0.45">
      <c r="A1" s="373" t="s">
        <v>712</v>
      </c>
    </row>
    <row r="2" spans="1:6" x14ac:dyDescent="0.35">
      <c r="B2" s="358" t="s">
        <v>142</v>
      </c>
      <c r="C2" s="358" t="s">
        <v>143</v>
      </c>
    </row>
    <row r="3" spans="1:6" ht="16" thickBot="1" x14ac:dyDescent="0.4">
      <c r="A3" s="370" t="s">
        <v>713</v>
      </c>
      <c r="B3" s="358" t="s">
        <v>442</v>
      </c>
      <c r="C3" s="358" t="s">
        <v>443</v>
      </c>
    </row>
    <row r="4" spans="1:6" ht="16" thickBot="1" x14ac:dyDescent="0.4">
      <c r="A4" s="374" t="s">
        <v>227</v>
      </c>
      <c r="B4" s="375">
        <v>5</v>
      </c>
      <c r="C4" s="376">
        <v>0</v>
      </c>
      <c r="D4" s="356" t="s">
        <v>119</v>
      </c>
    </row>
    <row r="5" spans="1:6" ht="16" thickBot="1" x14ac:dyDescent="0.4">
      <c r="A5" s="370" t="s">
        <v>38</v>
      </c>
      <c r="B5" s="377">
        <v>7</v>
      </c>
      <c r="C5" s="378">
        <v>6</v>
      </c>
      <c r="D5" s="379">
        <f>SUMPRODUCT($B$4:$C$4,B5:C5)</f>
        <v>35</v>
      </c>
    </row>
    <row r="6" spans="1:6" x14ac:dyDescent="0.35">
      <c r="A6" s="370"/>
      <c r="B6" s="358"/>
      <c r="C6" s="358"/>
      <c r="D6" s="374"/>
    </row>
    <row r="7" spans="1:6" ht="16" thickBot="1" x14ac:dyDescent="0.4">
      <c r="A7" s="370" t="s">
        <v>537</v>
      </c>
      <c r="B7" s="358"/>
      <c r="C7" s="358"/>
      <c r="D7" s="356" t="s">
        <v>551</v>
      </c>
      <c r="E7" s="356" t="s">
        <v>110</v>
      </c>
      <c r="F7" s="356" t="s">
        <v>446</v>
      </c>
    </row>
    <row r="8" spans="1:6" x14ac:dyDescent="0.35">
      <c r="A8" s="370" t="s">
        <v>714</v>
      </c>
      <c r="B8" s="359">
        <v>2</v>
      </c>
      <c r="C8" s="361">
        <v>3</v>
      </c>
      <c r="D8" s="358">
        <f>SUMPRODUCT($B$4:$C$4,B8:C8)</f>
        <v>10</v>
      </c>
      <c r="E8" s="380" t="s">
        <v>126</v>
      </c>
      <c r="F8" s="358">
        <v>12</v>
      </c>
    </row>
    <row r="9" spans="1:6" ht="16" thickBot="1" x14ac:dyDescent="0.4">
      <c r="A9" s="370" t="s">
        <v>715</v>
      </c>
      <c r="B9" s="364">
        <v>6</v>
      </c>
      <c r="C9" s="366">
        <v>5</v>
      </c>
      <c r="D9" s="358">
        <f>SUMPRODUCT($B$4:$C$4,B9:C9)</f>
        <v>30</v>
      </c>
      <c r="E9" s="380" t="s">
        <v>126</v>
      </c>
      <c r="F9" s="358">
        <v>30</v>
      </c>
    </row>
    <row r="10" spans="1:6" x14ac:dyDescent="0.35">
      <c r="A10" s="370"/>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10"/>
  <sheetViews>
    <sheetView workbookViewId="0">
      <selection activeCell="C14" sqref="C14"/>
    </sheetView>
  </sheetViews>
  <sheetFormatPr defaultColWidth="9.08984375" defaultRowHeight="15.5" x14ac:dyDescent="0.35"/>
  <cols>
    <col min="1" max="1" width="16" style="355" customWidth="1"/>
    <col min="2" max="2" width="13.81640625" style="355" customWidth="1"/>
    <col min="3" max="3" width="16.6328125" style="355" customWidth="1"/>
    <col min="4" max="4" width="13.26953125" style="355" customWidth="1"/>
    <col min="5" max="5" width="4.81640625" style="355" bestFit="1" customWidth="1"/>
    <col min="6" max="6" width="7.6328125" style="355" customWidth="1"/>
    <col min="7" max="16384" width="9.08984375" style="355"/>
  </cols>
  <sheetData>
    <row r="1" spans="1:14" ht="18.5" x14ac:dyDescent="0.45">
      <c r="A1" s="381" t="s">
        <v>20</v>
      </c>
      <c r="I1" s="373"/>
    </row>
    <row r="2" spans="1:14" x14ac:dyDescent="0.35">
      <c r="B2" s="356" t="s">
        <v>716</v>
      </c>
      <c r="C2" s="356" t="s">
        <v>717</v>
      </c>
      <c r="I2" s="370"/>
      <c r="J2" s="358"/>
      <c r="K2" s="358"/>
    </row>
    <row r="3" spans="1:14" ht="16" thickBot="1" x14ac:dyDescent="0.4">
      <c r="A3" s="370" t="s">
        <v>713</v>
      </c>
      <c r="B3" s="356" t="s">
        <v>718</v>
      </c>
      <c r="C3" s="356" t="s">
        <v>719</v>
      </c>
      <c r="I3" s="374"/>
      <c r="J3" s="382"/>
      <c r="K3" s="382"/>
      <c r="L3" s="356"/>
    </row>
    <row r="4" spans="1:14" ht="16" thickBot="1" x14ac:dyDescent="0.4">
      <c r="A4" s="374" t="s">
        <v>227</v>
      </c>
      <c r="B4" s="375">
        <v>44</v>
      </c>
      <c r="C4" s="376">
        <v>20</v>
      </c>
      <c r="D4" s="356" t="s">
        <v>119</v>
      </c>
      <c r="I4" s="370"/>
      <c r="J4" s="358"/>
      <c r="K4" s="358"/>
      <c r="L4" s="382"/>
    </row>
    <row r="5" spans="1:14" ht="16" thickBot="1" x14ac:dyDescent="0.4">
      <c r="A5" s="370" t="s">
        <v>38</v>
      </c>
      <c r="B5" s="377">
        <v>85</v>
      </c>
      <c r="C5" s="378">
        <v>1.5</v>
      </c>
      <c r="D5" s="379">
        <f>SUMPRODUCT($B$4:$C$4,B5:C5)</f>
        <v>3770</v>
      </c>
      <c r="I5" s="370"/>
      <c r="J5" s="358"/>
      <c r="K5" s="358"/>
      <c r="L5" s="374"/>
    </row>
    <row r="6" spans="1:14" x14ac:dyDescent="0.35">
      <c r="A6" s="370"/>
      <c r="B6" s="358"/>
      <c r="C6" s="358"/>
      <c r="D6" s="382"/>
      <c r="I6" s="370"/>
      <c r="J6" s="358"/>
      <c r="K6" s="358"/>
      <c r="L6" s="374"/>
    </row>
    <row r="7" spans="1:14" ht="16" thickBot="1" x14ac:dyDescent="0.4">
      <c r="A7" s="370" t="s">
        <v>537</v>
      </c>
      <c r="D7" s="356" t="s">
        <v>551</v>
      </c>
      <c r="E7" s="356" t="s">
        <v>145</v>
      </c>
      <c r="F7" s="356" t="s">
        <v>446</v>
      </c>
      <c r="I7" s="370"/>
      <c r="J7" s="358"/>
      <c r="K7" s="358"/>
      <c r="L7" s="356"/>
      <c r="M7" s="356"/>
      <c r="N7" s="356"/>
    </row>
    <row r="8" spans="1:14" x14ac:dyDescent="0.35">
      <c r="A8" s="370" t="s">
        <v>106</v>
      </c>
      <c r="B8" s="359">
        <v>30</v>
      </c>
      <c r="C8" s="361">
        <v>0.5</v>
      </c>
      <c r="D8" s="383">
        <f>SUMPRODUCT($B$4:$C$4,B8:C8)</f>
        <v>1330</v>
      </c>
      <c r="E8" s="384" t="s">
        <v>126</v>
      </c>
      <c r="F8" s="367">
        <v>2000</v>
      </c>
      <c r="I8" s="370"/>
      <c r="J8" s="358"/>
      <c r="K8" s="358"/>
      <c r="L8" s="358"/>
      <c r="M8" s="380"/>
      <c r="N8" s="358"/>
    </row>
    <row r="9" spans="1:14" x14ac:dyDescent="0.35">
      <c r="A9" s="370" t="s">
        <v>107</v>
      </c>
      <c r="B9" s="362">
        <v>18</v>
      </c>
      <c r="C9" s="363">
        <v>0.4</v>
      </c>
      <c r="D9" s="383">
        <f>SUMPRODUCT($B$4:$C$4,B9:C9)</f>
        <v>800</v>
      </c>
      <c r="E9" s="384" t="s">
        <v>126</v>
      </c>
      <c r="F9" s="368">
        <v>800</v>
      </c>
      <c r="I9" s="370"/>
      <c r="J9" s="358"/>
      <c r="K9" s="358"/>
      <c r="L9" s="358"/>
      <c r="M9" s="380"/>
      <c r="N9" s="358"/>
    </row>
    <row r="10" spans="1:14" ht="16" thickBot="1" x14ac:dyDescent="0.4">
      <c r="A10" s="370" t="s">
        <v>108</v>
      </c>
      <c r="B10" s="364">
        <v>2</v>
      </c>
      <c r="C10" s="366">
        <v>0.1</v>
      </c>
      <c r="D10" s="383">
        <f>SUMPRODUCT($B$4:$C$4,B10:C10)</f>
        <v>90</v>
      </c>
      <c r="E10" s="384" t="s">
        <v>126</v>
      </c>
      <c r="F10" s="369">
        <v>200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O9"/>
  <sheetViews>
    <sheetView workbookViewId="0"/>
  </sheetViews>
  <sheetFormatPr defaultColWidth="9.08984375" defaultRowHeight="15.5" x14ac:dyDescent="0.35"/>
  <cols>
    <col min="1" max="1" width="18.81640625" style="355" customWidth="1"/>
    <col min="2" max="2" width="17.7265625" style="355" customWidth="1"/>
    <col min="3" max="3" width="16.36328125" style="355" customWidth="1"/>
    <col min="4" max="4" width="18" style="355" customWidth="1"/>
    <col min="5" max="5" width="17.26953125" style="355" bestFit="1" customWidth="1"/>
    <col min="6" max="6" width="7.6328125" style="355" customWidth="1"/>
    <col min="7" max="16384" width="9.08984375" style="355"/>
  </cols>
  <sheetData>
    <row r="1" spans="1:15" ht="18.5" x14ac:dyDescent="0.45">
      <c r="A1" s="381" t="s">
        <v>720</v>
      </c>
      <c r="I1" s="373"/>
    </row>
    <row r="2" spans="1:15" x14ac:dyDescent="0.35">
      <c r="B2" s="356" t="s">
        <v>721</v>
      </c>
      <c r="C2" s="356" t="s">
        <v>297</v>
      </c>
      <c r="D2" s="370" t="s">
        <v>722</v>
      </c>
      <c r="I2" s="370"/>
      <c r="J2" s="358"/>
      <c r="K2" s="358"/>
    </row>
    <row r="3" spans="1:15" ht="16" thickBot="1" x14ac:dyDescent="0.4">
      <c r="A3" s="370" t="s">
        <v>713</v>
      </c>
      <c r="B3" s="356" t="s">
        <v>442</v>
      </c>
      <c r="C3" s="356" t="s">
        <v>443</v>
      </c>
      <c r="D3" s="356" t="s">
        <v>444</v>
      </c>
      <c r="J3" s="374"/>
      <c r="K3" s="382"/>
      <c r="L3" s="382"/>
      <c r="M3" s="356"/>
    </row>
    <row r="4" spans="1:15" ht="16" thickBot="1" x14ac:dyDescent="0.4">
      <c r="A4" s="374" t="s">
        <v>227</v>
      </c>
      <c r="B4" s="375">
        <v>1</v>
      </c>
      <c r="C4" s="385">
        <v>0</v>
      </c>
      <c r="D4" s="376">
        <v>1</v>
      </c>
      <c r="E4" s="356" t="s">
        <v>723</v>
      </c>
      <c r="J4" s="370"/>
      <c r="K4" s="358"/>
      <c r="L4" s="358"/>
      <c r="M4" s="382"/>
    </row>
    <row r="5" spans="1:15" ht="16" thickBot="1" x14ac:dyDescent="0.4">
      <c r="A5" s="370" t="s">
        <v>724</v>
      </c>
      <c r="B5" s="377">
        <v>25000</v>
      </c>
      <c r="C5" s="386">
        <v>18000</v>
      </c>
      <c r="D5" s="378">
        <v>32000</v>
      </c>
      <c r="E5" s="379">
        <f>SUMPRODUCT($B$4:$D$4,B5:D5)</f>
        <v>57000</v>
      </c>
      <c r="J5" s="370"/>
      <c r="K5" s="358"/>
      <c r="L5" s="358"/>
      <c r="M5" s="374"/>
    </row>
    <row r="6" spans="1:15" x14ac:dyDescent="0.35">
      <c r="A6" s="370"/>
      <c r="B6" s="358"/>
      <c r="C6" s="358"/>
      <c r="D6" s="358"/>
      <c r="E6" s="382"/>
      <c r="J6" s="370"/>
      <c r="K6" s="358"/>
      <c r="L6" s="358"/>
      <c r="M6" s="374"/>
    </row>
    <row r="7" spans="1:15" ht="16" thickBot="1" x14ac:dyDescent="0.4">
      <c r="A7" s="357" t="s">
        <v>537</v>
      </c>
      <c r="E7" s="356" t="s">
        <v>551</v>
      </c>
      <c r="F7" s="356" t="s">
        <v>145</v>
      </c>
      <c r="G7" s="356" t="s">
        <v>446</v>
      </c>
      <c r="J7" s="370"/>
      <c r="K7" s="358"/>
      <c r="L7" s="358"/>
      <c r="M7" s="356"/>
      <c r="N7" s="356"/>
      <c r="O7" s="356"/>
    </row>
    <row r="8" spans="1:15" x14ac:dyDescent="0.35">
      <c r="A8" s="357" t="s">
        <v>454</v>
      </c>
      <c r="B8" s="359">
        <v>8000</v>
      </c>
      <c r="C8" s="360">
        <v>6000</v>
      </c>
      <c r="D8" s="361">
        <v>12000</v>
      </c>
      <c r="E8" s="383">
        <f>SUMPRODUCT($B$4:$D$4,B8:D8)</f>
        <v>20000</v>
      </c>
      <c r="F8" s="384" t="s">
        <v>126</v>
      </c>
      <c r="G8" s="367">
        <v>20000</v>
      </c>
      <c r="J8" s="370"/>
      <c r="K8" s="358"/>
      <c r="L8" s="358"/>
      <c r="M8" s="358"/>
      <c r="N8" s="380"/>
      <c r="O8" s="358"/>
    </row>
    <row r="9" spans="1:15" ht="16" thickBot="1" x14ac:dyDescent="0.4">
      <c r="A9" s="357" t="s">
        <v>455</v>
      </c>
      <c r="B9" s="364">
        <v>7000</v>
      </c>
      <c r="C9" s="365">
        <v>4000</v>
      </c>
      <c r="D9" s="366">
        <v>8000</v>
      </c>
      <c r="E9" s="383">
        <f>SUMPRODUCT($B$4:$D$4,B9:D9)</f>
        <v>15000</v>
      </c>
      <c r="F9" s="384" t="s">
        <v>126</v>
      </c>
      <c r="G9" s="369">
        <v>16000</v>
      </c>
      <c r="J9" s="370"/>
      <c r="K9" s="358"/>
      <c r="L9" s="358"/>
      <c r="M9" s="358"/>
      <c r="N9" s="380"/>
      <c r="O9" s="358"/>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R13"/>
  <sheetViews>
    <sheetView workbookViewId="0">
      <selection activeCell="O28" sqref="O28"/>
    </sheetView>
  </sheetViews>
  <sheetFormatPr defaultColWidth="9.08984375" defaultRowHeight="15.5" x14ac:dyDescent="0.35"/>
  <cols>
    <col min="1" max="1" width="22.08984375" style="355" customWidth="1"/>
    <col min="2" max="2" width="17.7265625" style="355" customWidth="1"/>
    <col min="3" max="3" width="16.36328125" style="355" customWidth="1"/>
    <col min="4" max="4" width="18" style="355" customWidth="1"/>
    <col min="5" max="5" width="14.6328125" style="355" customWidth="1"/>
    <col min="6" max="6" width="15.6328125" style="355" customWidth="1"/>
    <col min="7" max="7" width="14.6328125" style="355" customWidth="1"/>
    <col min="8" max="8" width="17.81640625" style="355" customWidth="1"/>
    <col min="9" max="9" width="7.7265625" style="355" customWidth="1"/>
    <col min="10" max="10" width="8.6328125" style="355" customWidth="1"/>
    <col min="11" max="16384" width="9.08984375" style="355"/>
  </cols>
  <sheetData>
    <row r="1" spans="1:18" ht="18.5" x14ac:dyDescent="0.45">
      <c r="A1" s="381" t="s">
        <v>725</v>
      </c>
      <c r="I1" s="373"/>
    </row>
    <row r="2" spans="1:18" x14ac:dyDescent="0.35">
      <c r="B2" s="356" t="s">
        <v>726</v>
      </c>
      <c r="C2" s="356" t="s">
        <v>727</v>
      </c>
      <c r="D2" s="356" t="s">
        <v>728</v>
      </c>
      <c r="E2" s="356" t="s">
        <v>729</v>
      </c>
      <c r="F2" s="356" t="s">
        <v>730</v>
      </c>
      <c r="G2" s="356" t="s">
        <v>731</v>
      </c>
      <c r="I2" s="370"/>
      <c r="J2" s="358"/>
      <c r="K2" s="358"/>
    </row>
    <row r="3" spans="1:18" ht="16" thickBot="1" x14ac:dyDescent="0.4">
      <c r="A3" s="370" t="s">
        <v>713</v>
      </c>
      <c r="B3" s="356" t="s">
        <v>442</v>
      </c>
      <c r="C3" s="356" t="s">
        <v>443</v>
      </c>
      <c r="D3" s="356" t="s">
        <v>444</v>
      </c>
      <c r="E3" s="356" t="s">
        <v>445</v>
      </c>
      <c r="F3" s="356" t="s">
        <v>569</v>
      </c>
      <c r="G3" s="356" t="s">
        <v>570</v>
      </c>
      <c r="M3" s="374"/>
      <c r="N3" s="382"/>
      <c r="O3" s="382"/>
      <c r="P3" s="356"/>
    </row>
    <row r="4" spans="1:18" ht="16" thickBot="1" x14ac:dyDescent="0.4">
      <c r="A4" s="387" t="s">
        <v>227</v>
      </c>
      <c r="B4" s="375">
        <v>0</v>
      </c>
      <c r="C4" s="385">
        <v>1</v>
      </c>
      <c r="D4" s="385">
        <v>1</v>
      </c>
      <c r="E4" s="385">
        <v>0</v>
      </c>
      <c r="F4" s="385">
        <v>18999.999999999996</v>
      </c>
      <c r="G4" s="376">
        <v>19000</v>
      </c>
      <c r="H4" s="356" t="s">
        <v>115</v>
      </c>
      <c r="M4" s="370"/>
      <c r="N4" s="358"/>
      <c r="O4" s="358"/>
      <c r="P4" s="382"/>
    </row>
    <row r="5" spans="1:18" ht="16" thickBot="1" x14ac:dyDescent="0.4">
      <c r="A5" s="357" t="s">
        <v>115</v>
      </c>
      <c r="B5" s="377">
        <v>340000</v>
      </c>
      <c r="C5" s="386">
        <v>270000</v>
      </c>
      <c r="D5" s="386">
        <v>290000</v>
      </c>
      <c r="E5" s="386">
        <v>32</v>
      </c>
      <c r="F5" s="386">
        <v>33</v>
      </c>
      <c r="G5" s="378">
        <v>30</v>
      </c>
      <c r="H5" s="379">
        <f>SUMPRODUCT($B$4:$G$4,B5:G5)</f>
        <v>1757000</v>
      </c>
      <c r="M5" s="370"/>
      <c r="N5" s="358"/>
      <c r="O5" s="358"/>
      <c r="P5" s="374"/>
    </row>
    <row r="6" spans="1:18" x14ac:dyDescent="0.35">
      <c r="A6" s="370"/>
      <c r="B6" s="358"/>
      <c r="C6" s="358"/>
      <c r="D6" s="358"/>
      <c r="E6" s="358"/>
      <c r="F6" s="358"/>
      <c r="G6" s="358"/>
      <c r="H6" s="382"/>
      <c r="M6" s="370"/>
      <c r="N6" s="358"/>
      <c r="O6" s="358"/>
      <c r="P6" s="374"/>
    </row>
    <row r="7" spans="1:18" ht="16" thickBot="1" x14ac:dyDescent="0.4">
      <c r="A7" s="357" t="s">
        <v>537</v>
      </c>
      <c r="H7" s="356" t="s">
        <v>551</v>
      </c>
      <c r="I7" s="356" t="s">
        <v>110</v>
      </c>
      <c r="J7" s="356" t="s">
        <v>446</v>
      </c>
      <c r="M7" s="370"/>
      <c r="N7" s="358"/>
      <c r="O7" s="358"/>
      <c r="P7" s="356"/>
      <c r="Q7" s="356"/>
      <c r="R7" s="356"/>
    </row>
    <row r="8" spans="1:18" x14ac:dyDescent="0.35">
      <c r="A8" s="356" t="s">
        <v>732</v>
      </c>
      <c r="B8" s="359"/>
      <c r="C8" s="360"/>
      <c r="D8" s="360"/>
      <c r="E8" s="360">
        <v>1</v>
      </c>
      <c r="F8" s="360">
        <v>1</v>
      </c>
      <c r="G8" s="361">
        <v>1</v>
      </c>
      <c r="H8" s="382">
        <f>SUMPRODUCT($B$4:$G$4,B8:G8)</f>
        <v>38000</v>
      </c>
      <c r="I8" s="384" t="s">
        <v>149</v>
      </c>
      <c r="J8" s="367">
        <v>38000</v>
      </c>
      <c r="M8" s="370"/>
      <c r="N8" s="358"/>
      <c r="O8" s="358"/>
      <c r="P8" s="358"/>
      <c r="Q8" s="380"/>
      <c r="R8" s="358"/>
    </row>
    <row r="9" spans="1:18" x14ac:dyDescent="0.35">
      <c r="A9" s="356" t="s">
        <v>733</v>
      </c>
      <c r="B9" s="362">
        <v>-21000</v>
      </c>
      <c r="C9" s="358"/>
      <c r="D9" s="358"/>
      <c r="E9" s="358">
        <v>1</v>
      </c>
      <c r="F9" s="358"/>
      <c r="G9" s="363"/>
      <c r="H9" s="382">
        <f>SUMPRODUCT($B$4:$G$4,B9:G9)</f>
        <v>0</v>
      </c>
      <c r="I9" s="384" t="s">
        <v>126</v>
      </c>
      <c r="J9" s="368">
        <v>0</v>
      </c>
      <c r="M9" s="370"/>
      <c r="N9" s="358"/>
      <c r="O9" s="358"/>
      <c r="P9" s="358"/>
      <c r="Q9" s="380"/>
      <c r="R9" s="358"/>
    </row>
    <row r="10" spans="1:18" x14ac:dyDescent="0.35">
      <c r="A10" s="356" t="s">
        <v>734</v>
      </c>
      <c r="B10" s="362"/>
      <c r="C10" s="358">
        <v>-20000</v>
      </c>
      <c r="D10" s="358"/>
      <c r="E10" s="358"/>
      <c r="F10" s="358">
        <v>1</v>
      </c>
      <c r="G10" s="363"/>
      <c r="H10" s="382">
        <f>SUMPRODUCT($B$4:$G$4,B10:G10)</f>
        <v>-1000.0000000000036</v>
      </c>
      <c r="I10" s="384" t="s">
        <v>126</v>
      </c>
      <c r="J10" s="368">
        <v>0</v>
      </c>
    </row>
    <row r="11" spans="1:18" ht="16" thickBot="1" x14ac:dyDescent="0.4">
      <c r="A11" s="356" t="s">
        <v>735</v>
      </c>
      <c r="B11" s="364"/>
      <c r="C11" s="365"/>
      <c r="D11" s="365">
        <v>-19000</v>
      </c>
      <c r="E11" s="365"/>
      <c r="F11" s="365"/>
      <c r="G11" s="366">
        <v>1</v>
      </c>
      <c r="H11" s="382">
        <f>SUMPRODUCT($B$4:$G$4,B11:G11)</f>
        <v>0</v>
      </c>
      <c r="I11" s="384" t="s">
        <v>126</v>
      </c>
      <c r="J11" s="369">
        <v>0</v>
      </c>
    </row>
    <row r="12" spans="1:18" x14ac:dyDescent="0.35">
      <c r="A12" s="357"/>
    </row>
    <row r="13" spans="1:18" x14ac:dyDescent="0.35">
      <c r="O13" s="355" t="s">
        <v>736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27"/>
  <sheetViews>
    <sheetView zoomScale="120" zoomScaleNormal="120" workbookViewId="0">
      <selection activeCell="O28" sqref="O28"/>
    </sheetView>
  </sheetViews>
  <sheetFormatPr defaultColWidth="9.08984375" defaultRowHeight="15.5" x14ac:dyDescent="0.35"/>
  <cols>
    <col min="1" max="1" width="14.81640625" style="355" customWidth="1"/>
    <col min="2" max="8" width="7.08984375" style="355" customWidth="1"/>
    <col min="9" max="9" width="18.36328125" style="355" bestFit="1" customWidth="1"/>
    <col min="10" max="10" width="7.08984375" style="355" customWidth="1"/>
    <col min="11" max="11" width="8.26953125" style="355" customWidth="1"/>
    <col min="12" max="16384" width="9.08984375" style="355"/>
  </cols>
  <sheetData>
    <row r="1" spans="1:11" ht="18.5" x14ac:dyDescent="0.45">
      <c r="A1" s="373" t="s">
        <v>21</v>
      </c>
      <c r="C1" s="388"/>
    </row>
    <row r="2" spans="1:11" x14ac:dyDescent="0.35">
      <c r="A2" s="374"/>
      <c r="C2" s="388"/>
    </row>
    <row r="3" spans="1:11" ht="16" thickBot="1" x14ac:dyDescent="0.4">
      <c r="A3" s="356" t="s">
        <v>713</v>
      </c>
      <c r="B3" s="356" t="s">
        <v>442</v>
      </c>
      <c r="C3" s="356" t="s">
        <v>443</v>
      </c>
      <c r="D3" s="356" t="s">
        <v>444</v>
      </c>
      <c r="E3" s="356" t="s">
        <v>445</v>
      </c>
      <c r="F3" s="356" t="s">
        <v>569</v>
      </c>
      <c r="G3" s="356" t="s">
        <v>570</v>
      </c>
      <c r="H3" s="356" t="s">
        <v>737</v>
      </c>
    </row>
    <row r="4" spans="1:11" ht="16" thickBot="1" x14ac:dyDescent="0.4">
      <c r="A4" s="382" t="s">
        <v>227</v>
      </c>
      <c r="B4" s="375">
        <v>0</v>
      </c>
      <c r="C4" s="385">
        <v>0</v>
      </c>
      <c r="D4" s="385">
        <v>1</v>
      </c>
      <c r="E4" s="385">
        <v>1</v>
      </c>
      <c r="F4" s="385">
        <v>1</v>
      </c>
      <c r="G4" s="385">
        <v>1</v>
      </c>
      <c r="H4" s="376">
        <v>0</v>
      </c>
      <c r="I4" s="356" t="s">
        <v>146</v>
      </c>
    </row>
    <row r="5" spans="1:11" ht="16" thickBot="1" x14ac:dyDescent="0.4">
      <c r="A5" s="389" t="s">
        <v>738</v>
      </c>
      <c r="B5" s="377">
        <v>50</v>
      </c>
      <c r="C5" s="386">
        <v>80</v>
      </c>
      <c r="D5" s="386">
        <v>90</v>
      </c>
      <c r="E5" s="386">
        <v>120</v>
      </c>
      <c r="F5" s="386">
        <v>110</v>
      </c>
      <c r="G5" s="386">
        <v>40</v>
      </c>
      <c r="H5" s="378">
        <v>75</v>
      </c>
      <c r="I5" s="379">
        <f>SUMPRODUCT($B$4:$H$4,B5:H5)</f>
        <v>360</v>
      </c>
    </row>
    <row r="6" spans="1:11" ht="16" thickBot="1" x14ac:dyDescent="0.4">
      <c r="A6" s="356" t="s">
        <v>537</v>
      </c>
      <c r="I6" s="356" t="s">
        <v>551</v>
      </c>
      <c r="J6" s="356" t="s">
        <v>110</v>
      </c>
      <c r="K6" s="356" t="s">
        <v>446</v>
      </c>
    </row>
    <row r="7" spans="1:11" x14ac:dyDescent="0.35">
      <c r="A7" s="356" t="s">
        <v>739</v>
      </c>
      <c r="B7" s="359">
        <v>1</v>
      </c>
      <c r="C7" s="360"/>
      <c r="D7" s="360"/>
      <c r="E7" s="360">
        <v>1</v>
      </c>
      <c r="F7" s="360">
        <v>1</v>
      </c>
      <c r="G7" s="360"/>
      <c r="H7" s="361"/>
      <c r="I7" s="383">
        <f>SUMPRODUCT($B$4:$H$4,B7:H7)</f>
        <v>2</v>
      </c>
      <c r="J7" s="384" t="s">
        <v>149</v>
      </c>
      <c r="K7" s="367">
        <v>2</v>
      </c>
    </row>
    <row r="8" spans="1:11" x14ac:dyDescent="0.35">
      <c r="A8" s="356" t="s">
        <v>740</v>
      </c>
      <c r="B8" s="362"/>
      <c r="C8" s="358">
        <v>1</v>
      </c>
      <c r="D8" s="358">
        <v>1</v>
      </c>
      <c r="E8" s="358"/>
      <c r="F8" s="358"/>
      <c r="G8" s="358"/>
      <c r="H8" s="363"/>
      <c r="I8" s="383">
        <f>SUMPRODUCT($B$4:$H$4,B8:H8)</f>
        <v>1</v>
      </c>
      <c r="J8" s="384" t="s">
        <v>126</v>
      </c>
      <c r="K8" s="368">
        <v>1</v>
      </c>
    </row>
    <row r="9" spans="1:11" x14ac:dyDescent="0.35">
      <c r="A9" s="356" t="s">
        <v>741</v>
      </c>
      <c r="B9" s="362"/>
      <c r="C9" s="358"/>
      <c r="D9" s="358"/>
      <c r="E9" s="358"/>
      <c r="F9" s="358"/>
      <c r="G9" s="358">
        <v>1</v>
      </c>
      <c r="H9" s="363">
        <v>1</v>
      </c>
      <c r="I9" s="383">
        <f>SUMPRODUCT($B$4:$H$4,B9:H9)</f>
        <v>1</v>
      </c>
      <c r="J9" s="356" t="s">
        <v>101</v>
      </c>
      <c r="K9" s="368">
        <v>1</v>
      </c>
    </row>
    <row r="10" spans="1:11" ht="16" thickBot="1" x14ac:dyDescent="0.4">
      <c r="A10" s="356" t="s">
        <v>742</v>
      </c>
      <c r="B10" s="390">
        <v>480</v>
      </c>
      <c r="C10" s="391">
        <v>540</v>
      </c>
      <c r="D10" s="391">
        <v>680</v>
      </c>
      <c r="E10" s="391">
        <v>1000</v>
      </c>
      <c r="F10" s="391">
        <v>700</v>
      </c>
      <c r="G10" s="391">
        <v>510</v>
      </c>
      <c r="H10" s="392">
        <v>900</v>
      </c>
      <c r="I10" s="383">
        <f>SUMPRODUCT($B$4:$H$4,B10:H10)</f>
        <v>2890</v>
      </c>
      <c r="J10" s="384" t="s">
        <v>126</v>
      </c>
      <c r="K10" s="369">
        <v>3000</v>
      </c>
    </row>
    <row r="11" spans="1:11" x14ac:dyDescent="0.35">
      <c r="A11" s="357"/>
    </row>
    <row r="12" spans="1:11" x14ac:dyDescent="0.35">
      <c r="C12" s="388"/>
    </row>
    <row r="13" spans="1:11" x14ac:dyDescent="0.35">
      <c r="C13" s="393"/>
    </row>
    <row r="14" spans="1:11" x14ac:dyDescent="0.35">
      <c r="C14" s="393"/>
    </row>
    <row r="15" spans="1:11" x14ac:dyDescent="0.35">
      <c r="C15" s="393"/>
    </row>
    <row r="16" spans="1:11" x14ac:dyDescent="0.35">
      <c r="C16" s="393"/>
    </row>
    <row r="17" spans="3:5" x14ac:dyDescent="0.35">
      <c r="C17" s="393"/>
    </row>
    <row r="18" spans="3:5" x14ac:dyDescent="0.35">
      <c r="C18" s="393"/>
    </row>
    <row r="19" spans="3:5" x14ac:dyDescent="0.35">
      <c r="C19" s="393"/>
    </row>
    <row r="20" spans="3:5" x14ac:dyDescent="0.35">
      <c r="C20" s="388"/>
    </row>
    <row r="21" spans="3:5" x14ac:dyDescent="0.35">
      <c r="C21" s="394"/>
      <c r="D21" s="388"/>
    </row>
    <row r="22" spans="3:5" x14ac:dyDescent="0.35">
      <c r="C22" s="388"/>
    </row>
    <row r="23" spans="3:5" x14ac:dyDescent="0.35">
      <c r="C23" s="388"/>
    </row>
    <row r="24" spans="3:5" x14ac:dyDescent="0.35">
      <c r="C24" s="388"/>
    </row>
    <row r="25" spans="3:5" x14ac:dyDescent="0.35">
      <c r="C25" s="388"/>
    </row>
    <row r="26" spans="3:5" x14ac:dyDescent="0.35">
      <c r="C26" s="388"/>
    </row>
    <row r="27" spans="3:5" x14ac:dyDescent="0.35">
      <c r="C27" s="388"/>
      <c r="E27" s="39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23"/>
  <sheetViews>
    <sheetView zoomScaleNormal="100" workbookViewId="0"/>
  </sheetViews>
  <sheetFormatPr defaultColWidth="9.08984375" defaultRowHeight="15.5" x14ac:dyDescent="0.35"/>
  <cols>
    <col min="1" max="1" width="18.36328125" style="355" customWidth="1"/>
    <col min="2" max="2" width="6.7265625" style="355" bestFit="1" customWidth="1"/>
    <col min="3" max="3" width="10.6328125" style="355" bestFit="1" customWidth="1"/>
    <col min="4" max="4" width="9.36328125" style="355" bestFit="1" customWidth="1"/>
    <col min="5" max="5" width="18.6328125" style="355" customWidth="1"/>
    <col min="6" max="6" width="6" style="355" customWidth="1"/>
    <col min="7" max="7" width="6.7265625" style="355" customWidth="1"/>
    <col min="8" max="16384" width="9.08984375" style="355"/>
  </cols>
  <sheetData>
    <row r="1" spans="1:10" ht="18.5" x14ac:dyDescent="0.45">
      <c r="A1" s="373" t="s">
        <v>22</v>
      </c>
    </row>
    <row r="2" spans="1:10" x14ac:dyDescent="0.35">
      <c r="A2" s="374"/>
      <c r="B2" s="356" t="s">
        <v>743</v>
      </c>
      <c r="C2" s="382" t="s">
        <v>744</v>
      </c>
      <c r="J2" s="356"/>
    </row>
    <row r="3" spans="1:10" ht="16" thickBot="1" x14ac:dyDescent="0.4">
      <c r="A3" s="356" t="s">
        <v>713</v>
      </c>
      <c r="B3" s="356" t="s">
        <v>442</v>
      </c>
      <c r="C3" s="356" t="s">
        <v>443</v>
      </c>
      <c r="D3" s="356"/>
      <c r="J3" s="382"/>
    </row>
    <row r="4" spans="1:10" ht="16" thickBot="1" x14ac:dyDescent="0.4">
      <c r="A4" s="382" t="s">
        <v>227</v>
      </c>
      <c r="B4" s="396">
        <v>0</v>
      </c>
      <c r="C4" s="397">
        <v>1000</v>
      </c>
      <c r="D4" s="382"/>
      <c r="J4" s="382"/>
    </row>
    <row r="5" spans="1:10" x14ac:dyDescent="0.35">
      <c r="A5" s="382"/>
      <c r="B5" s="382"/>
      <c r="C5" s="382"/>
      <c r="D5" s="382"/>
      <c r="E5" s="356"/>
      <c r="J5" s="382"/>
    </row>
    <row r="6" spans="1:10" ht="17.5" x14ac:dyDescent="0.35">
      <c r="A6" s="382" t="s">
        <v>745</v>
      </c>
      <c r="B6" s="356" t="s">
        <v>442</v>
      </c>
      <c r="C6" s="356" t="s">
        <v>443</v>
      </c>
      <c r="D6" s="356" t="s">
        <v>746</v>
      </c>
      <c r="E6" s="356"/>
      <c r="J6" s="382"/>
    </row>
    <row r="7" spans="1:10" ht="16" thickBot="1" x14ac:dyDescent="0.4">
      <c r="A7" s="382" t="s">
        <v>747</v>
      </c>
      <c r="B7" s="356">
        <f>B4</f>
        <v>0</v>
      </c>
      <c r="C7" s="356">
        <f>C4</f>
        <v>1000</v>
      </c>
      <c r="D7" s="356">
        <f>C4^2</f>
        <v>1000000</v>
      </c>
      <c r="E7" s="356" t="s">
        <v>38</v>
      </c>
      <c r="J7" s="382"/>
    </row>
    <row r="8" spans="1:10" ht="16" thickBot="1" x14ac:dyDescent="0.4">
      <c r="A8" s="356" t="s">
        <v>38</v>
      </c>
      <c r="B8" s="377">
        <v>28</v>
      </c>
      <c r="C8" s="386">
        <v>21</v>
      </c>
      <c r="D8" s="378">
        <v>0.25</v>
      </c>
      <c r="E8" s="379">
        <f>SUMPRODUCT($B$7:$D$7,B8:D8)</f>
        <v>271000</v>
      </c>
      <c r="J8" s="382"/>
    </row>
    <row r="9" spans="1:10" x14ac:dyDescent="0.35">
      <c r="A9" s="356"/>
      <c r="B9" s="358"/>
      <c r="C9" s="358"/>
      <c r="D9" s="358"/>
      <c r="E9" s="382"/>
      <c r="J9" s="382"/>
    </row>
    <row r="10" spans="1:10" ht="16" thickBot="1" x14ac:dyDescent="0.4">
      <c r="A10" s="356" t="s">
        <v>537</v>
      </c>
      <c r="E10" s="356" t="s">
        <v>551</v>
      </c>
      <c r="F10" s="356" t="s">
        <v>110</v>
      </c>
      <c r="G10" s="356" t="s">
        <v>446</v>
      </c>
      <c r="J10" s="356"/>
    </row>
    <row r="11" spans="1:10" x14ac:dyDescent="0.35">
      <c r="A11" s="356" t="s">
        <v>748</v>
      </c>
      <c r="B11" s="359">
        <v>1</v>
      </c>
      <c r="C11" s="361">
        <v>1</v>
      </c>
      <c r="D11" s="358"/>
      <c r="E11" s="383">
        <f>SUMPRODUCT($B$4:$C$4,B11:C11)</f>
        <v>1000</v>
      </c>
      <c r="F11" s="384" t="s">
        <v>126</v>
      </c>
      <c r="G11" s="367">
        <v>1000</v>
      </c>
      <c r="J11" s="358"/>
    </row>
    <row r="12" spans="1:10" ht="16" thickBot="1" x14ac:dyDescent="0.4">
      <c r="A12" s="356" t="s">
        <v>749</v>
      </c>
      <c r="B12" s="364">
        <v>0.5</v>
      </c>
      <c r="C12" s="366">
        <v>0.4</v>
      </c>
      <c r="D12" s="358"/>
      <c r="E12" s="383">
        <f>SUMPRODUCT($B$4:$C$4,B12:C12)</f>
        <v>400</v>
      </c>
      <c r="F12" s="384" t="s">
        <v>126</v>
      </c>
      <c r="G12" s="369">
        <v>500</v>
      </c>
      <c r="J12" s="356"/>
    </row>
    <row r="13" spans="1:10" x14ac:dyDescent="0.35">
      <c r="A13" s="357"/>
      <c r="J13" s="356"/>
    </row>
    <row r="14" spans="1:10" x14ac:dyDescent="0.35">
      <c r="C14" s="374"/>
      <c r="J14" s="356"/>
    </row>
    <row r="15" spans="1:10" x14ac:dyDescent="0.35">
      <c r="C15" s="398"/>
      <c r="J15" s="356"/>
    </row>
    <row r="17" spans="2:2" x14ac:dyDescent="0.35">
      <c r="B17" s="374"/>
    </row>
    <row r="18" spans="2:2" x14ac:dyDescent="0.35">
      <c r="B18" s="374"/>
    </row>
    <row r="20" spans="2:2" x14ac:dyDescent="0.35">
      <c r="B20" s="374"/>
    </row>
    <row r="21" spans="2:2" x14ac:dyDescent="0.35">
      <c r="B21" s="374"/>
    </row>
    <row r="22" spans="2:2" x14ac:dyDescent="0.35">
      <c r="B22" s="374"/>
    </row>
    <row r="23" spans="2:2" x14ac:dyDescent="0.35">
      <c r="B23" s="37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14"/>
  <sheetViews>
    <sheetView zoomScaleNormal="100" workbookViewId="0">
      <selection activeCell="I7" sqref="I7"/>
    </sheetView>
  </sheetViews>
  <sheetFormatPr defaultColWidth="9.08984375" defaultRowHeight="15.5" x14ac:dyDescent="0.35"/>
  <cols>
    <col min="1" max="1" width="16.36328125" style="355" customWidth="1"/>
    <col min="2" max="2" width="7.7265625" style="355" bestFit="1" customWidth="1"/>
    <col min="3" max="4" width="8.81640625" style="355" bestFit="1" customWidth="1"/>
    <col min="5" max="5" width="7.7265625" style="355" bestFit="1" customWidth="1"/>
    <col min="6" max="6" width="8.7265625" style="355" customWidth="1"/>
    <col min="7" max="7" width="7.7265625" style="355" bestFit="1" customWidth="1"/>
    <col min="8" max="8" width="11.26953125" style="355" bestFit="1" customWidth="1"/>
    <col min="9" max="9" width="5.08984375" style="355" bestFit="1" customWidth="1"/>
    <col min="10" max="10" width="5.81640625" style="355" customWidth="1"/>
    <col min="11" max="16384" width="9.08984375" style="355"/>
  </cols>
  <sheetData>
    <row r="1" spans="1:10" ht="18.5" x14ac:dyDescent="0.45">
      <c r="A1" s="373" t="s">
        <v>23</v>
      </c>
    </row>
    <row r="2" spans="1:10" ht="18.5" x14ac:dyDescent="0.45">
      <c r="A2" s="373"/>
    </row>
    <row r="3" spans="1:10" ht="16" thickBot="1" x14ac:dyDescent="0.4">
      <c r="A3" s="356" t="s">
        <v>713</v>
      </c>
      <c r="B3" s="356" t="s">
        <v>442</v>
      </c>
      <c r="C3" s="356" t="s">
        <v>443</v>
      </c>
      <c r="D3" s="358"/>
      <c r="E3" s="358"/>
      <c r="F3" s="358"/>
      <c r="G3" s="358"/>
      <c r="H3" s="358"/>
      <c r="I3" s="358"/>
      <c r="J3" s="358"/>
    </row>
    <row r="4" spans="1:10" ht="16" thickBot="1" x14ac:dyDescent="0.4">
      <c r="A4" s="382" t="s">
        <v>227</v>
      </c>
      <c r="B4" s="399">
        <v>6.0662584154337136</v>
      </c>
      <c r="C4" s="400">
        <v>4.1002526429363506</v>
      </c>
      <c r="D4" s="358"/>
      <c r="E4" s="358"/>
      <c r="F4" s="358"/>
      <c r="G4" s="358"/>
      <c r="H4" s="358"/>
      <c r="I4" s="358"/>
      <c r="J4" s="358"/>
    </row>
    <row r="5" spans="1:10" x14ac:dyDescent="0.35">
      <c r="A5" s="382"/>
      <c r="B5" s="358"/>
      <c r="C5" s="358"/>
      <c r="D5" s="358"/>
      <c r="E5" s="358"/>
      <c r="F5" s="358"/>
      <c r="G5" s="358"/>
      <c r="H5" s="358"/>
      <c r="I5" s="358"/>
      <c r="J5" s="358"/>
    </row>
    <row r="6" spans="1:10" ht="21" x14ac:dyDescent="0.45">
      <c r="A6" s="382" t="s">
        <v>745</v>
      </c>
      <c r="B6" s="401" t="s">
        <v>442</v>
      </c>
      <c r="C6" s="401" t="s">
        <v>750</v>
      </c>
      <c r="D6" s="401" t="s">
        <v>751</v>
      </c>
      <c r="E6" s="401" t="s">
        <v>443</v>
      </c>
      <c r="F6" s="401" t="s">
        <v>752</v>
      </c>
      <c r="G6" s="401" t="s">
        <v>753</v>
      </c>
      <c r="I6" s="358"/>
      <c r="J6" s="358"/>
    </row>
    <row r="7" spans="1:10" ht="16" thickBot="1" x14ac:dyDescent="0.4">
      <c r="A7" s="402" t="s">
        <v>747</v>
      </c>
      <c r="B7" s="403">
        <f>B4</f>
        <v>6.0662584154337136</v>
      </c>
      <c r="C7" s="403">
        <f>B4^2</f>
        <v>36.799491162820352</v>
      </c>
      <c r="D7" s="403">
        <f>B4*C4</f>
        <v>24.873192100616961</v>
      </c>
      <c r="E7" s="403">
        <f>C4</f>
        <v>4.1002526429363506</v>
      </c>
      <c r="F7" s="403">
        <f>C4^3</f>
        <v>68.933741568386267</v>
      </c>
      <c r="G7" s="403">
        <f>1/C4</f>
        <v>0.24388741062644886</v>
      </c>
      <c r="H7" s="372" t="s">
        <v>119</v>
      </c>
      <c r="I7" s="358"/>
      <c r="J7" s="358"/>
    </row>
    <row r="8" spans="1:10" ht="16" thickBot="1" x14ac:dyDescent="0.4">
      <c r="A8" s="356" t="s">
        <v>38</v>
      </c>
      <c r="B8" s="377">
        <v>13</v>
      </c>
      <c r="C8" s="386">
        <v>0</v>
      </c>
      <c r="D8" s="386">
        <v>6</v>
      </c>
      <c r="E8" s="386">
        <v>5</v>
      </c>
      <c r="F8" s="386"/>
      <c r="G8" s="378">
        <v>1</v>
      </c>
      <c r="H8" s="404">
        <f>SUMPRODUCT($B$7:$G$7,B8:G8)</f>
        <v>248.84566262964825</v>
      </c>
      <c r="I8" s="358"/>
      <c r="J8" s="358"/>
    </row>
    <row r="9" spans="1:10" x14ac:dyDescent="0.35">
      <c r="A9" s="358"/>
      <c r="B9" s="358"/>
      <c r="C9" s="358"/>
      <c r="D9" s="358"/>
      <c r="E9" s="358"/>
      <c r="F9" s="358"/>
      <c r="G9" s="358"/>
      <c r="I9" s="358"/>
      <c r="J9" s="358"/>
    </row>
    <row r="10" spans="1:10" ht="16" thickBot="1" x14ac:dyDescent="0.4">
      <c r="A10" s="356" t="s">
        <v>537</v>
      </c>
      <c r="B10" s="358"/>
      <c r="C10" s="358"/>
      <c r="D10" s="358"/>
      <c r="E10" s="358"/>
      <c r="F10" s="358"/>
      <c r="G10" s="358"/>
      <c r="H10" s="356" t="s">
        <v>551</v>
      </c>
      <c r="I10" s="356" t="s">
        <v>110</v>
      </c>
      <c r="J10" s="356" t="s">
        <v>446</v>
      </c>
    </row>
    <row r="11" spans="1:10" x14ac:dyDescent="0.35">
      <c r="A11" s="356" t="s">
        <v>754</v>
      </c>
      <c r="B11" s="359"/>
      <c r="C11" s="360">
        <v>2</v>
      </c>
      <c r="D11" s="360"/>
      <c r="E11" s="360">
        <v>4</v>
      </c>
      <c r="F11" s="360"/>
      <c r="G11" s="361"/>
      <c r="H11" s="405">
        <f>SUMPRODUCT($B$7:$G$7,B11:G11)</f>
        <v>89.999992897386107</v>
      </c>
      <c r="I11" s="380" t="s">
        <v>126</v>
      </c>
      <c r="J11" s="367">
        <v>90</v>
      </c>
    </row>
    <row r="12" spans="1:10" x14ac:dyDescent="0.35">
      <c r="A12" s="356" t="s">
        <v>755</v>
      </c>
      <c r="B12" s="362">
        <v>1</v>
      </c>
      <c r="C12" s="358"/>
      <c r="D12" s="358"/>
      <c r="E12" s="358"/>
      <c r="F12" s="358">
        <v>1</v>
      </c>
      <c r="G12" s="363"/>
      <c r="H12" s="405">
        <f>SUMPRODUCT($B$7:$G$7,B12:G12)</f>
        <v>74.999999983819976</v>
      </c>
      <c r="I12" s="380" t="s">
        <v>126</v>
      </c>
      <c r="J12" s="368">
        <v>75</v>
      </c>
    </row>
    <row r="13" spans="1:10" ht="16" thickBot="1" x14ac:dyDescent="0.4">
      <c r="A13" s="356" t="s">
        <v>756</v>
      </c>
      <c r="B13" s="364">
        <v>8</v>
      </c>
      <c r="C13" s="365"/>
      <c r="D13" s="365"/>
      <c r="E13" s="365">
        <v>-2</v>
      </c>
      <c r="F13" s="365"/>
      <c r="G13" s="366"/>
      <c r="H13" s="405">
        <f>SUMPRODUCT($B$7:$G$7,B13:G13)</f>
        <v>40.329562037597007</v>
      </c>
      <c r="I13" s="380" t="s">
        <v>126</v>
      </c>
      <c r="J13" s="369">
        <v>61</v>
      </c>
    </row>
    <row r="14" spans="1:10" x14ac:dyDescent="0.35">
      <c r="A14" s="370"/>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13"/>
  <sheetViews>
    <sheetView zoomScaleNormal="100" workbookViewId="0"/>
  </sheetViews>
  <sheetFormatPr defaultColWidth="9.08984375" defaultRowHeight="15.5" x14ac:dyDescent="0.35"/>
  <cols>
    <col min="1" max="1" width="15" style="355" customWidth="1"/>
    <col min="2" max="6" width="11" style="355" customWidth="1"/>
    <col min="7" max="7" width="8.81640625" style="355" bestFit="1" customWidth="1"/>
    <col min="8" max="8" width="5.08984375" style="355" bestFit="1" customWidth="1"/>
    <col min="9" max="16384" width="9.08984375" style="355"/>
  </cols>
  <sheetData>
    <row r="1" spans="1:9" ht="18.5" x14ac:dyDescent="0.45">
      <c r="A1" s="373" t="s">
        <v>24</v>
      </c>
    </row>
    <row r="3" spans="1:9" ht="16" thickBot="1" x14ac:dyDescent="0.4">
      <c r="A3" s="370" t="s">
        <v>441</v>
      </c>
      <c r="B3" s="356" t="s">
        <v>442</v>
      </c>
      <c r="C3" s="356" t="s">
        <v>443</v>
      </c>
    </row>
    <row r="4" spans="1:9" ht="16" thickBot="1" x14ac:dyDescent="0.4">
      <c r="A4" s="374" t="s">
        <v>227</v>
      </c>
      <c r="B4" s="406">
        <v>3.3253258815684528</v>
      </c>
      <c r="C4" s="407">
        <v>14.672271882902084</v>
      </c>
      <c r="D4" s="356" t="s">
        <v>118</v>
      </c>
    </row>
    <row r="5" spans="1:9" ht="16" thickBot="1" x14ac:dyDescent="0.4">
      <c r="A5" s="370" t="s">
        <v>115</v>
      </c>
      <c r="B5" s="377">
        <v>5</v>
      </c>
      <c r="C5" s="378">
        <v>7</v>
      </c>
      <c r="D5" s="408">
        <f>SUMPRODUCT($B$4:$C$4,B5:C5)</f>
        <v>119.33253258815685</v>
      </c>
    </row>
    <row r="7" spans="1:9" ht="21" x14ac:dyDescent="0.45">
      <c r="A7" s="370"/>
      <c r="B7" s="401" t="s">
        <v>442</v>
      </c>
      <c r="C7" s="401" t="s">
        <v>750</v>
      </c>
      <c r="D7" s="401" t="s">
        <v>757</v>
      </c>
      <c r="E7" s="401" t="s">
        <v>443</v>
      </c>
      <c r="F7" s="401" t="s">
        <v>758</v>
      </c>
    </row>
    <row r="8" spans="1:9" x14ac:dyDescent="0.35">
      <c r="A8" s="370" t="s">
        <v>48</v>
      </c>
      <c r="B8" s="409">
        <f>B4</f>
        <v>3.3253258815684528</v>
      </c>
      <c r="C8" s="409">
        <f>B4^2</f>
        <v>11.057792218629007</v>
      </c>
      <c r="D8" s="409">
        <f>B4^3</f>
        <v>36.770762657613282</v>
      </c>
      <c r="E8" s="409">
        <f>C4</f>
        <v>14.672271882902084</v>
      </c>
      <c r="F8" s="409">
        <f>C4^2</f>
        <v>215.27556220579908</v>
      </c>
    </row>
    <row r="9" spans="1:9" ht="16" thickBot="1" x14ac:dyDescent="0.4">
      <c r="A9" s="370" t="s">
        <v>537</v>
      </c>
      <c r="G9" s="356" t="s">
        <v>551</v>
      </c>
      <c r="H9" s="356" t="s">
        <v>110</v>
      </c>
      <c r="I9" s="356" t="s">
        <v>446</v>
      </c>
    </row>
    <row r="10" spans="1:9" x14ac:dyDescent="0.35">
      <c r="A10" s="370" t="s">
        <v>759</v>
      </c>
      <c r="B10" s="359">
        <v>3</v>
      </c>
      <c r="C10" s="360">
        <v>0.25</v>
      </c>
      <c r="D10" s="360"/>
      <c r="E10" s="360">
        <v>4</v>
      </c>
      <c r="F10" s="361">
        <v>0.3</v>
      </c>
      <c r="G10" s="409">
        <f>SUMPRODUCT($B$8:$F$8,B10:F10)</f>
        <v>136.01218189271066</v>
      </c>
      <c r="H10" s="380" t="s">
        <v>149</v>
      </c>
      <c r="I10" s="367">
        <v>125</v>
      </c>
    </row>
    <row r="11" spans="1:9" x14ac:dyDescent="0.35">
      <c r="A11" s="370" t="s">
        <v>760</v>
      </c>
      <c r="B11" s="362">
        <v>13</v>
      </c>
      <c r="C11" s="358"/>
      <c r="D11" s="358">
        <v>1</v>
      </c>
      <c r="E11" s="358"/>
      <c r="F11" s="363"/>
      <c r="G11" s="410">
        <f>SUMPRODUCT($B$8:$F$8,B11:F11)</f>
        <v>79.99999911800316</v>
      </c>
      <c r="H11" s="380" t="s">
        <v>149</v>
      </c>
      <c r="I11" s="368">
        <v>80</v>
      </c>
    </row>
    <row r="12" spans="1:9" ht="16" thickBot="1" x14ac:dyDescent="0.4">
      <c r="A12" s="370" t="s">
        <v>761</v>
      </c>
      <c r="B12" s="364">
        <v>0.7</v>
      </c>
      <c r="C12" s="365"/>
      <c r="D12" s="365"/>
      <c r="E12" s="365">
        <v>1</v>
      </c>
      <c r="F12" s="366"/>
      <c r="G12" s="358">
        <f>SUMPRODUCT($B$8:$F$8,B12:F12)</f>
        <v>17</v>
      </c>
      <c r="H12" s="380" t="s">
        <v>149</v>
      </c>
      <c r="I12" s="369">
        <v>17</v>
      </c>
    </row>
    <row r="13" spans="1:9" x14ac:dyDescent="0.35">
      <c r="D13" s="358"/>
      <c r="E13" s="358"/>
      <c r="F13" s="358"/>
      <c r="G13" s="358"/>
      <c r="H13" s="358"/>
      <c r="I13" s="35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12"/>
  <sheetViews>
    <sheetView workbookViewId="0">
      <selection activeCell="K19" sqref="K19"/>
    </sheetView>
  </sheetViews>
  <sheetFormatPr defaultColWidth="9.08984375" defaultRowHeight="15.5" x14ac:dyDescent="0.35"/>
  <cols>
    <col min="1" max="1" width="14.26953125" style="355" customWidth="1"/>
    <col min="2" max="4" width="8.36328125" style="355" customWidth="1"/>
    <col min="5" max="5" width="9" style="355" customWidth="1"/>
    <col min="6" max="6" width="5.08984375" style="355" bestFit="1" customWidth="1"/>
    <col min="7" max="7" width="7.7265625" style="355" customWidth="1"/>
    <col min="8" max="16384" width="9.08984375" style="355"/>
  </cols>
  <sheetData>
    <row r="1" spans="1:12" x14ac:dyDescent="0.35">
      <c r="A1" s="381" t="s">
        <v>762</v>
      </c>
    </row>
    <row r="3" spans="1:12" ht="16" thickBot="1" x14ac:dyDescent="0.4">
      <c r="A3" s="356" t="s">
        <v>441</v>
      </c>
      <c r="B3" s="356" t="s">
        <v>442</v>
      </c>
      <c r="C3" s="356" t="s">
        <v>443</v>
      </c>
      <c r="D3" s="356" t="s">
        <v>444</v>
      </c>
    </row>
    <row r="4" spans="1:12" ht="16" thickBot="1" x14ac:dyDescent="0.4">
      <c r="A4" s="411" t="s">
        <v>227</v>
      </c>
      <c r="B4" s="375">
        <v>1</v>
      </c>
      <c r="C4" s="385">
        <v>1</v>
      </c>
      <c r="D4" s="376">
        <v>0</v>
      </c>
      <c r="E4" s="356" t="s">
        <v>57</v>
      </c>
      <c r="J4" s="356"/>
      <c r="K4" s="356"/>
      <c r="L4" s="370"/>
    </row>
    <row r="5" spans="1:12" ht="16" thickBot="1" x14ac:dyDescent="0.4">
      <c r="A5" s="356" t="s">
        <v>763</v>
      </c>
      <c r="B5" s="377">
        <v>50</v>
      </c>
      <c r="C5" s="386">
        <v>45</v>
      </c>
      <c r="D5" s="378">
        <v>48</v>
      </c>
      <c r="E5" s="371">
        <f>SUMPRODUCT($B$4:$D$4,B5:D5)</f>
        <v>95</v>
      </c>
      <c r="J5" s="382"/>
      <c r="K5" s="382"/>
      <c r="L5" s="382"/>
    </row>
    <row r="6" spans="1:12" x14ac:dyDescent="0.35">
      <c r="A6" s="356"/>
      <c r="E6" s="412"/>
      <c r="J6" s="358"/>
      <c r="K6" s="358"/>
      <c r="L6" s="358"/>
    </row>
    <row r="7" spans="1:12" ht="16" thickBot="1" x14ac:dyDescent="0.4">
      <c r="A7" s="356" t="s">
        <v>537</v>
      </c>
      <c r="E7" s="356" t="s">
        <v>551</v>
      </c>
      <c r="F7" s="356" t="s">
        <v>110</v>
      </c>
      <c r="G7" s="356" t="s">
        <v>446</v>
      </c>
    </row>
    <row r="8" spans="1:12" x14ac:dyDescent="0.35">
      <c r="A8" s="356" t="s">
        <v>148</v>
      </c>
      <c r="B8" s="359">
        <v>19</v>
      </c>
      <c r="C8" s="360">
        <v>27</v>
      </c>
      <c r="D8" s="361">
        <v>34</v>
      </c>
      <c r="E8" s="358">
        <f>SUMPRODUCT($B$4:$D$4,B8:D8)</f>
        <v>46</v>
      </c>
      <c r="F8" s="380" t="s">
        <v>126</v>
      </c>
      <c r="G8" s="367">
        <v>80</v>
      </c>
    </row>
    <row r="9" spans="1:12" x14ac:dyDescent="0.35">
      <c r="A9" s="356" t="s">
        <v>150</v>
      </c>
      <c r="B9" s="362">
        <v>22</v>
      </c>
      <c r="C9" s="358">
        <v>13</v>
      </c>
      <c r="D9" s="363">
        <v>12</v>
      </c>
      <c r="E9" s="358">
        <f>SUMPRODUCT($B$4:$D$4,B9:D9)</f>
        <v>35</v>
      </c>
      <c r="F9" s="380" t="s">
        <v>126</v>
      </c>
      <c r="G9" s="368">
        <v>40</v>
      </c>
    </row>
    <row r="10" spans="1:12" x14ac:dyDescent="0.35">
      <c r="A10" s="356" t="s">
        <v>151</v>
      </c>
      <c r="B10" s="362">
        <v>1</v>
      </c>
      <c r="C10" s="358">
        <v>1</v>
      </c>
      <c r="D10" s="363">
        <v>1</v>
      </c>
      <c r="E10" s="358">
        <f>SUMPRODUCT($B$4:$D$4,B10:D10)</f>
        <v>2</v>
      </c>
      <c r="F10" s="380" t="s">
        <v>126</v>
      </c>
      <c r="G10" s="368">
        <v>2</v>
      </c>
    </row>
    <row r="11" spans="1:12" ht="16" thickBot="1" x14ac:dyDescent="0.4">
      <c r="A11" s="356" t="s">
        <v>764</v>
      </c>
      <c r="B11" s="364">
        <v>1</v>
      </c>
      <c r="C11" s="365">
        <v>-1</v>
      </c>
      <c r="D11" s="366">
        <v>0</v>
      </c>
      <c r="E11" s="358">
        <f>SUMPRODUCT($B$4:$D$4,B11:D11)</f>
        <v>0</v>
      </c>
      <c r="F11" s="380" t="s">
        <v>126</v>
      </c>
      <c r="G11" s="369">
        <v>0</v>
      </c>
    </row>
    <row r="12" spans="1:12" x14ac:dyDescent="0.35">
      <c r="A12" s="356"/>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18"/>
  <sheetViews>
    <sheetView zoomScaleNormal="100" workbookViewId="0">
      <selection activeCell="K19" sqref="K19"/>
    </sheetView>
  </sheetViews>
  <sheetFormatPr defaultColWidth="9.08984375" defaultRowHeight="15.5" x14ac:dyDescent="0.35"/>
  <cols>
    <col min="1" max="1" width="17" style="355" customWidth="1"/>
    <col min="2" max="2" width="14.7265625" style="355" bestFit="1" customWidth="1"/>
    <col min="3" max="3" width="19.81640625" style="355" bestFit="1" customWidth="1"/>
    <col min="4" max="4" width="15.26953125" style="355" bestFit="1" customWidth="1"/>
    <col min="5" max="5" width="9.6328125" style="355" bestFit="1" customWidth="1"/>
    <col min="6" max="16384" width="9.08984375" style="355"/>
  </cols>
  <sheetData>
    <row r="1" spans="1:8" ht="18.5" x14ac:dyDescent="0.45">
      <c r="A1" s="413" t="s">
        <v>765</v>
      </c>
    </row>
    <row r="2" spans="1:8" ht="19" thickBot="1" x14ac:dyDescent="0.5">
      <c r="A2" s="413"/>
    </row>
    <row r="3" spans="1:8" ht="22" thickBot="1" x14ac:dyDescent="0.6">
      <c r="A3" s="414" t="s">
        <v>766</v>
      </c>
      <c r="B3" s="415">
        <v>0.34782608219471423</v>
      </c>
      <c r="C3" s="416" t="s">
        <v>767</v>
      </c>
    </row>
    <row r="4" spans="1:8" ht="21" thickBot="1" x14ac:dyDescent="0.6">
      <c r="A4" s="417" t="s">
        <v>768</v>
      </c>
      <c r="B4" s="417" t="s">
        <v>769</v>
      </c>
      <c r="C4" s="417" t="s">
        <v>770</v>
      </c>
      <c r="D4" s="417" t="s">
        <v>771</v>
      </c>
      <c r="E4" s="417" t="s">
        <v>772</v>
      </c>
    </row>
    <row r="5" spans="1:8" x14ac:dyDescent="0.35">
      <c r="A5" s="358">
        <v>1</v>
      </c>
      <c r="B5" s="358">
        <v>110</v>
      </c>
      <c r="C5" s="358">
        <f>B5</f>
        <v>110</v>
      </c>
      <c r="D5" s="358">
        <v>0</v>
      </c>
      <c r="E5" s="409" t="s">
        <v>773</v>
      </c>
      <c r="F5" s="358"/>
    </row>
    <row r="6" spans="1:8" x14ac:dyDescent="0.35">
      <c r="A6" s="358">
        <v>2</v>
      </c>
      <c r="B6" s="358">
        <v>156</v>
      </c>
      <c r="C6" s="358">
        <f>C5+$B$3*D5</f>
        <v>110</v>
      </c>
      <c r="D6" s="409">
        <f t="shared" ref="D6:D11" si="0">B6-C6</f>
        <v>46</v>
      </c>
      <c r="E6" s="418">
        <f t="shared" ref="E6:E11" si="1">ABS(B6-C6)</f>
        <v>46</v>
      </c>
      <c r="F6" s="358"/>
      <c r="G6" s="419"/>
      <c r="H6" s="420"/>
    </row>
    <row r="7" spans="1:8" x14ac:dyDescent="0.35">
      <c r="A7" s="358">
        <v>3</v>
      </c>
      <c r="B7" s="358">
        <v>126</v>
      </c>
      <c r="C7" s="358">
        <f t="shared" ref="C7:C12" si="2">C6+$B$3*D6</f>
        <v>125.99999978095686</v>
      </c>
      <c r="D7" s="409">
        <f t="shared" si="0"/>
        <v>2.1904314451148821E-7</v>
      </c>
      <c r="E7" s="418">
        <f t="shared" si="1"/>
        <v>2.1904314451148821E-7</v>
      </c>
      <c r="F7" s="358"/>
      <c r="G7" s="419"/>
      <c r="H7" s="420"/>
    </row>
    <row r="8" spans="1:8" x14ac:dyDescent="0.35">
      <c r="A8" s="358">
        <v>4</v>
      </c>
      <c r="B8" s="358">
        <v>138</v>
      </c>
      <c r="C8" s="358">
        <f t="shared" si="2"/>
        <v>125.99999985714578</v>
      </c>
      <c r="D8" s="409">
        <f t="shared" si="0"/>
        <v>12.000000142854219</v>
      </c>
      <c r="E8" s="418">
        <f t="shared" si="1"/>
        <v>12.000000142854219</v>
      </c>
      <c r="F8" s="358"/>
    </row>
    <row r="9" spans="1:8" x14ac:dyDescent="0.35">
      <c r="A9" s="358">
        <v>5</v>
      </c>
      <c r="B9" s="358">
        <v>124</v>
      </c>
      <c r="C9" s="358">
        <f t="shared" si="2"/>
        <v>130.17391289317078</v>
      </c>
      <c r="D9" s="409">
        <f t="shared" si="0"/>
        <v>-6.1739128931707796</v>
      </c>
      <c r="E9" s="418">
        <f t="shared" si="1"/>
        <v>6.1739128931707796</v>
      </c>
      <c r="F9" s="358"/>
    </row>
    <row r="10" spans="1:8" x14ac:dyDescent="0.35">
      <c r="A10" s="358">
        <v>6</v>
      </c>
      <c r="B10" s="358">
        <v>125</v>
      </c>
      <c r="C10" s="358">
        <f t="shared" si="2"/>
        <v>128.02646495972775</v>
      </c>
      <c r="D10" s="409">
        <f t="shared" si="0"/>
        <v>-3.0264649597277469</v>
      </c>
      <c r="E10" s="418">
        <f t="shared" si="1"/>
        <v>3.0264649597277469</v>
      </c>
      <c r="F10" s="358"/>
    </row>
    <row r="11" spans="1:8" ht="16" thickBot="1" x14ac:dyDescent="0.4">
      <c r="A11" s="365">
        <v>7</v>
      </c>
      <c r="B11" s="365">
        <v>160</v>
      </c>
      <c r="C11" s="365">
        <f t="shared" si="2"/>
        <v>126.97378150988607</v>
      </c>
      <c r="D11" s="421">
        <f t="shared" si="0"/>
        <v>33.026218490113934</v>
      </c>
      <c r="E11" s="422">
        <f t="shared" si="1"/>
        <v>33.026218490113934</v>
      </c>
      <c r="F11" s="358"/>
    </row>
    <row r="12" spans="1:8" x14ac:dyDescent="0.35">
      <c r="A12" s="358">
        <v>8</v>
      </c>
      <c r="B12" s="358"/>
      <c r="C12" s="358">
        <f t="shared" si="2"/>
        <v>138.46116169700903</v>
      </c>
      <c r="D12" s="423" t="s">
        <v>774</v>
      </c>
      <c r="E12" s="424">
        <f>AVERAGE(E6:E11)</f>
        <v>16.704432784151638</v>
      </c>
      <c r="F12" s="425"/>
    </row>
    <row r="13" spans="1:8" x14ac:dyDescent="0.35">
      <c r="A13" s="358"/>
      <c r="B13" s="358"/>
      <c r="C13" s="358"/>
      <c r="D13" s="358"/>
    </row>
    <row r="14" spans="1:8" ht="17.5" x14ac:dyDescent="0.45">
      <c r="A14" s="355" t="s">
        <v>775</v>
      </c>
    </row>
    <row r="15" spans="1:8" x14ac:dyDescent="0.35">
      <c r="A15" s="355" t="s">
        <v>776</v>
      </c>
    </row>
    <row r="18" spans="5:5" x14ac:dyDescent="0.35">
      <c r="E18" s="355" t="s">
        <v>736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69"/>
  <sheetViews>
    <sheetView workbookViewId="0">
      <selection activeCell="C18" sqref="C18:D25"/>
    </sheetView>
  </sheetViews>
  <sheetFormatPr defaultColWidth="9.08984375" defaultRowHeight="12.5" x14ac:dyDescent="0.25"/>
  <cols>
    <col min="1" max="1" width="9.08984375" style="160"/>
    <col min="2" max="6" width="8.7265625" style="160" customWidth="1"/>
    <col min="7" max="16384" width="9.08984375" style="160"/>
  </cols>
  <sheetData>
    <row r="1" spans="1:8" ht="18" x14ac:dyDescent="0.4">
      <c r="A1" s="513" t="s">
        <v>784</v>
      </c>
    </row>
    <row r="3" spans="1:8" ht="15.5" x14ac:dyDescent="0.35">
      <c r="A3" s="500" t="s">
        <v>778</v>
      </c>
      <c r="B3" s="500"/>
      <c r="C3" s="500"/>
      <c r="D3" s="500" t="s">
        <v>785</v>
      </c>
      <c r="E3" s="500"/>
      <c r="F3" s="500"/>
      <c r="G3" s="500"/>
      <c r="H3" s="500"/>
    </row>
    <row r="4" spans="1:8" x14ac:dyDescent="0.25">
      <c r="A4" s="499"/>
      <c r="B4" s="499"/>
    </row>
    <row r="6" spans="1:8" ht="13.5" thickBot="1" x14ac:dyDescent="0.35">
      <c r="A6" s="501" t="s">
        <v>27</v>
      </c>
    </row>
    <row r="7" spans="1:8" x14ac:dyDescent="0.25">
      <c r="A7" s="503" t="s">
        <v>786</v>
      </c>
      <c r="B7" s="538" t="s">
        <v>779</v>
      </c>
      <c r="C7" s="538" t="s">
        <v>780</v>
      </c>
      <c r="D7" s="539" t="s">
        <v>787</v>
      </c>
      <c r="F7" s="160" t="s">
        <v>781</v>
      </c>
      <c r="G7" s="160" t="s">
        <v>782</v>
      </c>
      <c r="H7" s="160" t="s">
        <v>783</v>
      </c>
    </row>
    <row r="8" spans="1:8" x14ac:dyDescent="0.25">
      <c r="A8" s="505" t="s">
        <v>788</v>
      </c>
      <c r="B8" s="502">
        <v>1</v>
      </c>
      <c r="C8" s="502">
        <v>2</v>
      </c>
      <c r="D8" s="506">
        <v>3</v>
      </c>
      <c r="F8" s="160">
        <f>(B8+4*C8+D8)/6</f>
        <v>2</v>
      </c>
      <c r="G8" s="160">
        <f>(D8-B8)/6</f>
        <v>0.33333333333333331</v>
      </c>
      <c r="H8" s="160">
        <f>G8^2</f>
        <v>0.1111111111111111</v>
      </c>
    </row>
    <row r="9" spans="1:8" x14ac:dyDescent="0.25">
      <c r="A9" s="505" t="s">
        <v>789</v>
      </c>
      <c r="B9" s="502">
        <v>2</v>
      </c>
      <c r="C9" s="502">
        <v>3</v>
      </c>
      <c r="D9" s="506">
        <v>4</v>
      </c>
      <c r="F9" s="160">
        <f t="shared" ref="F9:F15" si="0">(B9+4*C9+D9)/6</f>
        <v>3</v>
      </c>
      <c r="G9" s="160">
        <f t="shared" ref="G9:G15" si="1">(D9-B9)/6</f>
        <v>0.33333333333333331</v>
      </c>
      <c r="H9" s="160">
        <f t="shared" ref="H9:H15" si="2">G9^2</f>
        <v>0.1111111111111111</v>
      </c>
    </row>
    <row r="10" spans="1:8" x14ac:dyDescent="0.25">
      <c r="A10" s="505" t="s">
        <v>790</v>
      </c>
      <c r="B10" s="502">
        <v>1</v>
      </c>
      <c r="C10" s="502">
        <v>2</v>
      </c>
      <c r="D10" s="506">
        <v>3</v>
      </c>
      <c r="F10" s="160">
        <f t="shared" si="0"/>
        <v>2</v>
      </c>
      <c r="G10" s="160">
        <f t="shared" si="1"/>
        <v>0.33333333333333331</v>
      </c>
      <c r="H10" s="160">
        <f t="shared" si="2"/>
        <v>0.1111111111111111</v>
      </c>
    </row>
    <row r="11" spans="1:8" x14ac:dyDescent="0.25">
      <c r="A11" s="505" t="s">
        <v>791</v>
      </c>
      <c r="B11" s="502">
        <v>2</v>
      </c>
      <c r="C11" s="502">
        <v>4</v>
      </c>
      <c r="D11" s="506">
        <v>6</v>
      </c>
      <c r="F11" s="160">
        <f t="shared" si="0"/>
        <v>4</v>
      </c>
      <c r="G11" s="160">
        <f t="shared" si="1"/>
        <v>0.66666666666666663</v>
      </c>
      <c r="H11" s="160">
        <f t="shared" si="2"/>
        <v>0.44444444444444442</v>
      </c>
    </row>
    <row r="12" spans="1:8" x14ac:dyDescent="0.25">
      <c r="A12" s="505" t="s">
        <v>792</v>
      </c>
      <c r="B12" s="502">
        <v>1</v>
      </c>
      <c r="C12" s="502">
        <v>4</v>
      </c>
      <c r="D12" s="506">
        <v>7</v>
      </c>
      <c r="F12" s="160">
        <f t="shared" si="0"/>
        <v>4</v>
      </c>
      <c r="G12" s="160">
        <f t="shared" si="1"/>
        <v>1</v>
      </c>
      <c r="H12" s="160">
        <f t="shared" si="2"/>
        <v>1</v>
      </c>
    </row>
    <row r="13" spans="1:8" x14ac:dyDescent="0.25">
      <c r="A13" s="505" t="s">
        <v>404</v>
      </c>
      <c r="B13" s="502">
        <v>1</v>
      </c>
      <c r="C13" s="502">
        <v>2</v>
      </c>
      <c r="D13" s="506">
        <v>9</v>
      </c>
      <c r="F13" s="160">
        <f t="shared" si="0"/>
        <v>3</v>
      </c>
      <c r="G13" s="160">
        <f t="shared" si="1"/>
        <v>1.3333333333333333</v>
      </c>
      <c r="H13" s="160">
        <f t="shared" si="2"/>
        <v>1.7777777777777777</v>
      </c>
    </row>
    <row r="14" spans="1:8" x14ac:dyDescent="0.25">
      <c r="A14" s="505" t="s">
        <v>793</v>
      </c>
      <c r="B14" s="502">
        <v>3</v>
      </c>
      <c r="C14" s="502">
        <v>4</v>
      </c>
      <c r="D14" s="506">
        <v>11</v>
      </c>
      <c r="F14" s="160">
        <f t="shared" si="0"/>
        <v>5</v>
      </c>
      <c r="G14" s="160">
        <f t="shared" si="1"/>
        <v>1.3333333333333333</v>
      </c>
      <c r="H14" s="160">
        <f t="shared" si="2"/>
        <v>1.7777777777777777</v>
      </c>
    </row>
    <row r="15" spans="1:8" x14ac:dyDescent="0.25">
      <c r="A15" s="505" t="s">
        <v>794</v>
      </c>
      <c r="B15" s="502">
        <v>1</v>
      </c>
      <c r="C15" s="502">
        <v>2</v>
      </c>
      <c r="D15" s="506">
        <v>3</v>
      </c>
      <c r="F15" s="160">
        <f t="shared" si="0"/>
        <v>2</v>
      </c>
      <c r="G15" s="160">
        <f t="shared" si="1"/>
        <v>0.33333333333333331</v>
      </c>
      <c r="H15" s="160">
        <f t="shared" si="2"/>
        <v>0.1111111111111111</v>
      </c>
    </row>
    <row r="16" spans="1:8" ht="13" x14ac:dyDescent="0.3">
      <c r="A16" s="725" t="s">
        <v>795</v>
      </c>
      <c r="C16" s="160" t="s">
        <v>796</v>
      </c>
      <c r="D16" s="515"/>
    </row>
    <row r="17" spans="1:9" x14ac:dyDescent="0.25">
      <c r="A17" s="505" t="s">
        <v>786</v>
      </c>
      <c r="B17" s="160" t="s">
        <v>274</v>
      </c>
      <c r="C17" s="160" t="s">
        <v>797</v>
      </c>
      <c r="D17" s="515" t="s">
        <v>798</v>
      </c>
    </row>
    <row r="18" spans="1:9" x14ac:dyDescent="0.25">
      <c r="A18" s="505" t="str">
        <f t="shared" ref="A18:A25" si="3">A8</f>
        <v>A</v>
      </c>
      <c r="B18" s="724">
        <f t="shared" ref="B18:B25" si="4">F8</f>
        <v>2</v>
      </c>
      <c r="C18" s="502"/>
      <c r="D18" s="506"/>
    </row>
    <row r="19" spans="1:9" x14ac:dyDescent="0.25">
      <c r="A19" s="505" t="str">
        <f t="shared" si="3"/>
        <v>B</v>
      </c>
      <c r="B19" s="724">
        <f t="shared" si="4"/>
        <v>3</v>
      </c>
      <c r="C19" s="502"/>
      <c r="D19" s="506"/>
    </row>
    <row r="20" spans="1:9" x14ac:dyDescent="0.25">
      <c r="A20" s="505" t="str">
        <f t="shared" si="3"/>
        <v>C</v>
      </c>
      <c r="B20" s="724">
        <f t="shared" si="4"/>
        <v>2</v>
      </c>
      <c r="C20" s="502" t="s">
        <v>788</v>
      </c>
      <c r="D20" s="506"/>
    </row>
    <row r="21" spans="1:9" x14ac:dyDescent="0.25">
      <c r="A21" s="505" t="str">
        <f t="shared" si="3"/>
        <v>D</v>
      </c>
      <c r="B21" s="724">
        <f t="shared" si="4"/>
        <v>4</v>
      </c>
      <c r="C21" s="502" t="s">
        <v>799</v>
      </c>
      <c r="D21" s="506"/>
    </row>
    <row r="22" spans="1:9" x14ac:dyDescent="0.25">
      <c r="A22" s="505" t="str">
        <f t="shared" si="3"/>
        <v>E</v>
      </c>
      <c r="B22" s="724">
        <f t="shared" si="4"/>
        <v>4</v>
      </c>
      <c r="C22" s="502" t="s">
        <v>790</v>
      </c>
      <c r="D22" s="506"/>
    </row>
    <row r="23" spans="1:9" x14ac:dyDescent="0.25">
      <c r="A23" s="505" t="str">
        <f t="shared" si="3"/>
        <v>F</v>
      </c>
      <c r="B23" s="724">
        <f t="shared" si="4"/>
        <v>3</v>
      </c>
      <c r="C23" s="502" t="s">
        <v>790</v>
      </c>
      <c r="D23" s="506"/>
    </row>
    <row r="24" spans="1:9" x14ac:dyDescent="0.25">
      <c r="A24" s="505" t="str">
        <f t="shared" si="3"/>
        <v>G</v>
      </c>
      <c r="B24" s="724">
        <f t="shared" si="4"/>
        <v>5</v>
      </c>
      <c r="C24" s="502" t="s">
        <v>791</v>
      </c>
      <c r="D24" s="506" t="s">
        <v>792</v>
      </c>
    </row>
    <row r="25" spans="1:9" ht="13" thickBot="1" x14ac:dyDescent="0.3">
      <c r="A25" s="507" t="str">
        <f t="shared" si="3"/>
        <v>H</v>
      </c>
      <c r="B25" s="726">
        <f t="shared" si="4"/>
        <v>2</v>
      </c>
      <c r="C25" s="526" t="s">
        <v>404</v>
      </c>
      <c r="D25" s="508" t="s">
        <v>793</v>
      </c>
    </row>
    <row r="27" spans="1:9" ht="13.5" thickBot="1" x14ac:dyDescent="0.35">
      <c r="A27" s="509" t="s">
        <v>31</v>
      </c>
    </row>
    <row r="28" spans="1:9" s="202" customFormat="1" ht="25" x14ac:dyDescent="0.25">
      <c r="A28" s="426" t="s">
        <v>786</v>
      </c>
      <c r="B28" s="203" t="s">
        <v>777</v>
      </c>
      <c r="C28" s="203" t="s">
        <v>800</v>
      </c>
      <c r="D28" s="203" t="s">
        <v>801</v>
      </c>
      <c r="E28" s="203" t="s">
        <v>802</v>
      </c>
      <c r="F28" s="429" t="s">
        <v>803</v>
      </c>
      <c r="H28" s="426" t="s">
        <v>783</v>
      </c>
      <c r="I28" s="429" t="s">
        <v>1016</v>
      </c>
    </row>
    <row r="29" spans="1:9" x14ac:dyDescent="0.25">
      <c r="A29" s="143" t="str">
        <f>A18</f>
        <v>A</v>
      </c>
      <c r="B29" s="142">
        <f>MAX(C40:D40)</f>
        <v>0</v>
      </c>
      <c r="C29" s="142">
        <f>B18+B29</f>
        <v>2</v>
      </c>
      <c r="D29" s="142">
        <f>E29-B18</f>
        <v>0</v>
      </c>
      <c r="E29" s="142">
        <f>B59</f>
        <v>2</v>
      </c>
      <c r="F29" s="159">
        <f>IF(D29-B29&lt;0.00000001,0,D29-B29)</f>
        <v>0</v>
      </c>
      <c r="H29" s="143">
        <f>H8</f>
        <v>0.1111111111111111</v>
      </c>
      <c r="I29" s="159">
        <f>IF(F29&lt;0.00001,H8,"")</f>
        <v>0.1111111111111111</v>
      </c>
    </row>
    <row r="30" spans="1:9" x14ac:dyDescent="0.25">
      <c r="A30" s="143" t="str">
        <f t="shared" ref="A30:A36" si="5">A19</f>
        <v>B</v>
      </c>
      <c r="B30" s="142">
        <f t="shared" ref="B30:B36" si="6">MAX(C41:D41)</f>
        <v>0</v>
      </c>
      <c r="C30" s="142">
        <f t="shared" ref="C30:C36" si="7">B19+B30</f>
        <v>3</v>
      </c>
      <c r="D30" s="142">
        <f t="shared" ref="D30:D36" si="8">E30-B19</f>
        <v>12</v>
      </c>
      <c r="E30" s="142">
        <f>C59</f>
        <v>15</v>
      </c>
      <c r="F30" s="159">
        <f t="shared" ref="F30:F36" si="9">IF(D30-B30&lt;0.00000001,0,D30-B30)</f>
        <v>12</v>
      </c>
      <c r="H30" s="143">
        <f t="shared" ref="H30:H36" si="10">H9</f>
        <v>0.1111111111111111</v>
      </c>
      <c r="I30" s="159" t="str">
        <f t="shared" ref="I30:I36" si="11">IF(F30&lt;0.00001,H9,"")</f>
        <v/>
      </c>
    </row>
    <row r="31" spans="1:9" x14ac:dyDescent="0.25">
      <c r="A31" s="143" t="str">
        <f t="shared" si="5"/>
        <v>C</v>
      </c>
      <c r="B31" s="142">
        <f t="shared" si="6"/>
        <v>2</v>
      </c>
      <c r="C31" s="142">
        <f t="shared" si="7"/>
        <v>4</v>
      </c>
      <c r="D31" s="142">
        <f t="shared" si="8"/>
        <v>2</v>
      </c>
      <c r="E31" s="142">
        <f>D59</f>
        <v>4</v>
      </c>
      <c r="F31" s="159">
        <f t="shared" si="9"/>
        <v>0</v>
      </c>
      <c r="H31" s="143">
        <f t="shared" si="10"/>
        <v>0.1111111111111111</v>
      </c>
      <c r="I31" s="159">
        <f t="shared" si="11"/>
        <v>0.1111111111111111</v>
      </c>
    </row>
    <row r="32" spans="1:9" x14ac:dyDescent="0.25">
      <c r="A32" s="143" t="str">
        <f t="shared" si="5"/>
        <v>D</v>
      </c>
      <c r="B32" s="142">
        <f t="shared" si="6"/>
        <v>0</v>
      </c>
      <c r="C32" s="142">
        <f t="shared" si="7"/>
        <v>4</v>
      </c>
      <c r="D32" s="142">
        <f t="shared" si="8"/>
        <v>4</v>
      </c>
      <c r="E32" s="142">
        <f>E59</f>
        <v>8</v>
      </c>
      <c r="F32" s="159">
        <f t="shared" si="9"/>
        <v>4</v>
      </c>
      <c r="H32" s="143">
        <f t="shared" si="10"/>
        <v>0.44444444444444442</v>
      </c>
      <c r="I32" s="159" t="str">
        <f t="shared" si="11"/>
        <v/>
      </c>
    </row>
    <row r="33" spans="1:9" x14ac:dyDescent="0.25">
      <c r="A33" s="143" t="str">
        <f t="shared" si="5"/>
        <v>E</v>
      </c>
      <c r="B33" s="142">
        <f t="shared" si="6"/>
        <v>4</v>
      </c>
      <c r="C33" s="142">
        <f t="shared" si="7"/>
        <v>8</v>
      </c>
      <c r="D33" s="142">
        <f t="shared" si="8"/>
        <v>4</v>
      </c>
      <c r="E33" s="142">
        <f>F59</f>
        <v>8</v>
      </c>
      <c r="F33" s="159">
        <f t="shared" si="9"/>
        <v>0</v>
      </c>
      <c r="H33" s="143">
        <f t="shared" si="10"/>
        <v>1</v>
      </c>
      <c r="I33" s="159">
        <f t="shared" si="11"/>
        <v>1</v>
      </c>
    </row>
    <row r="34" spans="1:9" x14ac:dyDescent="0.25">
      <c r="A34" s="143" t="str">
        <f t="shared" si="5"/>
        <v>F</v>
      </c>
      <c r="B34" s="142">
        <f t="shared" si="6"/>
        <v>4</v>
      </c>
      <c r="C34" s="142">
        <f t="shared" si="7"/>
        <v>7</v>
      </c>
      <c r="D34" s="142">
        <f t="shared" si="8"/>
        <v>10</v>
      </c>
      <c r="E34" s="142">
        <f>G59</f>
        <v>13</v>
      </c>
      <c r="F34" s="159">
        <f t="shared" si="9"/>
        <v>6</v>
      </c>
      <c r="H34" s="143">
        <f t="shared" si="10"/>
        <v>1.7777777777777777</v>
      </c>
      <c r="I34" s="159" t="str">
        <f t="shared" si="11"/>
        <v/>
      </c>
    </row>
    <row r="35" spans="1:9" x14ac:dyDescent="0.25">
      <c r="A35" s="143" t="str">
        <f t="shared" si="5"/>
        <v>G</v>
      </c>
      <c r="B35" s="142">
        <f t="shared" si="6"/>
        <v>8</v>
      </c>
      <c r="C35" s="142">
        <f t="shared" si="7"/>
        <v>13</v>
      </c>
      <c r="D35" s="142">
        <f t="shared" si="8"/>
        <v>8</v>
      </c>
      <c r="E35" s="142">
        <f>H59</f>
        <v>13</v>
      </c>
      <c r="F35" s="159">
        <f t="shared" si="9"/>
        <v>0</v>
      </c>
      <c r="H35" s="143">
        <f t="shared" si="10"/>
        <v>1.7777777777777777</v>
      </c>
      <c r="I35" s="159">
        <f t="shared" si="11"/>
        <v>1.7777777777777777</v>
      </c>
    </row>
    <row r="36" spans="1:9" ht="13" thickBot="1" x14ac:dyDescent="0.3">
      <c r="A36" s="143" t="str">
        <f t="shared" si="5"/>
        <v>H</v>
      </c>
      <c r="B36" s="142">
        <f t="shared" si="6"/>
        <v>13</v>
      </c>
      <c r="C36" s="142">
        <f t="shared" si="7"/>
        <v>15</v>
      </c>
      <c r="D36" s="142">
        <f t="shared" si="8"/>
        <v>13</v>
      </c>
      <c r="E36" s="142">
        <f>I59</f>
        <v>15</v>
      </c>
      <c r="F36" s="159">
        <f t="shared" si="9"/>
        <v>0</v>
      </c>
      <c r="H36" s="205">
        <f t="shared" si="10"/>
        <v>0.1111111111111111</v>
      </c>
      <c r="I36" s="431">
        <f t="shared" si="11"/>
        <v>0.1111111111111111</v>
      </c>
    </row>
    <row r="37" spans="1:9" ht="13.5" thickBot="1" x14ac:dyDescent="0.35">
      <c r="A37" s="427"/>
      <c r="B37" s="149" t="s">
        <v>804</v>
      </c>
      <c r="C37" s="149">
        <f>MAX(C29:C36)</f>
        <v>15</v>
      </c>
      <c r="D37" s="428"/>
      <c r="E37" s="428"/>
      <c r="F37" s="430"/>
      <c r="H37" s="146" t="s">
        <v>804</v>
      </c>
      <c r="I37" s="167">
        <f>SUM(I29:I36)</f>
        <v>3.1111111111111112</v>
      </c>
    </row>
    <row r="38" spans="1:9" ht="13.5" thickBot="1" x14ac:dyDescent="0.35">
      <c r="H38" s="148" t="s">
        <v>805</v>
      </c>
      <c r="I38" s="153">
        <f>SQRT(I37)</f>
        <v>1.7638342073763937</v>
      </c>
    </row>
    <row r="39" spans="1:9" ht="13" x14ac:dyDescent="0.3">
      <c r="A39" s="141" t="s">
        <v>806</v>
      </c>
    </row>
    <row r="40" spans="1:9" x14ac:dyDescent="0.25">
      <c r="A40" s="160" t="str">
        <f>A18</f>
        <v>A</v>
      </c>
      <c r="C40" s="160">
        <f>IF(ISNUMBER(VLOOKUP(C18,$A$29:$C$36,3,FALSE)),VLOOKUP(C18,$A$29:$C$36,3,FALSE),0)</f>
        <v>0</v>
      </c>
      <c r="D40" s="160">
        <f t="shared" ref="D40" si="12">IF(ISNUMBER(VLOOKUP(D18,$A$29:$C$36,3,FALSE)),VLOOKUP(D18,$A$29:$C$36,3,FALSE),0)</f>
        <v>0</v>
      </c>
    </row>
    <row r="41" spans="1:9" x14ac:dyDescent="0.25">
      <c r="A41" s="160" t="str">
        <f t="shared" ref="A41:A47" si="13">A19</f>
        <v>B</v>
      </c>
      <c r="C41" s="160">
        <f t="shared" ref="C41:D47" si="14">IF(ISNUMBER(VLOOKUP(C19,$A$29:$C$36,3,FALSE)),VLOOKUP(C19,$A$29:$C$36,3,FALSE),0)</f>
        <v>0</v>
      </c>
      <c r="D41" s="160">
        <f t="shared" si="14"/>
        <v>0</v>
      </c>
    </row>
    <row r="42" spans="1:9" x14ac:dyDescent="0.25">
      <c r="A42" s="160" t="str">
        <f t="shared" si="13"/>
        <v>C</v>
      </c>
      <c r="C42" s="160">
        <f t="shared" si="14"/>
        <v>2</v>
      </c>
      <c r="D42" s="160">
        <f t="shared" si="14"/>
        <v>0</v>
      </c>
    </row>
    <row r="43" spans="1:9" x14ac:dyDescent="0.25">
      <c r="A43" s="160" t="str">
        <f t="shared" si="13"/>
        <v>D</v>
      </c>
      <c r="C43" s="160">
        <f t="shared" si="14"/>
        <v>0</v>
      </c>
      <c r="D43" s="160">
        <f t="shared" si="14"/>
        <v>0</v>
      </c>
    </row>
    <row r="44" spans="1:9" x14ac:dyDescent="0.25">
      <c r="A44" s="160" t="str">
        <f t="shared" si="13"/>
        <v>E</v>
      </c>
      <c r="C44" s="160">
        <f t="shared" si="14"/>
        <v>4</v>
      </c>
      <c r="D44" s="160">
        <f t="shared" si="14"/>
        <v>0</v>
      </c>
    </row>
    <row r="45" spans="1:9" x14ac:dyDescent="0.25">
      <c r="A45" s="160" t="str">
        <f t="shared" si="13"/>
        <v>F</v>
      </c>
      <c r="C45" s="160">
        <f t="shared" si="14"/>
        <v>4</v>
      </c>
      <c r="D45" s="160">
        <f t="shared" si="14"/>
        <v>0</v>
      </c>
    </row>
    <row r="46" spans="1:9" x14ac:dyDescent="0.25">
      <c r="A46" s="160" t="str">
        <f t="shared" si="13"/>
        <v>G</v>
      </c>
      <c r="C46" s="160">
        <f t="shared" si="14"/>
        <v>4</v>
      </c>
      <c r="D46" s="160">
        <f t="shared" si="14"/>
        <v>8</v>
      </c>
    </row>
    <row r="47" spans="1:9" x14ac:dyDescent="0.25">
      <c r="A47" s="160" t="str">
        <f t="shared" si="13"/>
        <v>H</v>
      </c>
      <c r="C47" s="160">
        <f t="shared" si="14"/>
        <v>7</v>
      </c>
      <c r="D47" s="160">
        <f t="shared" si="14"/>
        <v>13</v>
      </c>
    </row>
    <row r="49" spans="1:11" ht="13" x14ac:dyDescent="0.3">
      <c r="A49" s="141" t="s">
        <v>807</v>
      </c>
    </row>
    <row r="50" spans="1:11" x14ac:dyDescent="0.25">
      <c r="B50" s="160" t="str">
        <f>A18</f>
        <v>A</v>
      </c>
      <c r="C50" s="160" t="str">
        <f>A19</f>
        <v>B</v>
      </c>
      <c r="D50" s="160" t="str">
        <f>A20</f>
        <v>C</v>
      </c>
      <c r="E50" s="160" t="str">
        <f>A21</f>
        <v>D</v>
      </c>
      <c r="F50" s="160" t="str">
        <f>A22</f>
        <v>E</v>
      </c>
      <c r="G50" s="160" t="str">
        <f>A23</f>
        <v>F</v>
      </c>
      <c r="H50" s="160" t="str">
        <f>A24</f>
        <v>G</v>
      </c>
      <c r="I50" s="160" t="str">
        <f>A25</f>
        <v>H</v>
      </c>
    </row>
    <row r="51" spans="1:11" x14ac:dyDescent="0.25">
      <c r="A51" s="160" t="str">
        <f t="shared" ref="A51:A58" si="15">A18</f>
        <v>A</v>
      </c>
      <c r="B51" s="160">
        <f>IF($D18=B$50,$D29,IF($C18=B$50,$D29,$C$37))</f>
        <v>15</v>
      </c>
      <c r="C51" s="160">
        <f t="shared" ref="C51:I51" si="16">IF($D18=C$50,$D29,IF($C18=C$50,$D29,$C$37))</f>
        <v>15</v>
      </c>
      <c r="D51" s="160">
        <f t="shared" si="16"/>
        <v>15</v>
      </c>
      <c r="E51" s="160">
        <f t="shared" si="16"/>
        <v>15</v>
      </c>
      <c r="F51" s="160">
        <f t="shared" si="16"/>
        <v>15</v>
      </c>
      <c r="G51" s="160">
        <f t="shared" si="16"/>
        <v>15</v>
      </c>
      <c r="H51" s="160">
        <f t="shared" si="16"/>
        <v>15</v>
      </c>
      <c r="I51" s="160">
        <f t="shared" si="16"/>
        <v>15</v>
      </c>
    </row>
    <row r="52" spans="1:11" x14ac:dyDescent="0.25">
      <c r="A52" s="160" t="str">
        <f t="shared" si="15"/>
        <v>B</v>
      </c>
      <c r="B52" s="160">
        <f t="shared" ref="B52:I58" si="17">IF($D19=B$50,$D30,IF($C19=B$50,$D30,$C$37))</f>
        <v>15</v>
      </c>
      <c r="C52" s="160">
        <f t="shared" si="17"/>
        <v>15</v>
      </c>
      <c r="D52" s="160">
        <f t="shared" si="17"/>
        <v>15</v>
      </c>
      <c r="E52" s="160">
        <f t="shared" si="17"/>
        <v>15</v>
      </c>
      <c r="F52" s="160">
        <f t="shared" si="17"/>
        <v>15</v>
      </c>
      <c r="G52" s="160">
        <f t="shared" si="17"/>
        <v>15</v>
      </c>
      <c r="H52" s="160">
        <f t="shared" si="17"/>
        <v>15</v>
      </c>
      <c r="I52" s="160">
        <f t="shared" si="17"/>
        <v>15</v>
      </c>
    </row>
    <row r="53" spans="1:11" x14ac:dyDescent="0.25">
      <c r="A53" s="160" t="str">
        <f t="shared" si="15"/>
        <v>C</v>
      </c>
      <c r="B53" s="160">
        <f t="shared" si="17"/>
        <v>2</v>
      </c>
      <c r="C53" s="160">
        <f t="shared" si="17"/>
        <v>15</v>
      </c>
      <c r="D53" s="160">
        <f t="shared" si="17"/>
        <v>15</v>
      </c>
      <c r="E53" s="160">
        <f t="shared" si="17"/>
        <v>15</v>
      </c>
      <c r="F53" s="160">
        <f t="shared" si="17"/>
        <v>15</v>
      </c>
      <c r="G53" s="160">
        <f t="shared" si="17"/>
        <v>15</v>
      </c>
      <c r="H53" s="160">
        <f t="shared" si="17"/>
        <v>15</v>
      </c>
      <c r="I53" s="160">
        <f t="shared" si="17"/>
        <v>15</v>
      </c>
    </row>
    <row r="54" spans="1:11" x14ac:dyDescent="0.25">
      <c r="A54" s="160" t="str">
        <f t="shared" si="15"/>
        <v>D</v>
      </c>
      <c r="B54" s="160">
        <f t="shared" si="17"/>
        <v>15</v>
      </c>
      <c r="C54" s="160">
        <f t="shared" si="17"/>
        <v>15</v>
      </c>
      <c r="D54" s="160">
        <f t="shared" si="17"/>
        <v>15</v>
      </c>
      <c r="E54" s="160">
        <f t="shared" si="17"/>
        <v>15</v>
      </c>
      <c r="F54" s="160">
        <f t="shared" si="17"/>
        <v>15</v>
      </c>
      <c r="G54" s="160">
        <f t="shared" si="17"/>
        <v>15</v>
      </c>
      <c r="H54" s="160">
        <f t="shared" si="17"/>
        <v>15</v>
      </c>
      <c r="I54" s="160">
        <f t="shared" si="17"/>
        <v>15</v>
      </c>
    </row>
    <row r="55" spans="1:11" x14ac:dyDescent="0.25">
      <c r="A55" s="160" t="str">
        <f t="shared" si="15"/>
        <v>E</v>
      </c>
      <c r="B55" s="160">
        <f t="shared" si="17"/>
        <v>15</v>
      </c>
      <c r="C55" s="160">
        <f t="shared" si="17"/>
        <v>15</v>
      </c>
      <c r="D55" s="160">
        <f t="shared" si="17"/>
        <v>4</v>
      </c>
      <c r="E55" s="160">
        <f t="shared" si="17"/>
        <v>15</v>
      </c>
      <c r="F55" s="160">
        <f t="shared" si="17"/>
        <v>15</v>
      </c>
      <c r="G55" s="160">
        <f t="shared" si="17"/>
        <v>15</v>
      </c>
      <c r="H55" s="160">
        <f t="shared" si="17"/>
        <v>15</v>
      </c>
      <c r="I55" s="160">
        <f t="shared" si="17"/>
        <v>15</v>
      </c>
    </row>
    <row r="56" spans="1:11" x14ac:dyDescent="0.25">
      <c r="A56" s="160" t="str">
        <f t="shared" si="15"/>
        <v>F</v>
      </c>
      <c r="B56" s="160">
        <f t="shared" si="17"/>
        <v>15</v>
      </c>
      <c r="C56" s="160">
        <f t="shared" si="17"/>
        <v>15</v>
      </c>
      <c r="D56" s="160">
        <f t="shared" si="17"/>
        <v>10</v>
      </c>
      <c r="E56" s="160">
        <f t="shared" si="17"/>
        <v>15</v>
      </c>
      <c r="F56" s="160">
        <f t="shared" si="17"/>
        <v>15</v>
      </c>
      <c r="G56" s="160">
        <f t="shared" si="17"/>
        <v>15</v>
      </c>
      <c r="H56" s="160">
        <f t="shared" si="17"/>
        <v>15</v>
      </c>
      <c r="I56" s="160">
        <f t="shared" si="17"/>
        <v>15</v>
      </c>
    </row>
    <row r="57" spans="1:11" x14ac:dyDescent="0.25">
      <c r="A57" s="160" t="str">
        <f t="shared" si="15"/>
        <v>G</v>
      </c>
      <c r="B57" s="160">
        <f t="shared" si="17"/>
        <v>15</v>
      </c>
      <c r="C57" s="160">
        <f t="shared" si="17"/>
        <v>15</v>
      </c>
      <c r="D57" s="160">
        <f t="shared" si="17"/>
        <v>15</v>
      </c>
      <c r="E57" s="160">
        <f t="shared" si="17"/>
        <v>8</v>
      </c>
      <c r="F57" s="160">
        <f t="shared" si="17"/>
        <v>8</v>
      </c>
      <c r="G57" s="160">
        <f t="shared" si="17"/>
        <v>15</v>
      </c>
      <c r="H57" s="160">
        <f t="shared" si="17"/>
        <v>15</v>
      </c>
      <c r="I57" s="160">
        <f t="shared" si="17"/>
        <v>15</v>
      </c>
    </row>
    <row r="58" spans="1:11" x14ac:dyDescent="0.25">
      <c r="A58" s="160" t="str">
        <f t="shared" si="15"/>
        <v>H</v>
      </c>
      <c r="B58" s="160">
        <f t="shared" si="17"/>
        <v>15</v>
      </c>
      <c r="C58" s="160">
        <f t="shared" si="17"/>
        <v>15</v>
      </c>
      <c r="D58" s="160">
        <f t="shared" si="17"/>
        <v>15</v>
      </c>
      <c r="E58" s="160">
        <f t="shared" si="17"/>
        <v>15</v>
      </c>
      <c r="F58" s="160">
        <f t="shared" si="17"/>
        <v>15</v>
      </c>
      <c r="G58" s="160">
        <f t="shared" si="17"/>
        <v>13</v>
      </c>
      <c r="H58" s="160">
        <f t="shared" si="17"/>
        <v>13</v>
      </c>
      <c r="I58" s="160">
        <f t="shared" si="17"/>
        <v>15</v>
      </c>
    </row>
    <row r="59" spans="1:11" x14ac:dyDescent="0.25">
      <c r="B59" s="160">
        <f>MIN(B51:B58)</f>
        <v>2</v>
      </c>
      <c r="C59" s="160">
        <f t="shared" ref="C59:I59" si="18">MIN(C51:C58)</f>
        <v>15</v>
      </c>
      <c r="D59" s="160">
        <f t="shared" si="18"/>
        <v>4</v>
      </c>
      <c r="E59" s="160">
        <f t="shared" si="18"/>
        <v>8</v>
      </c>
      <c r="F59" s="160">
        <f t="shared" si="18"/>
        <v>8</v>
      </c>
      <c r="G59" s="160">
        <f t="shared" si="18"/>
        <v>13</v>
      </c>
      <c r="H59" s="160">
        <f t="shared" si="18"/>
        <v>13</v>
      </c>
      <c r="I59" s="160">
        <f t="shared" si="18"/>
        <v>15</v>
      </c>
    </row>
    <row r="61" spans="1:11" x14ac:dyDescent="0.25">
      <c r="A61" s="160" t="s">
        <v>35</v>
      </c>
      <c r="C61" s="160" t="s">
        <v>808</v>
      </c>
      <c r="D61" s="160" t="s">
        <v>809</v>
      </c>
      <c r="E61" s="160" t="s">
        <v>803</v>
      </c>
      <c r="F61" s="160">
        <v>9</v>
      </c>
      <c r="G61" s="160" t="s">
        <v>35</v>
      </c>
      <c r="I61" s="160" t="s">
        <v>808</v>
      </c>
      <c r="J61" s="160" t="s">
        <v>809</v>
      </c>
      <c r="K61" s="160" t="s">
        <v>803</v>
      </c>
    </row>
    <row r="62" spans="1:11" x14ac:dyDescent="0.25">
      <c r="A62" s="160" t="str">
        <f>A18</f>
        <v>A</v>
      </c>
      <c r="B62" s="160">
        <f>B29</f>
        <v>0</v>
      </c>
      <c r="C62" s="160">
        <f>IF(F29=0,B18,0)</f>
        <v>2</v>
      </c>
      <c r="D62" s="160">
        <f>IF(F29&gt;0,B18,0)</f>
        <v>0</v>
      </c>
      <c r="E62" s="160">
        <f>F29</f>
        <v>0</v>
      </c>
      <c r="F62" s="160">
        <f>F61-1</f>
        <v>8</v>
      </c>
      <c r="G62" s="160" t="str">
        <f>INDEX($A$62:$E$69,F62,1)</f>
        <v>H</v>
      </c>
      <c r="H62" s="160">
        <f>INDEX($A$62:$E$69,F62,2)</f>
        <v>13</v>
      </c>
      <c r="I62" s="160">
        <f>INDEX($A$62:$E$69,F62,3)</f>
        <v>2</v>
      </c>
      <c r="J62" s="160">
        <f>INDEX($A$62:$E$69,F62,4)</f>
        <v>0</v>
      </c>
      <c r="K62" s="160">
        <f>INDEX($A$62:$E$69,F62,5)</f>
        <v>0</v>
      </c>
    </row>
    <row r="63" spans="1:11" x14ac:dyDescent="0.25">
      <c r="A63" s="160" t="str">
        <f t="shared" ref="A63:A69" si="19">A19</f>
        <v>B</v>
      </c>
      <c r="B63" s="160">
        <f t="shared" ref="B63:B69" si="20">B30</f>
        <v>0</v>
      </c>
      <c r="C63" s="160">
        <f t="shared" ref="C63:C69" si="21">IF(F30=0,B19,0)</f>
        <v>0</v>
      </c>
      <c r="D63" s="160">
        <f t="shared" ref="D63:D69" si="22">IF(F30&gt;0,B19,0)</f>
        <v>3</v>
      </c>
      <c r="E63" s="160">
        <f t="shared" ref="E63:E69" si="23">F30</f>
        <v>12</v>
      </c>
      <c r="F63" s="160">
        <f t="shared" ref="F63:F69" si="24">F62-1</f>
        <v>7</v>
      </c>
      <c r="G63" s="160" t="str">
        <f t="shared" ref="G63:G69" si="25">INDEX($A$62:$E$69,F63,1)</f>
        <v>G</v>
      </c>
      <c r="H63" s="160">
        <f t="shared" ref="H63:H69" si="26">INDEX($A$62:$E$69,F63,2)</f>
        <v>8</v>
      </c>
      <c r="I63" s="160">
        <f t="shared" ref="I63:I69" si="27">INDEX($A$62:$E$69,F63,3)</f>
        <v>5</v>
      </c>
      <c r="J63" s="160">
        <f t="shared" ref="J63:J69" si="28">INDEX($A$62:$E$69,F63,4)</f>
        <v>0</v>
      </c>
      <c r="K63" s="160">
        <f t="shared" ref="K63:K69" si="29">INDEX($A$62:$E$69,F63,5)</f>
        <v>0</v>
      </c>
    </row>
    <row r="64" spans="1:11" x14ac:dyDescent="0.25">
      <c r="A64" s="160" t="str">
        <f t="shared" si="19"/>
        <v>C</v>
      </c>
      <c r="B64" s="160">
        <f t="shared" si="20"/>
        <v>2</v>
      </c>
      <c r="C64" s="160">
        <f t="shared" si="21"/>
        <v>2</v>
      </c>
      <c r="D64" s="160">
        <f t="shared" si="22"/>
        <v>0</v>
      </c>
      <c r="E64" s="160">
        <f t="shared" si="23"/>
        <v>0</v>
      </c>
      <c r="F64" s="160">
        <f t="shared" si="24"/>
        <v>6</v>
      </c>
      <c r="G64" s="160" t="str">
        <f t="shared" si="25"/>
        <v>F</v>
      </c>
      <c r="H64" s="160">
        <f t="shared" si="26"/>
        <v>4</v>
      </c>
      <c r="I64" s="160">
        <f t="shared" si="27"/>
        <v>0</v>
      </c>
      <c r="J64" s="160">
        <f t="shared" si="28"/>
        <v>3</v>
      </c>
      <c r="K64" s="160">
        <f t="shared" si="29"/>
        <v>6</v>
      </c>
    </row>
    <row r="65" spans="1:11" x14ac:dyDescent="0.25">
      <c r="A65" s="160" t="str">
        <f t="shared" si="19"/>
        <v>D</v>
      </c>
      <c r="B65" s="160">
        <f t="shared" si="20"/>
        <v>0</v>
      </c>
      <c r="C65" s="160">
        <f t="shared" si="21"/>
        <v>0</v>
      </c>
      <c r="D65" s="160">
        <f t="shared" si="22"/>
        <v>4</v>
      </c>
      <c r="E65" s="160">
        <f t="shared" si="23"/>
        <v>4</v>
      </c>
      <c r="F65" s="160">
        <f t="shared" si="24"/>
        <v>5</v>
      </c>
      <c r="G65" s="160" t="str">
        <f t="shared" si="25"/>
        <v>E</v>
      </c>
      <c r="H65" s="160">
        <f t="shared" si="26"/>
        <v>4</v>
      </c>
      <c r="I65" s="160">
        <f t="shared" si="27"/>
        <v>4</v>
      </c>
      <c r="J65" s="160">
        <f t="shared" si="28"/>
        <v>0</v>
      </c>
      <c r="K65" s="160">
        <f t="shared" si="29"/>
        <v>0</v>
      </c>
    </row>
    <row r="66" spans="1:11" x14ac:dyDescent="0.25">
      <c r="A66" s="160" t="str">
        <f t="shared" si="19"/>
        <v>E</v>
      </c>
      <c r="B66" s="160">
        <f t="shared" si="20"/>
        <v>4</v>
      </c>
      <c r="C66" s="160">
        <f t="shared" si="21"/>
        <v>4</v>
      </c>
      <c r="D66" s="160">
        <f t="shared" si="22"/>
        <v>0</v>
      </c>
      <c r="E66" s="160">
        <f t="shared" si="23"/>
        <v>0</v>
      </c>
      <c r="F66" s="160">
        <f t="shared" si="24"/>
        <v>4</v>
      </c>
      <c r="G66" s="160" t="str">
        <f t="shared" si="25"/>
        <v>D</v>
      </c>
      <c r="H66" s="160">
        <f t="shared" si="26"/>
        <v>0</v>
      </c>
      <c r="I66" s="160">
        <f t="shared" si="27"/>
        <v>0</v>
      </c>
      <c r="J66" s="160">
        <f t="shared" si="28"/>
        <v>4</v>
      </c>
      <c r="K66" s="160">
        <f t="shared" si="29"/>
        <v>4</v>
      </c>
    </row>
    <row r="67" spans="1:11" x14ac:dyDescent="0.25">
      <c r="A67" s="160" t="str">
        <f t="shared" si="19"/>
        <v>F</v>
      </c>
      <c r="B67" s="160">
        <f t="shared" si="20"/>
        <v>4</v>
      </c>
      <c r="C67" s="160">
        <f t="shared" si="21"/>
        <v>0</v>
      </c>
      <c r="D67" s="160">
        <f t="shared" si="22"/>
        <v>3</v>
      </c>
      <c r="E67" s="160">
        <f t="shared" si="23"/>
        <v>6</v>
      </c>
      <c r="F67" s="160">
        <f t="shared" si="24"/>
        <v>3</v>
      </c>
      <c r="G67" s="160" t="str">
        <f t="shared" si="25"/>
        <v>C</v>
      </c>
      <c r="H67" s="160">
        <f t="shared" si="26"/>
        <v>2</v>
      </c>
      <c r="I67" s="160">
        <f t="shared" si="27"/>
        <v>2</v>
      </c>
      <c r="J67" s="160">
        <f t="shared" si="28"/>
        <v>0</v>
      </c>
      <c r="K67" s="160">
        <f t="shared" si="29"/>
        <v>0</v>
      </c>
    </row>
    <row r="68" spans="1:11" x14ac:dyDescent="0.25">
      <c r="A68" s="160" t="str">
        <f t="shared" si="19"/>
        <v>G</v>
      </c>
      <c r="B68" s="160">
        <f t="shared" si="20"/>
        <v>8</v>
      </c>
      <c r="C68" s="160">
        <f t="shared" si="21"/>
        <v>5</v>
      </c>
      <c r="D68" s="160">
        <f t="shared" si="22"/>
        <v>0</v>
      </c>
      <c r="E68" s="160">
        <f t="shared" si="23"/>
        <v>0</v>
      </c>
      <c r="F68" s="160">
        <f t="shared" si="24"/>
        <v>2</v>
      </c>
      <c r="G68" s="160" t="str">
        <f t="shared" si="25"/>
        <v>B</v>
      </c>
      <c r="H68" s="160">
        <f t="shared" si="26"/>
        <v>0</v>
      </c>
      <c r="I68" s="160">
        <f t="shared" si="27"/>
        <v>0</v>
      </c>
      <c r="J68" s="160">
        <f t="shared" si="28"/>
        <v>3</v>
      </c>
      <c r="K68" s="160">
        <f t="shared" si="29"/>
        <v>12</v>
      </c>
    </row>
    <row r="69" spans="1:11" x14ac:dyDescent="0.25">
      <c r="A69" s="160" t="str">
        <f t="shared" si="19"/>
        <v>H</v>
      </c>
      <c r="B69" s="160">
        <f t="shared" si="20"/>
        <v>13</v>
      </c>
      <c r="C69" s="160">
        <f t="shared" si="21"/>
        <v>2</v>
      </c>
      <c r="D69" s="160">
        <f t="shared" si="22"/>
        <v>0</v>
      </c>
      <c r="E69" s="160">
        <f t="shared" si="23"/>
        <v>0</v>
      </c>
      <c r="F69" s="160">
        <f t="shared" si="24"/>
        <v>1</v>
      </c>
      <c r="G69" s="160" t="str">
        <f t="shared" si="25"/>
        <v>A</v>
      </c>
      <c r="H69" s="160">
        <f t="shared" si="26"/>
        <v>0</v>
      </c>
      <c r="I69" s="160">
        <f t="shared" si="27"/>
        <v>2</v>
      </c>
      <c r="J69" s="160">
        <f t="shared" si="28"/>
        <v>0</v>
      </c>
      <c r="K69" s="160">
        <f t="shared" si="29"/>
        <v>0</v>
      </c>
    </row>
  </sheetData>
  <conditionalFormatting sqref="F29:F36">
    <cfRule type="cellIs" dxfId="2" priority="1" stopIfTrue="1" operator="equal">
      <formula>0</formula>
    </cfRule>
  </conditionalFormatting>
  <pageMargins left="0.7" right="0.7" top="0.75" bottom="0.75" header="0.3" footer="0.3"/>
  <drawing r:id="rId1"/>
  <legacy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5"/>
  <sheetViews>
    <sheetView workbookViewId="0"/>
  </sheetViews>
  <sheetFormatPr defaultRowHeight="12.5" x14ac:dyDescent="0.25"/>
  <cols>
    <col min="1" max="1" width="17.08984375" customWidth="1"/>
    <col min="2" max="6" width="5" bestFit="1" customWidth="1"/>
    <col min="7" max="7" width="4" customWidth="1"/>
    <col min="8" max="9" width="5" bestFit="1" customWidth="1"/>
    <col min="10" max="18" width="4" customWidth="1"/>
    <col min="19" max="19" width="6.26953125" customWidth="1"/>
    <col min="20" max="20" width="7.6328125" customWidth="1"/>
  </cols>
  <sheetData>
    <row r="1" spans="1:22" ht="15.5" x14ac:dyDescent="0.35">
      <c r="A1" s="29" t="s">
        <v>208</v>
      </c>
    </row>
    <row r="2" spans="1:22" x14ac:dyDescent="0.25">
      <c r="B2" s="98" t="s">
        <v>209</v>
      </c>
      <c r="C2" s="98" t="s">
        <v>210</v>
      </c>
      <c r="D2" s="98" t="s">
        <v>211</v>
      </c>
      <c r="E2" s="98" t="s">
        <v>212</v>
      </c>
      <c r="F2" s="98" t="s">
        <v>213</v>
      </c>
      <c r="G2" s="98" t="s">
        <v>214</v>
      </c>
      <c r="H2" s="98" t="s">
        <v>215</v>
      </c>
      <c r="I2" s="98" t="s">
        <v>216</v>
      </c>
      <c r="J2" s="98" t="s">
        <v>217</v>
      </c>
      <c r="K2" s="98" t="s">
        <v>218</v>
      </c>
      <c r="L2" s="98" t="s">
        <v>219</v>
      </c>
      <c r="M2" s="98" t="s">
        <v>220</v>
      </c>
      <c r="N2" s="98" t="s">
        <v>221</v>
      </c>
      <c r="O2" s="98" t="s">
        <v>222</v>
      </c>
      <c r="P2" s="98" t="s">
        <v>223</v>
      </c>
      <c r="Q2" s="98" t="s">
        <v>224</v>
      </c>
      <c r="R2" s="98" t="s">
        <v>225</v>
      </c>
      <c r="S2" s="98" t="s">
        <v>226</v>
      </c>
      <c r="T2" s="98"/>
      <c r="U2" s="98"/>
      <c r="V2" s="98"/>
    </row>
    <row r="3" spans="1:22" ht="13" thickBot="1" x14ac:dyDescent="0.3">
      <c r="A3" t="s">
        <v>227</v>
      </c>
      <c r="B3" s="446">
        <v>0</v>
      </c>
      <c r="C3" s="446">
        <v>0</v>
      </c>
      <c r="D3" s="446">
        <v>0</v>
      </c>
      <c r="E3" s="446">
        <v>1</v>
      </c>
      <c r="F3" s="446">
        <v>2</v>
      </c>
      <c r="G3" s="446">
        <v>0</v>
      </c>
      <c r="H3" s="446">
        <v>1</v>
      </c>
      <c r="I3" s="446">
        <v>0</v>
      </c>
      <c r="J3" s="446">
        <v>0</v>
      </c>
      <c r="K3" s="446">
        <v>2</v>
      </c>
      <c r="L3" s="446">
        <v>3</v>
      </c>
      <c r="M3" s="446">
        <v>4</v>
      </c>
      <c r="N3" s="446">
        <v>6</v>
      </c>
      <c r="O3" s="446">
        <v>6</v>
      </c>
      <c r="P3" s="446">
        <v>10</v>
      </c>
      <c r="Q3" s="446">
        <v>10</v>
      </c>
      <c r="R3" s="446">
        <v>12</v>
      </c>
      <c r="S3" s="446">
        <v>12</v>
      </c>
      <c r="T3" s="98" t="s">
        <v>111</v>
      </c>
      <c r="U3" s="98"/>
      <c r="V3" s="98"/>
    </row>
    <row r="4" spans="1:22" ht="13" thickBot="1" x14ac:dyDescent="0.3">
      <c r="A4" t="s">
        <v>228</v>
      </c>
      <c r="B4" s="436">
        <v>1000</v>
      </c>
      <c r="C4" s="437">
        <v>2000</v>
      </c>
      <c r="D4" s="437">
        <v>1000</v>
      </c>
      <c r="E4" s="437">
        <v>1000</v>
      </c>
      <c r="F4" s="437">
        <v>1000</v>
      </c>
      <c r="G4" s="437">
        <v>500</v>
      </c>
      <c r="H4" s="437">
        <v>2000</v>
      </c>
      <c r="I4" s="437">
        <v>3000</v>
      </c>
      <c r="J4" s="437"/>
      <c r="K4" s="437"/>
      <c r="L4" s="437"/>
      <c r="M4" s="437"/>
      <c r="N4" s="437"/>
      <c r="O4" s="437"/>
      <c r="P4" s="437"/>
      <c r="Q4" s="437"/>
      <c r="R4" s="437"/>
      <c r="S4" s="438"/>
      <c r="T4" s="446">
        <f>SUMPRODUCT($B$3:$S$3,B4:S4)</f>
        <v>5000</v>
      </c>
      <c r="U4" s="98"/>
      <c r="V4" s="98"/>
    </row>
    <row r="5" spans="1:22" x14ac:dyDescent="0.25">
      <c r="A5" t="s">
        <v>229</v>
      </c>
      <c r="B5" s="439">
        <v>1</v>
      </c>
      <c r="C5" s="98"/>
      <c r="D5" s="98"/>
      <c r="E5" s="98"/>
      <c r="F5" s="98"/>
      <c r="G5" s="98"/>
      <c r="H5" s="98"/>
      <c r="I5" s="98"/>
      <c r="J5" s="98"/>
      <c r="K5" s="98"/>
      <c r="L5" s="98"/>
      <c r="M5" s="98"/>
      <c r="N5" s="98"/>
      <c r="O5" s="98"/>
      <c r="P5" s="98"/>
      <c r="Q5" s="98"/>
      <c r="R5" s="98"/>
      <c r="S5" s="440"/>
      <c r="T5" s="446">
        <f t="shared" ref="T5:T25" si="0">SUMPRODUCT($B$3:$S$3,B5:S5)</f>
        <v>0</v>
      </c>
      <c r="U5" s="435" t="s">
        <v>126</v>
      </c>
      <c r="V5" s="444">
        <v>1</v>
      </c>
    </row>
    <row r="6" spans="1:22" x14ac:dyDescent="0.25">
      <c r="A6" t="s">
        <v>230</v>
      </c>
      <c r="B6" s="439"/>
      <c r="C6" s="98">
        <v>1</v>
      </c>
      <c r="D6" s="98"/>
      <c r="E6" s="98"/>
      <c r="F6" s="98"/>
      <c r="G6" s="98"/>
      <c r="H6" s="98"/>
      <c r="I6" s="98"/>
      <c r="J6" s="98"/>
      <c r="K6" s="98"/>
      <c r="L6" s="98"/>
      <c r="M6" s="98"/>
      <c r="N6" s="98"/>
      <c r="O6" s="98"/>
      <c r="P6" s="98"/>
      <c r="Q6" s="98"/>
      <c r="R6" s="98"/>
      <c r="S6" s="440"/>
      <c r="T6" s="446">
        <f t="shared" si="0"/>
        <v>0</v>
      </c>
      <c r="U6" s="435" t="s">
        <v>126</v>
      </c>
      <c r="V6" s="102">
        <v>2</v>
      </c>
    </row>
    <row r="7" spans="1:22" x14ac:dyDescent="0.25">
      <c r="A7" t="s">
        <v>231</v>
      </c>
      <c r="B7" s="439"/>
      <c r="C7" s="98"/>
      <c r="D7" s="98">
        <v>1</v>
      </c>
      <c r="E7" s="98"/>
      <c r="F7" s="98"/>
      <c r="G7" s="98"/>
      <c r="H7" s="98"/>
      <c r="I7" s="98"/>
      <c r="J7" s="98"/>
      <c r="K7" s="98"/>
      <c r="L7" s="98"/>
      <c r="M7" s="98"/>
      <c r="N7" s="98"/>
      <c r="O7" s="98"/>
      <c r="P7" s="98"/>
      <c r="Q7" s="98"/>
      <c r="R7" s="98"/>
      <c r="S7" s="440"/>
      <c r="T7" s="446">
        <f t="shared" si="0"/>
        <v>0</v>
      </c>
      <c r="U7" s="435" t="s">
        <v>126</v>
      </c>
      <c r="V7" s="102">
        <v>1</v>
      </c>
    </row>
    <row r="8" spans="1:22" x14ac:dyDescent="0.25">
      <c r="A8" t="s">
        <v>232</v>
      </c>
      <c r="B8" s="439"/>
      <c r="C8" s="98"/>
      <c r="D8" s="98"/>
      <c r="E8" s="98">
        <v>1</v>
      </c>
      <c r="F8" s="98"/>
      <c r="G8" s="98"/>
      <c r="H8" s="98"/>
      <c r="I8" s="98"/>
      <c r="J8" s="98"/>
      <c r="K8" s="98"/>
      <c r="L8" s="98"/>
      <c r="M8" s="98"/>
      <c r="N8" s="98"/>
      <c r="O8" s="98"/>
      <c r="P8" s="98"/>
      <c r="Q8" s="98"/>
      <c r="R8" s="98"/>
      <c r="S8" s="440"/>
      <c r="T8" s="446">
        <f t="shared" si="0"/>
        <v>1</v>
      </c>
      <c r="U8" s="435" t="s">
        <v>126</v>
      </c>
      <c r="V8" s="102">
        <v>1</v>
      </c>
    </row>
    <row r="9" spans="1:22" x14ac:dyDescent="0.25">
      <c r="A9" t="s">
        <v>233</v>
      </c>
      <c r="B9" s="439"/>
      <c r="C9" s="98"/>
      <c r="D9" s="98"/>
      <c r="E9" s="98"/>
      <c r="F9" s="98">
        <v>1</v>
      </c>
      <c r="G9" s="98"/>
      <c r="H9" s="98"/>
      <c r="I9" s="98"/>
      <c r="J9" s="98"/>
      <c r="K9" s="98"/>
      <c r="L9" s="98"/>
      <c r="M9" s="98"/>
      <c r="N9" s="98"/>
      <c r="O9" s="98"/>
      <c r="P9" s="98"/>
      <c r="Q9" s="98"/>
      <c r="R9" s="98"/>
      <c r="S9" s="440"/>
      <c r="T9" s="446">
        <f t="shared" si="0"/>
        <v>2</v>
      </c>
      <c r="U9" s="435" t="s">
        <v>126</v>
      </c>
      <c r="V9" s="102">
        <v>2</v>
      </c>
    </row>
    <row r="10" spans="1:22" x14ac:dyDescent="0.25">
      <c r="A10" t="s">
        <v>235</v>
      </c>
      <c r="B10" s="439"/>
      <c r="C10" s="98"/>
      <c r="D10" s="98"/>
      <c r="E10" s="98"/>
      <c r="F10" s="98"/>
      <c r="G10" s="98">
        <v>1</v>
      </c>
      <c r="H10" s="98"/>
      <c r="I10" s="98"/>
      <c r="J10" s="98"/>
      <c r="K10" s="98"/>
      <c r="L10" s="98"/>
      <c r="M10" s="98"/>
      <c r="N10" s="98"/>
      <c r="O10" s="98"/>
      <c r="P10" s="98"/>
      <c r="Q10" s="98"/>
      <c r="R10" s="98"/>
      <c r="S10" s="440"/>
      <c r="T10" s="446">
        <f t="shared" si="0"/>
        <v>0</v>
      </c>
      <c r="U10" s="435" t="s">
        <v>126</v>
      </c>
      <c r="V10" s="102">
        <v>1</v>
      </c>
    </row>
    <row r="11" spans="1:22" x14ac:dyDescent="0.25">
      <c r="A11" t="s">
        <v>234</v>
      </c>
      <c r="B11" s="439"/>
      <c r="C11" s="98"/>
      <c r="D11" s="98"/>
      <c r="E11" s="98"/>
      <c r="F11" s="98"/>
      <c r="G11" s="98"/>
      <c r="H11" s="98">
        <v>1</v>
      </c>
      <c r="I11" s="98"/>
      <c r="J11" s="98"/>
      <c r="K11" s="98"/>
      <c r="L11" s="98"/>
      <c r="M11" s="98"/>
      <c r="N11" s="98"/>
      <c r="O11" s="98"/>
      <c r="P11" s="98"/>
      <c r="Q11" s="98"/>
      <c r="R11" s="98"/>
      <c r="S11" s="440"/>
      <c r="T11" s="446">
        <f t="shared" si="0"/>
        <v>1</v>
      </c>
      <c r="U11" s="435" t="s">
        <v>126</v>
      </c>
      <c r="V11" s="102">
        <v>3</v>
      </c>
    </row>
    <row r="12" spans="1:22" x14ac:dyDescent="0.25">
      <c r="A12" t="s">
        <v>236</v>
      </c>
      <c r="B12" s="439"/>
      <c r="C12" s="98"/>
      <c r="D12" s="98"/>
      <c r="E12" s="98"/>
      <c r="F12" s="98"/>
      <c r="G12" s="98"/>
      <c r="H12" s="98"/>
      <c r="I12" s="98">
        <v>1</v>
      </c>
      <c r="J12" s="98"/>
      <c r="K12" s="98"/>
      <c r="L12" s="98"/>
      <c r="M12" s="98"/>
      <c r="N12" s="98"/>
      <c r="O12" s="98"/>
      <c r="P12" s="98"/>
      <c r="Q12" s="98"/>
      <c r="R12" s="98"/>
      <c r="S12" s="440"/>
      <c r="T12" s="446">
        <f t="shared" si="0"/>
        <v>0</v>
      </c>
      <c r="U12" s="435" t="s">
        <v>126</v>
      </c>
      <c r="V12" s="102">
        <v>1</v>
      </c>
    </row>
    <row r="13" spans="1:22" x14ac:dyDescent="0.25">
      <c r="A13" t="s">
        <v>237</v>
      </c>
      <c r="B13" s="439"/>
      <c r="C13" s="98"/>
      <c r="D13" s="98"/>
      <c r="E13" s="98"/>
      <c r="F13" s="98"/>
      <c r="G13" s="98"/>
      <c r="H13" s="98"/>
      <c r="I13" s="98"/>
      <c r="J13" s="98"/>
      <c r="K13" s="98"/>
      <c r="L13" s="98"/>
      <c r="M13" s="98"/>
      <c r="N13" s="98"/>
      <c r="O13" s="98"/>
      <c r="P13" s="98"/>
      <c r="Q13" s="98"/>
      <c r="R13" s="98"/>
      <c r="S13" s="440">
        <v>1</v>
      </c>
      <c r="T13" s="446">
        <f t="shared" si="0"/>
        <v>12</v>
      </c>
      <c r="U13" s="435" t="s">
        <v>126</v>
      </c>
      <c r="V13" s="102">
        <v>12</v>
      </c>
    </row>
    <row r="14" spans="1:22" x14ac:dyDescent="0.25">
      <c r="A14" t="s">
        <v>238</v>
      </c>
      <c r="B14" s="439"/>
      <c r="C14" s="98"/>
      <c r="D14" s="98"/>
      <c r="E14" s="98"/>
      <c r="F14" s="98"/>
      <c r="G14" s="98"/>
      <c r="H14" s="98"/>
      <c r="I14" s="98"/>
      <c r="J14" s="98">
        <v>1</v>
      </c>
      <c r="K14" s="98"/>
      <c r="L14" s="98"/>
      <c r="M14" s="98"/>
      <c r="N14" s="98"/>
      <c r="O14" s="98"/>
      <c r="P14" s="98"/>
      <c r="Q14" s="98"/>
      <c r="R14" s="98"/>
      <c r="S14" s="440"/>
      <c r="T14" s="446">
        <f t="shared" si="0"/>
        <v>0</v>
      </c>
      <c r="U14" s="98" t="s">
        <v>101</v>
      </c>
      <c r="V14" s="102">
        <v>0</v>
      </c>
    </row>
    <row r="15" spans="1:22" x14ac:dyDescent="0.25">
      <c r="A15" t="s">
        <v>239</v>
      </c>
      <c r="B15" s="439">
        <v>1</v>
      </c>
      <c r="C15" s="98"/>
      <c r="D15" s="98"/>
      <c r="E15" s="98"/>
      <c r="F15" s="98"/>
      <c r="G15" s="98"/>
      <c r="H15" s="98"/>
      <c r="I15" s="98"/>
      <c r="J15" s="98">
        <v>-1</v>
      </c>
      <c r="K15" s="98">
        <v>1</v>
      </c>
      <c r="L15" s="98"/>
      <c r="M15" s="98"/>
      <c r="N15" s="98"/>
      <c r="O15" s="98"/>
      <c r="P15" s="98"/>
      <c r="Q15" s="98"/>
      <c r="R15" s="98"/>
      <c r="S15" s="440"/>
      <c r="T15" s="446">
        <f t="shared" si="0"/>
        <v>2</v>
      </c>
      <c r="U15" s="435" t="s">
        <v>149</v>
      </c>
      <c r="V15" s="102">
        <v>2</v>
      </c>
    </row>
    <row r="16" spans="1:22" x14ac:dyDescent="0.25">
      <c r="A16" t="s">
        <v>240</v>
      </c>
      <c r="B16" s="439"/>
      <c r="C16" s="98">
        <v>1</v>
      </c>
      <c r="D16" s="98"/>
      <c r="E16" s="98"/>
      <c r="F16" s="98"/>
      <c r="G16" s="98"/>
      <c r="H16" s="98"/>
      <c r="I16" s="98"/>
      <c r="J16" s="98">
        <v>-1</v>
      </c>
      <c r="K16" s="98"/>
      <c r="L16" s="98">
        <v>1</v>
      </c>
      <c r="M16" s="98"/>
      <c r="N16" s="98"/>
      <c r="O16" s="98"/>
      <c r="P16" s="98"/>
      <c r="Q16" s="98"/>
      <c r="R16" s="98"/>
      <c r="S16" s="440"/>
      <c r="T16" s="446">
        <f t="shared" si="0"/>
        <v>3</v>
      </c>
      <c r="U16" s="435" t="s">
        <v>149</v>
      </c>
      <c r="V16" s="102">
        <v>3</v>
      </c>
    </row>
    <row r="17" spans="1:22" x14ac:dyDescent="0.25">
      <c r="A17" t="s">
        <v>241</v>
      </c>
      <c r="B17" s="439"/>
      <c r="C17" s="98"/>
      <c r="D17" s="98">
        <v>1</v>
      </c>
      <c r="E17" s="98"/>
      <c r="F17" s="98"/>
      <c r="G17" s="98"/>
      <c r="H17" s="98"/>
      <c r="I17" s="98"/>
      <c r="J17" s="98"/>
      <c r="K17" s="98">
        <v>-1</v>
      </c>
      <c r="L17" s="98"/>
      <c r="M17" s="98">
        <v>1</v>
      </c>
      <c r="N17" s="98"/>
      <c r="O17" s="98"/>
      <c r="P17" s="98"/>
      <c r="Q17" s="98"/>
      <c r="R17" s="98"/>
      <c r="S17" s="440"/>
      <c r="T17" s="446">
        <f t="shared" si="0"/>
        <v>2</v>
      </c>
      <c r="U17" s="435" t="s">
        <v>149</v>
      </c>
      <c r="V17" s="102">
        <v>2</v>
      </c>
    </row>
    <row r="18" spans="1:22" x14ac:dyDescent="0.25">
      <c r="A18" t="s">
        <v>242</v>
      </c>
      <c r="B18" s="439"/>
      <c r="C18" s="98"/>
      <c r="D18" s="98"/>
      <c r="E18" s="98">
        <v>1</v>
      </c>
      <c r="F18" s="98"/>
      <c r="G18" s="98"/>
      <c r="H18" s="98"/>
      <c r="I18" s="98"/>
      <c r="J18" s="98"/>
      <c r="K18" s="98"/>
      <c r="L18" s="98">
        <v>-1</v>
      </c>
      <c r="M18" s="98"/>
      <c r="N18" s="98">
        <v>1</v>
      </c>
      <c r="O18" s="98"/>
      <c r="P18" s="98"/>
      <c r="Q18" s="98"/>
      <c r="R18" s="98"/>
      <c r="S18" s="440"/>
      <c r="T18" s="446">
        <f t="shared" si="0"/>
        <v>4</v>
      </c>
      <c r="U18" s="435" t="s">
        <v>149</v>
      </c>
      <c r="V18" s="102">
        <v>4</v>
      </c>
    </row>
    <row r="19" spans="1:22" x14ac:dyDescent="0.25">
      <c r="A19" t="s">
        <v>243</v>
      </c>
      <c r="B19" s="439"/>
      <c r="C19" s="98"/>
      <c r="D19" s="98"/>
      <c r="E19" s="98"/>
      <c r="F19" s="98">
        <v>1</v>
      </c>
      <c r="G19" s="98"/>
      <c r="H19" s="98"/>
      <c r="I19" s="98"/>
      <c r="J19" s="98"/>
      <c r="K19" s="98"/>
      <c r="L19" s="98"/>
      <c r="M19" s="98">
        <v>-1</v>
      </c>
      <c r="N19" s="98"/>
      <c r="O19" s="98">
        <v>1</v>
      </c>
      <c r="P19" s="98"/>
      <c r="Q19" s="98"/>
      <c r="R19" s="98"/>
      <c r="S19" s="440"/>
      <c r="T19" s="446">
        <f t="shared" si="0"/>
        <v>4</v>
      </c>
      <c r="U19" s="435" t="s">
        <v>149</v>
      </c>
      <c r="V19" s="102">
        <v>4</v>
      </c>
    </row>
    <row r="20" spans="1:22" x14ac:dyDescent="0.25">
      <c r="A20" t="s">
        <v>244</v>
      </c>
      <c r="B20" s="439"/>
      <c r="C20" s="98"/>
      <c r="D20" s="98"/>
      <c r="E20" s="98"/>
      <c r="F20" s="98"/>
      <c r="G20" s="98">
        <v>1</v>
      </c>
      <c r="H20" s="98"/>
      <c r="I20" s="98"/>
      <c r="J20" s="98"/>
      <c r="K20" s="98"/>
      <c r="L20" s="98"/>
      <c r="M20" s="98">
        <v>-1</v>
      </c>
      <c r="N20" s="98"/>
      <c r="O20" s="98"/>
      <c r="P20" s="98">
        <v>1</v>
      </c>
      <c r="Q20" s="98"/>
      <c r="R20" s="98"/>
      <c r="S20" s="440"/>
      <c r="T20" s="446">
        <f t="shared" si="0"/>
        <v>6</v>
      </c>
      <c r="U20" s="435" t="s">
        <v>149</v>
      </c>
      <c r="V20" s="102">
        <v>3</v>
      </c>
    </row>
    <row r="21" spans="1:22" x14ac:dyDescent="0.25">
      <c r="A21" t="s">
        <v>245</v>
      </c>
      <c r="B21" s="439"/>
      <c r="C21" s="98"/>
      <c r="D21" s="98"/>
      <c r="E21" s="98"/>
      <c r="F21" s="98"/>
      <c r="G21" s="98"/>
      <c r="H21" s="98">
        <v>1</v>
      </c>
      <c r="I21" s="98"/>
      <c r="J21" s="98"/>
      <c r="K21" s="98"/>
      <c r="L21" s="98"/>
      <c r="M21" s="98"/>
      <c r="N21" s="98">
        <v>-1</v>
      </c>
      <c r="O21" s="98"/>
      <c r="P21" s="98"/>
      <c r="Q21" s="98">
        <v>1</v>
      </c>
      <c r="R21" s="98"/>
      <c r="S21" s="440"/>
      <c r="T21" s="446">
        <f t="shared" si="0"/>
        <v>5</v>
      </c>
      <c r="U21" s="435" t="s">
        <v>149</v>
      </c>
      <c r="V21" s="102">
        <v>5</v>
      </c>
    </row>
    <row r="22" spans="1:22" x14ac:dyDescent="0.25">
      <c r="A22" t="s">
        <v>246</v>
      </c>
      <c r="B22" s="439"/>
      <c r="C22" s="98"/>
      <c r="D22" s="98"/>
      <c r="E22" s="98"/>
      <c r="F22" s="98"/>
      <c r="G22" s="98"/>
      <c r="H22" s="98">
        <v>1</v>
      </c>
      <c r="I22" s="98"/>
      <c r="J22" s="98"/>
      <c r="K22" s="98"/>
      <c r="L22" s="98"/>
      <c r="M22" s="98"/>
      <c r="N22" s="98"/>
      <c r="O22" s="98">
        <v>-1</v>
      </c>
      <c r="P22" s="98"/>
      <c r="Q22" s="98">
        <v>1</v>
      </c>
      <c r="R22" s="98"/>
      <c r="S22" s="440"/>
      <c r="T22" s="446">
        <f t="shared" si="0"/>
        <v>5</v>
      </c>
      <c r="U22" s="435" t="s">
        <v>149</v>
      </c>
      <c r="V22" s="102">
        <v>5</v>
      </c>
    </row>
    <row r="23" spans="1:22" x14ac:dyDescent="0.25">
      <c r="A23" t="s">
        <v>247</v>
      </c>
      <c r="B23" s="439"/>
      <c r="C23" s="98"/>
      <c r="D23" s="98"/>
      <c r="E23" s="98"/>
      <c r="F23" s="98"/>
      <c r="G23" s="98"/>
      <c r="H23" s="98"/>
      <c r="I23" s="98">
        <v>1</v>
      </c>
      <c r="J23" s="98"/>
      <c r="K23" s="98"/>
      <c r="L23" s="98"/>
      <c r="M23" s="98"/>
      <c r="N23" s="98"/>
      <c r="O23" s="98"/>
      <c r="P23" s="98">
        <v>-1</v>
      </c>
      <c r="Q23" s="98"/>
      <c r="R23" s="98">
        <v>1</v>
      </c>
      <c r="S23" s="440"/>
      <c r="T23" s="446">
        <f t="shared" si="0"/>
        <v>2</v>
      </c>
      <c r="U23" s="435" t="s">
        <v>149</v>
      </c>
      <c r="V23" s="102">
        <v>2</v>
      </c>
    </row>
    <row r="24" spans="1:22" x14ac:dyDescent="0.25">
      <c r="A24" t="s">
        <v>248</v>
      </c>
      <c r="B24" s="439"/>
      <c r="C24" s="98"/>
      <c r="D24" s="98"/>
      <c r="E24" s="98"/>
      <c r="F24" s="98"/>
      <c r="G24" s="98"/>
      <c r="H24" s="98"/>
      <c r="I24" s="98">
        <v>1</v>
      </c>
      <c r="J24" s="98"/>
      <c r="K24" s="98"/>
      <c r="L24" s="98"/>
      <c r="M24" s="98"/>
      <c r="N24" s="98"/>
      <c r="O24" s="98"/>
      <c r="P24" s="98"/>
      <c r="Q24" s="98">
        <v>-1</v>
      </c>
      <c r="R24" s="98">
        <v>1</v>
      </c>
      <c r="S24" s="440"/>
      <c r="T24" s="446">
        <f t="shared" si="0"/>
        <v>2</v>
      </c>
      <c r="U24" s="435" t="s">
        <v>149</v>
      </c>
      <c r="V24" s="102">
        <v>2</v>
      </c>
    </row>
    <row r="25" spans="1:22" ht="13" thickBot="1" x14ac:dyDescent="0.3">
      <c r="A25" t="s">
        <v>249</v>
      </c>
      <c r="B25" s="441"/>
      <c r="C25" s="442"/>
      <c r="D25" s="442"/>
      <c r="E25" s="442"/>
      <c r="F25" s="442"/>
      <c r="G25" s="442"/>
      <c r="H25" s="442"/>
      <c r="I25" s="442"/>
      <c r="J25" s="442"/>
      <c r="K25" s="442"/>
      <c r="L25" s="442"/>
      <c r="M25" s="442"/>
      <c r="N25" s="442"/>
      <c r="O25" s="442"/>
      <c r="P25" s="442"/>
      <c r="Q25" s="442"/>
      <c r="R25" s="442">
        <v>-1</v>
      </c>
      <c r="S25" s="443">
        <v>1</v>
      </c>
      <c r="T25" s="446">
        <f t="shared" si="0"/>
        <v>0</v>
      </c>
      <c r="U25" s="98" t="s">
        <v>149</v>
      </c>
      <c r="V25" s="445">
        <v>0</v>
      </c>
    </row>
  </sheetData>
  <phoneticPr fontId="0" type="noConversion"/>
  <pageMargins left="0.75" right="0.75" top="1" bottom="1" header="0.5" footer="0.5"/>
  <pageSetup orientation="portrait" horizontalDpi="4294967293" verticalDpi="0" r:id="rId1"/>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9"/>
  <dimension ref="A1:AC382"/>
  <sheetViews>
    <sheetView workbookViewId="0">
      <selection activeCell="B9" sqref="B9"/>
    </sheetView>
  </sheetViews>
  <sheetFormatPr defaultColWidth="9.08984375" defaultRowHeight="13" x14ac:dyDescent="0.3"/>
  <cols>
    <col min="1" max="1" width="14.26953125" style="551" customWidth="1"/>
    <col min="2" max="2" width="9.7265625" style="551" customWidth="1"/>
    <col min="3" max="3" width="10" style="551" customWidth="1"/>
    <col min="4" max="4" width="9.08984375" style="551" customWidth="1"/>
    <col min="5" max="5" width="10.26953125" style="551" customWidth="1"/>
    <col min="6" max="7" width="9.08984375" style="551" customWidth="1"/>
    <col min="8" max="8" width="9.36328125" style="551" bestFit="1" customWidth="1"/>
    <col min="9" max="9" width="9.08984375" style="551" customWidth="1"/>
    <col min="10" max="10" width="1.7265625" style="551" customWidth="1"/>
    <col min="11" max="12" width="9.08984375" style="551" customWidth="1"/>
    <col min="13" max="13" width="9.7265625" style="551" customWidth="1"/>
    <col min="14" max="27" width="9.08984375" style="551" customWidth="1"/>
    <col min="28" max="28" width="9.08984375" style="727" customWidth="1"/>
    <col min="29" max="16384" width="9.08984375" style="551"/>
  </cols>
  <sheetData>
    <row r="1" spans="1:13" ht="18.5" x14ac:dyDescent="0.45">
      <c r="A1" s="577" t="s">
        <v>1021</v>
      </c>
    </row>
    <row r="3" spans="1:13" x14ac:dyDescent="0.3">
      <c r="A3" s="575" t="s">
        <v>778</v>
      </c>
      <c r="B3" s="575"/>
      <c r="C3" s="575"/>
      <c r="D3" s="575" t="s">
        <v>377</v>
      </c>
      <c r="E3" s="575"/>
      <c r="F3" s="575"/>
      <c r="G3" s="576"/>
      <c r="H3" s="576"/>
    </row>
    <row r="5" spans="1:13" x14ac:dyDescent="0.3">
      <c r="E5" s="554"/>
      <c r="F5" s="554"/>
    </row>
    <row r="6" spans="1:13" ht="13.5" thickBot="1" x14ac:dyDescent="0.35">
      <c r="D6" s="554" t="s">
        <v>31</v>
      </c>
      <c r="E6" s="554"/>
      <c r="F6" s="554"/>
    </row>
    <row r="7" spans="1:13" x14ac:dyDescent="0.3">
      <c r="A7" s="588" t="s">
        <v>27</v>
      </c>
      <c r="D7" s="728"/>
      <c r="E7" s="729" t="s">
        <v>810</v>
      </c>
      <c r="F7" s="730">
        <f>C73</f>
        <v>15</v>
      </c>
      <c r="H7" s="728"/>
      <c r="I7" s="731"/>
      <c r="J7" s="731"/>
      <c r="K7" s="731"/>
      <c r="L7" s="729" t="s">
        <v>811</v>
      </c>
      <c r="M7" s="732">
        <f>MMULT(B36:J36,L12:L20)</f>
        <v>5000</v>
      </c>
    </row>
    <row r="8" spans="1:13" ht="13.5" thickBot="1" x14ac:dyDescent="0.35">
      <c r="A8" s="554" t="s">
        <v>812</v>
      </c>
      <c r="B8" s="733">
        <v>12</v>
      </c>
      <c r="D8" s="734"/>
      <c r="E8" s="735" t="s">
        <v>813</v>
      </c>
      <c r="F8" s="736">
        <f>C124</f>
        <v>7</v>
      </c>
      <c r="H8" s="737"/>
      <c r="I8" s="738"/>
      <c r="J8" s="738"/>
      <c r="K8" s="739"/>
      <c r="L8" s="735" t="s">
        <v>814</v>
      </c>
      <c r="M8" s="736">
        <v>12</v>
      </c>
    </row>
    <row r="9" spans="1:13" x14ac:dyDescent="0.3">
      <c r="A9" s="740" t="str">
        <f>IF(OR(B8&gt;F7,B8&lt;F8),"The project goal must be between the minimum time and the normal time","")</f>
        <v/>
      </c>
    </row>
    <row r="10" spans="1:13" ht="13.5" thickBot="1" x14ac:dyDescent="0.35">
      <c r="F10" s="554" t="s">
        <v>796</v>
      </c>
      <c r="G10" s="741"/>
      <c r="H10" s="554"/>
      <c r="L10" s="554" t="s">
        <v>815</v>
      </c>
    </row>
    <row r="11" spans="1:13" ht="39" x14ac:dyDescent="0.3">
      <c r="A11" s="771" t="s">
        <v>786</v>
      </c>
      <c r="B11" s="772" t="s">
        <v>1017</v>
      </c>
      <c r="C11" s="772" t="s">
        <v>1018</v>
      </c>
      <c r="D11" s="772" t="s">
        <v>816</v>
      </c>
      <c r="E11" s="772" t="s">
        <v>1019</v>
      </c>
      <c r="F11" s="772" t="s">
        <v>1020</v>
      </c>
      <c r="G11" s="761" t="s">
        <v>798</v>
      </c>
      <c r="H11" s="761" t="s">
        <v>817</v>
      </c>
      <c r="I11" s="762" t="s">
        <v>818</v>
      </c>
      <c r="K11" s="768" t="s">
        <v>819</v>
      </c>
      <c r="L11" s="742" t="s">
        <v>820</v>
      </c>
      <c r="M11" s="742" t="s">
        <v>821</v>
      </c>
    </row>
    <row r="12" spans="1:13" x14ac:dyDescent="0.3">
      <c r="A12" s="773" t="s">
        <v>788</v>
      </c>
      <c r="B12" s="774">
        <v>2</v>
      </c>
      <c r="C12" s="774">
        <v>1</v>
      </c>
      <c r="D12" s="775">
        <v>22000</v>
      </c>
      <c r="E12" s="775">
        <v>23000</v>
      </c>
      <c r="F12" s="774"/>
      <c r="G12" s="760"/>
      <c r="H12" s="760"/>
      <c r="I12" s="763"/>
      <c r="K12" s="769">
        <f t="array" ref="K12:K20">TRANSPOSE(B36:J36)</f>
        <v>1</v>
      </c>
      <c r="L12" s="551">
        <f t="shared" ref="L12:L20" si="0">IF(ISBLANK(A12),0,IF(B12&lt;&gt;C12,(E12-D12)/(B12-C12),0))</f>
        <v>1000</v>
      </c>
      <c r="M12" s="551">
        <f t="shared" ref="M12:M20" si="1">IF(ISBLANK(A12),0,MAX(0,B12-C12))</f>
        <v>1</v>
      </c>
    </row>
    <row r="13" spans="1:13" x14ac:dyDescent="0.3">
      <c r="A13" s="773" t="s">
        <v>789</v>
      </c>
      <c r="B13" s="774">
        <v>3</v>
      </c>
      <c r="C13" s="774">
        <v>1</v>
      </c>
      <c r="D13" s="775">
        <v>30000</v>
      </c>
      <c r="E13" s="775">
        <v>34000</v>
      </c>
      <c r="F13" s="774"/>
      <c r="G13" s="760"/>
      <c r="H13" s="760"/>
      <c r="I13" s="763"/>
      <c r="K13" s="769">
        <v>0</v>
      </c>
      <c r="L13" s="551">
        <f t="shared" si="0"/>
        <v>2000</v>
      </c>
      <c r="M13" s="551">
        <f t="shared" si="1"/>
        <v>2</v>
      </c>
    </row>
    <row r="14" spans="1:13" x14ac:dyDescent="0.3">
      <c r="A14" s="773" t="s">
        <v>790</v>
      </c>
      <c r="B14" s="774">
        <v>2</v>
      </c>
      <c r="C14" s="774">
        <v>1</v>
      </c>
      <c r="D14" s="775">
        <v>26000</v>
      </c>
      <c r="E14" s="775">
        <v>27000</v>
      </c>
      <c r="F14" s="774" t="s">
        <v>788</v>
      </c>
      <c r="G14" s="760"/>
      <c r="H14" s="760"/>
      <c r="I14" s="763"/>
      <c r="K14" s="769">
        <v>0</v>
      </c>
      <c r="L14" s="551">
        <f t="shared" si="0"/>
        <v>1000</v>
      </c>
      <c r="M14" s="551">
        <f t="shared" si="1"/>
        <v>1</v>
      </c>
    </row>
    <row r="15" spans="1:13" x14ac:dyDescent="0.3">
      <c r="A15" s="773" t="s">
        <v>791</v>
      </c>
      <c r="B15" s="774">
        <v>4</v>
      </c>
      <c r="C15" s="774">
        <v>3</v>
      </c>
      <c r="D15" s="775">
        <v>48000</v>
      </c>
      <c r="E15" s="775">
        <v>49000</v>
      </c>
      <c r="F15" s="774" t="s">
        <v>789</v>
      </c>
      <c r="G15" s="760"/>
      <c r="H15" s="760"/>
      <c r="I15" s="763"/>
      <c r="K15" s="769">
        <v>0</v>
      </c>
      <c r="L15" s="551">
        <f t="shared" si="0"/>
        <v>1000</v>
      </c>
      <c r="M15" s="551">
        <f t="shared" si="1"/>
        <v>1</v>
      </c>
    </row>
    <row r="16" spans="1:13" x14ac:dyDescent="0.3">
      <c r="A16" s="773" t="s">
        <v>792</v>
      </c>
      <c r="B16" s="774">
        <v>4</v>
      </c>
      <c r="C16" s="774">
        <v>2</v>
      </c>
      <c r="D16" s="775">
        <v>56000</v>
      </c>
      <c r="E16" s="775">
        <v>58000</v>
      </c>
      <c r="F16" s="774" t="s">
        <v>790</v>
      </c>
      <c r="G16" s="760"/>
      <c r="H16" s="760"/>
      <c r="I16" s="763"/>
      <c r="K16" s="769">
        <v>0</v>
      </c>
      <c r="L16" s="551">
        <f t="shared" si="0"/>
        <v>1000</v>
      </c>
      <c r="M16" s="551">
        <f t="shared" si="1"/>
        <v>2</v>
      </c>
    </row>
    <row r="17" spans="1:28" x14ac:dyDescent="0.3">
      <c r="A17" s="773" t="s">
        <v>404</v>
      </c>
      <c r="B17" s="774">
        <v>3</v>
      </c>
      <c r="C17" s="774">
        <v>2</v>
      </c>
      <c r="D17" s="775">
        <v>30000</v>
      </c>
      <c r="E17" s="775">
        <v>30500</v>
      </c>
      <c r="F17" s="774" t="s">
        <v>790</v>
      </c>
      <c r="G17" s="760"/>
      <c r="H17" s="760"/>
      <c r="I17" s="763"/>
      <c r="K17" s="769">
        <v>0</v>
      </c>
      <c r="L17" s="551">
        <f t="shared" si="0"/>
        <v>500</v>
      </c>
      <c r="M17" s="551">
        <f t="shared" si="1"/>
        <v>1</v>
      </c>
    </row>
    <row r="18" spans="1:28" x14ac:dyDescent="0.3">
      <c r="A18" s="773" t="s">
        <v>793</v>
      </c>
      <c r="B18" s="774">
        <v>5</v>
      </c>
      <c r="C18" s="774">
        <v>2</v>
      </c>
      <c r="D18" s="775">
        <v>80000</v>
      </c>
      <c r="E18" s="775">
        <v>86000</v>
      </c>
      <c r="F18" s="774" t="s">
        <v>791</v>
      </c>
      <c r="G18" s="760" t="s">
        <v>792</v>
      </c>
      <c r="H18" s="760"/>
      <c r="I18" s="763"/>
      <c r="K18" s="769">
        <v>2</v>
      </c>
      <c r="L18" s="551">
        <f t="shared" si="0"/>
        <v>2000</v>
      </c>
      <c r="M18" s="551">
        <f t="shared" si="1"/>
        <v>3</v>
      </c>
    </row>
    <row r="19" spans="1:28" ht="13.5" thickBot="1" x14ac:dyDescent="0.35">
      <c r="A19" s="764" t="s">
        <v>794</v>
      </c>
      <c r="B19" s="765">
        <v>2</v>
      </c>
      <c r="C19" s="765">
        <v>1</v>
      </c>
      <c r="D19" s="766">
        <v>16000</v>
      </c>
      <c r="E19" s="766">
        <v>19000</v>
      </c>
      <c r="F19" s="765" t="s">
        <v>404</v>
      </c>
      <c r="G19" s="765" t="s">
        <v>793</v>
      </c>
      <c r="H19" s="765"/>
      <c r="I19" s="767"/>
      <c r="K19" s="770">
        <v>0</v>
      </c>
      <c r="L19" s="551">
        <f t="shared" si="0"/>
        <v>3000</v>
      </c>
      <c r="M19" s="551">
        <f t="shared" si="1"/>
        <v>1</v>
      </c>
      <c r="AB19" s="551"/>
    </row>
    <row r="20" spans="1:28" hidden="1" x14ac:dyDescent="0.3">
      <c r="A20" s="743"/>
      <c r="B20" s="743"/>
      <c r="C20" s="743"/>
      <c r="D20" s="744"/>
      <c r="E20" s="744"/>
      <c r="F20" s="743"/>
      <c r="G20" s="743"/>
      <c r="H20" s="743"/>
      <c r="I20" s="743"/>
      <c r="K20" s="759">
        <v>0</v>
      </c>
      <c r="L20" s="551">
        <f t="shared" si="0"/>
        <v>0</v>
      </c>
      <c r="M20" s="551">
        <f t="shared" si="1"/>
        <v>0</v>
      </c>
      <c r="AB20" s="551"/>
    </row>
    <row r="21" spans="1:28" s="553" customFormat="1" hidden="1" x14ac:dyDescent="0.3">
      <c r="A21" s="551"/>
      <c r="B21" s="551"/>
      <c r="C21" s="551"/>
      <c r="D21" s="551"/>
      <c r="E21" s="551"/>
      <c r="F21" s="551"/>
      <c r="G21" s="551"/>
      <c r="H21" s="551"/>
      <c r="I21" s="551"/>
      <c r="J21" s="551"/>
      <c r="K21" s="551"/>
      <c r="L21" s="551"/>
      <c r="M21" s="551"/>
    </row>
    <row r="22" spans="1:28" s="727" customFormat="1" hidden="1" x14ac:dyDescent="0.3">
      <c r="A22" s="554" t="s">
        <v>822</v>
      </c>
      <c r="B22" s="551">
        <v>1</v>
      </c>
      <c r="C22" s="551">
        <v>2</v>
      </c>
      <c r="D22" s="551">
        <v>3</v>
      </c>
      <c r="E22" s="551">
        <v>4</v>
      </c>
      <c r="F22" s="551">
        <v>5</v>
      </c>
      <c r="G22" s="551">
        <v>6</v>
      </c>
      <c r="H22" s="551">
        <v>7</v>
      </c>
      <c r="I22" s="551">
        <v>8</v>
      </c>
      <c r="J22" s="551">
        <v>9</v>
      </c>
      <c r="K22" s="551"/>
      <c r="L22" s="551"/>
      <c r="M22" s="551"/>
      <c r="N22" s="551"/>
      <c r="O22" s="551"/>
      <c r="P22" s="551"/>
      <c r="Q22" s="551"/>
      <c r="R22" s="551"/>
      <c r="S22" s="551"/>
      <c r="T22" s="551"/>
      <c r="U22" s="551"/>
      <c r="V22" s="551"/>
      <c r="W22" s="551"/>
      <c r="X22" s="551"/>
      <c r="Y22" s="551"/>
      <c r="Z22" s="551"/>
      <c r="AA22" s="551"/>
    </row>
    <row r="23" spans="1:28" s="727" customFormat="1" hidden="1" x14ac:dyDescent="0.3">
      <c r="A23" s="551" t="s">
        <v>823</v>
      </c>
      <c r="B23" s="551" t="str">
        <f t="array" ref="B23:J23">TRANSPOSE(A24:A32)</f>
        <v>A</v>
      </c>
      <c r="C23" s="551" t="str">
        <v>B</v>
      </c>
      <c r="D23" s="551" t="str">
        <v>C</v>
      </c>
      <c r="E23" s="551" t="str">
        <v>D</v>
      </c>
      <c r="F23" s="551" t="str">
        <v>E</v>
      </c>
      <c r="G23" s="551" t="str">
        <v>F</v>
      </c>
      <c r="H23" s="551" t="str">
        <v>G</v>
      </c>
      <c r="I23" s="551" t="str">
        <v>H</v>
      </c>
      <c r="J23" s="551" t="str">
        <v>xxxxx</v>
      </c>
      <c r="K23" s="551"/>
      <c r="L23" s="551"/>
      <c r="M23" s="551"/>
      <c r="N23" s="551"/>
      <c r="O23" s="551"/>
      <c r="P23" s="551"/>
      <c r="Q23" s="551"/>
      <c r="R23" s="551"/>
      <c r="S23" s="551"/>
      <c r="T23" s="551"/>
      <c r="U23" s="551"/>
      <c r="V23" s="551"/>
      <c r="W23" s="551"/>
      <c r="X23" s="551"/>
      <c r="Y23" s="551"/>
      <c r="Z23" s="551"/>
      <c r="AA23" s="551"/>
    </row>
    <row r="24" spans="1:28" s="727" customFormat="1" hidden="1" x14ac:dyDescent="0.3">
      <c r="A24" s="551" t="str">
        <f t="shared" ref="A24:A32" si="2">IF(ISBLANK(A12),"xxxxx",A12)</f>
        <v>A</v>
      </c>
      <c r="B24" s="551">
        <f t="shared" ref="B24:J32" si="3">IF(OR($F12=B$23,$G12=B$23,$H12=B$23,$I12=B$23),1,0)</f>
        <v>0</v>
      </c>
      <c r="C24" s="551">
        <f t="shared" si="3"/>
        <v>0</v>
      </c>
      <c r="D24" s="551">
        <f t="shared" si="3"/>
        <v>0</v>
      </c>
      <c r="E24" s="551">
        <f t="shared" si="3"/>
        <v>0</v>
      </c>
      <c r="F24" s="551">
        <f t="shared" si="3"/>
        <v>0</v>
      </c>
      <c r="G24" s="551">
        <f t="shared" si="3"/>
        <v>0</v>
      </c>
      <c r="H24" s="551">
        <f t="shared" si="3"/>
        <v>0</v>
      </c>
      <c r="I24" s="551">
        <f t="shared" si="3"/>
        <v>0</v>
      </c>
      <c r="J24" s="551">
        <f t="shared" si="3"/>
        <v>0</v>
      </c>
      <c r="K24" s="551"/>
      <c r="L24" s="551"/>
      <c r="M24" s="551"/>
      <c r="N24" s="551"/>
      <c r="O24" s="551"/>
      <c r="P24" s="551"/>
      <c r="Q24" s="551"/>
      <c r="R24" s="551"/>
      <c r="S24" s="551"/>
      <c r="T24" s="551"/>
      <c r="U24" s="551"/>
      <c r="V24" s="551"/>
      <c r="W24" s="551"/>
      <c r="X24" s="551"/>
      <c r="Y24" s="551"/>
      <c r="Z24" s="551"/>
      <c r="AA24" s="551"/>
    </row>
    <row r="25" spans="1:28" s="727" customFormat="1" hidden="1" x14ac:dyDescent="0.3">
      <c r="A25" s="551" t="str">
        <f t="shared" si="2"/>
        <v>B</v>
      </c>
      <c r="B25" s="551">
        <f t="shared" si="3"/>
        <v>0</v>
      </c>
      <c r="C25" s="551">
        <f t="shared" si="3"/>
        <v>0</v>
      </c>
      <c r="D25" s="551">
        <f t="shared" si="3"/>
        <v>0</v>
      </c>
      <c r="E25" s="551">
        <f t="shared" si="3"/>
        <v>0</v>
      </c>
      <c r="F25" s="551">
        <f t="shared" si="3"/>
        <v>0</v>
      </c>
      <c r="G25" s="551">
        <f t="shared" si="3"/>
        <v>0</v>
      </c>
      <c r="H25" s="551">
        <f t="shared" si="3"/>
        <v>0</v>
      </c>
      <c r="I25" s="551">
        <f t="shared" si="3"/>
        <v>0</v>
      </c>
      <c r="J25" s="551">
        <f t="shared" si="3"/>
        <v>0</v>
      </c>
      <c r="K25" s="551"/>
      <c r="L25" s="551"/>
      <c r="M25" s="551"/>
      <c r="N25" s="551"/>
      <c r="O25" s="551"/>
      <c r="P25" s="551"/>
      <c r="Q25" s="551"/>
      <c r="R25" s="551"/>
      <c r="S25" s="551"/>
      <c r="T25" s="551"/>
      <c r="U25" s="551"/>
      <c r="V25" s="551"/>
      <c r="W25" s="551"/>
      <c r="X25" s="551"/>
      <c r="Y25" s="551"/>
      <c r="Z25" s="551"/>
      <c r="AA25" s="551"/>
    </row>
    <row r="26" spans="1:28" s="727" customFormat="1" hidden="1" x14ac:dyDescent="0.3">
      <c r="A26" s="551" t="str">
        <f t="shared" si="2"/>
        <v>C</v>
      </c>
      <c r="B26" s="551">
        <f t="shared" si="3"/>
        <v>1</v>
      </c>
      <c r="C26" s="551">
        <f t="shared" si="3"/>
        <v>0</v>
      </c>
      <c r="D26" s="551">
        <f t="shared" si="3"/>
        <v>0</v>
      </c>
      <c r="E26" s="551">
        <f t="shared" si="3"/>
        <v>0</v>
      </c>
      <c r="F26" s="551">
        <f t="shared" si="3"/>
        <v>0</v>
      </c>
      <c r="G26" s="551">
        <f t="shared" si="3"/>
        <v>0</v>
      </c>
      <c r="H26" s="551">
        <f t="shared" si="3"/>
        <v>0</v>
      </c>
      <c r="I26" s="551">
        <f t="shared" si="3"/>
        <v>0</v>
      </c>
      <c r="J26" s="551">
        <f t="shared" si="3"/>
        <v>0</v>
      </c>
      <c r="K26" s="551"/>
      <c r="L26" s="551"/>
      <c r="M26" s="551"/>
      <c r="N26" s="551"/>
      <c r="O26" s="551"/>
      <c r="P26" s="551"/>
      <c r="Q26" s="551"/>
      <c r="R26" s="551"/>
      <c r="S26" s="551"/>
      <c r="T26" s="551"/>
      <c r="U26" s="551"/>
      <c r="V26" s="551"/>
      <c r="W26" s="551"/>
      <c r="X26" s="551"/>
      <c r="Y26" s="551"/>
      <c r="Z26" s="551"/>
      <c r="AA26" s="551"/>
    </row>
    <row r="27" spans="1:28" s="727" customFormat="1" hidden="1" x14ac:dyDescent="0.3">
      <c r="A27" s="551" t="str">
        <f t="shared" si="2"/>
        <v>D</v>
      </c>
      <c r="B27" s="551">
        <f t="shared" si="3"/>
        <v>0</v>
      </c>
      <c r="C27" s="551">
        <f t="shared" si="3"/>
        <v>1</v>
      </c>
      <c r="D27" s="551">
        <f t="shared" si="3"/>
        <v>0</v>
      </c>
      <c r="E27" s="551">
        <f t="shared" si="3"/>
        <v>0</v>
      </c>
      <c r="F27" s="551">
        <f t="shared" si="3"/>
        <v>0</v>
      </c>
      <c r="G27" s="551">
        <f t="shared" si="3"/>
        <v>0</v>
      </c>
      <c r="H27" s="551">
        <f t="shared" si="3"/>
        <v>0</v>
      </c>
      <c r="I27" s="551">
        <f t="shared" si="3"/>
        <v>0</v>
      </c>
      <c r="J27" s="551">
        <f t="shared" si="3"/>
        <v>0</v>
      </c>
      <c r="K27" s="551"/>
      <c r="L27" s="551"/>
      <c r="M27" s="551"/>
      <c r="N27" s="551"/>
      <c r="O27" s="551"/>
      <c r="P27" s="551"/>
      <c r="Q27" s="551"/>
      <c r="R27" s="551"/>
      <c r="S27" s="551"/>
      <c r="T27" s="551"/>
      <c r="U27" s="551"/>
      <c r="V27" s="551"/>
      <c r="W27" s="551"/>
      <c r="X27" s="551"/>
      <c r="Y27" s="551"/>
      <c r="Z27" s="551"/>
      <c r="AA27" s="551"/>
    </row>
    <row r="28" spans="1:28" s="727" customFormat="1" hidden="1" x14ac:dyDescent="0.3">
      <c r="A28" s="551" t="str">
        <f t="shared" si="2"/>
        <v>E</v>
      </c>
      <c r="B28" s="551">
        <f t="shared" si="3"/>
        <v>0</v>
      </c>
      <c r="C28" s="551">
        <f t="shared" si="3"/>
        <v>0</v>
      </c>
      <c r="D28" s="551">
        <f t="shared" si="3"/>
        <v>1</v>
      </c>
      <c r="E28" s="551">
        <f t="shared" si="3"/>
        <v>0</v>
      </c>
      <c r="F28" s="551">
        <f t="shared" si="3"/>
        <v>0</v>
      </c>
      <c r="G28" s="551">
        <f t="shared" si="3"/>
        <v>0</v>
      </c>
      <c r="H28" s="551">
        <f t="shared" si="3"/>
        <v>0</v>
      </c>
      <c r="I28" s="551">
        <f t="shared" si="3"/>
        <v>0</v>
      </c>
      <c r="J28" s="551">
        <f t="shared" si="3"/>
        <v>0</v>
      </c>
      <c r="K28" s="551"/>
      <c r="L28" s="551"/>
      <c r="M28" s="551"/>
      <c r="N28" s="551"/>
      <c r="O28" s="551"/>
      <c r="P28" s="551"/>
      <c r="Q28" s="551"/>
      <c r="R28" s="551"/>
      <c r="S28" s="551"/>
      <c r="T28" s="551"/>
      <c r="U28" s="551"/>
      <c r="V28" s="551"/>
      <c r="W28" s="551"/>
      <c r="X28" s="551"/>
      <c r="Y28" s="551"/>
      <c r="Z28" s="551"/>
      <c r="AA28" s="551"/>
    </row>
    <row r="29" spans="1:28" s="727" customFormat="1" hidden="1" x14ac:dyDescent="0.3">
      <c r="A29" s="551" t="str">
        <f t="shared" si="2"/>
        <v>F</v>
      </c>
      <c r="B29" s="551">
        <f t="shared" si="3"/>
        <v>0</v>
      </c>
      <c r="C29" s="551">
        <f t="shared" si="3"/>
        <v>0</v>
      </c>
      <c r="D29" s="551">
        <f t="shared" si="3"/>
        <v>1</v>
      </c>
      <c r="E29" s="551">
        <f t="shared" si="3"/>
        <v>0</v>
      </c>
      <c r="F29" s="551">
        <f t="shared" si="3"/>
        <v>0</v>
      </c>
      <c r="G29" s="551">
        <f t="shared" si="3"/>
        <v>0</v>
      </c>
      <c r="H29" s="551">
        <f t="shared" si="3"/>
        <v>0</v>
      </c>
      <c r="I29" s="551">
        <f t="shared" si="3"/>
        <v>0</v>
      </c>
      <c r="J29" s="551">
        <f t="shared" si="3"/>
        <v>0</v>
      </c>
      <c r="K29" s="551"/>
      <c r="L29" s="551"/>
      <c r="M29" s="551"/>
      <c r="N29" s="551"/>
      <c r="O29" s="551"/>
      <c r="P29" s="551"/>
      <c r="Q29" s="551"/>
      <c r="R29" s="551"/>
      <c r="S29" s="551"/>
      <c r="T29" s="551"/>
      <c r="U29" s="551"/>
      <c r="V29" s="551"/>
      <c r="W29" s="551"/>
      <c r="X29" s="551"/>
      <c r="Y29" s="551"/>
      <c r="Z29" s="551"/>
      <c r="AA29" s="551"/>
    </row>
    <row r="30" spans="1:28" s="727" customFormat="1" hidden="1" x14ac:dyDescent="0.3">
      <c r="A30" s="551" t="str">
        <f t="shared" si="2"/>
        <v>G</v>
      </c>
      <c r="B30" s="551">
        <f t="shared" si="3"/>
        <v>0</v>
      </c>
      <c r="C30" s="551">
        <f t="shared" si="3"/>
        <v>0</v>
      </c>
      <c r="D30" s="551">
        <f t="shared" si="3"/>
        <v>0</v>
      </c>
      <c r="E30" s="551">
        <f t="shared" si="3"/>
        <v>1</v>
      </c>
      <c r="F30" s="551">
        <f t="shared" si="3"/>
        <v>1</v>
      </c>
      <c r="G30" s="551">
        <f t="shared" si="3"/>
        <v>0</v>
      </c>
      <c r="H30" s="551">
        <f t="shared" si="3"/>
        <v>0</v>
      </c>
      <c r="I30" s="551">
        <f t="shared" si="3"/>
        <v>0</v>
      </c>
      <c r="J30" s="551">
        <f t="shared" si="3"/>
        <v>0</v>
      </c>
      <c r="K30" s="551"/>
      <c r="L30" s="551"/>
      <c r="M30" s="551"/>
      <c r="N30" s="551"/>
      <c r="O30" s="551"/>
      <c r="P30" s="551"/>
      <c r="Q30" s="551"/>
      <c r="R30" s="551"/>
      <c r="S30" s="551"/>
      <c r="T30" s="551"/>
      <c r="U30" s="551"/>
      <c r="V30" s="551"/>
      <c r="W30" s="551"/>
      <c r="X30" s="551"/>
      <c r="Y30" s="551"/>
      <c r="Z30" s="551"/>
      <c r="AA30" s="551"/>
    </row>
    <row r="31" spans="1:28" s="727" customFormat="1" hidden="1" x14ac:dyDescent="0.3">
      <c r="A31" s="551" t="str">
        <f t="shared" si="2"/>
        <v>H</v>
      </c>
      <c r="B31" s="551">
        <f t="shared" si="3"/>
        <v>0</v>
      </c>
      <c r="C31" s="551">
        <f t="shared" si="3"/>
        <v>0</v>
      </c>
      <c r="D31" s="551">
        <f t="shared" si="3"/>
        <v>0</v>
      </c>
      <c r="E31" s="551">
        <f t="shared" si="3"/>
        <v>0</v>
      </c>
      <c r="F31" s="551">
        <f t="shared" si="3"/>
        <v>0</v>
      </c>
      <c r="G31" s="551">
        <f t="shared" si="3"/>
        <v>1</v>
      </c>
      <c r="H31" s="551">
        <f t="shared" si="3"/>
        <v>1</v>
      </c>
      <c r="I31" s="551">
        <f t="shared" si="3"/>
        <v>0</v>
      </c>
      <c r="J31" s="551">
        <f t="shared" si="3"/>
        <v>0</v>
      </c>
      <c r="K31" s="551"/>
      <c r="L31" s="551"/>
      <c r="M31" s="551"/>
      <c r="N31" s="551"/>
      <c r="O31" s="551"/>
      <c r="P31" s="551"/>
      <c r="Q31" s="551"/>
      <c r="R31" s="551"/>
      <c r="S31" s="551"/>
      <c r="T31" s="551"/>
      <c r="U31" s="551"/>
      <c r="V31" s="551"/>
      <c r="W31" s="551"/>
      <c r="X31" s="551"/>
      <c r="Y31" s="551"/>
      <c r="Z31" s="551"/>
      <c r="AA31" s="551"/>
    </row>
    <row r="32" spans="1:28" s="727" customFormat="1" hidden="1" x14ac:dyDescent="0.3">
      <c r="A32" s="551" t="str">
        <f t="shared" si="2"/>
        <v>xxxxx</v>
      </c>
      <c r="B32" s="551">
        <f t="shared" si="3"/>
        <v>0</v>
      </c>
      <c r="C32" s="551">
        <f t="shared" si="3"/>
        <v>0</v>
      </c>
      <c r="D32" s="551">
        <f t="shared" si="3"/>
        <v>0</v>
      </c>
      <c r="E32" s="551">
        <f t="shared" si="3"/>
        <v>0</v>
      </c>
      <c r="F32" s="551">
        <f t="shared" si="3"/>
        <v>0</v>
      </c>
      <c r="G32" s="551">
        <f t="shared" si="3"/>
        <v>0</v>
      </c>
      <c r="H32" s="551">
        <f t="shared" si="3"/>
        <v>0</v>
      </c>
      <c r="I32" s="551">
        <f t="shared" si="3"/>
        <v>0</v>
      </c>
      <c r="J32" s="551">
        <f t="shared" si="3"/>
        <v>0</v>
      </c>
      <c r="K32" s="551"/>
      <c r="L32" s="551"/>
      <c r="M32" s="551"/>
      <c r="N32" s="551"/>
      <c r="O32" s="551"/>
      <c r="P32" s="551"/>
      <c r="Q32" s="551"/>
      <c r="R32" s="551"/>
      <c r="S32" s="551"/>
      <c r="T32" s="551"/>
      <c r="U32" s="551"/>
      <c r="V32" s="551"/>
      <c r="W32" s="551"/>
      <c r="X32" s="551"/>
      <c r="Y32" s="551"/>
      <c r="Z32" s="551"/>
      <c r="AA32" s="551"/>
    </row>
    <row r="33" spans="1:28" s="553" customFormat="1" hidden="1" x14ac:dyDescent="0.3">
      <c r="A33" s="551"/>
      <c r="B33" s="551"/>
      <c r="C33" s="551"/>
      <c r="D33" s="551"/>
      <c r="E33" s="551"/>
      <c r="F33" s="551"/>
      <c r="G33" s="551"/>
      <c r="H33" s="551"/>
      <c r="I33" s="551"/>
      <c r="J33" s="551"/>
      <c r="K33" s="551"/>
      <c r="L33" s="551"/>
      <c r="M33" s="551"/>
      <c r="AB33" s="727"/>
    </row>
    <row r="34" spans="1:28" hidden="1" x14ac:dyDescent="0.3">
      <c r="A34" s="551" t="s">
        <v>810</v>
      </c>
      <c r="B34" s="551">
        <f t="array" ref="B34:J34">TRANSPOSE(B12:B20)</f>
        <v>2</v>
      </c>
      <c r="C34" s="551">
        <v>3</v>
      </c>
      <c r="D34" s="551">
        <v>2</v>
      </c>
      <c r="E34" s="551">
        <v>4</v>
      </c>
      <c r="F34" s="551">
        <v>4</v>
      </c>
      <c r="G34" s="551">
        <v>3</v>
      </c>
      <c r="H34" s="551">
        <v>5</v>
      </c>
      <c r="I34" s="551">
        <v>2</v>
      </c>
      <c r="J34" s="551">
        <v>0</v>
      </c>
    </row>
    <row r="35" spans="1:28" hidden="1" x14ac:dyDescent="0.3">
      <c r="A35" s="551" t="s">
        <v>824</v>
      </c>
      <c r="B35" s="551">
        <v>1</v>
      </c>
      <c r="C35" s="551">
        <v>3</v>
      </c>
      <c r="D35" s="551">
        <v>3</v>
      </c>
      <c r="E35" s="551">
        <v>7</v>
      </c>
      <c r="F35" s="551">
        <v>7</v>
      </c>
      <c r="G35" s="551">
        <v>6</v>
      </c>
      <c r="H35" s="551">
        <v>10</v>
      </c>
      <c r="I35" s="551">
        <v>12</v>
      </c>
      <c r="J35" s="551">
        <v>0</v>
      </c>
      <c r="K35" s="551">
        <v>0</v>
      </c>
      <c r="L35" s="551">
        <v>0</v>
      </c>
      <c r="M35" s="551">
        <v>0</v>
      </c>
      <c r="N35" s="551">
        <v>0</v>
      </c>
      <c r="O35" s="551">
        <v>0</v>
      </c>
      <c r="P35" s="551">
        <v>0</v>
      </c>
      <c r="Q35" s="551">
        <v>0</v>
      </c>
      <c r="R35" s="551">
        <v>0</v>
      </c>
      <c r="S35" s="551">
        <v>0</v>
      </c>
      <c r="T35" s="551">
        <v>0</v>
      </c>
      <c r="U35" s="551">
        <v>0</v>
      </c>
      <c r="V35" s="551">
        <v>0</v>
      </c>
      <c r="W35" s="551">
        <v>0</v>
      </c>
      <c r="X35" s="551">
        <v>0</v>
      </c>
      <c r="Y35" s="551">
        <v>0</v>
      </c>
      <c r="Z35" s="551">
        <v>0</v>
      </c>
    </row>
    <row r="36" spans="1:28" hidden="1" x14ac:dyDescent="0.3">
      <c r="A36" s="551" t="s">
        <v>825</v>
      </c>
      <c r="B36" s="745">
        <v>1</v>
      </c>
      <c r="C36" s="745">
        <v>0</v>
      </c>
      <c r="D36" s="745">
        <v>0</v>
      </c>
      <c r="E36" s="745">
        <v>0</v>
      </c>
      <c r="F36" s="745">
        <v>0</v>
      </c>
      <c r="G36" s="745">
        <v>0</v>
      </c>
      <c r="H36" s="745">
        <v>2</v>
      </c>
      <c r="I36" s="745">
        <v>0</v>
      </c>
      <c r="J36" s="745">
        <v>0</v>
      </c>
      <c r="K36" s="551">
        <v>0</v>
      </c>
      <c r="L36" s="551">
        <v>0</v>
      </c>
      <c r="M36" s="551">
        <v>0</v>
      </c>
      <c r="N36" s="551">
        <v>0</v>
      </c>
      <c r="O36" s="551">
        <v>0</v>
      </c>
      <c r="P36" s="551">
        <v>0</v>
      </c>
      <c r="Q36" s="551">
        <v>0</v>
      </c>
      <c r="R36" s="551">
        <v>0</v>
      </c>
      <c r="S36" s="551">
        <v>0</v>
      </c>
      <c r="T36" s="551">
        <v>0</v>
      </c>
      <c r="U36" s="551">
        <v>0</v>
      </c>
      <c r="V36" s="551">
        <v>0</v>
      </c>
      <c r="W36" s="551">
        <v>0</v>
      </c>
      <c r="X36" s="551">
        <v>0</v>
      </c>
      <c r="Y36" s="551">
        <v>0</v>
      </c>
      <c r="Z36" s="551">
        <v>0</v>
      </c>
    </row>
    <row r="37" spans="1:28" hidden="1" x14ac:dyDescent="0.3">
      <c r="A37" s="551" t="s">
        <v>826</v>
      </c>
      <c r="B37" s="551">
        <f t="array" ref="B37:J37">TRANSPOSE(M12:M20)</f>
        <v>1</v>
      </c>
      <c r="C37" s="551">
        <v>2</v>
      </c>
      <c r="D37" s="551">
        <v>1</v>
      </c>
      <c r="E37" s="551">
        <v>1</v>
      </c>
      <c r="F37" s="551">
        <v>2</v>
      </c>
      <c r="G37" s="551">
        <v>1</v>
      </c>
      <c r="H37" s="551">
        <v>3</v>
      </c>
      <c r="I37" s="551">
        <v>1</v>
      </c>
      <c r="J37" s="551">
        <v>0</v>
      </c>
      <c r="K37" s="551">
        <v>0</v>
      </c>
      <c r="L37" s="551">
        <v>0</v>
      </c>
      <c r="M37" s="551">
        <v>0</v>
      </c>
      <c r="N37" s="551">
        <v>0</v>
      </c>
      <c r="O37" s="551">
        <v>0</v>
      </c>
      <c r="P37" s="551">
        <v>0</v>
      </c>
      <c r="Q37" s="551">
        <v>0</v>
      </c>
      <c r="R37" s="551">
        <v>0</v>
      </c>
      <c r="S37" s="551">
        <v>0</v>
      </c>
      <c r="T37" s="551">
        <v>0</v>
      </c>
      <c r="U37" s="551">
        <v>0</v>
      </c>
      <c r="V37" s="551">
        <v>0</v>
      </c>
      <c r="W37" s="551">
        <v>0</v>
      </c>
      <c r="X37" s="551">
        <v>0</v>
      </c>
      <c r="Y37" s="551">
        <v>0</v>
      </c>
      <c r="Z37" s="551">
        <v>0</v>
      </c>
    </row>
    <row r="38" spans="1:28" hidden="1" x14ac:dyDescent="0.3">
      <c r="A38" s="551" t="s">
        <v>814</v>
      </c>
      <c r="B38" s="551">
        <f t="shared" ref="B38:J38" si="4">$M$8</f>
        <v>12</v>
      </c>
      <c r="C38" s="551">
        <f t="shared" si="4"/>
        <v>12</v>
      </c>
      <c r="D38" s="551">
        <f t="shared" si="4"/>
        <v>12</v>
      </c>
      <c r="E38" s="551">
        <f t="shared" si="4"/>
        <v>12</v>
      </c>
      <c r="F38" s="551">
        <f t="shared" si="4"/>
        <v>12</v>
      </c>
      <c r="G38" s="551">
        <f t="shared" si="4"/>
        <v>12</v>
      </c>
      <c r="H38" s="551">
        <f t="shared" si="4"/>
        <v>12</v>
      </c>
      <c r="I38" s="551">
        <f t="shared" si="4"/>
        <v>12</v>
      </c>
      <c r="J38" s="551">
        <f t="shared" si="4"/>
        <v>12</v>
      </c>
      <c r="K38" s="551">
        <v>0</v>
      </c>
      <c r="L38" s="551">
        <v>0</v>
      </c>
      <c r="M38" s="551">
        <v>0</v>
      </c>
      <c r="N38" s="551">
        <v>0</v>
      </c>
      <c r="O38" s="551">
        <v>0</v>
      </c>
      <c r="P38" s="551">
        <v>0</v>
      </c>
      <c r="Q38" s="551">
        <v>0</v>
      </c>
      <c r="R38" s="551">
        <v>0</v>
      </c>
      <c r="S38" s="551">
        <v>0</v>
      </c>
      <c r="T38" s="551">
        <v>0</v>
      </c>
      <c r="U38" s="551">
        <v>0</v>
      </c>
      <c r="V38" s="551">
        <v>0</v>
      </c>
      <c r="W38" s="551">
        <v>0</v>
      </c>
      <c r="X38" s="551">
        <v>0</v>
      </c>
      <c r="Y38" s="551">
        <v>0</v>
      </c>
      <c r="Z38" s="551">
        <v>0</v>
      </c>
    </row>
    <row r="39" spans="1:28" ht="104" hidden="1" x14ac:dyDescent="0.3">
      <c r="A39" s="551" t="s">
        <v>819</v>
      </c>
      <c r="B39" s="746" t="s">
        <v>827</v>
      </c>
      <c r="C39" s="746" t="s">
        <v>828</v>
      </c>
      <c r="D39" s="746" t="s">
        <v>829</v>
      </c>
      <c r="E39" s="746" t="s">
        <v>830</v>
      </c>
      <c r="F39" s="746" t="s">
        <v>831</v>
      </c>
      <c r="G39" s="746" t="s">
        <v>832</v>
      </c>
      <c r="H39" s="746" t="s">
        <v>833</v>
      </c>
      <c r="I39" s="746" t="s">
        <v>834</v>
      </c>
      <c r="J39" s="746"/>
      <c r="K39" s="746"/>
      <c r="L39" s="746"/>
      <c r="M39" s="746"/>
      <c r="N39" s="746"/>
    </row>
    <row r="40" spans="1:28" hidden="1" x14ac:dyDescent="0.3">
      <c r="A40" s="747">
        <f t="array" ref="A40:A48">TRANSPOSE(B36:J36)</f>
        <v>1</v>
      </c>
      <c r="B40" s="551">
        <f t="array" ref="B40:B48">TRANSPOSE(B35:J35)</f>
        <v>1</v>
      </c>
      <c r="C40" s="551">
        <f t="shared" ref="C40:J48" si="5">IF(ISBLANK($A12),0,B24*B$35+$B12-$A40)</f>
        <v>1</v>
      </c>
      <c r="D40" s="551">
        <f t="shared" si="5"/>
        <v>1</v>
      </c>
      <c r="E40" s="551">
        <f t="shared" si="5"/>
        <v>1</v>
      </c>
      <c r="F40" s="551">
        <f t="shared" si="5"/>
        <v>1</v>
      </c>
      <c r="G40" s="551">
        <f t="shared" si="5"/>
        <v>1</v>
      </c>
      <c r="H40" s="551">
        <f t="shared" si="5"/>
        <v>1</v>
      </c>
      <c r="I40" s="551">
        <f t="shared" si="5"/>
        <v>1</v>
      </c>
      <c r="J40" s="551">
        <f t="shared" si="5"/>
        <v>1</v>
      </c>
    </row>
    <row r="41" spans="1:28" hidden="1" x14ac:dyDescent="0.3">
      <c r="A41" s="747">
        <v>0</v>
      </c>
      <c r="B41" s="551">
        <v>3</v>
      </c>
      <c r="C41" s="551">
        <f t="shared" si="5"/>
        <v>3</v>
      </c>
      <c r="D41" s="551">
        <f t="shared" si="5"/>
        <v>3</v>
      </c>
      <c r="E41" s="551">
        <f t="shared" si="5"/>
        <v>3</v>
      </c>
      <c r="F41" s="551">
        <f t="shared" si="5"/>
        <v>3</v>
      </c>
      <c r="G41" s="551">
        <f t="shared" si="5"/>
        <v>3</v>
      </c>
      <c r="H41" s="551">
        <f t="shared" si="5"/>
        <v>3</v>
      </c>
      <c r="I41" s="551">
        <f t="shared" si="5"/>
        <v>3</v>
      </c>
      <c r="J41" s="551">
        <f t="shared" si="5"/>
        <v>3</v>
      </c>
    </row>
    <row r="42" spans="1:28" hidden="1" x14ac:dyDescent="0.3">
      <c r="A42" s="747">
        <v>0</v>
      </c>
      <c r="B42" s="551">
        <v>3</v>
      </c>
      <c r="C42" s="551">
        <f t="shared" si="5"/>
        <v>3</v>
      </c>
      <c r="D42" s="551">
        <f t="shared" si="5"/>
        <v>2</v>
      </c>
      <c r="E42" s="551">
        <f t="shared" si="5"/>
        <v>2</v>
      </c>
      <c r="F42" s="551">
        <f t="shared" si="5"/>
        <v>2</v>
      </c>
      <c r="G42" s="551">
        <f t="shared" si="5"/>
        <v>2</v>
      </c>
      <c r="H42" s="551">
        <f t="shared" si="5"/>
        <v>2</v>
      </c>
      <c r="I42" s="551">
        <f t="shared" si="5"/>
        <v>2</v>
      </c>
      <c r="J42" s="551">
        <f t="shared" si="5"/>
        <v>2</v>
      </c>
    </row>
    <row r="43" spans="1:28" hidden="1" x14ac:dyDescent="0.3">
      <c r="A43" s="747">
        <v>0</v>
      </c>
      <c r="B43" s="551">
        <v>7</v>
      </c>
      <c r="C43" s="551">
        <f t="shared" si="5"/>
        <v>4</v>
      </c>
      <c r="D43" s="551">
        <f t="shared" si="5"/>
        <v>7</v>
      </c>
      <c r="E43" s="551">
        <f t="shared" si="5"/>
        <v>4</v>
      </c>
      <c r="F43" s="551">
        <f t="shared" si="5"/>
        <v>4</v>
      </c>
      <c r="G43" s="551">
        <f t="shared" si="5"/>
        <v>4</v>
      </c>
      <c r="H43" s="551">
        <f t="shared" si="5"/>
        <v>4</v>
      </c>
      <c r="I43" s="551">
        <f t="shared" si="5"/>
        <v>4</v>
      </c>
      <c r="J43" s="551">
        <f t="shared" si="5"/>
        <v>4</v>
      </c>
    </row>
    <row r="44" spans="1:28" hidden="1" x14ac:dyDescent="0.3">
      <c r="A44" s="747">
        <v>0</v>
      </c>
      <c r="B44" s="551">
        <v>7</v>
      </c>
      <c r="C44" s="551">
        <f t="shared" si="5"/>
        <v>4</v>
      </c>
      <c r="D44" s="551">
        <f t="shared" si="5"/>
        <v>4</v>
      </c>
      <c r="E44" s="551">
        <f t="shared" si="5"/>
        <v>7</v>
      </c>
      <c r="F44" s="551">
        <f t="shared" si="5"/>
        <v>4</v>
      </c>
      <c r="G44" s="551">
        <f t="shared" si="5"/>
        <v>4</v>
      </c>
      <c r="H44" s="551">
        <f t="shared" si="5"/>
        <v>4</v>
      </c>
      <c r="I44" s="551">
        <f t="shared" si="5"/>
        <v>4</v>
      </c>
      <c r="J44" s="551">
        <f t="shared" si="5"/>
        <v>4</v>
      </c>
    </row>
    <row r="45" spans="1:28" hidden="1" x14ac:dyDescent="0.3">
      <c r="A45" s="747">
        <v>0</v>
      </c>
      <c r="B45" s="551">
        <v>6</v>
      </c>
      <c r="C45" s="551">
        <f t="shared" si="5"/>
        <v>3</v>
      </c>
      <c r="D45" s="551">
        <f t="shared" si="5"/>
        <v>3</v>
      </c>
      <c r="E45" s="551">
        <f t="shared" si="5"/>
        <v>6</v>
      </c>
      <c r="F45" s="551">
        <f t="shared" si="5"/>
        <v>3</v>
      </c>
      <c r="G45" s="551">
        <f t="shared" si="5"/>
        <v>3</v>
      </c>
      <c r="H45" s="551">
        <f t="shared" si="5"/>
        <v>3</v>
      </c>
      <c r="I45" s="551">
        <f t="shared" si="5"/>
        <v>3</v>
      </c>
      <c r="J45" s="551">
        <f t="shared" si="5"/>
        <v>3</v>
      </c>
    </row>
    <row r="46" spans="1:28" hidden="1" x14ac:dyDescent="0.3">
      <c r="A46" s="747">
        <v>2</v>
      </c>
      <c r="B46" s="551">
        <v>10</v>
      </c>
      <c r="C46" s="551">
        <f t="shared" si="5"/>
        <v>3</v>
      </c>
      <c r="D46" s="551">
        <f t="shared" si="5"/>
        <v>3</v>
      </c>
      <c r="E46" s="551">
        <f t="shared" si="5"/>
        <v>3</v>
      </c>
      <c r="F46" s="551">
        <f t="shared" si="5"/>
        <v>10</v>
      </c>
      <c r="G46" s="551">
        <f t="shared" si="5"/>
        <v>10</v>
      </c>
      <c r="H46" s="551">
        <f t="shared" si="5"/>
        <v>3</v>
      </c>
      <c r="I46" s="551">
        <f t="shared" si="5"/>
        <v>3</v>
      </c>
      <c r="J46" s="551">
        <f t="shared" si="5"/>
        <v>3</v>
      </c>
    </row>
    <row r="47" spans="1:28" hidden="1" x14ac:dyDescent="0.3">
      <c r="A47" s="747">
        <v>0</v>
      </c>
      <c r="B47" s="551">
        <v>12</v>
      </c>
      <c r="C47" s="551">
        <f t="shared" si="5"/>
        <v>2</v>
      </c>
      <c r="D47" s="551">
        <f t="shared" si="5"/>
        <v>2</v>
      </c>
      <c r="E47" s="551">
        <f t="shared" si="5"/>
        <v>2</v>
      </c>
      <c r="F47" s="551">
        <f t="shared" si="5"/>
        <v>2</v>
      </c>
      <c r="G47" s="551">
        <f t="shared" si="5"/>
        <v>2</v>
      </c>
      <c r="H47" s="551">
        <f t="shared" si="5"/>
        <v>8</v>
      </c>
      <c r="I47" s="551">
        <f t="shared" si="5"/>
        <v>12</v>
      </c>
      <c r="J47" s="551">
        <f t="shared" si="5"/>
        <v>2</v>
      </c>
    </row>
    <row r="48" spans="1:28" hidden="1" x14ac:dyDescent="0.3">
      <c r="A48" s="747">
        <v>0</v>
      </c>
      <c r="B48" s="551">
        <v>0</v>
      </c>
      <c r="C48" s="551">
        <f t="shared" si="5"/>
        <v>0</v>
      </c>
      <c r="D48" s="551">
        <f t="shared" si="5"/>
        <v>0</v>
      </c>
      <c r="E48" s="551">
        <f t="shared" si="5"/>
        <v>0</v>
      </c>
      <c r="F48" s="551">
        <f t="shared" si="5"/>
        <v>0</v>
      </c>
      <c r="G48" s="551">
        <f t="shared" si="5"/>
        <v>0</v>
      </c>
      <c r="H48" s="551">
        <f t="shared" si="5"/>
        <v>0</v>
      </c>
      <c r="I48" s="551">
        <f t="shared" si="5"/>
        <v>0</v>
      </c>
      <c r="J48" s="551">
        <f t="shared" si="5"/>
        <v>0</v>
      </c>
    </row>
    <row r="49" spans="1:28" s="553" customFormat="1" hidden="1" x14ac:dyDescent="0.3"/>
    <row r="50" spans="1:28" ht="13.5" hidden="1" thickBot="1" x14ac:dyDescent="0.35">
      <c r="A50" s="580" t="s">
        <v>27</v>
      </c>
      <c r="AB50" s="551"/>
    </row>
    <row r="51" spans="1:28" hidden="1" x14ac:dyDescent="0.3">
      <c r="A51" s="748"/>
      <c r="B51" s="749" t="s">
        <v>274</v>
      </c>
      <c r="C51" s="749" t="s">
        <v>835</v>
      </c>
      <c r="D51" s="749" t="s">
        <v>836</v>
      </c>
      <c r="E51" s="749" t="s">
        <v>837</v>
      </c>
      <c r="F51" s="750" t="s">
        <v>838</v>
      </c>
      <c r="AB51" s="551"/>
    </row>
    <row r="52" spans="1:28" hidden="1" x14ac:dyDescent="0.3">
      <c r="A52" s="751" t="str">
        <f t="shared" ref="A52:B60" si="6">IF($A12&lt;&gt;"",A12,"")</f>
        <v>A</v>
      </c>
      <c r="B52" s="751">
        <f t="shared" si="6"/>
        <v>2</v>
      </c>
      <c r="C52" s="751">
        <f t="shared" ref="C52:F60" si="7">IF($A12&lt;&gt;"",F12,"")</f>
        <v>0</v>
      </c>
      <c r="D52" s="751">
        <f t="shared" si="7"/>
        <v>0</v>
      </c>
      <c r="E52" s="751">
        <f t="shared" si="7"/>
        <v>0</v>
      </c>
      <c r="F52" s="751">
        <f t="shared" si="7"/>
        <v>0</v>
      </c>
      <c r="AB52" s="551"/>
    </row>
    <row r="53" spans="1:28" hidden="1" x14ac:dyDescent="0.3">
      <c r="A53" s="751" t="str">
        <f t="shared" si="6"/>
        <v>B</v>
      </c>
      <c r="B53" s="751">
        <f t="shared" si="6"/>
        <v>3</v>
      </c>
      <c r="C53" s="751">
        <f t="shared" si="7"/>
        <v>0</v>
      </c>
      <c r="D53" s="751">
        <f t="shared" si="7"/>
        <v>0</v>
      </c>
      <c r="E53" s="751">
        <f t="shared" si="7"/>
        <v>0</v>
      </c>
      <c r="F53" s="751">
        <f t="shared" si="7"/>
        <v>0</v>
      </c>
      <c r="AB53" s="551"/>
    </row>
    <row r="54" spans="1:28" hidden="1" x14ac:dyDescent="0.3">
      <c r="A54" s="751" t="str">
        <f t="shared" si="6"/>
        <v>C</v>
      </c>
      <c r="B54" s="751">
        <f t="shared" si="6"/>
        <v>2</v>
      </c>
      <c r="C54" s="751" t="str">
        <f t="shared" si="7"/>
        <v>A</v>
      </c>
      <c r="D54" s="751">
        <f t="shared" si="7"/>
        <v>0</v>
      </c>
      <c r="E54" s="751">
        <f t="shared" si="7"/>
        <v>0</v>
      </c>
      <c r="F54" s="751">
        <f t="shared" si="7"/>
        <v>0</v>
      </c>
      <c r="AB54" s="551"/>
    </row>
    <row r="55" spans="1:28" hidden="1" x14ac:dyDescent="0.3">
      <c r="A55" s="751" t="str">
        <f t="shared" si="6"/>
        <v>D</v>
      </c>
      <c r="B55" s="751">
        <f t="shared" si="6"/>
        <v>4</v>
      </c>
      <c r="C55" s="751" t="str">
        <f t="shared" si="7"/>
        <v>B</v>
      </c>
      <c r="D55" s="751">
        <f t="shared" si="7"/>
        <v>0</v>
      </c>
      <c r="E55" s="751">
        <f t="shared" si="7"/>
        <v>0</v>
      </c>
      <c r="F55" s="751">
        <f t="shared" si="7"/>
        <v>0</v>
      </c>
      <c r="AB55" s="551"/>
    </row>
    <row r="56" spans="1:28" hidden="1" x14ac:dyDescent="0.3">
      <c r="A56" s="751" t="str">
        <f t="shared" si="6"/>
        <v>E</v>
      </c>
      <c r="B56" s="751">
        <f t="shared" si="6"/>
        <v>4</v>
      </c>
      <c r="C56" s="751" t="str">
        <f t="shared" si="7"/>
        <v>C</v>
      </c>
      <c r="D56" s="751">
        <f t="shared" si="7"/>
        <v>0</v>
      </c>
      <c r="E56" s="751">
        <f t="shared" si="7"/>
        <v>0</v>
      </c>
      <c r="F56" s="751">
        <f t="shared" si="7"/>
        <v>0</v>
      </c>
      <c r="AB56" s="551"/>
    </row>
    <row r="57" spans="1:28" hidden="1" x14ac:dyDescent="0.3">
      <c r="A57" s="751" t="str">
        <f t="shared" si="6"/>
        <v>F</v>
      </c>
      <c r="B57" s="751">
        <f t="shared" si="6"/>
        <v>3</v>
      </c>
      <c r="C57" s="751" t="str">
        <f t="shared" si="7"/>
        <v>C</v>
      </c>
      <c r="D57" s="751">
        <f t="shared" si="7"/>
        <v>0</v>
      </c>
      <c r="E57" s="751">
        <f t="shared" si="7"/>
        <v>0</v>
      </c>
      <c r="F57" s="751">
        <f t="shared" si="7"/>
        <v>0</v>
      </c>
      <c r="AB57" s="551"/>
    </row>
    <row r="58" spans="1:28" hidden="1" x14ac:dyDescent="0.3">
      <c r="A58" s="751" t="str">
        <f t="shared" si="6"/>
        <v>G</v>
      </c>
      <c r="B58" s="751">
        <f t="shared" si="6"/>
        <v>5</v>
      </c>
      <c r="C58" s="751" t="str">
        <f t="shared" si="7"/>
        <v>D</v>
      </c>
      <c r="D58" s="751" t="str">
        <f t="shared" si="7"/>
        <v>E</v>
      </c>
      <c r="E58" s="751">
        <f t="shared" si="7"/>
        <v>0</v>
      </c>
      <c r="F58" s="751">
        <f t="shared" si="7"/>
        <v>0</v>
      </c>
      <c r="AB58" s="551"/>
    </row>
    <row r="59" spans="1:28" hidden="1" x14ac:dyDescent="0.3">
      <c r="A59" s="751" t="str">
        <f t="shared" si="6"/>
        <v>H</v>
      </c>
      <c r="B59" s="751">
        <f t="shared" si="6"/>
        <v>2</v>
      </c>
      <c r="C59" s="751" t="str">
        <f t="shared" si="7"/>
        <v>F</v>
      </c>
      <c r="D59" s="751" t="str">
        <f t="shared" si="7"/>
        <v>G</v>
      </c>
      <c r="E59" s="751">
        <f t="shared" si="7"/>
        <v>0</v>
      </c>
      <c r="F59" s="751">
        <f t="shared" si="7"/>
        <v>0</v>
      </c>
      <c r="AB59" s="551"/>
    </row>
    <row r="60" spans="1:28" hidden="1" x14ac:dyDescent="0.3">
      <c r="A60" s="751" t="str">
        <f t="shared" si="6"/>
        <v/>
      </c>
      <c r="B60" s="751" t="str">
        <f t="shared" si="6"/>
        <v/>
      </c>
      <c r="C60" s="751" t="str">
        <f t="shared" si="7"/>
        <v/>
      </c>
      <c r="D60" s="751" t="str">
        <f t="shared" si="7"/>
        <v/>
      </c>
      <c r="E60" s="751" t="str">
        <f t="shared" si="7"/>
        <v/>
      </c>
      <c r="F60" s="751" t="str">
        <f t="shared" si="7"/>
        <v/>
      </c>
      <c r="AB60" s="551"/>
    </row>
    <row r="61" spans="1:28" hidden="1" x14ac:dyDescent="0.3">
      <c r="AB61" s="551"/>
    </row>
    <row r="62" spans="1:28" ht="13.5" hidden="1" thickBot="1" x14ac:dyDescent="0.35">
      <c r="A62" s="581" t="s">
        <v>31</v>
      </c>
      <c r="AB62" s="551"/>
    </row>
    <row r="63" spans="1:28" hidden="1" x14ac:dyDescent="0.3">
      <c r="A63" s="752" t="s">
        <v>839</v>
      </c>
      <c r="B63" s="753" t="s">
        <v>777</v>
      </c>
      <c r="C63" s="753" t="s">
        <v>800</v>
      </c>
      <c r="D63" s="753"/>
      <c r="E63" s="753"/>
      <c r="F63" s="754"/>
      <c r="G63" s="746"/>
      <c r="H63" s="746"/>
      <c r="I63" s="746"/>
      <c r="J63" s="746"/>
      <c r="K63" s="746"/>
      <c r="L63" s="746"/>
      <c r="M63" s="746"/>
      <c r="N63" s="746"/>
      <c r="AB63" s="551"/>
    </row>
    <row r="64" spans="1:28" hidden="1" x14ac:dyDescent="0.3">
      <c r="A64" s="755" t="str">
        <f t="shared" ref="A64:A72" si="8">A52</f>
        <v>A</v>
      </c>
      <c r="B64" s="551">
        <f t="shared" ref="B64:B72" si="9">IF(A64&lt;&gt;"",MAX(C76:F76),"")</f>
        <v>0</v>
      </c>
      <c r="C64" s="551">
        <f t="shared" ref="C64:C72" si="10">IF(A64&lt;&gt;"",B52+B64,"")</f>
        <v>2</v>
      </c>
      <c r="F64" s="756"/>
      <c r="AB64" s="551"/>
    </row>
    <row r="65" spans="1:28" hidden="1" x14ac:dyDescent="0.3">
      <c r="A65" s="755" t="str">
        <f t="shared" si="8"/>
        <v>B</v>
      </c>
      <c r="B65" s="551">
        <f t="shared" si="9"/>
        <v>0</v>
      </c>
      <c r="C65" s="551">
        <f t="shared" si="10"/>
        <v>3</v>
      </c>
      <c r="F65" s="756"/>
      <c r="AB65" s="551"/>
    </row>
    <row r="66" spans="1:28" hidden="1" x14ac:dyDescent="0.3">
      <c r="A66" s="755" t="str">
        <f t="shared" si="8"/>
        <v>C</v>
      </c>
      <c r="B66" s="551">
        <f t="shared" si="9"/>
        <v>2</v>
      </c>
      <c r="C66" s="551">
        <f t="shared" si="10"/>
        <v>4</v>
      </c>
      <c r="F66" s="756"/>
      <c r="AB66" s="551"/>
    </row>
    <row r="67" spans="1:28" hidden="1" x14ac:dyDescent="0.3">
      <c r="A67" s="755" t="str">
        <f t="shared" si="8"/>
        <v>D</v>
      </c>
      <c r="B67" s="551">
        <f t="shared" si="9"/>
        <v>3</v>
      </c>
      <c r="C67" s="551">
        <f t="shared" si="10"/>
        <v>7</v>
      </c>
      <c r="F67" s="756"/>
      <c r="AB67" s="551"/>
    </row>
    <row r="68" spans="1:28" hidden="1" x14ac:dyDescent="0.3">
      <c r="A68" s="755" t="str">
        <f t="shared" si="8"/>
        <v>E</v>
      </c>
      <c r="B68" s="551">
        <f t="shared" si="9"/>
        <v>4</v>
      </c>
      <c r="C68" s="551">
        <f t="shared" si="10"/>
        <v>8</v>
      </c>
      <c r="F68" s="756"/>
      <c r="AB68" s="551"/>
    </row>
    <row r="69" spans="1:28" hidden="1" x14ac:dyDescent="0.3">
      <c r="A69" s="755" t="str">
        <f t="shared" si="8"/>
        <v>F</v>
      </c>
      <c r="B69" s="551">
        <f t="shared" si="9"/>
        <v>4</v>
      </c>
      <c r="C69" s="551">
        <f t="shared" si="10"/>
        <v>7</v>
      </c>
      <c r="F69" s="756"/>
      <c r="AB69" s="551"/>
    </row>
    <row r="70" spans="1:28" hidden="1" x14ac:dyDescent="0.3">
      <c r="A70" s="755" t="str">
        <f t="shared" si="8"/>
        <v>G</v>
      </c>
      <c r="B70" s="551">
        <f t="shared" si="9"/>
        <v>8</v>
      </c>
      <c r="C70" s="551">
        <f t="shared" si="10"/>
        <v>13</v>
      </c>
      <c r="F70" s="756"/>
      <c r="AB70" s="551"/>
    </row>
    <row r="71" spans="1:28" hidden="1" x14ac:dyDescent="0.3">
      <c r="A71" s="755" t="str">
        <f t="shared" si="8"/>
        <v>H</v>
      </c>
      <c r="B71" s="551">
        <f t="shared" si="9"/>
        <v>13</v>
      </c>
      <c r="C71" s="551">
        <f t="shared" si="10"/>
        <v>15</v>
      </c>
      <c r="F71" s="756"/>
      <c r="AB71" s="551"/>
    </row>
    <row r="72" spans="1:28" hidden="1" x14ac:dyDescent="0.3">
      <c r="A72" s="755" t="str">
        <f t="shared" si="8"/>
        <v/>
      </c>
      <c r="B72" s="551" t="str">
        <f t="shared" si="9"/>
        <v/>
      </c>
      <c r="C72" s="551" t="str">
        <f t="shared" si="10"/>
        <v/>
      </c>
      <c r="F72" s="756"/>
      <c r="AB72" s="551"/>
    </row>
    <row r="73" spans="1:28" ht="13.5" hidden="1" thickBot="1" x14ac:dyDescent="0.35">
      <c r="A73" s="583"/>
      <c r="B73" s="584" t="s">
        <v>804</v>
      </c>
      <c r="C73" s="584">
        <f>MAX(C64:C72)</f>
        <v>15</v>
      </c>
      <c r="D73" s="584"/>
      <c r="E73" s="584"/>
      <c r="F73" s="585"/>
      <c r="AB73" s="551"/>
    </row>
    <row r="74" spans="1:28" hidden="1" x14ac:dyDescent="0.3">
      <c r="AB74" s="551"/>
    </row>
    <row r="75" spans="1:28" hidden="1" x14ac:dyDescent="0.3">
      <c r="A75" s="757" t="s">
        <v>806</v>
      </c>
      <c r="AB75" s="551"/>
    </row>
    <row r="76" spans="1:28" hidden="1" x14ac:dyDescent="0.3">
      <c r="A76" s="551" t="str">
        <f t="shared" ref="A76:A84" si="11">A52</f>
        <v>A</v>
      </c>
      <c r="C76" s="551">
        <f t="shared" ref="C76:F85" si="12">IF($A76&lt;&gt;"",IF(ISNUMBER(VLOOKUP(C52,$A$64:$C$72,3,FALSE)),VLOOKUP(C52,$A$64:$C$72,3,FALSE),0),"")</f>
        <v>0</v>
      </c>
      <c r="D76" s="551">
        <f t="shared" si="12"/>
        <v>0</v>
      </c>
      <c r="E76" s="551">
        <f t="shared" si="12"/>
        <v>0</v>
      </c>
      <c r="F76" s="551">
        <f t="shared" si="12"/>
        <v>0</v>
      </c>
      <c r="AB76" s="551"/>
    </row>
    <row r="77" spans="1:28" hidden="1" x14ac:dyDescent="0.3">
      <c r="A77" s="551" t="str">
        <f t="shared" si="11"/>
        <v>B</v>
      </c>
      <c r="C77" s="551">
        <f t="shared" si="12"/>
        <v>0</v>
      </c>
      <c r="D77" s="551">
        <f t="shared" si="12"/>
        <v>0</v>
      </c>
      <c r="E77" s="551">
        <f t="shared" si="12"/>
        <v>0</v>
      </c>
      <c r="F77" s="551">
        <f t="shared" si="12"/>
        <v>0</v>
      </c>
      <c r="AB77" s="551"/>
    </row>
    <row r="78" spans="1:28" hidden="1" x14ac:dyDescent="0.3">
      <c r="A78" s="551" t="str">
        <f t="shared" si="11"/>
        <v>C</v>
      </c>
      <c r="C78" s="551">
        <f t="shared" si="12"/>
        <v>2</v>
      </c>
      <c r="D78" s="551">
        <f t="shared" si="12"/>
        <v>0</v>
      </c>
      <c r="E78" s="551">
        <f t="shared" si="12"/>
        <v>0</v>
      </c>
      <c r="F78" s="551">
        <f t="shared" si="12"/>
        <v>0</v>
      </c>
      <c r="AB78" s="551"/>
    </row>
    <row r="79" spans="1:28" hidden="1" x14ac:dyDescent="0.3">
      <c r="A79" s="551" t="str">
        <f t="shared" si="11"/>
        <v>D</v>
      </c>
      <c r="C79" s="551">
        <f t="shared" si="12"/>
        <v>3</v>
      </c>
      <c r="D79" s="551">
        <f t="shared" si="12"/>
        <v>0</v>
      </c>
      <c r="E79" s="551">
        <f t="shared" si="12"/>
        <v>0</v>
      </c>
      <c r="F79" s="551">
        <f t="shared" si="12"/>
        <v>0</v>
      </c>
      <c r="AB79" s="551"/>
    </row>
    <row r="80" spans="1:28" hidden="1" x14ac:dyDescent="0.3">
      <c r="A80" s="551" t="str">
        <f t="shared" si="11"/>
        <v>E</v>
      </c>
      <c r="C80" s="551">
        <f t="shared" si="12"/>
        <v>4</v>
      </c>
      <c r="D80" s="551">
        <f t="shared" si="12"/>
        <v>0</v>
      </c>
      <c r="E80" s="551">
        <f t="shared" si="12"/>
        <v>0</v>
      </c>
      <c r="F80" s="551">
        <f t="shared" si="12"/>
        <v>0</v>
      </c>
      <c r="AB80" s="551"/>
    </row>
    <row r="81" spans="1:28" hidden="1" x14ac:dyDescent="0.3">
      <c r="A81" s="551" t="str">
        <f t="shared" si="11"/>
        <v>F</v>
      </c>
      <c r="C81" s="551">
        <f t="shared" si="12"/>
        <v>4</v>
      </c>
      <c r="D81" s="551">
        <f t="shared" si="12"/>
        <v>0</v>
      </c>
      <c r="E81" s="551">
        <f t="shared" si="12"/>
        <v>0</v>
      </c>
      <c r="F81" s="551">
        <f t="shared" si="12"/>
        <v>0</v>
      </c>
      <c r="AB81" s="551"/>
    </row>
    <row r="82" spans="1:28" hidden="1" x14ac:dyDescent="0.3">
      <c r="A82" s="551" t="str">
        <f t="shared" si="11"/>
        <v>G</v>
      </c>
      <c r="C82" s="551">
        <f t="shared" si="12"/>
        <v>7</v>
      </c>
      <c r="D82" s="551">
        <f t="shared" si="12"/>
        <v>8</v>
      </c>
      <c r="E82" s="551">
        <f t="shared" si="12"/>
        <v>0</v>
      </c>
      <c r="F82" s="551">
        <f t="shared" si="12"/>
        <v>0</v>
      </c>
      <c r="AB82" s="551"/>
    </row>
    <row r="83" spans="1:28" hidden="1" x14ac:dyDescent="0.3">
      <c r="A83" s="551" t="str">
        <f t="shared" si="11"/>
        <v>H</v>
      </c>
      <c r="C83" s="551">
        <f t="shared" si="12"/>
        <v>7</v>
      </c>
      <c r="D83" s="551">
        <f t="shared" si="12"/>
        <v>13</v>
      </c>
      <c r="E83" s="551">
        <f t="shared" si="12"/>
        <v>0</v>
      </c>
      <c r="F83" s="551">
        <f t="shared" si="12"/>
        <v>0</v>
      </c>
      <c r="AB83" s="551"/>
    </row>
    <row r="84" spans="1:28" hidden="1" x14ac:dyDescent="0.3">
      <c r="A84" s="551" t="str">
        <f t="shared" si="11"/>
        <v/>
      </c>
      <c r="C84" s="551" t="str">
        <f t="shared" si="12"/>
        <v/>
      </c>
      <c r="D84" s="551" t="str">
        <f t="shared" si="12"/>
        <v/>
      </c>
      <c r="E84" s="551" t="str">
        <f t="shared" si="12"/>
        <v/>
      </c>
      <c r="F84" s="551" t="str">
        <f t="shared" si="12"/>
        <v/>
      </c>
      <c r="AB84" s="551"/>
    </row>
    <row r="85" spans="1:28" hidden="1" x14ac:dyDescent="0.3">
      <c r="C85" s="551" t="str">
        <f t="shared" si="12"/>
        <v/>
      </c>
      <c r="D85" s="551" t="str">
        <f t="shared" si="12"/>
        <v/>
      </c>
      <c r="E85" s="551" t="str">
        <f t="shared" si="12"/>
        <v/>
      </c>
      <c r="F85" s="551" t="str">
        <f t="shared" si="12"/>
        <v/>
      </c>
      <c r="AB85" s="551"/>
    </row>
    <row r="86" spans="1:28" hidden="1" x14ac:dyDescent="0.3">
      <c r="A86" s="757" t="s">
        <v>807</v>
      </c>
      <c r="AB86" s="551"/>
    </row>
    <row r="87" spans="1:28" hidden="1" x14ac:dyDescent="0.3">
      <c r="B87" s="551" t="str">
        <f>A52</f>
        <v>A</v>
      </c>
      <c r="C87" s="551" t="str">
        <f>A53</f>
        <v>B</v>
      </c>
      <c r="D87" s="551" t="str">
        <f>A54</f>
        <v>C</v>
      </c>
      <c r="E87" s="551" t="str">
        <f>A55</f>
        <v>D</v>
      </c>
      <c r="F87" s="551" t="str">
        <f>A56</f>
        <v>E</v>
      </c>
      <c r="G87" s="551" t="str">
        <f>A57</f>
        <v>F</v>
      </c>
      <c r="H87" s="551" t="str">
        <f>A58</f>
        <v>G</v>
      </c>
      <c r="I87" s="551" t="str">
        <f>A59</f>
        <v>H</v>
      </c>
      <c r="J87" s="551" t="str">
        <f>A60</f>
        <v/>
      </c>
      <c r="AB87" s="551"/>
    </row>
    <row r="88" spans="1:28" hidden="1" x14ac:dyDescent="0.3">
      <c r="A88" s="551" t="str">
        <f t="shared" ref="A88:A96" si="13">A52</f>
        <v>A</v>
      </c>
      <c r="B88" s="551">
        <f t="shared" ref="B88:J96" si="14">IF($F52=B$87,$D64,IF($E52=B$87,$D64,IF($D52=B$87,$D64,IF($C52=B$87,$D64,$C$73))))</f>
        <v>15</v>
      </c>
      <c r="C88" s="551">
        <f t="shared" si="14"/>
        <v>15</v>
      </c>
      <c r="D88" s="551">
        <f t="shared" si="14"/>
        <v>15</v>
      </c>
      <c r="E88" s="551">
        <f t="shared" si="14"/>
        <v>15</v>
      </c>
      <c r="F88" s="551">
        <f t="shared" si="14"/>
        <v>15</v>
      </c>
      <c r="G88" s="551">
        <f t="shared" si="14"/>
        <v>15</v>
      </c>
      <c r="H88" s="551">
        <f t="shared" si="14"/>
        <v>15</v>
      </c>
      <c r="I88" s="551">
        <f t="shared" si="14"/>
        <v>15</v>
      </c>
      <c r="J88" s="551">
        <f t="shared" si="14"/>
        <v>15</v>
      </c>
      <c r="AB88" s="551"/>
    </row>
    <row r="89" spans="1:28" hidden="1" x14ac:dyDescent="0.3">
      <c r="A89" s="551" t="str">
        <f t="shared" si="13"/>
        <v>B</v>
      </c>
      <c r="B89" s="551">
        <f t="shared" si="14"/>
        <v>15</v>
      </c>
      <c r="C89" s="551">
        <f t="shared" si="14"/>
        <v>15</v>
      </c>
      <c r="D89" s="551">
        <f t="shared" si="14"/>
        <v>15</v>
      </c>
      <c r="E89" s="551">
        <f t="shared" si="14"/>
        <v>15</v>
      </c>
      <c r="F89" s="551">
        <f t="shared" si="14"/>
        <v>15</v>
      </c>
      <c r="G89" s="551">
        <f t="shared" si="14"/>
        <v>15</v>
      </c>
      <c r="H89" s="551">
        <f t="shared" si="14"/>
        <v>15</v>
      </c>
      <c r="I89" s="551">
        <f t="shared" si="14"/>
        <v>15</v>
      </c>
      <c r="J89" s="551">
        <f t="shared" si="14"/>
        <v>15</v>
      </c>
      <c r="AB89" s="551"/>
    </row>
    <row r="90" spans="1:28" hidden="1" x14ac:dyDescent="0.3">
      <c r="A90" s="551" t="str">
        <f t="shared" si="13"/>
        <v>C</v>
      </c>
      <c r="B90" s="551">
        <f t="shared" si="14"/>
        <v>0</v>
      </c>
      <c r="C90" s="551">
        <f t="shared" si="14"/>
        <v>15</v>
      </c>
      <c r="D90" s="551">
        <f t="shared" si="14"/>
        <v>15</v>
      </c>
      <c r="E90" s="551">
        <f t="shared" si="14"/>
        <v>15</v>
      </c>
      <c r="F90" s="551">
        <f t="shared" si="14"/>
        <v>15</v>
      </c>
      <c r="G90" s="551">
        <f t="shared" si="14"/>
        <v>15</v>
      </c>
      <c r="H90" s="551">
        <f t="shared" si="14"/>
        <v>15</v>
      </c>
      <c r="I90" s="551">
        <f t="shared" si="14"/>
        <v>15</v>
      </c>
      <c r="J90" s="551">
        <f t="shared" si="14"/>
        <v>15</v>
      </c>
      <c r="AB90" s="551"/>
    </row>
    <row r="91" spans="1:28" hidden="1" x14ac:dyDescent="0.3">
      <c r="A91" s="551" t="str">
        <f t="shared" si="13"/>
        <v>D</v>
      </c>
      <c r="B91" s="551">
        <f t="shared" si="14"/>
        <v>15</v>
      </c>
      <c r="C91" s="551">
        <f t="shared" si="14"/>
        <v>0</v>
      </c>
      <c r="D91" s="551">
        <f t="shared" si="14"/>
        <v>15</v>
      </c>
      <c r="E91" s="551">
        <f t="shared" si="14"/>
        <v>15</v>
      </c>
      <c r="F91" s="551">
        <f t="shared" si="14"/>
        <v>15</v>
      </c>
      <c r="G91" s="551">
        <f t="shared" si="14"/>
        <v>15</v>
      </c>
      <c r="H91" s="551">
        <f t="shared" si="14"/>
        <v>15</v>
      </c>
      <c r="I91" s="551">
        <f t="shared" si="14"/>
        <v>15</v>
      </c>
      <c r="J91" s="551">
        <f t="shared" si="14"/>
        <v>15</v>
      </c>
      <c r="AB91" s="551"/>
    </row>
    <row r="92" spans="1:28" hidden="1" x14ac:dyDescent="0.3">
      <c r="A92" s="551" t="str">
        <f t="shared" si="13"/>
        <v>E</v>
      </c>
      <c r="B92" s="551">
        <f t="shared" si="14"/>
        <v>15</v>
      </c>
      <c r="C92" s="551">
        <f t="shared" si="14"/>
        <v>15</v>
      </c>
      <c r="D92" s="551">
        <f t="shared" si="14"/>
        <v>0</v>
      </c>
      <c r="E92" s="551">
        <f t="shared" si="14"/>
        <v>15</v>
      </c>
      <c r="F92" s="551">
        <f t="shared" si="14"/>
        <v>15</v>
      </c>
      <c r="G92" s="551">
        <f t="shared" si="14"/>
        <v>15</v>
      </c>
      <c r="H92" s="551">
        <f t="shared" si="14"/>
        <v>15</v>
      </c>
      <c r="I92" s="551">
        <f t="shared" si="14"/>
        <v>15</v>
      </c>
      <c r="J92" s="551">
        <f t="shared" si="14"/>
        <v>15</v>
      </c>
      <c r="AB92" s="551"/>
    </row>
    <row r="93" spans="1:28" hidden="1" x14ac:dyDescent="0.3">
      <c r="A93" s="551" t="str">
        <f t="shared" si="13"/>
        <v>F</v>
      </c>
      <c r="B93" s="551">
        <f t="shared" si="14"/>
        <v>15</v>
      </c>
      <c r="C93" s="551">
        <f t="shared" si="14"/>
        <v>15</v>
      </c>
      <c r="D93" s="551">
        <f t="shared" si="14"/>
        <v>0</v>
      </c>
      <c r="E93" s="551">
        <f t="shared" si="14"/>
        <v>15</v>
      </c>
      <c r="F93" s="551">
        <f t="shared" si="14"/>
        <v>15</v>
      </c>
      <c r="G93" s="551">
        <f t="shared" si="14"/>
        <v>15</v>
      </c>
      <c r="H93" s="551">
        <f t="shared" si="14"/>
        <v>15</v>
      </c>
      <c r="I93" s="551">
        <f t="shared" si="14"/>
        <v>15</v>
      </c>
      <c r="J93" s="551">
        <f t="shared" si="14"/>
        <v>15</v>
      </c>
      <c r="AB93" s="551"/>
    </row>
    <row r="94" spans="1:28" hidden="1" x14ac:dyDescent="0.3">
      <c r="A94" s="551" t="str">
        <f t="shared" si="13"/>
        <v>G</v>
      </c>
      <c r="B94" s="551">
        <f t="shared" si="14"/>
        <v>15</v>
      </c>
      <c r="C94" s="551">
        <f t="shared" si="14"/>
        <v>15</v>
      </c>
      <c r="D94" s="551">
        <f t="shared" si="14"/>
        <v>15</v>
      </c>
      <c r="E94" s="551">
        <f t="shared" si="14"/>
        <v>0</v>
      </c>
      <c r="F94" s="551">
        <f t="shared" si="14"/>
        <v>0</v>
      </c>
      <c r="G94" s="551">
        <f t="shared" si="14"/>
        <v>15</v>
      </c>
      <c r="H94" s="551">
        <f t="shared" si="14"/>
        <v>15</v>
      </c>
      <c r="I94" s="551">
        <f t="shared" si="14"/>
        <v>15</v>
      </c>
      <c r="J94" s="551">
        <f t="shared" si="14"/>
        <v>15</v>
      </c>
      <c r="AB94" s="551"/>
    </row>
    <row r="95" spans="1:28" hidden="1" x14ac:dyDescent="0.3">
      <c r="A95" s="551" t="str">
        <f t="shared" si="13"/>
        <v>H</v>
      </c>
      <c r="B95" s="551">
        <f t="shared" si="14"/>
        <v>15</v>
      </c>
      <c r="C95" s="551">
        <f t="shared" si="14"/>
        <v>15</v>
      </c>
      <c r="D95" s="551">
        <f t="shared" si="14"/>
        <v>15</v>
      </c>
      <c r="E95" s="551">
        <f t="shared" si="14"/>
        <v>15</v>
      </c>
      <c r="F95" s="551">
        <f t="shared" si="14"/>
        <v>15</v>
      </c>
      <c r="G95" s="551">
        <f t="shared" si="14"/>
        <v>0</v>
      </c>
      <c r="H95" s="551">
        <f t="shared" si="14"/>
        <v>0</v>
      </c>
      <c r="I95" s="551">
        <f t="shared" si="14"/>
        <v>15</v>
      </c>
      <c r="J95" s="551">
        <f t="shared" si="14"/>
        <v>15</v>
      </c>
      <c r="AB95" s="551"/>
    </row>
    <row r="96" spans="1:28" hidden="1" x14ac:dyDescent="0.3">
      <c r="A96" s="551" t="str">
        <f t="shared" si="13"/>
        <v/>
      </c>
      <c r="B96" s="551">
        <f t="shared" si="14"/>
        <v>15</v>
      </c>
      <c r="C96" s="551">
        <f t="shared" si="14"/>
        <v>15</v>
      </c>
      <c r="D96" s="551">
        <f t="shared" si="14"/>
        <v>15</v>
      </c>
      <c r="E96" s="551">
        <f t="shared" si="14"/>
        <v>15</v>
      </c>
      <c r="F96" s="551">
        <f t="shared" si="14"/>
        <v>15</v>
      </c>
      <c r="G96" s="551">
        <f t="shared" si="14"/>
        <v>15</v>
      </c>
      <c r="H96" s="551">
        <f t="shared" si="14"/>
        <v>15</v>
      </c>
      <c r="I96" s="551">
        <f t="shared" si="14"/>
        <v>15</v>
      </c>
      <c r="J96" s="551">
        <f t="shared" si="14"/>
        <v>0</v>
      </c>
      <c r="AB96" s="551"/>
    </row>
    <row r="97" spans="1:28" hidden="1" x14ac:dyDescent="0.3"/>
    <row r="98" spans="1:28" hidden="1" x14ac:dyDescent="0.3">
      <c r="A98" s="695" t="s">
        <v>778</v>
      </c>
      <c r="B98" s="758"/>
      <c r="C98" s="758"/>
      <c r="AB98" s="551"/>
    </row>
    <row r="99" spans="1:28" hidden="1" x14ac:dyDescent="0.3">
      <c r="A99" s="552"/>
      <c r="B99" s="552"/>
      <c r="AB99" s="551"/>
    </row>
    <row r="100" spans="1:28" hidden="1" x14ac:dyDescent="0.3">
      <c r="AB100" s="551"/>
    </row>
    <row r="101" spans="1:28" ht="13.5" hidden="1" thickBot="1" x14ac:dyDescent="0.35">
      <c r="A101" s="580" t="s">
        <v>27</v>
      </c>
      <c r="AB101" s="551"/>
    </row>
    <row r="102" spans="1:28" hidden="1" x14ac:dyDescent="0.3">
      <c r="A102" s="748"/>
      <c r="B102" s="749" t="s">
        <v>274</v>
      </c>
      <c r="C102" s="749" t="s">
        <v>835</v>
      </c>
      <c r="D102" s="749" t="s">
        <v>836</v>
      </c>
      <c r="E102" s="749" t="s">
        <v>837</v>
      </c>
      <c r="F102" s="750" t="s">
        <v>838</v>
      </c>
      <c r="AB102" s="551"/>
    </row>
    <row r="103" spans="1:28" hidden="1" x14ac:dyDescent="0.3">
      <c r="A103" s="751" t="str">
        <f t="shared" ref="A103:A111" si="15">IF($A12&lt;&gt;"",A12,"")</f>
        <v>A</v>
      </c>
      <c r="B103" s="751">
        <f t="shared" ref="B103:B111" si="16">IF($A12&lt;&gt;"",C12,"")</f>
        <v>1</v>
      </c>
      <c r="C103" s="751">
        <f t="shared" ref="C103:F111" si="17">IF($A12&lt;&gt;"",F12,"")</f>
        <v>0</v>
      </c>
      <c r="D103" s="751">
        <f t="shared" si="17"/>
        <v>0</v>
      </c>
      <c r="E103" s="751">
        <f t="shared" si="17"/>
        <v>0</v>
      </c>
      <c r="F103" s="751">
        <f t="shared" si="17"/>
        <v>0</v>
      </c>
      <c r="AB103" s="551"/>
    </row>
    <row r="104" spans="1:28" hidden="1" x14ac:dyDescent="0.3">
      <c r="A104" s="751" t="str">
        <f t="shared" si="15"/>
        <v>B</v>
      </c>
      <c r="B104" s="751">
        <f t="shared" si="16"/>
        <v>1</v>
      </c>
      <c r="C104" s="751">
        <f t="shared" si="17"/>
        <v>0</v>
      </c>
      <c r="D104" s="751">
        <f t="shared" si="17"/>
        <v>0</v>
      </c>
      <c r="E104" s="751">
        <f t="shared" si="17"/>
        <v>0</v>
      </c>
      <c r="F104" s="751">
        <f t="shared" si="17"/>
        <v>0</v>
      </c>
      <c r="AB104" s="551"/>
    </row>
    <row r="105" spans="1:28" hidden="1" x14ac:dyDescent="0.3">
      <c r="A105" s="751" t="str">
        <f t="shared" si="15"/>
        <v>C</v>
      </c>
      <c r="B105" s="751">
        <f t="shared" si="16"/>
        <v>1</v>
      </c>
      <c r="C105" s="751" t="str">
        <f t="shared" si="17"/>
        <v>A</v>
      </c>
      <c r="D105" s="751">
        <f t="shared" si="17"/>
        <v>0</v>
      </c>
      <c r="E105" s="751">
        <f t="shared" si="17"/>
        <v>0</v>
      </c>
      <c r="F105" s="751">
        <f t="shared" si="17"/>
        <v>0</v>
      </c>
      <c r="AB105" s="551"/>
    </row>
    <row r="106" spans="1:28" hidden="1" x14ac:dyDescent="0.3">
      <c r="A106" s="751" t="str">
        <f t="shared" si="15"/>
        <v>D</v>
      </c>
      <c r="B106" s="751">
        <f t="shared" si="16"/>
        <v>3</v>
      </c>
      <c r="C106" s="751" t="str">
        <f t="shared" si="17"/>
        <v>B</v>
      </c>
      <c r="D106" s="751">
        <f t="shared" si="17"/>
        <v>0</v>
      </c>
      <c r="E106" s="751">
        <f t="shared" si="17"/>
        <v>0</v>
      </c>
      <c r="F106" s="751">
        <f t="shared" si="17"/>
        <v>0</v>
      </c>
      <c r="AB106" s="551"/>
    </row>
    <row r="107" spans="1:28" hidden="1" x14ac:dyDescent="0.3">
      <c r="A107" s="751" t="str">
        <f t="shared" si="15"/>
        <v>E</v>
      </c>
      <c r="B107" s="751">
        <f t="shared" si="16"/>
        <v>2</v>
      </c>
      <c r="C107" s="751" t="str">
        <f t="shared" si="17"/>
        <v>C</v>
      </c>
      <c r="D107" s="751">
        <f t="shared" si="17"/>
        <v>0</v>
      </c>
      <c r="E107" s="751">
        <f t="shared" si="17"/>
        <v>0</v>
      </c>
      <c r="F107" s="751">
        <f t="shared" si="17"/>
        <v>0</v>
      </c>
      <c r="AB107" s="551"/>
    </row>
    <row r="108" spans="1:28" hidden="1" x14ac:dyDescent="0.3">
      <c r="A108" s="751" t="str">
        <f t="shared" si="15"/>
        <v>F</v>
      </c>
      <c r="B108" s="751">
        <f t="shared" si="16"/>
        <v>2</v>
      </c>
      <c r="C108" s="751" t="str">
        <f t="shared" si="17"/>
        <v>C</v>
      </c>
      <c r="D108" s="751">
        <f t="shared" si="17"/>
        <v>0</v>
      </c>
      <c r="E108" s="751">
        <f t="shared" si="17"/>
        <v>0</v>
      </c>
      <c r="F108" s="751">
        <f t="shared" si="17"/>
        <v>0</v>
      </c>
      <c r="AB108" s="551"/>
    </row>
    <row r="109" spans="1:28" hidden="1" x14ac:dyDescent="0.3">
      <c r="A109" s="751" t="str">
        <f t="shared" si="15"/>
        <v>G</v>
      </c>
      <c r="B109" s="751">
        <f t="shared" si="16"/>
        <v>2</v>
      </c>
      <c r="C109" s="751" t="str">
        <f t="shared" si="17"/>
        <v>D</v>
      </c>
      <c r="D109" s="751" t="str">
        <f t="shared" si="17"/>
        <v>E</v>
      </c>
      <c r="E109" s="751">
        <f t="shared" si="17"/>
        <v>0</v>
      </c>
      <c r="F109" s="751">
        <f t="shared" si="17"/>
        <v>0</v>
      </c>
      <c r="AB109" s="551"/>
    </row>
    <row r="110" spans="1:28" hidden="1" x14ac:dyDescent="0.3">
      <c r="A110" s="751" t="str">
        <f t="shared" si="15"/>
        <v>H</v>
      </c>
      <c r="B110" s="751">
        <f t="shared" si="16"/>
        <v>1</v>
      </c>
      <c r="C110" s="751" t="str">
        <f t="shared" si="17"/>
        <v>F</v>
      </c>
      <c r="D110" s="751" t="str">
        <f t="shared" si="17"/>
        <v>G</v>
      </c>
      <c r="E110" s="751">
        <f t="shared" si="17"/>
        <v>0</v>
      </c>
      <c r="F110" s="751">
        <f t="shared" si="17"/>
        <v>0</v>
      </c>
      <c r="AB110" s="551"/>
    </row>
    <row r="111" spans="1:28" hidden="1" x14ac:dyDescent="0.3">
      <c r="A111" s="751" t="str">
        <f t="shared" si="15"/>
        <v/>
      </c>
      <c r="B111" s="751" t="str">
        <f t="shared" si="16"/>
        <v/>
      </c>
      <c r="C111" s="751" t="str">
        <f t="shared" si="17"/>
        <v/>
      </c>
      <c r="D111" s="751" t="str">
        <f t="shared" si="17"/>
        <v/>
      </c>
      <c r="E111" s="751" t="str">
        <f t="shared" si="17"/>
        <v/>
      </c>
      <c r="F111" s="751" t="str">
        <f t="shared" si="17"/>
        <v/>
      </c>
      <c r="AB111" s="551"/>
    </row>
    <row r="112" spans="1:28" hidden="1" x14ac:dyDescent="0.3">
      <c r="AB112" s="551"/>
    </row>
    <row r="113" spans="1:29" ht="13.5" hidden="1" thickBot="1" x14ac:dyDescent="0.35">
      <c r="A113" s="581" t="s">
        <v>31</v>
      </c>
      <c r="E113" s="551">
        <f>MAX(E115:E123)</f>
        <v>0</v>
      </c>
      <c r="AB113" s="551"/>
    </row>
    <row r="114" spans="1:29" hidden="1" x14ac:dyDescent="0.3">
      <c r="A114" s="752" t="s">
        <v>839</v>
      </c>
      <c r="B114" s="753" t="s">
        <v>777</v>
      </c>
      <c r="C114" s="753" t="s">
        <v>800</v>
      </c>
      <c r="D114" s="753" t="s">
        <v>801</v>
      </c>
      <c r="E114" s="753" t="s">
        <v>802</v>
      </c>
      <c r="F114" s="754" t="s">
        <v>803</v>
      </c>
      <c r="G114" s="746"/>
      <c r="H114" s="746"/>
      <c r="I114" s="746"/>
      <c r="J114" s="746"/>
      <c r="K114" s="746"/>
      <c r="L114" s="746"/>
      <c r="M114" s="746"/>
      <c r="N114" s="746"/>
      <c r="O114" s="746"/>
      <c r="P114" s="746"/>
      <c r="Q114" s="746"/>
      <c r="R114" s="746"/>
      <c r="S114" s="746"/>
      <c r="T114" s="746"/>
      <c r="U114" s="746"/>
      <c r="V114" s="746"/>
      <c r="W114" s="746"/>
      <c r="X114" s="746"/>
      <c r="Y114" s="746"/>
      <c r="Z114" s="746"/>
      <c r="AA114" s="746"/>
      <c r="AB114" s="746"/>
      <c r="AC114" s="746"/>
    </row>
    <row r="115" spans="1:29" hidden="1" x14ac:dyDescent="0.3">
      <c r="A115" s="755" t="str">
        <f t="shared" ref="A115:A123" si="18">A103</f>
        <v>A</v>
      </c>
      <c r="B115" s="551">
        <f t="shared" ref="B115:B123" si="19">IF(A115&lt;&gt;"",MAX(C127:F127),"")</f>
        <v>0</v>
      </c>
      <c r="C115" s="551">
        <f t="shared" ref="C115:C123" si="20">IF(A115&lt;&gt;"",B103+B115,"")</f>
        <v>1</v>
      </c>
      <c r="D115" s="551">
        <f t="shared" ref="D115:D123" si="21">IF(A115&lt;&gt;"",E115-B103,"")</f>
        <v>-1</v>
      </c>
      <c r="E115" s="551">
        <f>IF(A115&lt;&gt;"",B$164,"")</f>
        <v>0</v>
      </c>
      <c r="F115" s="756">
        <f t="shared" ref="F115:F123" si="22">IF(A115&lt;&gt;"",D115-B115,"")</f>
        <v>-1</v>
      </c>
      <c r="AB115" s="551"/>
    </row>
    <row r="116" spans="1:29" hidden="1" x14ac:dyDescent="0.3">
      <c r="A116" s="755" t="str">
        <f t="shared" si="18"/>
        <v>B</v>
      </c>
      <c r="B116" s="551">
        <f t="shared" si="19"/>
        <v>0</v>
      </c>
      <c r="C116" s="551">
        <f t="shared" si="20"/>
        <v>1</v>
      </c>
      <c r="D116" s="551">
        <f t="shared" si="21"/>
        <v>-1</v>
      </c>
      <c r="E116" s="551">
        <f>IF(A116&lt;&gt;"",C$164,"")</f>
        <v>0</v>
      </c>
      <c r="F116" s="756">
        <f t="shared" si="22"/>
        <v>-1</v>
      </c>
      <c r="AB116" s="551"/>
    </row>
    <row r="117" spans="1:29" hidden="1" x14ac:dyDescent="0.3">
      <c r="A117" s="755" t="str">
        <f t="shared" si="18"/>
        <v>C</v>
      </c>
      <c r="B117" s="551">
        <f t="shared" si="19"/>
        <v>1</v>
      </c>
      <c r="C117" s="551">
        <f t="shared" si="20"/>
        <v>2</v>
      </c>
      <c r="D117" s="551">
        <f t="shared" si="21"/>
        <v>-1</v>
      </c>
      <c r="E117" s="551">
        <f>IF(A117&lt;&gt;"",D$164,"")</f>
        <v>0</v>
      </c>
      <c r="F117" s="756">
        <f t="shared" si="22"/>
        <v>-2</v>
      </c>
      <c r="AB117" s="551"/>
    </row>
    <row r="118" spans="1:29" hidden="1" x14ac:dyDescent="0.3">
      <c r="A118" s="755" t="str">
        <f t="shared" si="18"/>
        <v>D</v>
      </c>
      <c r="B118" s="551">
        <f t="shared" si="19"/>
        <v>1</v>
      </c>
      <c r="C118" s="551">
        <f t="shared" si="20"/>
        <v>4</v>
      </c>
      <c r="D118" s="551">
        <f t="shared" si="21"/>
        <v>-3</v>
      </c>
      <c r="E118" s="551">
        <f>IF(A118&lt;&gt;"",E$164,"")</f>
        <v>0</v>
      </c>
      <c r="F118" s="756">
        <f t="shared" si="22"/>
        <v>-4</v>
      </c>
      <c r="H118" s="551">
        <f>B106</f>
        <v>3</v>
      </c>
      <c r="I118" s="551">
        <f>B118</f>
        <v>1</v>
      </c>
      <c r="AB118" s="551"/>
    </row>
    <row r="119" spans="1:29" hidden="1" x14ac:dyDescent="0.3">
      <c r="A119" s="755" t="str">
        <f t="shared" si="18"/>
        <v>E</v>
      </c>
      <c r="B119" s="551">
        <f t="shared" si="19"/>
        <v>2</v>
      </c>
      <c r="C119" s="551">
        <f t="shared" si="20"/>
        <v>4</v>
      </c>
      <c r="D119" s="551">
        <f t="shared" si="21"/>
        <v>-2</v>
      </c>
      <c r="E119" s="551">
        <f>IF(A119&lt;&gt;"",F$164,"")</f>
        <v>0</v>
      </c>
      <c r="F119" s="756">
        <f t="shared" si="22"/>
        <v>-4</v>
      </c>
      <c r="AB119" s="551"/>
    </row>
    <row r="120" spans="1:29" hidden="1" x14ac:dyDescent="0.3">
      <c r="A120" s="755" t="str">
        <f t="shared" si="18"/>
        <v>F</v>
      </c>
      <c r="B120" s="551">
        <f t="shared" si="19"/>
        <v>2</v>
      </c>
      <c r="C120" s="551">
        <f t="shared" si="20"/>
        <v>4</v>
      </c>
      <c r="D120" s="551">
        <f t="shared" si="21"/>
        <v>-2</v>
      </c>
      <c r="E120" s="551">
        <f>IF(A120&lt;&gt;"",G$164,"")</f>
        <v>0</v>
      </c>
      <c r="F120" s="756">
        <f t="shared" si="22"/>
        <v>-4</v>
      </c>
      <c r="AB120" s="551"/>
    </row>
    <row r="121" spans="1:29" hidden="1" x14ac:dyDescent="0.3">
      <c r="A121" s="755" t="str">
        <f t="shared" si="18"/>
        <v>G</v>
      </c>
      <c r="B121" s="551">
        <f t="shared" si="19"/>
        <v>4</v>
      </c>
      <c r="C121" s="551">
        <f t="shared" si="20"/>
        <v>6</v>
      </c>
      <c r="D121" s="551">
        <f t="shared" si="21"/>
        <v>-2</v>
      </c>
      <c r="E121" s="551">
        <f>IF(A121&lt;&gt;"",H$164,"")</f>
        <v>0</v>
      </c>
      <c r="F121" s="756">
        <f t="shared" si="22"/>
        <v>-6</v>
      </c>
      <c r="AB121" s="551"/>
    </row>
    <row r="122" spans="1:29" hidden="1" x14ac:dyDescent="0.3">
      <c r="A122" s="755" t="str">
        <f t="shared" si="18"/>
        <v>H</v>
      </c>
      <c r="B122" s="551">
        <f t="shared" si="19"/>
        <v>6</v>
      </c>
      <c r="C122" s="551">
        <f t="shared" si="20"/>
        <v>7</v>
      </c>
      <c r="D122" s="551">
        <f t="shared" si="21"/>
        <v>-1</v>
      </c>
      <c r="E122" s="551">
        <f>IF(A122&lt;&gt;"",I$164,"")</f>
        <v>0</v>
      </c>
      <c r="F122" s="756">
        <f t="shared" si="22"/>
        <v>-7</v>
      </c>
      <c r="AB122" s="551"/>
    </row>
    <row r="123" spans="1:29" hidden="1" x14ac:dyDescent="0.3">
      <c r="A123" s="755" t="str">
        <f t="shared" si="18"/>
        <v/>
      </c>
      <c r="B123" s="551" t="str">
        <f t="shared" si="19"/>
        <v/>
      </c>
      <c r="C123" s="551" t="str">
        <f t="shared" si="20"/>
        <v/>
      </c>
      <c r="D123" s="551" t="str">
        <f t="shared" si="21"/>
        <v/>
      </c>
      <c r="E123" s="551" t="str">
        <f>IF(A123&lt;&gt;"",J$164,"")</f>
        <v/>
      </c>
      <c r="F123" s="756" t="str">
        <f t="shared" si="22"/>
        <v/>
      </c>
      <c r="AB123" s="551"/>
    </row>
    <row r="124" spans="1:29" ht="13.5" hidden="1" thickBot="1" x14ac:dyDescent="0.35">
      <c r="A124" s="583"/>
      <c r="B124" s="584" t="s">
        <v>804</v>
      </c>
      <c r="C124" s="584">
        <f>MAX(C115:C123)</f>
        <v>7</v>
      </c>
      <c r="D124" s="584"/>
      <c r="E124" s="584"/>
      <c r="F124" s="585"/>
      <c r="AB124" s="551"/>
    </row>
    <row r="125" spans="1:29" hidden="1" x14ac:dyDescent="0.3">
      <c r="AB125" s="551"/>
    </row>
    <row r="126" spans="1:29" hidden="1" x14ac:dyDescent="0.3">
      <c r="A126" s="757" t="s">
        <v>806</v>
      </c>
      <c r="AB126" s="551"/>
    </row>
    <row r="127" spans="1:29" hidden="1" x14ac:dyDescent="0.3">
      <c r="A127" s="551" t="str">
        <f t="shared" ref="A127:A135" si="23">A103</f>
        <v>A</v>
      </c>
      <c r="C127" s="551">
        <f t="shared" ref="C127:F136" si="24">IF($A127&lt;&gt;"",IF(ISNUMBER(VLOOKUP(C103,$A$115:$C$123,3,FALSE)),VLOOKUP(C103,$A$115:$C$123,3,FALSE),0),"")</f>
        <v>0</v>
      </c>
      <c r="D127" s="551">
        <f t="shared" si="24"/>
        <v>0</v>
      </c>
      <c r="E127" s="551">
        <f t="shared" si="24"/>
        <v>0</v>
      </c>
      <c r="F127" s="551">
        <f t="shared" si="24"/>
        <v>0</v>
      </c>
      <c r="AB127" s="551"/>
    </row>
    <row r="128" spans="1:29" hidden="1" x14ac:dyDescent="0.3">
      <c r="A128" s="551" t="str">
        <f t="shared" si="23"/>
        <v>B</v>
      </c>
      <c r="C128" s="551">
        <f t="shared" si="24"/>
        <v>0</v>
      </c>
      <c r="D128" s="551">
        <f t="shared" si="24"/>
        <v>0</v>
      </c>
      <c r="E128" s="551">
        <f t="shared" si="24"/>
        <v>0</v>
      </c>
      <c r="F128" s="551">
        <f t="shared" si="24"/>
        <v>0</v>
      </c>
      <c r="AB128" s="551"/>
    </row>
    <row r="129" spans="1:28" hidden="1" x14ac:dyDescent="0.3">
      <c r="A129" s="551" t="str">
        <f t="shared" si="23"/>
        <v>C</v>
      </c>
      <c r="C129" s="551">
        <f t="shared" si="24"/>
        <v>1</v>
      </c>
      <c r="D129" s="551">
        <f t="shared" si="24"/>
        <v>0</v>
      </c>
      <c r="E129" s="551">
        <f t="shared" si="24"/>
        <v>0</v>
      </c>
      <c r="F129" s="551">
        <f t="shared" si="24"/>
        <v>0</v>
      </c>
      <c r="AB129" s="551"/>
    </row>
    <row r="130" spans="1:28" hidden="1" x14ac:dyDescent="0.3">
      <c r="A130" s="551" t="str">
        <f t="shared" si="23"/>
        <v>D</v>
      </c>
      <c r="C130" s="551">
        <f t="shared" si="24"/>
        <v>1</v>
      </c>
      <c r="D130" s="551">
        <f t="shared" si="24"/>
        <v>0</v>
      </c>
      <c r="E130" s="551">
        <f t="shared" si="24"/>
        <v>0</v>
      </c>
      <c r="F130" s="551">
        <f t="shared" si="24"/>
        <v>0</v>
      </c>
      <c r="AB130" s="551"/>
    </row>
    <row r="131" spans="1:28" hidden="1" x14ac:dyDescent="0.3">
      <c r="A131" s="551" t="str">
        <f t="shared" si="23"/>
        <v>E</v>
      </c>
      <c r="C131" s="551">
        <f t="shared" si="24"/>
        <v>2</v>
      </c>
      <c r="D131" s="551">
        <f t="shared" si="24"/>
        <v>0</v>
      </c>
      <c r="E131" s="551">
        <f t="shared" si="24"/>
        <v>0</v>
      </c>
      <c r="F131" s="551">
        <f t="shared" si="24"/>
        <v>0</v>
      </c>
      <c r="AB131" s="551"/>
    </row>
    <row r="132" spans="1:28" hidden="1" x14ac:dyDescent="0.3">
      <c r="A132" s="551" t="str">
        <f t="shared" si="23"/>
        <v>F</v>
      </c>
      <c r="C132" s="551">
        <f t="shared" si="24"/>
        <v>2</v>
      </c>
      <c r="D132" s="551">
        <f t="shared" si="24"/>
        <v>0</v>
      </c>
      <c r="E132" s="551">
        <f t="shared" si="24"/>
        <v>0</v>
      </c>
      <c r="F132" s="551">
        <f t="shared" si="24"/>
        <v>0</v>
      </c>
      <c r="AB132" s="551"/>
    </row>
    <row r="133" spans="1:28" hidden="1" x14ac:dyDescent="0.3">
      <c r="A133" s="551" t="str">
        <f t="shared" si="23"/>
        <v>G</v>
      </c>
      <c r="C133" s="551">
        <f t="shared" si="24"/>
        <v>4</v>
      </c>
      <c r="D133" s="551">
        <f t="shared" si="24"/>
        <v>4</v>
      </c>
      <c r="E133" s="551">
        <f t="shared" si="24"/>
        <v>0</v>
      </c>
      <c r="F133" s="551">
        <f t="shared" si="24"/>
        <v>0</v>
      </c>
      <c r="AB133" s="551"/>
    </row>
    <row r="134" spans="1:28" hidden="1" x14ac:dyDescent="0.3">
      <c r="A134" s="551" t="str">
        <f t="shared" si="23"/>
        <v>H</v>
      </c>
      <c r="C134" s="551">
        <f t="shared" si="24"/>
        <v>4</v>
      </c>
      <c r="D134" s="551">
        <f t="shared" si="24"/>
        <v>6</v>
      </c>
      <c r="E134" s="551">
        <f t="shared" si="24"/>
        <v>0</v>
      </c>
      <c r="F134" s="551">
        <f t="shared" si="24"/>
        <v>0</v>
      </c>
      <c r="AB134" s="551"/>
    </row>
    <row r="135" spans="1:28" hidden="1" x14ac:dyDescent="0.3">
      <c r="A135" s="551" t="str">
        <f t="shared" si="23"/>
        <v/>
      </c>
      <c r="C135" s="551" t="str">
        <f t="shared" si="24"/>
        <v/>
      </c>
      <c r="D135" s="551" t="str">
        <f t="shared" si="24"/>
        <v/>
      </c>
      <c r="E135" s="551" t="str">
        <f t="shared" si="24"/>
        <v/>
      </c>
      <c r="F135" s="551" t="str">
        <f t="shared" si="24"/>
        <v/>
      </c>
      <c r="AB135" s="551"/>
    </row>
    <row r="136" spans="1:28" hidden="1" x14ac:dyDescent="0.3">
      <c r="C136" s="551" t="str">
        <f t="shared" si="24"/>
        <v/>
      </c>
      <c r="D136" s="551" t="str">
        <f t="shared" si="24"/>
        <v/>
      </c>
      <c r="E136" s="551" t="str">
        <f t="shared" si="24"/>
        <v/>
      </c>
      <c r="F136" s="551" t="str">
        <f t="shared" si="24"/>
        <v/>
      </c>
      <c r="AB136" s="551"/>
    </row>
    <row r="137" spans="1:28" hidden="1" x14ac:dyDescent="0.3">
      <c r="A137" s="757" t="s">
        <v>807</v>
      </c>
      <c r="AB137" s="551"/>
    </row>
    <row r="138" spans="1:28" hidden="1" x14ac:dyDescent="0.3">
      <c r="B138" s="551" t="str">
        <f>A103</f>
        <v>A</v>
      </c>
      <c r="C138" s="551" t="str">
        <f>A104</f>
        <v>B</v>
      </c>
      <c r="D138" s="551" t="str">
        <f>A105</f>
        <v>C</v>
      </c>
      <c r="E138" s="551" t="str">
        <f>A106</f>
        <v>D</v>
      </c>
      <c r="F138" s="551" t="str">
        <f>A107</f>
        <v>E</v>
      </c>
      <c r="G138" s="551" t="str">
        <f>A108</f>
        <v>F</v>
      </c>
      <c r="H138" s="551" t="str">
        <f>A109</f>
        <v>G</v>
      </c>
      <c r="I138" s="551" t="str">
        <f>A110</f>
        <v>H</v>
      </c>
      <c r="J138" s="551" t="str">
        <f>A111</f>
        <v/>
      </c>
      <c r="AB138" s="551"/>
    </row>
    <row r="139" spans="1:28" hidden="1" x14ac:dyDescent="0.3">
      <c r="A139" s="551" t="str">
        <f t="shared" ref="A139:A147" si="25">A103</f>
        <v>A</v>
      </c>
      <c r="B139" s="551">
        <f t="shared" ref="B139:J147" si="26">IF($F103=B$138,$D115,IF($E103=B$138,$D115,IF($D103=B$138,$D115,IF($C103=B$138,$D115,$C$124))))</f>
        <v>7</v>
      </c>
      <c r="C139" s="551">
        <f t="shared" si="26"/>
        <v>7</v>
      </c>
      <c r="D139" s="551">
        <f t="shared" si="26"/>
        <v>7</v>
      </c>
      <c r="E139" s="551">
        <f t="shared" si="26"/>
        <v>7</v>
      </c>
      <c r="F139" s="551">
        <f t="shared" si="26"/>
        <v>7</v>
      </c>
      <c r="G139" s="551">
        <f t="shared" si="26"/>
        <v>7</v>
      </c>
      <c r="H139" s="551">
        <f t="shared" si="26"/>
        <v>7</v>
      </c>
      <c r="I139" s="551">
        <f t="shared" si="26"/>
        <v>7</v>
      </c>
      <c r="J139" s="551">
        <f t="shared" si="26"/>
        <v>7</v>
      </c>
      <c r="AB139" s="551"/>
    </row>
    <row r="140" spans="1:28" hidden="1" x14ac:dyDescent="0.3">
      <c r="A140" s="551" t="str">
        <f t="shared" si="25"/>
        <v>B</v>
      </c>
      <c r="B140" s="551">
        <f t="shared" si="26"/>
        <v>7</v>
      </c>
      <c r="C140" s="551">
        <f t="shared" si="26"/>
        <v>7</v>
      </c>
      <c r="D140" s="551">
        <f t="shared" si="26"/>
        <v>7</v>
      </c>
      <c r="E140" s="551">
        <f t="shared" si="26"/>
        <v>7</v>
      </c>
      <c r="F140" s="551">
        <f t="shared" si="26"/>
        <v>7</v>
      </c>
      <c r="G140" s="551">
        <f t="shared" si="26"/>
        <v>7</v>
      </c>
      <c r="H140" s="551">
        <f t="shared" si="26"/>
        <v>7</v>
      </c>
      <c r="I140" s="551">
        <f t="shared" si="26"/>
        <v>7</v>
      </c>
      <c r="J140" s="551">
        <f t="shared" si="26"/>
        <v>7</v>
      </c>
      <c r="AB140" s="551"/>
    </row>
    <row r="141" spans="1:28" hidden="1" x14ac:dyDescent="0.3">
      <c r="A141" s="551" t="str">
        <f t="shared" si="25"/>
        <v>C</v>
      </c>
      <c r="B141" s="551">
        <f t="shared" si="26"/>
        <v>-1</v>
      </c>
      <c r="C141" s="551">
        <f t="shared" si="26"/>
        <v>7</v>
      </c>
      <c r="D141" s="551">
        <f t="shared" si="26"/>
        <v>7</v>
      </c>
      <c r="E141" s="551">
        <f t="shared" si="26"/>
        <v>7</v>
      </c>
      <c r="F141" s="551">
        <f t="shared" si="26"/>
        <v>7</v>
      </c>
      <c r="G141" s="551">
        <f t="shared" si="26"/>
        <v>7</v>
      </c>
      <c r="H141" s="551">
        <f t="shared" si="26"/>
        <v>7</v>
      </c>
      <c r="I141" s="551">
        <f t="shared" si="26"/>
        <v>7</v>
      </c>
      <c r="J141" s="551">
        <f t="shared" si="26"/>
        <v>7</v>
      </c>
      <c r="AB141" s="551"/>
    </row>
    <row r="142" spans="1:28" hidden="1" x14ac:dyDescent="0.3">
      <c r="A142" s="551" t="str">
        <f t="shared" si="25"/>
        <v>D</v>
      </c>
      <c r="B142" s="551">
        <f t="shared" si="26"/>
        <v>7</v>
      </c>
      <c r="C142" s="551">
        <f t="shared" si="26"/>
        <v>-3</v>
      </c>
      <c r="D142" s="551">
        <f t="shared" si="26"/>
        <v>7</v>
      </c>
      <c r="E142" s="551">
        <f t="shared" si="26"/>
        <v>7</v>
      </c>
      <c r="F142" s="551">
        <f t="shared" si="26"/>
        <v>7</v>
      </c>
      <c r="G142" s="551">
        <f t="shared" si="26"/>
        <v>7</v>
      </c>
      <c r="H142" s="551">
        <f t="shared" si="26"/>
        <v>7</v>
      </c>
      <c r="I142" s="551">
        <f t="shared" si="26"/>
        <v>7</v>
      </c>
      <c r="J142" s="551">
        <f t="shared" si="26"/>
        <v>7</v>
      </c>
      <c r="AB142" s="551"/>
    </row>
    <row r="143" spans="1:28" hidden="1" x14ac:dyDescent="0.3">
      <c r="A143" s="551" t="str">
        <f t="shared" si="25"/>
        <v>E</v>
      </c>
      <c r="B143" s="551">
        <f t="shared" si="26"/>
        <v>7</v>
      </c>
      <c r="C143" s="551">
        <f t="shared" si="26"/>
        <v>7</v>
      </c>
      <c r="D143" s="551">
        <f t="shared" si="26"/>
        <v>-2</v>
      </c>
      <c r="E143" s="551">
        <f t="shared" si="26"/>
        <v>7</v>
      </c>
      <c r="F143" s="551">
        <f t="shared" si="26"/>
        <v>7</v>
      </c>
      <c r="G143" s="551">
        <f t="shared" si="26"/>
        <v>7</v>
      </c>
      <c r="H143" s="551">
        <f t="shared" si="26"/>
        <v>7</v>
      </c>
      <c r="I143" s="551">
        <f t="shared" si="26"/>
        <v>7</v>
      </c>
      <c r="J143" s="551">
        <f t="shared" si="26"/>
        <v>7</v>
      </c>
      <c r="AB143" s="551"/>
    </row>
    <row r="144" spans="1:28" hidden="1" x14ac:dyDescent="0.3">
      <c r="A144" s="551" t="str">
        <f t="shared" si="25"/>
        <v>F</v>
      </c>
      <c r="B144" s="551">
        <f t="shared" si="26"/>
        <v>7</v>
      </c>
      <c r="C144" s="551">
        <f t="shared" si="26"/>
        <v>7</v>
      </c>
      <c r="D144" s="551">
        <f t="shared" si="26"/>
        <v>-2</v>
      </c>
      <c r="E144" s="551">
        <f t="shared" si="26"/>
        <v>7</v>
      </c>
      <c r="F144" s="551">
        <f t="shared" si="26"/>
        <v>7</v>
      </c>
      <c r="G144" s="551">
        <f t="shared" si="26"/>
        <v>7</v>
      </c>
      <c r="H144" s="551">
        <f t="shared" si="26"/>
        <v>7</v>
      </c>
      <c r="I144" s="551">
        <f t="shared" si="26"/>
        <v>7</v>
      </c>
      <c r="J144" s="551">
        <f t="shared" si="26"/>
        <v>7</v>
      </c>
      <c r="AB144" s="551"/>
    </row>
    <row r="145" spans="1:28" hidden="1" x14ac:dyDescent="0.3">
      <c r="A145" s="551" t="str">
        <f t="shared" si="25"/>
        <v>G</v>
      </c>
      <c r="B145" s="551">
        <f t="shared" si="26"/>
        <v>7</v>
      </c>
      <c r="C145" s="551">
        <f t="shared" si="26"/>
        <v>7</v>
      </c>
      <c r="D145" s="551">
        <f t="shared" si="26"/>
        <v>7</v>
      </c>
      <c r="E145" s="551">
        <f t="shared" si="26"/>
        <v>-2</v>
      </c>
      <c r="F145" s="551">
        <f t="shared" si="26"/>
        <v>-2</v>
      </c>
      <c r="G145" s="551">
        <f t="shared" si="26"/>
        <v>7</v>
      </c>
      <c r="H145" s="551">
        <f t="shared" si="26"/>
        <v>7</v>
      </c>
      <c r="I145" s="551">
        <f t="shared" si="26"/>
        <v>7</v>
      </c>
      <c r="J145" s="551">
        <f t="shared" si="26"/>
        <v>7</v>
      </c>
      <c r="AB145" s="551"/>
    </row>
    <row r="146" spans="1:28" hidden="1" x14ac:dyDescent="0.3">
      <c r="A146" s="551" t="str">
        <f t="shared" si="25"/>
        <v>H</v>
      </c>
      <c r="B146" s="551">
        <f t="shared" si="26"/>
        <v>7</v>
      </c>
      <c r="C146" s="551">
        <f t="shared" si="26"/>
        <v>7</v>
      </c>
      <c r="D146" s="551">
        <f t="shared" si="26"/>
        <v>7</v>
      </c>
      <c r="E146" s="551">
        <f t="shared" si="26"/>
        <v>7</v>
      </c>
      <c r="F146" s="551">
        <f t="shared" si="26"/>
        <v>7</v>
      </c>
      <c r="G146" s="551">
        <f t="shared" si="26"/>
        <v>-1</v>
      </c>
      <c r="H146" s="551">
        <f t="shared" si="26"/>
        <v>-1</v>
      </c>
      <c r="I146" s="551">
        <f t="shared" si="26"/>
        <v>7</v>
      </c>
      <c r="J146" s="551">
        <f t="shared" si="26"/>
        <v>7</v>
      </c>
      <c r="AB146" s="551"/>
    </row>
    <row r="147" spans="1:28" hidden="1" x14ac:dyDescent="0.3">
      <c r="A147" s="551" t="str">
        <f t="shared" si="25"/>
        <v/>
      </c>
      <c r="B147" s="551">
        <f t="shared" si="26"/>
        <v>7</v>
      </c>
      <c r="C147" s="551">
        <f t="shared" si="26"/>
        <v>7</v>
      </c>
      <c r="D147" s="551">
        <f t="shared" si="26"/>
        <v>7</v>
      </c>
      <c r="E147" s="551">
        <f t="shared" si="26"/>
        <v>7</v>
      </c>
      <c r="F147" s="551">
        <f t="shared" si="26"/>
        <v>7</v>
      </c>
      <c r="G147" s="551">
        <f t="shared" si="26"/>
        <v>7</v>
      </c>
      <c r="H147" s="551">
        <f t="shared" si="26"/>
        <v>7</v>
      </c>
      <c r="I147" s="551">
        <f t="shared" si="26"/>
        <v>7</v>
      </c>
      <c r="J147" s="551" t="str">
        <f t="shared" si="26"/>
        <v/>
      </c>
      <c r="AB147" s="551"/>
    </row>
    <row r="148" spans="1:28" hidden="1" x14ac:dyDescent="0.3">
      <c r="AB148" s="551"/>
    </row>
    <row r="149" spans="1:28" hidden="1" x14ac:dyDescent="0.3">
      <c r="AB149" s="551"/>
    </row>
    <row r="150" spans="1:28" hidden="1" x14ac:dyDescent="0.3">
      <c r="AB150" s="551"/>
    </row>
    <row r="151" spans="1:28" hidden="1" x14ac:dyDescent="0.3">
      <c r="AB151" s="551"/>
    </row>
    <row r="152" spans="1:28" hidden="1" x14ac:dyDescent="0.3">
      <c r="AB152" s="551"/>
    </row>
    <row r="153" spans="1:28" hidden="1" x14ac:dyDescent="0.3">
      <c r="AB153" s="551"/>
    </row>
    <row r="154" spans="1:28" hidden="1" x14ac:dyDescent="0.3">
      <c r="AB154" s="551"/>
    </row>
    <row r="155" spans="1:28" hidden="1" x14ac:dyDescent="0.3">
      <c r="AB155" s="551"/>
    </row>
    <row r="156" spans="1:28" hidden="1" x14ac:dyDescent="0.3">
      <c r="AB156" s="551"/>
    </row>
    <row r="157" spans="1:28" hidden="1" x14ac:dyDescent="0.3">
      <c r="AB157" s="551"/>
    </row>
    <row r="158" spans="1:28" hidden="1" x14ac:dyDescent="0.3">
      <c r="AB158" s="551"/>
    </row>
    <row r="159" spans="1:28" hidden="1" x14ac:dyDescent="0.3">
      <c r="AB159" s="551"/>
    </row>
    <row r="160" spans="1:28" hidden="1" x14ac:dyDescent="0.3">
      <c r="AB160" s="551"/>
    </row>
    <row r="161" spans="28:28" hidden="1" x14ac:dyDescent="0.3">
      <c r="AB161" s="551"/>
    </row>
    <row r="162" spans="28:28" hidden="1" x14ac:dyDescent="0.3">
      <c r="AB162" s="551"/>
    </row>
    <row r="163" spans="28:28" hidden="1" x14ac:dyDescent="0.3">
      <c r="AB163" s="551"/>
    </row>
    <row r="164" spans="28:28" hidden="1" x14ac:dyDescent="0.3">
      <c r="AB164" s="551"/>
    </row>
    <row r="165" spans="28:28" hidden="1" x14ac:dyDescent="0.3"/>
    <row r="166" spans="28:28" hidden="1" x14ac:dyDescent="0.3"/>
    <row r="167" spans="28:28" hidden="1" x14ac:dyDescent="0.3"/>
    <row r="168" spans="28:28" hidden="1" x14ac:dyDescent="0.3"/>
    <row r="169" spans="28:28" hidden="1" x14ac:dyDescent="0.3"/>
    <row r="170" spans="28:28" hidden="1" x14ac:dyDescent="0.3"/>
    <row r="171" spans="28:28" hidden="1" x14ac:dyDescent="0.3"/>
    <row r="172" spans="28:28" hidden="1" x14ac:dyDescent="0.3"/>
    <row r="173" spans="28:28" hidden="1" x14ac:dyDescent="0.3"/>
    <row r="174" spans="28:28" hidden="1" x14ac:dyDescent="0.3"/>
    <row r="175" spans="28:28" hidden="1" x14ac:dyDescent="0.3"/>
    <row r="176" spans="28:28"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sheetData>
  <conditionalFormatting sqref="K12:K20 B24:AA32">
    <cfRule type="cellIs" dxfId="1" priority="1" stopIfTrue="1" operator="equal">
      <formula>0</formula>
    </cfRule>
  </conditionalFormatting>
  <conditionalFormatting sqref="L12:M20">
    <cfRule type="expression" dxfId="0" priority="2" stopIfTrue="1">
      <formula>$A12=""</formula>
    </cfRule>
  </conditionalFormatting>
  <printOptions headings="1" gridLines="1"/>
  <pageMargins left="0.26" right="0.2" top="1" bottom="1" header="0.5" footer="0.5"/>
  <pageSetup orientation="landscape" r:id="rId1"/>
  <headerFooter alignWithMargins="0">
    <oddHeader>&amp;A</oddHeader>
    <oddFooter>&amp;F</oddFooter>
  </headerFooter>
  <drawing r:id="rId2"/>
  <legacyDrawing r:id="rId3"/>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40"/>
  <sheetViews>
    <sheetView workbookViewId="0">
      <selection activeCell="B9" sqref="B9"/>
    </sheetView>
  </sheetViews>
  <sheetFormatPr defaultColWidth="9.08984375" defaultRowHeight="12.5" x14ac:dyDescent="0.25"/>
  <cols>
    <col min="1" max="1" width="20.7265625" style="160" customWidth="1"/>
    <col min="2" max="2" width="10.81640625" style="160" bestFit="1" customWidth="1"/>
    <col min="3" max="3" width="10.36328125" style="160" customWidth="1"/>
    <col min="4" max="4" width="44.36328125" style="160" bestFit="1" customWidth="1"/>
    <col min="5" max="16384" width="9.08984375" style="160"/>
  </cols>
  <sheetData>
    <row r="1" spans="1:8" ht="18" x14ac:dyDescent="0.4">
      <c r="A1" s="513" t="s">
        <v>25</v>
      </c>
    </row>
    <row r="3" spans="1:8" ht="15.5" x14ac:dyDescent="0.35">
      <c r="A3" s="500" t="s">
        <v>0</v>
      </c>
      <c r="B3" s="500"/>
      <c r="C3" s="500" t="s">
        <v>152</v>
      </c>
      <c r="D3" s="500"/>
      <c r="E3" s="500"/>
      <c r="F3" s="500"/>
      <c r="G3" s="500"/>
      <c r="H3" s="500"/>
    </row>
    <row r="4" spans="1:8" x14ac:dyDescent="0.25">
      <c r="A4" s="499"/>
      <c r="B4" s="499"/>
    </row>
    <row r="6" spans="1:8" ht="13.5" thickBot="1" x14ac:dyDescent="0.35">
      <c r="A6" s="501" t="s">
        <v>27</v>
      </c>
      <c r="D6" s="509" t="s">
        <v>31</v>
      </c>
    </row>
    <row r="7" spans="1:8" ht="13" x14ac:dyDescent="0.3">
      <c r="A7" s="503" t="s">
        <v>190</v>
      </c>
      <c r="B7" s="504">
        <v>2</v>
      </c>
      <c r="D7" s="146" t="s">
        <v>1022</v>
      </c>
      <c r="E7" s="167">
        <f>B7/B8</f>
        <v>0.66666666666666663</v>
      </c>
    </row>
    <row r="8" spans="1:8" ht="15" x14ac:dyDescent="0.4">
      <c r="A8" s="505" t="s">
        <v>191</v>
      </c>
      <c r="B8" s="506">
        <v>3</v>
      </c>
      <c r="D8" s="145" t="s">
        <v>1023</v>
      </c>
      <c r="E8" s="152">
        <f>B7^2/(B8*(B8-B7))</f>
        <v>1.3333333333333333</v>
      </c>
    </row>
    <row r="9" spans="1:8" ht="13.5" thickBot="1" x14ac:dyDescent="0.35">
      <c r="A9" s="507" t="s">
        <v>252</v>
      </c>
      <c r="B9" s="776">
        <v>1</v>
      </c>
      <c r="D9" s="145" t="s">
        <v>153</v>
      </c>
      <c r="E9" s="152">
        <f>B7/(B8-B7)</f>
        <v>2</v>
      </c>
    </row>
    <row r="10" spans="1:8" ht="15" x14ac:dyDescent="0.4">
      <c r="D10" s="145" t="s">
        <v>1024</v>
      </c>
      <c r="E10" s="152">
        <f>B7/(B8*(B8-B7))</f>
        <v>0.66666666666666663</v>
      </c>
    </row>
    <row r="11" spans="1:8" ht="13" x14ac:dyDescent="0.3">
      <c r="D11" s="145" t="s">
        <v>154</v>
      </c>
      <c r="E11" s="152">
        <f>1/(B8-B7)</f>
        <v>1</v>
      </c>
    </row>
    <row r="12" spans="1:8" ht="15.5" thickBot="1" x14ac:dyDescent="0.45">
      <c r="D12" s="148" t="s">
        <v>1025</v>
      </c>
      <c r="E12" s="153">
        <f>1 - E7</f>
        <v>0.33333333333333337</v>
      </c>
    </row>
    <row r="13" spans="1:8" x14ac:dyDescent="0.25">
      <c r="A13" s="540" t="str">
        <f>IF(B7&gt;=B8,"The service rate must be greater than the arrival rate","")</f>
        <v/>
      </c>
    </row>
    <row r="16" spans="1:8" s="202" customFormat="1" x14ac:dyDescent="0.25"/>
    <row r="17" spans="1:3" ht="13.5" thickBot="1" x14ac:dyDescent="0.35">
      <c r="A17" s="509" t="s">
        <v>155</v>
      </c>
    </row>
    <row r="18" spans="1:3" ht="13" x14ac:dyDescent="0.3">
      <c r="A18" s="146" t="s">
        <v>147</v>
      </c>
      <c r="B18" s="147" t="s">
        <v>42</v>
      </c>
      <c r="C18" s="167" t="s">
        <v>156</v>
      </c>
    </row>
    <row r="19" spans="1:3" ht="13" x14ac:dyDescent="0.3">
      <c r="A19" s="145">
        <v>0</v>
      </c>
      <c r="B19" s="778">
        <f>1-B7/B8</f>
        <v>0.33333333333333337</v>
      </c>
      <c r="C19" s="780">
        <f>1-B7/B8</f>
        <v>0.33333333333333337</v>
      </c>
    </row>
    <row r="20" spans="1:3" ht="13" x14ac:dyDescent="0.3">
      <c r="A20" s="145">
        <f>A19+1</f>
        <v>1</v>
      </c>
      <c r="B20" s="778">
        <f>B19*B$7/B$8</f>
        <v>0.22222222222222224</v>
      </c>
      <c r="C20" s="780">
        <f>C19+B20</f>
        <v>0.55555555555555558</v>
      </c>
    </row>
    <row r="21" spans="1:3" ht="13" x14ac:dyDescent="0.3">
      <c r="A21" s="145">
        <f t="shared" ref="A21:A39" si="0">A20+1</f>
        <v>2</v>
      </c>
      <c r="B21" s="778">
        <f t="shared" ref="B21:B39" si="1">B20*B$7/B$8</f>
        <v>0.14814814814814817</v>
      </c>
      <c r="C21" s="780">
        <f t="shared" ref="C21:C39" si="2">C20+B21</f>
        <v>0.70370370370370372</v>
      </c>
    </row>
    <row r="22" spans="1:3" ht="13" x14ac:dyDescent="0.3">
      <c r="A22" s="145">
        <f t="shared" si="0"/>
        <v>3</v>
      </c>
      <c r="B22" s="778">
        <f t="shared" si="1"/>
        <v>9.876543209876544E-2</v>
      </c>
      <c r="C22" s="780">
        <f t="shared" si="2"/>
        <v>0.80246913580246915</v>
      </c>
    </row>
    <row r="23" spans="1:3" ht="13" x14ac:dyDescent="0.3">
      <c r="A23" s="145">
        <f t="shared" si="0"/>
        <v>4</v>
      </c>
      <c r="B23" s="778">
        <f t="shared" si="1"/>
        <v>6.584362139917696E-2</v>
      </c>
      <c r="C23" s="780">
        <f t="shared" si="2"/>
        <v>0.86831275720164613</v>
      </c>
    </row>
    <row r="24" spans="1:3" ht="13" x14ac:dyDescent="0.3">
      <c r="A24" s="145">
        <f t="shared" si="0"/>
        <v>5</v>
      </c>
      <c r="B24" s="778">
        <f t="shared" si="1"/>
        <v>4.3895747599451307E-2</v>
      </c>
      <c r="C24" s="780">
        <f t="shared" si="2"/>
        <v>0.9122085048010975</v>
      </c>
    </row>
    <row r="25" spans="1:3" ht="13" x14ac:dyDescent="0.3">
      <c r="A25" s="145">
        <f t="shared" si="0"/>
        <v>6</v>
      </c>
      <c r="B25" s="778">
        <f t="shared" si="1"/>
        <v>2.9263831732967538E-2</v>
      </c>
      <c r="C25" s="780">
        <f t="shared" si="2"/>
        <v>0.94147233653406504</v>
      </c>
    </row>
    <row r="26" spans="1:3" ht="13" x14ac:dyDescent="0.3">
      <c r="A26" s="145">
        <f t="shared" si="0"/>
        <v>7</v>
      </c>
      <c r="B26" s="778">
        <f t="shared" si="1"/>
        <v>1.9509221155311691E-2</v>
      </c>
      <c r="C26" s="780">
        <f t="shared" si="2"/>
        <v>0.96098155768937676</v>
      </c>
    </row>
    <row r="27" spans="1:3" ht="13" x14ac:dyDescent="0.3">
      <c r="A27" s="145">
        <f t="shared" si="0"/>
        <v>8</v>
      </c>
      <c r="B27" s="778">
        <f t="shared" si="1"/>
        <v>1.3006147436874461E-2</v>
      </c>
      <c r="C27" s="780">
        <f t="shared" si="2"/>
        <v>0.97398770512625121</v>
      </c>
    </row>
    <row r="28" spans="1:3" ht="13" x14ac:dyDescent="0.3">
      <c r="A28" s="145">
        <f t="shared" si="0"/>
        <v>9</v>
      </c>
      <c r="B28" s="778">
        <f t="shared" si="1"/>
        <v>8.670764957916308E-3</v>
      </c>
      <c r="C28" s="780">
        <f t="shared" si="2"/>
        <v>0.98265847008416751</v>
      </c>
    </row>
    <row r="29" spans="1:3" ht="13" x14ac:dyDescent="0.3">
      <c r="A29" s="145">
        <f t="shared" si="0"/>
        <v>10</v>
      </c>
      <c r="B29" s="778">
        <f t="shared" si="1"/>
        <v>5.7805099719442053E-3</v>
      </c>
      <c r="C29" s="780">
        <f t="shared" si="2"/>
        <v>0.98843898005611175</v>
      </c>
    </row>
    <row r="30" spans="1:3" ht="13" x14ac:dyDescent="0.3">
      <c r="A30" s="145">
        <f t="shared" si="0"/>
        <v>11</v>
      </c>
      <c r="B30" s="778">
        <f t="shared" si="1"/>
        <v>3.8536733146294702E-3</v>
      </c>
      <c r="C30" s="780">
        <f t="shared" si="2"/>
        <v>0.99229265337074124</v>
      </c>
    </row>
    <row r="31" spans="1:3" ht="13" x14ac:dyDescent="0.3">
      <c r="A31" s="145">
        <f t="shared" si="0"/>
        <v>12</v>
      </c>
      <c r="B31" s="778">
        <f t="shared" si="1"/>
        <v>2.5691155430863136E-3</v>
      </c>
      <c r="C31" s="780">
        <f t="shared" si="2"/>
        <v>0.9948617689138276</v>
      </c>
    </row>
    <row r="32" spans="1:3" ht="13" x14ac:dyDescent="0.3">
      <c r="A32" s="145">
        <f t="shared" si="0"/>
        <v>13</v>
      </c>
      <c r="B32" s="778">
        <f t="shared" si="1"/>
        <v>1.7127436953908758E-3</v>
      </c>
      <c r="C32" s="780">
        <f t="shared" si="2"/>
        <v>0.99657451260921848</v>
      </c>
    </row>
    <row r="33" spans="1:3" ht="13" x14ac:dyDescent="0.3">
      <c r="A33" s="145">
        <f t="shared" si="0"/>
        <v>14</v>
      </c>
      <c r="B33" s="778">
        <f t="shared" si="1"/>
        <v>1.1418291302605838E-3</v>
      </c>
      <c r="C33" s="780">
        <f t="shared" si="2"/>
        <v>0.9977163417394791</v>
      </c>
    </row>
    <row r="34" spans="1:3" ht="13" x14ac:dyDescent="0.3">
      <c r="A34" s="145">
        <f t="shared" si="0"/>
        <v>15</v>
      </c>
      <c r="B34" s="778">
        <f t="shared" si="1"/>
        <v>7.6121942017372257E-4</v>
      </c>
      <c r="C34" s="780">
        <f t="shared" si="2"/>
        <v>0.9984775611596528</v>
      </c>
    </row>
    <row r="35" spans="1:3" ht="13" x14ac:dyDescent="0.3">
      <c r="A35" s="145">
        <f t="shared" si="0"/>
        <v>16</v>
      </c>
      <c r="B35" s="778">
        <f t="shared" si="1"/>
        <v>5.0747961344914838E-4</v>
      </c>
      <c r="C35" s="780">
        <f t="shared" si="2"/>
        <v>0.99898504077310191</v>
      </c>
    </row>
    <row r="36" spans="1:3" ht="13" x14ac:dyDescent="0.3">
      <c r="A36" s="145">
        <f t="shared" si="0"/>
        <v>17</v>
      </c>
      <c r="B36" s="778">
        <f t="shared" si="1"/>
        <v>3.3831974229943227E-4</v>
      </c>
      <c r="C36" s="780">
        <f t="shared" si="2"/>
        <v>0.99932336051540138</v>
      </c>
    </row>
    <row r="37" spans="1:3" ht="13" x14ac:dyDescent="0.3">
      <c r="A37" s="145">
        <f t="shared" si="0"/>
        <v>18</v>
      </c>
      <c r="B37" s="778">
        <f t="shared" si="1"/>
        <v>2.2554649486628819E-4</v>
      </c>
      <c r="C37" s="780">
        <f t="shared" si="2"/>
        <v>0.99954890701026766</v>
      </c>
    </row>
    <row r="38" spans="1:3" ht="13" x14ac:dyDescent="0.3">
      <c r="A38" s="145">
        <f t="shared" si="0"/>
        <v>19</v>
      </c>
      <c r="B38" s="778">
        <f t="shared" si="1"/>
        <v>1.503643299108588E-4</v>
      </c>
      <c r="C38" s="780">
        <f t="shared" si="2"/>
        <v>0.99969927134017855</v>
      </c>
    </row>
    <row r="39" spans="1:3" ht="13.5" thickBot="1" x14ac:dyDescent="0.35">
      <c r="A39" s="148">
        <f t="shared" si="0"/>
        <v>20</v>
      </c>
      <c r="B39" s="779">
        <f t="shared" si="1"/>
        <v>1.002428866072392E-4</v>
      </c>
      <c r="C39" s="781">
        <f t="shared" si="2"/>
        <v>0.99979951422678581</v>
      </c>
    </row>
    <row r="40" spans="1:3" x14ac:dyDescent="0.25">
      <c r="B40" s="777"/>
      <c r="C40" s="777"/>
    </row>
  </sheetData>
  <pageMargins left="0.7" right="0.7" top="0.75" bottom="0.75" header="0.3" footer="0.3"/>
  <drawing r:id="rId1"/>
  <legacyDrawing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69"/>
  <sheetViews>
    <sheetView zoomScale="95" zoomScaleNormal="95" workbookViewId="0">
      <selection activeCell="B10" sqref="B10"/>
    </sheetView>
  </sheetViews>
  <sheetFormatPr defaultColWidth="9.08984375" defaultRowHeight="12.5" x14ac:dyDescent="0.25"/>
  <cols>
    <col min="1" max="1" width="17.7265625" style="160" customWidth="1"/>
    <col min="2" max="2" width="10.81640625" style="160" bestFit="1" customWidth="1"/>
    <col min="3" max="3" width="10.36328125" style="160" customWidth="1"/>
    <col min="4" max="4" width="44.36328125" style="160" bestFit="1" customWidth="1"/>
    <col min="5" max="5" width="7.7265625" style="160" customWidth="1"/>
    <col min="6" max="16384" width="9.08984375" style="160"/>
  </cols>
  <sheetData>
    <row r="1" spans="1:8" ht="18" x14ac:dyDescent="0.4">
      <c r="A1" s="513" t="s">
        <v>25</v>
      </c>
    </row>
    <row r="3" spans="1:8" ht="15.5" x14ac:dyDescent="0.35">
      <c r="A3" s="500" t="s">
        <v>0</v>
      </c>
      <c r="B3" s="500"/>
      <c r="C3" s="500" t="s">
        <v>157</v>
      </c>
      <c r="D3" s="500"/>
      <c r="E3" s="500"/>
      <c r="F3" s="500"/>
      <c r="G3" s="500"/>
      <c r="H3" s="500"/>
    </row>
    <row r="4" spans="1:8" x14ac:dyDescent="0.25">
      <c r="A4" s="499"/>
      <c r="B4" s="499"/>
    </row>
    <row r="6" spans="1:8" ht="13.5" thickBot="1" x14ac:dyDescent="0.35">
      <c r="A6" s="501" t="s">
        <v>27</v>
      </c>
      <c r="D6" s="509" t="s">
        <v>31</v>
      </c>
    </row>
    <row r="7" spans="1:8" ht="13" x14ac:dyDescent="0.3">
      <c r="A7" s="503" t="s">
        <v>190</v>
      </c>
      <c r="B7" s="504">
        <v>2</v>
      </c>
      <c r="D7" s="146" t="s">
        <v>1022</v>
      </c>
      <c r="E7" s="167">
        <f>B7/(B8*B9)</f>
        <v>0.33333333333333331</v>
      </c>
    </row>
    <row r="8" spans="1:8" ht="15" x14ac:dyDescent="0.4">
      <c r="A8" s="505" t="s">
        <v>191</v>
      </c>
      <c r="B8" s="506">
        <v>3</v>
      </c>
      <c r="D8" s="145" t="s">
        <v>1023</v>
      </c>
      <c r="E8" s="152">
        <f>VLOOKUP($B$9,$A$40:$G$61,7)</f>
        <v>8.3333333333333315E-2</v>
      </c>
    </row>
    <row r="9" spans="1:8" ht="13.5" thickBot="1" x14ac:dyDescent="0.35">
      <c r="A9" s="507" t="s">
        <v>158</v>
      </c>
      <c r="B9" s="508">
        <v>2</v>
      </c>
      <c r="D9" s="145" t="s">
        <v>153</v>
      </c>
      <c r="E9" s="152">
        <f>E8+B7/B8</f>
        <v>0.75</v>
      </c>
    </row>
    <row r="10" spans="1:8" ht="15" x14ac:dyDescent="0.4">
      <c r="D10" s="145" t="s">
        <v>1024</v>
      </c>
      <c r="E10" s="152">
        <f>E8/B7</f>
        <v>4.1666666666666657E-2</v>
      </c>
    </row>
    <row r="11" spans="1:8" ht="13" x14ac:dyDescent="0.3">
      <c r="D11" s="145" t="s">
        <v>154</v>
      </c>
      <c r="E11" s="152">
        <f>E10+1/B8</f>
        <v>0.375</v>
      </c>
    </row>
    <row r="12" spans="1:8" s="202" customFormat="1" ht="15.5" thickBot="1" x14ac:dyDescent="0.45">
      <c r="D12" s="782" t="s">
        <v>1025</v>
      </c>
      <c r="E12" s="783">
        <f>VLOOKUP($B$9,$A$40:$G$61,5)</f>
        <v>0.5</v>
      </c>
    </row>
    <row r="13" spans="1:8" x14ac:dyDescent="0.25">
      <c r="A13" s="540" t="str">
        <f>IF(B7&gt;=B8*B9,"The total service rate (rate*servers) must be greater than the arrival rate","")</f>
        <v/>
      </c>
    </row>
    <row r="16" spans="1:8" ht="13.5" thickBot="1" x14ac:dyDescent="0.35">
      <c r="A16" s="509" t="s">
        <v>155</v>
      </c>
    </row>
    <row r="17" spans="1:3" ht="13" x14ac:dyDescent="0.3">
      <c r="A17" s="146" t="s">
        <v>147</v>
      </c>
      <c r="B17" s="147" t="s">
        <v>42</v>
      </c>
      <c r="C17" s="167" t="s">
        <v>156</v>
      </c>
    </row>
    <row r="18" spans="1:3" ht="13" x14ac:dyDescent="0.3">
      <c r="A18" s="145">
        <v>0</v>
      </c>
      <c r="B18" s="778">
        <f>VLOOKUP(B9,A39:E61,5)</f>
        <v>0.5</v>
      </c>
      <c r="C18" s="780">
        <f>B18</f>
        <v>0.5</v>
      </c>
    </row>
    <row r="19" spans="1:3" ht="13" x14ac:dyDescent="0.3">
      <c r="A19" s="145">
        <f>A18+1</f>
        <v>1</v>
      </c>
      <c r="B19" s="778">
        <f>IF(A19&lt;=$B$9,($B$7/$B$8)^A19*$E$12/FACT(A19),($B$7/$B$8)^A19*$E$12/(FACT($B$9)*$B$9^(A19-$B$9)))</f>
        <v>0.33333333333333331</v>
      </c>
      <c r="C19" s="780">
        <f>C18+B19</f>
        <v>0.83333333333333326</v>
      </c>
    </row>
    <row r="20" spans="1:3" ht="13" x14ac:dyDescent="0.3">
      <c r="A20" s="145">
        <f t="shared" ref="A20:A38" si="0">A19+1</f>
        <v>2</v>
      </c>
      <c r="B20" s="778">
        <f t="shared" ref="B20:B38" si="1">IF(A20&lt;=$B$9,($B$7/$B$8)^A20*$E$12/FACT(A20),($B$7/$B$8)^A20*$E$12/(FACT($B$9)*$B$9^(A20-$B$9)))</f>
        <v>0.1111111111111111</v>
      </c>
      <c r="C20" s="780">
        <f t="shared" ref="C20:C38" si="2">C19+B20</f>
        <v>0.94444444444444442</v>
      </c>
    </row>
    <row r="21" spans="1:3" ht="13" x14ac:dyDescent="0.3">
      <c r="A21" s="145">
        <f t="shared" si="0"/>
        <v>3</v>
      </c>
      <c r="B21" s="778">
        <f t="shared" si="1"/>
        <v>3.7037037037037035E-2</v>
      </c>
      <c r="C21" s="780">
        <f t="shared" si="2"/>
        <v>0.9814814814814814</v>
      </c>
    </row>
    <row r="22" spans="1:3" ht="13" x14ac:dyDescent="0.3">
      <c r="A22" s="145">
        <f t="shared" si="0"/>
        <v>4</v>
      </c>
      <c r="B22" s="778">
        <f t="shared" si="1"/>
        <v>1.2345679012345678E-2</v>
      </c>
      <c r="C22" s="780">
        <f t="shared" si="2"/>
        <v>0.99382716049382713</v>
      </c>
    </row>
    <row r="23" spans="1:3" ht="13" x14ac:dyDescent="0.3">
      <c r="A23" s="145">
        <f t="shared" si="0"/>
        <v>5</v>
      </c>
      <c r="B23" s="778">
        <f t="shared" si="1"/>
        <v>4.1152263374485592E-3</v>
      </c>
      <c r="C23" s="780">
        <f t="shared" si="2"/>
        <v>0.99794238683127567</v>
      </c>
    </row>
    <row r="24" spans="1:3" ht="13" x14ac:dyDescent="0.3">
      <c r="A24" s="145">
        <f t="shared" si="0"/>
        <v>6</v>
      </c>
      <c r="B24" s="778">
        <f t="shared" si="1"/>
        <v>1.3717421124828531E-3</v>
      </c>
      <c r="C24" s="780">
        <f t="shared" si="2"/>
        <v>0.99931412894375848</v>
      </c>
    </row>
    <row r="25" spans="1:3" ht="13" x14ac:dyDescent="0.3">
      <c r="A25" s="145">
        <f t="shared" si="0"/>
        <v>7</v>
      </c>
      <c r="B25" s="778">
        <f t="shared" si="1"/>
        <v>4.5724737082761767E-4</v>
      </c>
      <c r="C25" s="780">
        <f t="shared" si="2"/>
        <v>0.99977137631458612</v>
      </c>
    </row>
    <row r="26" spans="1:3" ht="13" x14ac:dyDescent="0.3">
      <c r="A26" s="145">
        <f t="shared" si="0"/>
        <v>8</v>
      </c>
      <c r="B26" s="778">
        <f t="shared" si="1"/>
        <v>1.5241579027587256E-4</v>
      </c>
      <c r="C26" s="780">
        <f t="shared" si="2"/>
        <v>0.99992379210486204</v>
      </c>
    </row>
    <row r="27" spans="1:3" ht="13" x14ac:dyDescent="0.3">
      <c r="A27" s="145">
        <f t="shared" si="0"/>
        <v>9</v>
      </c>
      <c r="B27" s="778">
        <f t="shared" si="1"/>
        <v>5.080526342529085E-5</v>
      </c>
      <c r="C27" s="780">
        <f t="shared" si="2"/>
        <v>0.99997459736828731</v>
      </c>
    </row>
    <row r="28" spans="1:3" ht="13" x14ac:dyDescent="0.3">
      <c r="A28" s="145">
        <f t="shared" si="0"/>
        <v>10</v>
      </c>
      <c r="B28" s="778">
        <f t="shared" si="1"/>
        <v>1.6935087808430282E-5</v>
      </c>
      <c r="C28" s="780">
        <f t="shared" si="2"/>
        <v>0.99999153245609573</v>
      </c>
    </row>
    <row r="29" spans="1:3" ht="13" x14ac:dyDescent="0.3">
      <c r="A29" s="145">
        <f t="shared" si="0"/>
        <v>11</v>
      </c>
      <c r="B29" s="778">
        <f t="shared" si="1"/>
        <v>5.6450292694767613E-6</v>
      </c>
      <c r="C29" s="780">
        <f t="shared" si="2"/>
        <v>0.99999717748536521</v>
      </c>
    </row>
    <row r="30" spans="1:3" ht="13" x14ac:dyDescent="0.3">
      <c r="A30" s="145">
        <f t="shared" si="0"/>
        <v>12</v>
      </c>
      <c r="B30" s="778">
        <f t="shared" si="1"/>
        <v>1.8816764231589204E-6</v>
      </c>
      <c r="C30" s="780">
        <f t="shared" si="2"/>
        <v>0.99999905916178833</v>
      </c>
    </row>
    <row r="31" spans="1:3" ht="13" x14ac:dyDescent="0.3">
      <c r="A31" s="145">
        <f t="shared" si="0"/>
        <v>13</v>
      </c>
      <c r="B31" s="778">
        <f t="shared" si="1"/>
        <v>6.2722547438630672E-7</v>
      </c>
      <c r="C31" s="780">
        <f t="shared" si="2"/>
        <v>0.99999968638726267</v>
      </c>
    </row>
    <row r="32" spans="1:3" ht="13" x14ac:dyDescent="0.3">
      <c r="A32" s="145">
        <f t="shared" si="0"/>
        <v>14</v>
      </c>
      <c r="B32" s="778">
        <f t="shared" si="1"/>
        <v>2.0907515812876892E-7</v>
      </c>
      <c r="C32" s="780">
        <f t="shared" si="2"/>
        <v>0.99999989546242074</v>
      </c>
    </row>
    <row r="33" spans="1:10" ht="13" x14ac:dyDescent="0.3">
      <c r="A33" s="145">
        <f t="shared" si="0"/>
        <v>15</v>
      </c>
      <c r="B33" s="778">
        <f t="shared" si="1"/>
        <v>6.9691719376256296E-8</v>
      </c>
      <c r="C33" s="780">
        <f t="shared" si="2"/>
        <v>0.99999996515414014</v>
      </c>
    </row>
    <row r="34" spans="1:10" ht="13" x14ac:dyDescent="0.3">
      <c r="A34" s="145">
        <f t="shared" si="0"/>
        <v>16</v>
      </c>
      <c r="B34" s="778">
        <f t="shared" si="1"/>
        <v>2.3230573125418767E-8</v>
      </c>
      <c r="C34" s="780">
        <f t="shared" si="2"/>
        <v>0.99999998838471327</v>
      </c>
    </row>
    <row r="35" spans="1:10" ht="13" x14ac:dyDescent="0.3">
      <c r="A35" s="145">
        <f t="shared" si="0"/>
        <v>17</v>
      </c>
      <c r="B35" s="778">
        <f t="shared" si="1"/>
        <v>7.7435243751395883E-9</v>
      </c>
      <c r="C35" s="780">
        <f t="shared" si="2"/>
        <v>0.99999999612823764</v>
      </c>
    </row>
    <row r="36" spans="1:10" ht="13" x14ac:dyDescent="0.3">
      <c r="A36" s="145">
        <f t="shared" si="0"/>
        <v>18</v>
      </c>
      <c r="B36" s="778">
        <f t="shared" si="1"/>
        <v>2.5811747917131962E-9</v>
      </c>
      <c r="C36" s="780">
        <f t="shared" si="2"/>
        <v>0.99999999870941247</v>
      </c>
    </row>
    <row r="37" spans="1:10" ht="13" x14ac:dyDescent="0.3">
      <c r="A37" s="145">
        <f t="shared" si="0"/>
        <v>19</v>
      </c>
      <c r="B37" s="778">
        <f t="shared" si="1"/>
        <v>8.6039159723773204E-10</v>
      </c>
      <c r="C37" s="780">
        <f t="shared" si="2"/>
        <v>0.99999999956980412</v>
      </c>
    </row>
    <row r="38" spans="1:10" ht="13.5" thickBot="1" x14ac:dyDescent="0.35">
      <c r="A38" s="148">
        <f t="shared" si="0"/>
        <v>20</v>
      </c>
      <c r="B38" s="779">
        <f t="shared" si="1"/>
        <v>2.8679719907924403E-10</v>
      </c>
      <c r="C38" s="781">
        <f t="shared" si="2"/>
        <v>0.99999999985660137</v>
      </c>
      <c r="D38" s="160" t="s">
        <v>159</v>
      </c>
      <c r="E38" s="160" t="s">
        <v>160</v>
      </c>
      <c r="F38" s="160" t="s">
        <v>161</v>
      </c>
      <c r="G38" s="160" t="s">
        <v>162</v>
      </c>
      <c r="H38" s="160" t="s">
        <v>163</v>
      </c>
      <c r="I38" s="160" t="s">
        <v>164</v>
      </c>
      <c r="J38" s="160" t="s">
        <v>165</v>
      </c>
    </row>
    <row r="39" spans="1:10" x14ac:dyDescent="0.25">
      <c r="A39" s="160">
        <v>0</v>
      </c>
      <c r="B39" s="777">
        <v>1</v>
      </c>
      <c r="C39" s="777"/>
    </row>
    <row r="40" spans="1:10" x14ac:dyDescent="0.25">
      <c r="A40" s="160">
        <v>1</v>
      </c>
      <c r="B40" s="160">
        <f>($B$7/$B$8)^A40/FACT(A40)</f>
        <v>0.66666666666666663</v>
      </c>
      <c r="C40" s="160">
        <f>SUM(B39:$B$39)</f>
        <v>1</v>
      </c>
      <c r="D40" s="160">
        <f>+B40/(1-$B$7/(A40*$B$8))</f>
        <v>1.9999999999999996</v>
      </c>
      <c r="E40" s="160">
        <f>1/(C40+D40)</f>
        <v>0.33333333333333337</v>
      </c>
      <c r="F40" s="160">
        <f>$B$7/($B$8*A40)</f>
        <v>0.66666666666666663</v>
      </c>
      <c r="G40" s="160">
        <f>+E40*B40*F40/(1-F40)^2</f>
        <v>1.333333333333333</v>
      </c>
      <c r="H40" s="160">
        <f>G40+$B$7/$B$8</f>
        <v>1.9999999999999996</v>
      </c>
      <c r="I40" s="160">
        <f>G40/$B$7</f>
        <v>0.66666666666666652</v>
      </c>
      <c r="J40" s="160">
        <f>I40+1/$B$8</f>
        <v>0.99999999999999978</v>
      </c>
    </row>
    <row r="41" spans="1:10" x14ac:dyDescent="0.25">
      <c r="A41" s="160">
        <v>2</v>
      </c>
      <c r="B41" s="160">
        <f t="shared" ref="B41:B61" si="3">($B$7/$B$8)^A41/FACT(A41)</f>
        <v>0.22222222222222221</v>
      </c>
      <c r="C41" s="160">
        <f>SUM(B$39:$B40)</f>
        <v>1.6666666666666665</v>
      </c>
      <c r="D41" s="160">
        <f t="shared" ref="D41:D61" si="4">+B41/(1-$B$7/(A41*$B$8))</f>
        <v>0.33333333333333326</v>
      </c>
      <c r="E41" s="160">
        <f t="shared" ref="E41:E61" si="5">1/(C41+D41)</f>
        <v>0.5</v>
      </c>
      <c r="F41" s="160">
        <f t="shared" ref="F41:F61" si="6">$B$7/($B$8*A41)</f>
        <v>0.33333333333333331</v>
      </c>
      <c r="G41" s="160">
        <f t="shared" ref="G41:G61" si="7">+E41*B41*F41/(1-F41)^2</f>
        <v>8.3333333333333315E-2</v>
      </c>
      <c r="H41" s="160">
        <f t="shared" ref="H41:H61" si="8">G41+$B$7/$B$8</f>
        <v>0.75</v>
      </c>
      <c r="I41" s="160">
        <f t="shared" ref="I41:I61" si="9">G41/$B$7</f>
        <v>4.1666666666666657E-2</v>
      </c>
      <c r="J41" s="160">
        <f t="shared" ref="J41:J61" si="10">I41+1/$B$8</f>
        <v>0.375</v>
      </c>
    </row>
    <row r="42" spans="1:10" x14ac:dyDescent="0.25">
      <c r="A42" s="160">
        <v>3</v>
      </c>
      <c r="B42" s="160">
        <f t="shared" si="3"/>
        <v>4.9382716049382713E-2</v>
      </c>
      <c r="C42" s="160">
        <f>SUM(B$39:$B41)</f>
        <v>1.8888888888888888</v>
      </c>
      <c r="D42" s="160">
        <f t="shared" si="4"/>
        <v>6.3492063492063489E-2</v>
      </c>
      <c r="E42" s="160">
        <f t="shared" si="5"/>
        <v>0.51219512195121952</v>
      </c>
      <c r="F42" s="160">
        <f t="shared" si="6"/>
        <v>0.22222222222222221</v>
      </c>
      <c r="G42" s="160">
        <f t="shared" si="7"/>
        <v>9.2915214866434361E-3</v>
      </c>
      <c r="H42" s="160">
        <f t="shared" si="8"/>
        <v>0.6759581881533101</v>
      </c>
      <c r="I42" s="160">
        <f t="shared" si="9"/>
        <v>4.6457607433217181E-3</v>
      </c>
      <c r="J42" s="160">
        <f t="shared" si="10"/>
        <v>0.33797909407665505</v>
      </c>
    </row>
    <row r="43" spans="1:10" x14ac:dyDescent="0.25">
      <c r="A43" s="160">
        <v>4</v>
      </c>
      <c r="B43" s="160">
        <f t="shared" si="3"/>
        <v>8.2304526748971183E-3</v>
      </c>
      <c r="C43" s="160">
        <f>SUM(B$39:$B42)</f>
        <v>1.9382716049382716</v>
      </c>
      <c r="D43" s="160">
        <f t="shared" si="4"/>
        <v>9.8765432098765413E-3</v>
      </c>
      <c r="E43" s="160">
        <f t="shared" si="5"/>
        <v>0.51330798479087447</v>
      </c>
      <c r="F43" s="160">
        <f t="shared" si="6"/>
        <v>0.16666666666666666</v>
      </c>
      <c r="G43" s="160">
        <f t="shared" si="7"/>
        <v>1.0139416983523442E-3</v>
      </c>
      <c r="H43" s="160">
        <f t="shared" si="8"/>
        <v>0.66768060836501897</v>
      </c>
      <c r="I43" s="160">
        <f t="shared" si="9"/>
        <v>5.0697084917617212E-4</v>
      </c>
      <c r="J43" s="160">
        <f t="shared" si="10"/>
        <v>0.33384030418250948</v>
      </c>
    </row>
    <row r="44" spans="1:10" x14ac:dyDescent="0.25">
      <c r="A44" s="160">
        <v>5</v>
      </c>
      <c r="B44" s="160">
        <f t="shared" si="3"/>
        <v>1.0973936899862824E-3</v>
      </c>
      <c r="C44" s="160">
        <f>SUM(B$39:$B43)</f>
        <v>1.9465020576131686</v>
      </c>
      <c r="D44" s="160">
        <f t="shared" si="4"/>
        <v>1.2662234884457104E-3</v>
      </c>
      <c r="E44" s="160">
        <f t="shared" si="5"/>
        <v>0.51340809361287176</v>
      </c>
      <c r="F44" s="160">
        <f t="shared" si="6"/>
        <v>0.13333333333333333</v>
      </c>
      <c r="G44" s="160">
        <f t="shared" si="7"/>
        <v>1.0001375189088497E-4</v>
      </c>
      <c r="H44" s="160">
        <f t="shared" si="8"/>
        <v>0.66676668041855747</v>
      </c>
      <c r="I44" s="160">
        <f t="shared" si="9"/>
        <v>5.0006875945442484E-5</v>
      </c>
      <c r="J44" s="160">
        <f t="shared" si="10"/>
        <v>0.33338334020927873</v>
      </c>
    </row>
    <row r="45" spans="1:10" x14ac:dyDescent="0.25">
      <c r="A45" s="160">
        <v>6</v>
      </c>
      <c r="B45" s="160">
        <f t="shared" si="3"/>
        <v>1.2193263222069806E-4</v>
      </c>
      <c r="C45" s="160">
        <f>SUM(B$39:$B44)</f>
        <v>1.9475994513031549</v>
      </c>
      <c r="D45" s="160">
        <f t="shared" si="4"/>
        <v>1.3717421124828533E-4</v>
      </c>
      <c r="E45" s="160">
        <f t="shared" si="5"/>
        <v>0.51341643777730828</v>
      </c>
      <c r="F45" s="160">
        <f t="shared" si="6"/>
        <v>0.1111111111111111</v>
      </c>
      <c r="G45" s="160">
        <f t="shared" si="7"/>
        <v>8.803436861750827E-6</v>
      </c>
      <c r="H45" s="160">
        <f t="shared" si="8"/>
        <v>0.66667547010352834</v>
      </c>
      <c r="I45" s="160">
        <f t="shared" si="9"/>
        <v>4.4017184308754135E-6</v>
      </c>
      <c r="J45" s="160">
        <f t="shared" si="10"/>
        <v>0.33333773505176417</v>
      </c>
    </row>
    <row r="46" spans="1:10" x14ac:dyDescent="0.25">
      <c r="A46" s="160">
        <v>7</v>
      </c>
      <c r="B46" s="160">
        <f t="shared" si="3"/>
        <v>1.161263164006648E-5</v>
      </c>
      <c r="C46" s="160">
        <f>SUM(B$39:$B45)</f>
        <v>1.9477213839353755</v>
      </c>
      <c r="D46" s="160">
        <f t="shared" si="4"/>
        <v>1.2835013917968215E-5</v>
      </c>
      <c r="E46" s="160">
        <f t="shared" si="5"/>
        <v>0.51341707214008425</v>
      </c>
      <c r="F46" s="160">
        <f t="shared" si="6"/>
        <v>9.5238095238095233E-2</v>
      </c>
      <c r="G46" s="160">
        <f t="shared" si="7"/>
        <v>6.9365423859373393E-7</v>
      </c>
      <c r="H46" s="160">
        <f t="shared" si="8"/>
        <v>0.66666736032090523</v>
      </c>
      <c r="I46" s="160">
        <f t="shared" si="9"/>
        <v>3.4682711929686696E-7</v>
      </c>
      <c r="J46" s="160">
        <f t="shared" si="10"/>
        <v>0.33333368016045262</v>
      </c>
    </row>
    <row r="47" spans="1:10" x14ac:dyDescent="0.25">
      <c r="A47" s="160">
        <v>8</v>
      </c>
      <c r="B47" s="160">
        <f t="shared" si="3"/>
        <v>9.6771930333887342E-7</v>
      </c>
      <c r="C47" s="160">
        <f>SUM(B$39:$B46)</f>
        <v>1.9477329965670156</v>
      </c>
      <c r="D47" s="160">
        <f t="shared" si="4"/>
        <v>1.0556937854605893E-6</v>
      </c>
      <c r="E47" s="160">
        <f t="shared" si="5"/>
        <v>0.51341711607868945</v>
      </c>
      <c r="F47" s="160">
        <f t="shared" si="6"/>
        <v>8.3333333333333329E-2</v>
      </c>
      <c r="G47" s="160">
        <f t="shared" si="7"/>
        <v>4.9273750799397311E-8</v>
      </c>
      <c r="H47" s="160">
        <f t="shared" si="8"/>
        <v>0.66666671594041738</v>
      </c>
      <c r="I47" s="160">
        <f t="shared" si="9"/>
        <v>2.4636875399698656E-8</v>
      </c>
      <c r="J47" s="160">
        <f t="shared" si="10"/>
        <v>0.33333335797020869</v>
      </c>
    </row>
    <row r="48" spans="1:10" x14ac:dyDescent="0.25">
      <c r="A48" s="160">
        <v>9</v>
      </c>
      <c r="B48" s="160">
        <f t="shared" si="3"/>
        <v>7.1682911358435057E-8</v>
      </c>
      <c r="C48" s="160">
        <f>SUM(B$39:$B47)</f>
        <v>1.947733964286319</v>
      </c>
      <c r="D48" s="160">
        <f t="shared" si="4"/>
        <v>7.7417544267109867E-8</v>
      </c>
      <c r="E48" s="160">
        <f t="shared" si="5"/>
        <v>0.51341711886146801</v>
      </c>
      <c r="F48" s="160">
        <f t="shared" si="6"/>
        <v>7.407407407407407E-2</v>
      </c>
      <c r="G48" s="160">
        <f t="shared" si="7"/>
        <v>3.1797994021559763E-9</v>
      </c>
      <c r="H48" s="160">
        <f t="shared" si="8"/>
        <v>0.66666666984646605</v>
      </c>
      <c r="I48" s="160">
        <f t="shared" si="9"/>
        <v>1.5898997010779882E-9</v>
      </c>
      <c r="J48" s="160">
        <f t="shared" si="10"/>
        <v>0.33333333492323303</v>
      </c>
    </row>
    <row r="49" spans="1:10" x14ac:dyDescent="0.25">
      <c r="A49" s="160">
        <v>10</v>
      </c>
      <c r="B49" s="160">
        <f t="shared" si="3"/>
        <v>4.7788607572290039E-9</v>
      </c>
      <c r="C49" s="160">
        <f>SUM(B$39:$B48)</f>
        <v>1.9477340359692303</v>
      </c>
      <c r="D49" s="160">
        <f t="shared" si="4"/>
        <v>5.1202079541739325E-9</v>
      </c>
      <c r="E49" s="160">
        <f t="shared" si="5"/>
        <v>0.51341711902342868</v>
      </c>
      <c r="F49" s="160">
        <f t="shared" si="6"/>
        <v>6.6666666666666666E-2</v>
      </c>
      <c r="G49" s="160">
        <f t="shared" si="7"/>
        <v>1.8777160118805887E-10</v>
      </c>
      <c r="H49" s="160">
        <f t="shared" si="8"/>
        <v>0.66666666685443821</v>
      </c>
      <c r="I49" s="160">
        <f t="shared" si="9"/>
        <v>9.3885800594029434E-11</v>
      </c>
      <c r="J49" s="160">
        <f t="shared" si="10"/>
        <v>0.3333333334272191</v>
      </c>
    </row>
    <row r="50" spans="1:10" x14ac:dyDescent="0.25">
      <c r="A50" s="160">
        <v>11</v>
      </c>
      <c r="B50" s="160">
        <f t="shared" si="3"/>
        <v>2.8962792468054571E-10</v>
      </c>
      <c r="C50" s="160">
        <f>SUM(B$39:$B49)</f>
        <v>1.9477340407480912</v>
      </c>
      <c r="D50" s="160">
        <f t="shared" si="4"/>
        <v>3.083135972405809E-10</v>
      </c>
      <c r="E50" s="160">
        <f t="shared" si="5"/>
        <v>0.51341711903213627</v>
      </c>
      <c r="F50" s="160">
        <f t="shared" si="6"/>
        <v>6.0606060606060608E-2</v>
      </c>
      <c r="G50" s="160">
        <f t="shared" si="7"/>
        <v>1.02124825066899E-11</v>
      </c>
      <c r="H50" s="160">
        <f t="shared" si="8"/>
        <v>0.66666666667687913</v>
      </c>
      <c r="I50" s="160">
        <f t="shared" si="9"/>
        <v>5.1062412533449501E-12</v>
      </c>
      <c r="J50" s="160">
        <f t="shared" si="10"/>
        <v>0.33333333333843956</v>
      </c>
    </row>
    <row r="51" spans="1:10" x14ac:dyDescent="0.25">
      <c r="A51" s="160">
        <v>12</v>
      </c>
      <c r="B51" s="160">
        <f t="shared" si="3"/>
        <v>1.6090440260030318E-11</v>
      </c>
      <c r="C51" s="160">
        <f>SUM(B$39:$B50)</f>
        <v>1.9477340410377191</v>
      </c>
      <c r="D51" s="160">
        <f t="shared" si="4"/>
        <v>1.7036936745914456E-11</v>
      </c>
      <c r="E51" s="160">
        <f t="shared" si="5"/>
        <v>0.51341711903257092</v>
      </c>
      <c r="F51" s="160">
        <f t="shared" si="6"/>
        <v>5.5555555555555552E-2</v>
      </c>
      <c r="G51" s="160">
        <f t="shared" si="7"/>
        <v>5.1453264595456128E-13</v>
      </c>
      <c r="H51" s="160">
        <f t="shared" si="8"/>
        <v>0.66666666666718111</v>
      </c>
      <c r="I51" s="160">
        <f t="shared" si="9"/>
        <v>2.5726632297728064E-13</v>
      </c>
      <c r="J51" s="160">
        <f t="shared" si="10"/>
        <v>0.33333333333359055</v>
      </c>
    </row>
    <row r="52" spans="1:10" x14ac:dyDescent="0.25">
      <c r="A52" s="160">
        <v>13</v>
      </c>
      <c r="B52" s="160">
        <f t="shared" si="3"/>
        <v>8.2515078256565714E-13</v>
      </c>
      <c r="C52" s="160">
        <f>SUM(B$39:$B51)</f>
        <v>1.9477340410538095</v>
      </c>
      <c r="D52" s="160">
        <f t="shared" si="4"/>
        <v>8.6975352756920624E-13</v>
      </c>
      <c r="E52" s="160">
        <f t="shared" si="5"/>
        <v>0.51341711903259113</v>
      </c>
      <c r="F52" s="160">
        <f t="shared" si="6"/>
        <v>5.128205128205128E-2</v>
      </c>
      <c r="G52" s="160">
        <f t="shared" si="7"/>
        <v>2.4137640561784606E-14</v>
      </c>
      <c r="H52" s="160">
        <f t="shared" si="8"/>
        <v>0.66666666666669072</v>
      </c>
      <c r="I52" s="160">
        <f t="shared" si="9"/>
        <v>1.2068820280892303E-14</v>
      </c>
      <c r="J52" s="160">
        <f t="shared" si="10"/>
        <v>0.33333333333334536</v>
      </c>
    </row>
    <row r="53" spans="1:10" x14ac:dyDescent="0.25">
      <c r="A53" s="160">
        <v>14</v>
      </c>
      <c r="B53" s="160">
        <f t="shared" si="3"/>
        <v>3.9292894407888437E-14</v>
      </c>
      <c r="C53" s="160">
        <f>SUM(B$39:$B52)</f>
        <v>1.9477340410546347</v>
      </c>
      <c r="D53" s="160">
        <f t="shared" si="4"/>
        <v>4.1257539128282863E-14</v>
      </c>
      <c r="E53" s="160">
        <f t="shared" si="5"/>
        <v>0.51341711903259202</v>
      </c>
      <c r="F53" s="160">
        <f t="shared" si="6"/>
        <v>4.7619047619047616E-2</v>
      </c>
      <c r="G53" s="160">
        <f t="shared" si="7"/>
        <v>1.059116343880871E-15</v>
      </c>
      <c r="H53" s="160">
        <f t="shared" si="8"/>
        <v>0.66666666666666774</v>
      </c>
      <c r="I53" s="160">
        <f t="shared" si="9"/>
        <v>5.2955817194043552E-16</v>
      </c>
      <c r="J53" s="160">
        <f t="shared" si="10"/>
        <v>0.33333333333333387</v>
      </c>
    </row>
    <row r="54" spans="1:10" x14ac:dyDescent="0.25">
      <c r="A54" s="160">
        <v>15</v>
      </c>
      <c r="B54" s="160">
        <f t="shared" si="3"/>
        <v>1.7463508625728193E-15</v>
      </c>
      <c r="C54" s="160">
        <f>SUM(B$39:$B53)</f>
        <v>1.947734041054674</v>
      </c>
      <c r="D54" s="160">
        <f t="shared" si="4"/>
        <v>1.8275764840878341E-15</v>
      </c>
      <c r="E54" s="160">
        <f t="shared" si="5"/>
        <v>0.51341711903259202</v>
      </c>
      <c r="F54" s="160">
        <f t="shared" si="6"/>
        <v>4.4444444444444446E-2</v>
      </c>
      <c r="G54" s="160">
        <f t="shared" si="7"/>
        <v>4.3642281547539051E-17</v>
      </c>
      <c r="H54" s="160">
        <f t="shared" si="8"/>
        <v>0.66666666666666663</v>
      </c>
      <c r="I54" s="160">
        <f t="shared" si="9"/>
        <v>2.1821140773769525E-17</v>
      </c>
      <c r="J54" s="160">
        <f t="shared" si="10"/>
        <v>0.33333333333333331</v>
      </c>
    </row>
    <row r="55" spans="1:10" x14ac:dyDescent="0.25">
      <c r="A55" s="160">
        <v>16</v>
      </c>
      <c r="B55" s="160">
        <f t="shared" si="3"/>
        <v>7.2764619273867469E-17</v>
      </c>
      <c r="C55" s="160">
        <f>SUM(B$39:$B54)</f>
        <v>1.9477340410546757</v>
      </c>
      <c r="D55" s="160">
        <f t="shared" si="4"/>
        <v>7.5928298372731272E-17</v>
      </c>
      <c r="E55" s="160">
        <f t="shared" si="5"/>
        <v>0.51341711903259202</v>
      </c>
      <c r="F55" s="160">
        <f t="shared" si="6"/>
        <v>4.1666666666666664E-2</v>
      </c>
      <c r="G55" s="160">
        <f t="shared" si="7"/>
        <v>1.6949081827641187E-18</v>
      </c>
      <c r="H55" s="160">
        <f t="shared" si="8"/>
        <v>0.66666666666666663</v>
      </c>
      <c r="I55" s="160">
        <f t="shared" si="9"/>
        <v>8.4745409138205935E-19</v>
      </c>
      <c r="J55" s="160">
        <f t="shared" si="10"/>
        <v>0.33333333333333331</v>
      </c>
    </row>
    <row r="56" spans="1:10" x14ac:dyDescent="0.25">
      <c r="A56" s="160">
        <v>17</v>
      </c>
      <c r="B56" s="160">
        <f t="shared" si="3"/>
        <v>2.8535144813281359E-18</v>
      </c>
      <c r="C56" s="160">
        <f>SUM(B$39:$B55)</f>
        <v>1.9477340410546757</v>
      </c>
      <c r="D56" s="160">
        <f t="shared" si="4"/>
        <v>2.9699844601578557E-18</v>
      </c>
      <c r="E56" s="160">
        <f t="shared" si="5"/>
        <v>0.51341711903259202</v>
      </c>
      <c r="F56" s="160">
        <f t="shared" si="6"/>
        <v>3.9215686274509803E-2</v>
      </c>
      <c r="G56" s="160">
        <f t="shared" si="7"/>
        <v>6.2238402657380175E-20</v>
      </c>
      <c r="H56" s="160">
        <f t="shared" si="8"/>
        <v>0.66666666666666663</v>
      </c>
      <c r="I56" s="160">
        <f t="shared" si="9"/>
        <v>3.1119201328690087E-20</v>
      </c>
      <c r="J56" s="160">
        <f t="shared" si="10"/>
        <v>0.33333333333333331</v>
      </c>
    </row>
    <row r="57" spans="1:10" x14ac:dyDescent="0.25">
      <c r="A57" s="160">
        <v>18</v>
      </c>
      <c r="B57" s="160">
        <f t="shared" si="3"/>
        <v>1.0568572153067171E-19</v>
      </c>
      <c r="C57" s="160">
        <f>SUM(B$39:$B56)</f>
        <v>1.9477340410546757</v>
      </c>
      <c r="D57" s="160">
        <f t="shared" si="4"/>
        <v>1.0975055697415907E-19</v>
      </c>
      <c r="E57" s="160">
        <f t="shared" si="5"/>
        <v>0.51341711903259202</v>
      </c>
      <c r="F57" s="160">
        <f t="shared" si="6"/>
        <v>3.7037037037037035E-2</v>
      </c>
      <c r="G57" s="160">
        <f t="shared" si="7"/>
        <v>2.1672236451498118E-21</v>
      </c>
      <c r="H57" s="160">
        <f t="shared" si="8"/>
        <v>0.66666666666666663</v>
      </c>
      <c r="I57" s="160">
        <f t="shared" si="9"/>
        <v>1.0836118225749059E-21</v>
      </c>
      <c r="J57" s="160">
        <f t="shared" si="10"/>
        <v>0.33333333333333331</v>
      </c>
    </row>
    <row r="58" spans="1:10" x14ac:dyDescent="0.25">
      <c r="A58" s="160">
        <v>19</v>
      </c>
      <c r="B58" s="160">
        <f t="shared" si="3"/>
        <v>3.7082709309007619E-21</v>
      </c>
      <c r="C58" s="160">
        <f>SUM(B$39:$B57)</f>
        <v>1.9477340410546757</v>
      </c>
      <c r="D58" s="160">
        <f t="shared" si="4"/>
        <v>3.8431171465698805E-21</v>
      </c>
      <c r="E58" s="160">
        <f t="shared" si="5"/>
        <v>0.51341711903259202</v>
      </c>
      <c r="F58" s="160">
        <f t="shared" si="6"/>
        <v>3.5087719298245612E-2</v>
      </c>
      <c r="G58" s="160">
        <f t="shared" si="7"/>
        <v>7.1749895763515037E-23</v>
      </c>
      <c r="H58" s="160">
        <f t="shared" si="8"/>
        <v>0.66666666666666663</v>
      </c>
      <c r="I58" s="160">
        <f t="shared" si="9"/>
        <v>3.5874947881757518E-23</v>
      </c>
      <c r="J58" s="160">
        <f t="shared" si="10"/>
        <v>0.33333333333333331</v>
      </c>
    </row>
    <row r="59" spans="1:10" x14ac:dyDescent="0.25">
      <c r="A59" s="160">
        <v>20</v>
      </c>
      <c r="B59" s="160">
        <f t="shared" si="3"/>
        <v>1.2360903103002539E-22</v>
      </c>
      <c r="C59" s="160">
        <f>SUM(B$39:$B58)</f>
        <v>1.9477340410546757</v>
      </c>
      <c r="D59" s="160">
        <f t="shared" si="4"/>
        <v>1.278714114103711E-22</v>
      </c>
      <c r="E59" s="160">
        <f t="shared" si="5"/>
        <v>0.51341711903259202</v>
      </c>
      <c r="F59" s="160">
        <f t="shared" si="6"/>
        <v>3.3333333333333333E-2</v>
      </c>
      <c r="G59" s="160">
        <f t="shared" si="7"/>
        <v>2.2638404018256567E-24</v>
      </c>
      <c r="H59" s="160">
        <f t="shared" si="8"/>
        <v>0.66666666666666663</v>
      </c>
      <c r="I59" s="160">
        <f t="shared" si="9"/>
        <v>1.1319202009128283E-24</v>
      </c>
      <c r="J59" s="160">
        <f t="shared" si="10"/>
        <v>0.33333333333333331</v>
      </c>
    </row>
    <row r="60" spans="1:10" x14ac:dyDescent="0.25">
      <c r="A60" s="160">
        <v>21</v>
      </c>
      <c r="B60" s="160">
        <f t="shared" si="3"/>
        <v>3.9240962231754087E-24</v>
      </c>
      <c r="C60" s="160">
        <f>SUM(B$39:$B59)</f>
        <v>1.9477340410546757</v>
      </c>
      <c r="D60" s="160">
        <f t="shared" si="4"/>
        <v>4.0527551157385369E-24</v>
      </c>
      <c r="E60" s="160">
        <f t="shared" si="5"/>
        <v>0.51341711903259202</v>
      </c>
      <c r="F60" s="160">
        <f t="shared" si="6"/>
        <v>3.1746031746031744E-2</v>
      </c>
      <c r="G60" s="160">
        <f t="shared" si="7"/>
        <v>6.8221437890723888E-26</v>
      </c>
      <c r="H60" s="160">
        <f t="shared" si="8"/>
        <v>0.66666666666666663</v>
      </c>
      <c r="I60" s="160">
        <f t="shared" si="9"/>
        <v>3.4110718945361944E-26</v>
      </c>
      <c r="J60" s="160">
        <f t="shared" si="10"/>
        <v>0.33333333333333331</v>
      </c>
    </row>
    <row r="61" spans="1:10" x14ac:dyDescent="0.25">
      <c r="A61" s="160">
        <v>22</v>
      </c>
      <c r="B61" s="160">
        <f t="shared" si="3"/>
        <v>1.189120067628912E-25</v>
      </c>
      <c r="C61" s="160">
        <f>SUM(B$39:$B60)</f>
        <v>1.9477340410546757</v>
      </c>
      <c r="D61" s="160">
        <f t="shared" si="4"/>
        <v>1.2262800697423154E-25</v>
      </c>
      <c r="E61" s="160">
        <f t="shared" si="5"/>
        <v>0.51341711903259202</v>
      </c>
      <c r="F61" s="160">
        <f t="shared" si="6"/>
        <v>3.0303030303030304E-2</v>
      </c>
      <c r="G61" s="160">
        <f t="shared" si="7"/>
        <v>1.9674786891693298E-27</v>
      </c>
      <c r="H61" s="160">
        <f t="shared" si="8"/>
        <v>0.66666666666666663</v>
      </c>
      <c r="I61" s="160">
        <f t="shared" si="9"/>
        <v>9.837393445846649E-28</v>
      </c>
      <c r="J61" s="160">
        <f t="shared" si="10"/>
        <v>0.33333333333333331</v>
      </c>
    </row>
    <row r="62" spans="1:10" x14ac:dyDescent="0.25">
      <c r="A62" s="160">
        <v>23</v>
      </c>
    </row>
    <row r="63" spans="1:10" x14ac:dyDescent="0.25">
      <c r="A63" s="160">
        <v>24</v>
      </c>
    </row>
    <row r="64" spans="1:10" x14ac:dyDescent="0.25">
      <c r="A64" s="160">
        <v>25</v>
      </c>
    </row>
    <row r="65" spans="1:1" x14ac:dyDescent="0.25">
      <c r="A65" s="160">
        <v>26</v>
      </c>
    </row>
    <row r="66" spans="1:1" x14ac:dyDescent="0.25">
      <c r="A66" s="160">
        <v>27</v>
      </c>
    </row>
    <row r="67" spans="1:1" x14ac:dyDescent="0.25">
      <c r="A67" s="160">
        <v>28</v>
      </c>
    </row>
    <row r="68" spans="1:1" x14ac:dyDescent="0.25">
      <c r="A68" s="160">
        <v>29</v>
      </c>
    </row>
    <row r="69" spans="1:1" x14ac:dyDescent="0.25">
      <c r="A69" s="160">
        <v>30</v>
      </c>
    </row>
  </sheetData>
  <pageMargins left="0.7" right="0.7" top="0.75" bottom="0.75" header="0.3" footer="0.3"/>
  <drawing r:id="rId1"/>
  <legacyDrawing r:id="rId2"/>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H13"/>
  <sheetViews>
    <sheetView workbookViewId="0">
      <selection activeCell="B9" sqref="B9"/>
    </sheetView>
  </sheetViews>
  <sheetFormatPr defaultColWidth="9.08984375" defaultRowHeight="12.5" x14ac:dyDescent="0.25"/>
  <cols>
    <col min="1" max="1" width="20.7265625" style="160" customWidth="1"/>
    <col min="2" max="2" width="9.08984375" style="160"/>
    <col min="3" max="3" width="2.7265625" style="160" customWidth="1"/>
    <col min="4" max="4" width="44.36328125" style="160" bestFit="1" customWidth="1"/>
    <col min="5" max="16384" width="9.08984375" style="160"/>
  </cols>
  <sheetData>
    <row r="1" spans="1:8" ht="18" x14ac:dyDescent="0.4">
      <c r="A1" s="513" t="s">
        <v>192</v>
      </c>
    </row>
    <row r="3" spans="1:8" ht="15.5" x14ac:dyDescent="0.35">
      <c r="A3" s="500" t="s">
        <v>0</v>
      </c>
      <c r="B3" s="500"/>
      <c r="C3" s="500" t="s">
        <v>166</v>
      </c>
      <c r="D3" s="500"/>
      <c r="E3" s="500"/>
      <c r="F3" s="500"/>
      <c r="G3" s="500"/>
      <c r="H3" s="500"/>
    </row>
    <row r="4" spans="1:8" x14ac:dyDescent="0.25">
      <c r="A4" s="499"/>
      <c r="B4" s="499"/>
    </row>
    <row r="6" spans="1:8" ht="13.5" thickBot="1" x14ac:dyDescent="0.35">
      <c r="A6" s="501" t="s">
        <v>27</v>
      </c>
      <c r="D6" s="509" t="s">
        <v>31</v>
      </c>
    </row>
    <row r="7" spans="1:8" ht="13" x14ac:dyDescent="0.3">
      <c r="A7" s="503" t="s">
        <v>190</v>
      </c>
      <c r="B7" s="504">
        <v>8</v>
      </c>
      <c r="D7" s="146" t="s">
        <v>1022</v>
      </c>
      <c r="E7" s="167">
        <f>B7/B8</f>
        <v>0.66666666666666663</v>
      </c>
    </row>
    <row r="8" spans="1:8" ht="15" x14ac:dyDescent="0.4">
      <c r="A8" s="505" t="s">
        <v>191</v>
      </c>
      <c r="B8" s="506">
        <v>12</v>
      </c>
      <c r="D8" s="145" t="s">
        <v>1023</v>
      </c>
      <c r="E8" s="152">
        <f>B7^2/(2*(B8*(B8-B7)))</f>
        <v>0.66666666666666663</v>
      </c>
    </row>
    <row r="9" spans="1:8" ht="13.5" thickBot="1" x14ac:dyDescent="0.35">
      <c r="A9" s="507" t="s">
        <v>252</v>
      </c>
      <c r="B9" s="776">
        <v>1</v>
      </c>
      <c r="D9" s="145" t="s">
        <v>153</v>
      </c>
      <c r="E9" s="152">
        <f>E8+B7/B8</f>
        <v>1.3333333333333333</v>
      </c>
    </row>
    <row r="10" spans="1:8" ht="15" x14ac:dyDescent="0.4">
      <c r="D10" s="145" t="s">
        <v>1024</v>
      </c>
      <c r="E10" s="152">
        <f>B7/(2*(B8*(B8-B7)))</f>
        <v>8.3333333333333329E-2</v>
      </c>
    </row>
    <row r="11" spans="1:8" ht="13" x14ac:dyDescent="0.3">
      <c r="D11" s="145" t="s">
        <v>154</v>
      </c>
      <c r="E11" s="152">
        <f>E10+1/B8</f>
        <v>0.16666666666666666</v>
      </c>
    </row>
    <row r="12" spans="1:8" ht="15.5" thickBot="1" x14ac:dyDescent="0.45">
      <c r="D12" s="148" t="s">
        <v>1025</v>
      </c>
      <c r="E12" s="153">
        <f>1-E7</f>
        <v>0.33333333333333337</v>
      </c>
    </row>
    <row r="13" spans="1:8" x14ac:dyDescent="0.25">
      <c r="A13" s="540" t="str">
        <f>IF(B7&gt;=B8,"The service rate must be greater than the arrival rate","")</f>
        <v/>
      </c>
    </row>
  </sheetData>
  <pageMargins left="0.7" right="0.7" top="0.75" bottom="0.75" header="0.3" footer="0.3"/>
  <drawing r:id="rId1"/>
  <legacyDrawing r:id="rId2"/>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49"/>
  <sheetViews>
    <sheetView zoomScale="95" zoomScaleNormal="95" workbookViewId="0">
      <selection activeCell="B11" sqref="B11"/>
    </sheetView>
  </sheetViews>
  <sheetFormatPr defaultColWidth="9.08984375" defaultRowHeight="12.5" x14ac:dyDescent="0.25"/>
  <cols>
    <col min="1" max="1" width="16.7265625" style="160" customWidth="1"/>
    <col min="2" max="2" width="14.36328125" style="160" bestFit="1" customWidth="1"/>
    <col min="3" max="3" width="10.36328125" style="160" customWidth="1"/>
    <col min="4" max="4" width="44.36328125" style="160" bestFit="1" customWidth="1"/>
    <col min="5" max="16384" width="9.08984375" style="160"/>
  </cols>
  <sheetData>
    <row r="1" spans="1:9" ht="18" x14ac:dyDescent="0.4">
      <c r="A1" s="513" t="s">
        <v>250</v>
      </c>
    </row>
    <row r="3" spans="1:9" ht="15.5" x14ac:dyDescent="0.35">
      <c r="A3" s="500" t="s">
        <v>0</v>
      </c>
      <c r="B3" s="500"/>
      <c r="C3" s="500" t="s">
        <v>251</v>
      </c>
      <c r="D3" s="500"/>
      <c r="E3" s="500"/>
      <c r="F3" s="500"/>
      <c r="G3" s="500"/>
      <c r="H3" s="500"/>
    </row>
    <row r="4" spans="1:9" x14ac:dyDescent="0.25">
      <c r="A4" s="499"/>
      <c r="B4" s="499"/>
    </row>
    <row r="6" spans="1:9" ht="13.5" thickBot="1" x14ac:dyDescent="0.35">
      <c r="A6" s="501" t="s">
        <v>27</v>
      </c>
      <c r="D6" s="509" t="s">
        <v>31</v>
      </c>
    </row>
    <row r="7" spans="1:9" ht="25.5" x14ac:dyDescent="0.3">
      <c r="A7" s="542" t="s">
        <v>1026</v>
      </c>
      <c r="B7" s="504">
        <v>0.05</v>
      </c>
      <c r="D7" s="146" t="s">
        <v>1022</v>
      </c>
      <c r="E7" s="167">
        <f>E13/(B8*B9)</f>
        <v>0.43604782314459734</v>
      </c>
    </row>
    <row r="8" spans="1:9" ht="15" x14ac:dyDescent="0.4">
      <c r="A8" s="505" t="s">
        <v>191</v>
      </c>
      <c r="B8" s="506">
        <v>0.5</v>
      </c>
      <c r="D8" s="145" t="s">
        <v>1023</v>
      </c>
      <c r="E8" s="152">
        <f>SUMPRODUCT($B$18:$B$48,D18:D48)</f>
        <v>0.20347394540942937</v>
      </c>
    </row>
    <row r="9" spans="1:9" ht="13" x14ac:dyDescent="0.3">
      <c r="A9" s="505" t="s">
        <v>252</v>
      </c>
      <c r="B9" s="506">
        <v>1</v>
      </c>
      <c r="D9" s="145" t="s">
        <v>153</v>
      </c>
      <c r="E9" s="152">
        <f>E8+E13/B8</f>
        <v>0.63952176855402665</v>
      </c>
    </row>
    <row r="10" spans="1:9" ht="15.5" thickBot="1" x14ac:dyDescent="0.45">
      <c r="A10" s="507" t="s">
        <v>253</v>
      </c>
      <c r="B10" s="508">
        <v>5</v>
      </c>
      <c r="D10" s="145" t="s">
        <v>1024</v>
      </c>
      <c r="E10" s="152">
        <f>E8/E13</f>
        <v>0.93326435592343548</v>
      </c>
    </row>
    <row r="11" spans="1:9" ht="13" x14ac:dyDescent="0.3">
      <c r="D11" s="145" t="s">
        <v>154</v>
      </c>
      <c r="E11" s="152">
        <f>E10+1/B8</f>
        <v>2.9332643559234355</v>
      </c>
    </row>
    <row r="12" spans="1:9" ht="15" x14ac:dyDescent="0.4">
      <c r="D12" s="145" t="s">
        <v>1025</v>
      </c>
      <c r="E12" s="152">
        <f>INDEX(K18:K48,B9+1)</f>
        <v>0.56395217685540266</v>
      </c>
    </row>
    <row r="13" spans="1:9" ht="13.5" thickBot="1" x14ac:dyDescent="0.35">
      <c r="D13" s="148" t="s">
        <v>254</v>
      </c>
      <c r="E13" s="153">
        <f>SUMPRODUCT(B18:B48,E18:E48)</f>
        <v>0.21802391157229867</v>
      </c>
    </row>
    <row r="16" spans="1:9" ht="13" x14ac:dyDescent="0.3">
      <c r="A16" s="509" t="s">
        <v>155</v>
      </c>
      <c r="I16" s="160">
        <f>INDEX(I18:I48,B10+1)</f>
        <v>1.7732000000000001</v>
      </c>
    </row>
    <row r="17" spans="1:11" s="202" customFormat="1" ht="25" x14ac:dyDescent="0.25">
      <c r="A17" s="202" t="s">
        <v>255</v>
      </c>
      <c r="B17" s="202" t="s">
        <v>256</v>
      </c>
      <c r="C17" s="202" t="s">
        <v>156</v>
      </c>
      <c r="D17" s="202" t="s">
        <v>257</v>
      </c>
      <c r="E17" s="202" t="s">
        <v>258</v>
      </c>
      <c r="F17" s="202" t="s">
        <v>259</v>
      </c>
      <c r="G17" s="202" t="s">
        <v>260</v>
      </c>
      <c r="H17" s="202" t="s">
        <v>261</v>
      </c>
      <c r="I17" s="202" t="s">
        <v>262</v>
      </c>
      <c r="J17" s="202" t="s">
        <v>263</v>
      </c>
      <c r="K17" s="202" t="s">
        <v>160</v>
      </c>
    </row>
    <row r="18" spans="1:11" x14ac:dyDescent="0.25">
      <c r="A18" s="160">
        <v>0</v>
      </c>
      <c r="B18" s="160">
        <f>E12</f>
        <v>0.56395217685540266</v>
      </c>
      <c r="C18" s="160">
        <f>E12</f>
        <v>0.56395217685540266</v>
      </c>
      <c r="D18" s="160">
        <f>IF(A18&lt;=$B$10,IF($B$9&lt;A18,A18-$B$9,0),"")</f>
        <v>0</v>
      </c>
      <c r="E18" s="160">
        <f>IF(A18&lt;=$B$10,$B$7*($B$10-A18),"")</f>
        <v>0.25</v>
      </c>
      <c r="F18" s="160">
        <f>IF(A18&lt;=$B$9,COMBIN($B$10,($B$10-A18))*($B$7/$B$8)^A18,"")</f>
        <v>1</v>
      </c>
      <c r="G18" s="160">
        <f>IF(A18&lt;=$B$9,SUM(F18:$F$18),"")</f>
        <v>1</v>
      </c>
      <c r="H18" s="160">
        <f>IF(A18&lt;=$B$10,FACT($B$10)*($B$7/$B$8)^A18/(FACT($B$10-A18)*FACT($B$9)*$B$9^(A18-$B$9)),"")</f>
        <v>1</v>
      </c>
      <c r="I18" s="160">
        <f>IF(A18&lt;=$B$10,SUM($H18:H$18),"")</f>
        <v>1</v>
      </c>
      <c r="J18" s="160">
        <f>IF(A18&lt;=$B$10,$I$16-I18,"")</f>
        <v>0.77320000000000011</v>
      </c>
      <c r="K18" s="160" t="str">
        <f>IF(A18=$B$9,1/(G18+J18),"")</f>
        <v/>
      </c>
    </row>
    <row r="19" spans="1:11" x14ac:dyDescent="0.25">
      <c r="A19" s="160">
        <v>1</v>
      </c>
      <c r="B19" s="160">
        <f>IF(A19&lt;=$B$9,$E$12*COMBIN($B$10,A19)*($B$7/$B$8)^A19,IF(A19&lt;=$B$10,$E$12*COMBIN($B$10,A19)*($B$7/$B$8)^A19*FACT(A19)/FACT($B$9)/$B$9^(A19-$B$9),""))</f>
        <v>0.28197608842770133</v>
      </c>
      <c r="C19" s="160">
        <f>IF(A19&lt;=$B$10,C18 + B19,"")</f>
        <v>0.84592826528310394</v>
      </c>
      <c r="D19" s="160">
        <f t="shared" ref="D19:D49" si="0">IF(A19&lt;=$B$10,IF($B$9&lt;A19,A19-$B$9,0),"")</f>
        <v>0</v>
      </c>
      <c r="E19" s="160">
        <f t="shared" ref="E19:E49" si="1">IF(A19&lt;=$B$10,$B$7*($B$10-A19),"")</f>
        <v>0.2</v>
      </c>
      <c r="F19" s="160">
        <f t="shared" ref="F19:F49" si="2">IF(A19&lt;=$B$9,COMBIN($B$10,($B$10-A19))*($B$7/$B$8)^A19,"")</f>
        <v>0.5</v>
      </c>
      <c r="G19" s="160">
        <f>IF(A19&lt;=$B$9,SUM(F$18:$F19),"")</f>
        <v>1.5</v>
      </c>
      <c r="H19" s="160">
        <f t="shared" ref="H19:H49" si="3">IF(A19&lt;=$B$10,FACT($B$10)*($B$7/$B$8)^A19/(FACT($B$10-A19)*FACT($B$9)*$B$9^(A19-$B$9)),"")</f>
        <v>0.5</v>
      </c>
      <c r="I19" s="160">
        <f>IF(A19&lt;=$B$10,SUM($H$18:H19),"")</f>
        <v>1.5</v>
      </c>
      <c r="J19" s="160">
        <f t="shared" ref="J19:J49" si="4">IF(A19&lt;=$B$10,$I$16-I19,"")</f>
        <v>0.27320000000000011</v>
      </c>
      <c r="K19" s="160">
        <f t="shared" ref="K19:K49" si="5">IF(A19=$B$9,1/(G19+J19),"")</f>
        <v>0.56395217685540266</v>
      </c>
    </row>
    <row r="20" spans="1:11" x14ac:dyDescent="0.25">
      <c r="A20" s="160">
        <v>2</v>
      </c>
      <c r="B20" s="160">
        <f t="shared" ref="B20:B49" si="6">IF(A20&lt;=$B$9,$E$12*COMBIN($B$10,A20)*($B$7/$B$8)^A20,IF(A20&lt;=$B$10,$E$12*COMBIN($B$10,A20)*($B$7/$B$8)^A20*FACT(A20)/FACT($B$9)/$B$9^(A20-$B$9),""))</f>
        <v>0.11279043537108056</v>
      </c>
      <c r="C20" s="160">
        <f t="shared" ref="C20:C49" si="7">IF(A20&lt;=$B$10,C19 + B20,"")</f>
        <v>0.95871870065418452</v>
      </c>
      <c r="D20" s="160">
        <f t="shared" si="0"/>
        <v>1</v>
      </c>
      <c r="E20" s="160">
        <f t="shared" si="1"/>
        <v>0.15000000000000002</v>
      </c>
      <c r="F20" s="160" t="str">
        <f t="shared" si="2"/>
        <v/>
      </c>
      <c r="G20" s="160" t="str">
        <f>IF(A20&lt;=$B$9,SUM(F$18:$F20),"")</f>
        <v/>
      </c>
      <c r="H20" s="160">
        <f t="shared" si="3"/>
        <v>0.20000000000000004</v>
      </c>
      <c r="I20" s="160">
        <f>IF(A20&lt;=$B$10,SUM($H$18:H20),"")</f>
        <v>1.7</v>
      </c>
      <c r="J20" s="160">
        <f t="shared" si="4"/>
        <v>7.3200000000000154E-2</v>
      </c>
      <c r="K20" s="160" t="str">
        <f t="shared" si="5"/>
        <v/>
      </c>
    </row>
    <row r="21" spans="1:11" x14ac:dyDescent="0.25">
      <c r="A21" s="160">
        <v>3</v>
      </c>
      <c r="B21" s="160">
        <f t="shared" si="6"/>
        <v>3.3837130611324172E-2</v>
      </c>
      <c r="C21" s="160">
        <f t="shared" si="7"/>
        <v>0.99255583126550873</v>
      </c>
      <c r="D21" s="160">
        <f t="shared" si="0"/>
        <v>2</v>
      </c>
      <c r="E21" s="160">
        <f t="shared" si="1"/>
        <v>0.1</v>
      </c>
      <c r="F21" s="160" t="str">
        <f t="shared" si="2"/>
        <v/>
      </c>
      <c r="G21" s="160" t="str">
        <f>IF(A21&lt;=$B$9,SUM(F$18:$F21),"")</f>
        <v/>
      </c>
      <c r="H21" s="160">
        <f t="shared" si="3"/>
        <v>6.0000000000000012E-2</v>
      </c>
      <c r="I21" s="160">
        <f>IF(A21&lt;=$B$10,SUM($H$18:H21),"")</f>
        <v>1.76</v>
      </c>
      <c r="J21" s="160">
        <f t="shared" si="4"/>
        <v>1.3200000000000101E-2</v>
      </c>
      <c r="K21" s="160" t="str">
        <f t="shared" si="5"/>
        <v/>
      </c>
    </row>
    <row r="22" spans="1:11" x14ac:dyDescent="0.25">
      <c r="A22" s="160">
        <v>4</v>
      </c>
      <c r="B22" s="160">
        <f t="shared" si="6"/>
        <v>6.7674261222648354E-3</v>
      </c>
      <c r="C22" s="160">
        <f t="shared" si="7"/>
        <v>0.99932325738777361</v>
      </c>
      <c r="D22" s="160">
        <f t="shared" si="0"/>
        <v>3</v>
      </c>
      <c r="E22" s="160">
        <f t="shared" si="1"/>
        <v>0.05</v>
      </c>
      <c r="F22" s="160" t="str">
        <f t="shared" si="2"/>
        <v/>
      </c>
      <c r="G22" s="160" t="str">
        <f>IF(A22&lt;=$B$9,SUM(F$18:$F22),"")</f>
        <v/>
      </c>
      <c r="H22" s="160">
        <f t="shared" si="3"/>
        <v>1.2000000000000005E-2</v>
      </c>
      <c r="I22" s="160">
        <f>IF(A22&lt;=$B$10,SUM($H$18:H22),"")</f>
        <v>1.772</v>
      </c>
      <c r="J22" s="160">
        <f t="shared" si="4"/>
        <v>1.2000000000000899E-3</v>
      </c>
      <c r="K22" s="160" t="str">
        <f t="shared" si="5"/>
        <v/>
      </c>
    </row>
    <row r="23" spans="1:11" x14ac:dyDescent="0.25">
      <c r="A23" s="160">
        <v>5</v>
      </c>
      <c r="B23" s="160">
        <f t="shared" si="6"/>
        <v>6.7674261222648363E-4</v>
      </c>
      <c r="C23" s="160">
        <f t="shared" si="7"/>
        <v>1</v>
      </c>
      <c r="D23" s="160">
        <f t="shared" si="0"/>
        <v>4</v>
      </c>
      <c r="E23" s="160">
        <f t="shared" si="1"/>
        <v>0</v>
      </c>
      <c r="F23" s="160" t="str">
        <f t="shared" si="2"/>
        <v/>
      </c>
      <c r="G23" s="160" t="str">
        <f>IF(A23&lt;=$B$9,SUM(F$18:$F23),"")</f>
        <v/>
      </c>
      <c r="H23" s="160">
        <f t="shared" si="3"/>
        <v>1.2000000000000008E-3</v>
      </c>
      <c r="I23" s="160">
        <f>IF(A23&lt;=$B$10,SUM($H$18:H23),"")</f>
        <v>1.7732000000000001</v>
      </c>
      <c r="J23" s="160">
        <f t="shared" si="4"/>
        <v>0</v>
      </c>
      <c r="K23" s="160" t="str">
        <f t="shared" si="5"/>
        <v/>
      </c>
    </row>
    <row r="24" spans="1:11" x14ac:dyDescent="0.25">
      <c r="A24" s="160">
        <v>6</v>
      </c>
      <c r="B24" s="160" t="str">
        <f t="shared" si="6"/>
        <v/>
      </c>
      <c r="C24" s="160" t="str">
        <f t="shared" si="7"/>
        <v/>
      </c>
      <c r="D24" s="160" t="str">
        <f t="shared" si="0"/>
        <v/>
      </c>
      <c r="E24" s="160" t="str">
        <f t="shared" si="1"/>
        <v/>
      </c>
      <c r="F24" s="160" t="str">
        <f t="shared" si="2"/>
        <v/>
      </c>
      <c r="G24" s="160" t="str">
        <f>IF(A24&lt;=$B$9,SUM(F$18:$F24),"")</f>
        <v/>
      </c>
      <c r="H24" s="160" t="str">
        <f t="shared" si="3"/>
        <v/>
      </c>
      <c r="I24" s="160" t="str">
        <f>IF(A24&lt;=$B$10,SUM($H$18:H24),"")</f>
        <v/>
      </c>
      <c r="J24" s="160" t="str">
        <f t="shared" si="4"/>
        <v/>
      </c>
      <c r="K24" s="160" t="str">
        <f t="shared" si="5"/>
        <v/>
      </c>
    </row>
    <row r="25" spans="1:11" x14ac:dyDescent="0.25">
      <c r="A25" s="160">
        <v>7</v>
      </c>
      <c r="B25" s="160" t="str">
        <f t="shared" si="6"/>
        <v/>
      </c>
      <c r="C25" s="160" t="str">
        <f t="shared" si="7"/>
        <v/>
      </c>
      <c r="D25" s="160" t="str">
        <f t="shared" si="0"/>
        <v/>
      </c>
      <c r="E25" s="160" t="str">
        <f t="shared" si="1"/>
        <v/>
      </c>
      <c r="F25" s="160" t="str">
        <f t="shared" si="2"/>
        <v/>
      </c>
      <c r="G25" s="160" t="str">
        <f>IF(A25&lt;=$B$9,SUM(F$18:$F25),"")</f>
        <v/>
      </c>
      <c r="H25" s="160" t="str">
        <f t="shared" si="3"/>
        <v/>
      </c>
      <c r="I25" s="160" t="str">
        <f>IF(A25&lt;=$B$10,SUM($H$18:H25),"")</f>
        <v/>
      </c>
      <c r="J25" s="160" t="str">
        <f t="shared" si="4"/>
        <v/>
      </c>
      <c r="K25" s="160" t="str">
        <f t="shared" si="5"/>
        <v/>
      </c>
    </row>
    <row r="26" spans="1:11" x14ac:dyDescent="0.25">
      <c r="A26" s="160">
        <v>8</v>
      </c>
      <c r="B26" s="160" t="str">
        <f t="shared" si="6"/>
        <v/>
      </c>
      <c r="C26" s="160" t="str">
        <f t="shared" si="7"/>
        <v/>
      </c>
      <c r="D26" s="160" t="str">
        <f t="shared" si="0"/>
        <v/>
      </c>
      <c r="E26" s="160" t="str">
        <f t="shared" si="1"/>
        <v/>
      </c>
      <c r="F26" s="160" t="str">
        <f t="shared" si="2"/>
        <v/>
      </c>
      <c r="G26" s="160" t="str">
        <f>IF(A26&lt;=$B$9,SUM(F$18:$F26),"")</f>
        <v/>
      </c>
      <c r="H26" s="160" t="str">
        <f t="shared" si="3"/>
        <v/>
      </c>
      <c r="I26" s="160" t="str">
        <f>IF(A26&lt;=$B$10,SUM($H$18:H26),"")</f>
        <v/>
      </c>
      <c r="J26" s="160" t="str">
        <f t="shared" si="4"/>
        <v/>
      </c>
      <c r="K26" s="160" t="str">
        <f t="shared" si="5"/>
        <v/>
      </c>
    </row>
    <row r="27" spans="1:11" x14ac:dyDescent="0.25">
      <c r="A27" s="160">
        <v>9</v>
      </c>
      <c r="B27" s="160" t="str">
        <f t="shared" si="6"/>
        <v/>
      </c>
      <c r="C27" s="160" t="str">
        <f t="shared" si="7"/>
        <v/>
      </c>
      <c r="D27" s="160" t="str">
        <f t="shared" si="0"/>
        <v/>
      </c>
      <c r="E27" s="160" t="str">
        <f t="shared" si="1"/>
        <v/>
      </c>
      <c r="F27" s="160" t="str">
        <f t="shared" si="2"/>
        <v/>
      </c>
      <c r="G27" s="160" t="str">
        <f>IF(A27&lt;=$B$9,SUM(F$18:$F27),"")</f>
        <v/>
      </c>
      <c r="H27" s="160" t="str">
        <f t="shared" si="3"/>
        <v/>
      </c>
      <c r="I27" s="160" t="str">
        <f>IF(A27&lt;=$B$10,SUM($H$18:H27),"")</f>
        <v/>
      </c>
      <c r="J27" s="160" t="str">
        <f t="shared" si="4"/>
        <v/>
      </c>
      <c r="K27" s="160" t="str">
        <f t="shared" si="5"/>
        <v/>
      </c>
    </row>
    <row r="28" spans="1:11" x14ac:dyDescent="0.25">
      <c r="A28" s="160">
        <v>10</v>
      </c>
      <c r="B28" s="160" t="str">
        <f t="shared" si="6"/>
        <v/>
      </c>
      <c r="C28" s="160" t="str">
        <f t="shared" si="7"/>
        <v/>
      </c>
      <c r="D28" s="160" t="str">
        <f t="shared" si="0"/>
        <v/>
      </c>
      <c r="E28" s="160" t="str">
        <f t="shared" si="1"/>
        <v/>
      </c>
      <c r="F28" s="160" t="str">
        <f t="shared" si="2"/>
        <v/>
      </c>
      <c r="G28" s="160" t="str">
        <f>IF(A28&lt;=$B$9,SUM(F$18:$F28),"")</f>
        <v/>
      </c>
      <c r="H28" s="160" t="str">
        <f t="shared" si="3"/>
        <v/>
      </c>
      <c r="I28" s="160" t="str">
        <f>IF(A28&lt;=$B$10,SUM($H$18:H28),"")</f>
        <v/>
      </c>
      <c r="J28" s="160" t="str">
        <f t="shared" si="4"/>
        <v/>
      </c>
      <c r="K28" s="160" t="str">
        <f t="shared" si="5"/>
        <v/>
      </c>
    </row>
    <row r="29" spans="1:11" x14ac:dyDescent="0.25">
      <c r="A29" s="160">
        <v>11</v>
      </c>
      <c r="B29" s="160" t="str">
        <f t="shared" si="6"/>
        <v/>
      </c>
      <c r="C29" s="160" t="str">
        <f t="shared" si="7"/>
        <v/>
      </c>
      <c r="D29" s="160" t="str">
        <f t="shared" si="0"/>
        <v/>
      </c>
      <c r="E29" s="160" t="str">
        <f t="shared" si="1"/>
        <v/>
      </c>
      <c r="F29" s="160" t="str">
        <f t="shared" si="2"/>
        <v/>
      </c>
      <c r="G29" s="160" t="str">
        <f>IF(A29&lt;=$B$9,SUM(F$18:$F29),"")</f>
        <v/>
      </c>
      <c r="H29" s="160" t="str">
        <f t="shared" si="3"/>
        <v/>
      </c>
      <c r="I29" s="160" t="str">
        <f>IF(A29&lt;=$B$10,SUM($H$18:H29),"")</f>
        <v/>
      </c>
      <c r="J29" s="160" t="str">
        <f t="shared" si="4"/>
        <v/>
      </c>
      <c r="K29" s="160" t="str">
        <f t="shared" si="5"/>
        <v/>
      </c>
    </row>
    <row r="30" spans="1:11" x14ac:dyDescent="0.25">
      <c r="A30" s="160">
        <v>12</v>
      </c>
      <c r="B30" s="160" t="str">
        <f t="shared" si="6"/>
        <v/>
      </c>
      <c r="C30" s="160" t="str">
        <f t="shared" si="7"/>
        <v/>
      </c>
      <c r="D30" s="160" t="str">
        <f t="shared" si="0"/>
        <v/>
      </c>
      <c r="E30" s="160" t="str">
        <f t="shared" si="1"/>
        <v/>
      </c>
      <c r="F30" s="160" t="str">
        <f t="shared" si="2"/>
        <v/>
      </c>
      <c r="G30" s="160" t="str">
        <f>IF(A30&lt;=$B$9,SUM(F$18:$F30),"")</f>
        <v/>
      </c>
      <c r="H30" s="160" t="str">
        <f t="shared" si="3"/>
        <v/>
      </c>
      <c r="I30" s="160" t="str">
        <f>IF(A30&lt;=$B$10,SUM($H$18:H30),"")</f>
        <v/>
      </c>
      <c r="J30" s="160" t="str">
        <f t="shared" si="4"/>
        <v/>
      </c>
      <c r="K30" s="160" t="str">
        <f t="shared" si="5"/>
        <v/>
      </c>
    </row>
    <row r="31" spans="1:11" x14ac:dyDescent="0.25">
      <c r="A31" s="160">
        <v>13</v>
      </c>
      <c r="B31" s="160" t="str">
        <f t="shared" si="6"/>
        <v/>
      </c>
      <c r="C31" s="160" t="str">
        <f t="shared" si="7"/>
        <v/>
      </c>
      <c r="D31" s="160" t="str">
        <f t="shared" si="0"/>
        <v/>
      </c>
      <c r="E31" s="160" t="str">
        <f t="shared" si="1"/>
        <v/>
      </c>
      <c r="F31" s="160" t="str">
        <f t="shared" si="2"/>
        <v/>
      </c>
      <c r="G31" s="160" t="str">
        <f>IF(A31&lt;=$B$9,SUM(F$18:$F31),"")</f>
        <v/>
      </c>
      <c r="H31" s="160" t="str">
        <f t="shared" si="3"/>
        <v/>
      </c>
      <c r="I31" s="160" t="str">
        <f>IF(A31&lt;=$B$10,SUM($H$18:H31),"")</f>
        <v/>
      </c>
      <c r="J31" s="160" t="str">
        <f t="shared" si="4"/>
        <v/>
      </c>
      <c r="K31" s="160" t="str">
        <f t="shared" si="5"/>
        <v/>
      </c>
    </row>
    <row r="32" spans="1:11" x14ac:dyDescent="0.25">
      <c r="A32" s="160">
        <v>14</v>
      </c>
      <c r="B32" s="160" t="str">
        <f t="shared" si="6"/>
        <v/>
      </c>
      <c r="C32" s="160" t="str">
        <f t="shared" si="7"/>
        <v/>
      </c>
      <c r="D32" s="160" t="str">
        <f t="shared" si="0"/>
        <v/>
      </c>
      <c r="E32" s="160" t="str">
        <f t="shared" si="1"/>
        <v/>
      </c>
      <c r="F32" s="160" t="str">
        <f t="shared" si="2"/>
        <v/>
      </c>
      <c r="G32" s="160" t="str">
        <f>IF(A32&lt;=$B$9,SUM(F$18:$F32),"")</f>
        <v/>
      </c>
      <c r="H32" s="160" t="str">
        <f t="shared" si="3"/>
        <v/>
      </c>
      <c r="I32" s="160" t="str">
        <f>IF(A32&lt;=$B$10,SUM($H$18:H32),"")</f>
        <v/>
      </c>
      <c r="J32" s="160" t="str">
        <f t="shared" si="4"/>
        <v/>
      </c>
      <c r="K32" s="160" t="str">
        <f t="shared" si="5"/>
        <v/>
      </c>
    </row>
    <row r="33" spans="1:11" x14ac:dyDescent="0.25">
      <c r="A33" s="160">
        <v>15</v>
      </c>
      <c r="B33" s="160" t="str">
        <f t="shared" si="6"/>
        <v/>
      </c>
      <c r="C33" s="160" t="str">
        <f t="shared" si="7"/>
        <v/>
      </c>
      <c r="D33" s="160" t="str">
        <f t="shared" si="0"/>
        <v/>
      </c>
      <c r="E33" s="160" t="str">
        <f t="shared" si="1"/>
        <v/>
      </c>
      <c r="F33" s="160" t="str">
        <f t="shared" si="2"/>
        <v/>
      </c>
      <c r="G33" s="160" t="str">
        <f>IF(A33&lt;=$B$9,SUM(F$18:$F33),"")</f>
        <v/>
      </c>
      <c r="H33" s="160" t="str">
        <f t="shared" si="3"/>
        <v/>
      </c>
      <c r="I33" s="160" t="str">
        <f>IF(A33&lt;=$B$10,SUM($H$18:H33),"")</f>
        <v/>
      </c>
      <c r="J33" s="160" t="str">
        <f t="shared" si="4"/>
        <v/>
      </c>
      <c r="K33" s="160" t="str">
        <f t="shared" si="5"/>
        <v/>
      </c>
    </row>
    <row r="34" spans="1:11" x14ac:dyDescent="0.25">
      <c r="A34" s="160">
        <v>16</v>
      </c>
      <c r="B34" s="160" t="str">
        <f t="shared" si="6"/>
        <v/>
      </c>
      <c r="C34" s="160" t="str">
        <f t="shared" si="7"/>
        <v/>
      </c>
      <c r="D34" s="160" t="str">
        <f t="shared" si="0"/>
        <v/>
      </c>
      <c r="E34" s="160" t="str">
        <f t="shared" si="1"/>
        <v/>
      </c>
      <c r="F34" s="160" t="str">
        <f t="shared" si="2"/>
        <v/>
      </c>
      <c r="G34" s="160" t="str">
        <f>IF(A34&lt;=$B$9,SUM(F$18:$F34),"")</f>
        <v/>
      </c>
      <c r="H34" s="160" t="str">
        <f t="shared" si="3"/>
        <v/>
      </c>
      <c r="I34" s="160" t="str">
        <f>IF(A34&lt;=$B$10,SUM($H$18:H34),"")</f>
        <v/>
      </c>
      <c r="J34" s="160" t="str">
        <f t="shared" si="4"/>
        <v/>
      </c>
      <c r="K34" s="160" t="str">
        <f t="shared" si="5"/>
        <v/>
      </c>
    </row>
    <row r="35" spans="1:11" x14ac:dyDescent="0.25">
      <c r="A35" s="160">
        <v>17</v>
      </c>
      <c r="B35" s="160" t="str">
        <f t="shared" si="6"/>
        <v/>
      </c>
      <c r="C35" s="160" t="str">
        <f t="shared" si="7"/>
        <v/>
      </c>
      <c r="D35" s="160" t="str">
        <f t="shared" si="0"/>
        <v/>
      </c>
      <c r="E35" s="160" t="str">
        <f t="shared" si="1"/>
        <v/>
      </c>
      <c r="F35" s="160" t="str">
        <f t="shared" si="2"/>
        <v/>
      </c>
      <c r="G35" s="160" t="str">
        <f>IF(A35&lt;=$B$9,SUM(F$18:$F35),"")</f>
        <v/>
      </c>
      <c r="H35" s="160" t="str">
        <f t="shared" si="3"/>
        <v/>
      </c>
      <c r="I35" s="160" t="str">
        <f>IF(A35&lt;=$B$10,SUM($H$18:H35),"")</f>
        <v/>
      </c>
      <c r="J35" s="160" t="str">
        <f t="shared" si="4"/>
        <v/>
      </c>
      <c r="K35" s="160" t="str">
        <f t="shared" si="5"/>
        <v/>
      </c>
    </row>
    <row r="36" spans="1:11" x14ac:dyDescent="0.25">
      <c r="A36" s="160">
        <v>18</v>
      </c>
      <c r="B36" s="160" t="str">
        <f t="shared" si="6"/>
        <v/>
      </c>
      <c r="C36" s="160" t="str">
        <f t="shared" si="7"/>
        <v/>
      </c>
      <c r="D36" s="160" t="str">
        <f t="shared" si="0"/>
        <v/>
      </c>
      <c r="E36" s="160" t="str">
        <f t="shared" si="1"/>
        <v/>
      </c>
      <c r="F36" s="160" t="str">
        <f t="shared" si="2"/>
        <v/>
      </c>
      <c r="G36" s="160" t="str">
        <f>IF(A36&lt;=$B$9,SUM(F$18:$F36),"")</f>
        <v/>
      </c>
      <c r="H36" s="160" t="str">
        <f t="shared" si="3"/>
        <v/>
      </c>
      <c r="I36" s="160" t="str">
        <f>IF(A36&lt;=$B$10,SUM($H$18:H36),"")</f>
        <v/>
      </c>
      <c r="J36" s="160" t="str">
        <f t="shared" si="4"/>
        <v/>
      </c>
      <c r="K36" s="160" t="str">
        <f t="shared" si="5"/>
        <v/>
      </c>
    </row>
    <row r="37" spans="1:11" x14ac:dyDescent="0.25">
      <c r="A37" s="160">
        <v>19</v>
      </c>
      <c r="B37" s="160" t="str">
        <f t="shared" si="6"/>
        <v/>
      </c>
      <c r="C37" s="160" t="str">
        <f t="shared" si="7"/>
        <v/>
      </c>
      <c r="D37" s="160" t="str">
        <f t="shared" si="0"/>
        <v/>
      </c>
      <c r="E37" s="160" t="str">
        <f t="shared" si="1"/>
        <v/>
      </c>
      <c r="F37" s="160" t="str">
        <f t="shared" si="2"/>
        <v/>
      </c>
      <c r="G37" s="160" t="str">
        <f>IF(A37&lt;=$B$9,SUM(F$18:$F37),"")</f>
        <v/>
      </c>
      <c r="H37" s="160" t="str">
        <f t="shared" si="3"/>
        <v/>
      </c>
      <c r="I37" s="160" t="str">
        <f>IF(A37&lt;=$B$10,SUM($H$18:H37),"")</f>
        <v/>
      </c>
      <c r="J37" s="160" t="str">
        <f t="shared" si="4"/>
        <v/>
      </c>
      <c r="K37" s="160" t="str">
        <f t="shared" si="5"/>
        <v/>
      </c>
    </row>
    <row r="38" spans="1:11" x14ac:dyDescent="0.25">
      <c r="A38" s="160">
        <v>20</v>
      </c>
      <c r="B38" s="160" t="str">
        <f t="shared" si="6"/>
        <v/>
      </c>
      <c r="C38" s="160" t="str">
        <f t="shared" si="7"/>
        <v/>
      </c>
      <c r="D38" s="160" t="str">
        <f t="shared" si="0"/>
        <v/>
      </c>
      <c r="E38" s="160" t="str">
        <f t="shared" si="1"/>
        <v/>
      </c>
      <c r="F38" s="160" t="str">
        <f t="shared" si="2"/>
        <v/>
      </c>
      <c r="G38" s="160" t="str">
        <f>IF(A38&lt;=$B$9,SUM(F$18:$F38),"")</f>
        <v/>
      </c>
      <c r="H38" s="160" t="str">
        <f t="shared" si="3"/>
        <v/>
      </c>
      <c r="I38" s="160" t="str">
        <f>IF(A38&lt;=$B$10,SUM($H$18:H38),"")</f>
        <v/>
      </c>
      <c r="J38" s="160" t="str">
        <f t="shared" si="4"/>
        <v/>
      </c>
      <c r="K38" s="160" t="str">
        <f t="shared" si="5"/>
        <v/>
      </c>
    </row>
    <row r="39" spans="1:11" x14ac:dyDescent="0.25">
      <c r="A39" s="160">
        <v>21</v>
      </c>
      <c r="B39" s="160" t="str">
        <f t="shared" si="6"/>
        <v/>
      </c>
      <c r="C39" s="160" t="str">
        <f t="shared" si="7"/>
        <v/>
      </c>
      <c r="D39" s="160" t="str">
        <f t="shared" si="0"/>
        <v/>
      </c>
      <c r="E39" s="160" t="str">
        <f t="shared" si="1"/>
        <v/>
      </c>
      <c r="F39" s="160" t="str">
        <f t="shared" si="2"/>
        <v/>
      </c>
      <c r="G39" s="160" t="str">
        <f>IF(A39&lt;=$B$9,SUM(F$18:$F39),"")</f>
        <v/>
      </c>
      <c r="H39" s="160" t="str">
        <f t="shared" si="3"/>
        <v/>
      </c>
      <c r="I39" s="160" t="str">
        <f>IF(A39&lt;=$B$10,SUM($H$18:H39),"")</f>
        <v/>
      </c>
      <c r="J39" s="160" t="str">
        <f t="shared" si="4"/>
        <v/>
      </c>
      <c r="K39" s="160" t="str">
        <f t="shared" si="5"/>
        <v/>
      </c>
    </row>
    <row r="40" spans="1:11" x14ac:dyDescent="0.25">
      <c r="A40" s="160">
        <v>22</v>
      </c>
      <c r="B40" s="160" t="str">
        <f t="shared" si="6"/>
        <v/>
      </c>
      <c r="C40" s="160" t="str">
        <f t="shared" si="7"/>
        <v/>
      </c>
      <c r="D40" s="160" t="str">
        <f t="shared" si="0"/>
        <v/>
      </c>
      <c r="E40" s="160" t="str">
        <f t="shared" si="1"/>
        <v/>
      </c>
      <c r="F40" s="160" t="str">
        <f t="shared" si="2"/>
        <v/>
      </c>
      <c r="G40" s="160" t="str">
        <f>IF(A40&lt;=$B$9,SUM(F$18:$F40),"")</f>
        <v/>
      </c>
      <c r="H40" s="160" t="str">
        <f t="shared" si="3"/>
        <v/>
      </c>
      <c r="I40" s="160" t="str">
        <f>IF(A40&lt;=$B$10,SUM($H$18:H40),"")</f>
        <v/>
      </c>
      <c r="J40" s="160" t="str">
        <f t="shared" si="4"/>
        <v/>
      </c>
      <c r="K40" s="160" t="str">
        <f t="shared" si="5"/>
        <v/>
      </c>
    </row>
    <row r="41" spans="1:11" x14ac:dyDescent="0.25">
      <c r="A41" s="160">
        <v>23</v>
      </c>
      <c r="B41" s="160" t="str">
        <f t="shared" si="6"/>
        <v/>
      </c>
      <c r="C41" s="160" t="str">
        <f t="shared" si="7"/>
        <v/>
      </c>
      <c r="D41" s="160" t="str">
        <f t="shared" si="0"/>
        <v/>
      </c>
      <c r="E41" s="160" t="str">
        <f t="shared" si="1"/>
        <v/>
      </c>
      <c r="F41" s="160" t="str">
        <f t="shared" si="2"/>
        <v/>
      </c>
      <c r="G41" s="160" t="str">
        <f>IF(A41&lt;=$B$9,SUM(F$18:$F41),"")</f>
        <v/>
      </c>
      <c r="H41" s="160" t="str">
        <f t="shared" si="3"/>
        <v/>
      </c>
      <c r="I41" s="160" t="str">
        <f>IF(A41&lt;=$B$10,SUM($H$18:H41),"")</f>
        <v/>
      </c>
      <c r="J41" s="160" t="str">
        <f t="shared" si="4"/>
        <v/>
      </c>
      <c r="K41" s="160" t="str">
        <f t="shared" si="5"/>
        <v/>
      </c>
    </row>
    <row r="42" spans="1:11" x14ac:dyDescent="0.25">
      <c r="A42" s="160">
        <v>24</v>
      </c>
      <c r="B42" s="160" t="str">
        <f t="shared" si="6"/>
        <v/>
      </c>
      <c r="C42" s="160" t="str">
        <f t="shared" si="7"/>
        <v/>
      </c>
      <c r="D42" s="160" t="str">
        <f t="shared" si="0"/>
        <v/>
      </c>
      <c r="E42" s="160" t="str">
        <f t="shared" si="1"/>
        <v/>
      </c>
      <c r="F42" s="160" t="str">
        <f t="shared" si="2"/>
        <v/>
      </c>
      <c r="G42" s="160" t="str">
        <f>IF(A42&lt;=$B$9,SUM(F$18:$F42),"")</f>
        <v/>
      </c>
      <c r="H42" s="160" t="str">
        <f t="shared" si="3"/>
        <v/>
      </c>
      <c r="I42" s="160" t="str">
        <f>IF(A42&lt;=$B$10,SUM($H$18:H42),"")</f>
        <v/>
      </c>
      <c r="J42" s="160" t="str">
        <f t="shared" si="4"/>
        <v/>
      </c>
      <c r="K42" s="160" t="str">
        <f t="shared" si="5"/>
        <v/>
      </c>
    </row>
    <row r="43" spans="1:11" x14ac:dyDescent="0.25">
      <c r="A43" s="160">
        <v>25</v>
      </c>
      <c r="B43" s="160" t="str">
        <f t="shared" si="6"/>
        <v/>
      </c>
      <c r="C43" s="160" t="str">
        <f t="shared" si="7"/>
        <v/>
      </c>
      <c r="D43" s="160" t="str">
        <f t="shared" si="0"/>
        <v/>
      </c>
      <c r="E43" s="160" t="str">
        <f t="shared" si="1"/>
        <v/>
      </c>
      <c r="F43" s="160" t="str">
        <f t="shared" si="2"/>
        <v/>
      </c>
      <c r="G43" s="160" t="str">
        <f>IF(A43&lt;=$B$9,SUM(F$18:$F43),"")</f>
        <v/>
      </c>
      <c r="H43" s="160" t="str">
        <f t="shared" si="3"/>
        <v/>
      </c>
      <c r="I43" s="160" t="str">
        <f>IF(A43&lt;=$B$10,SUM($H$18:H43),"")</f>
        <v/>
      </c>
      <c r="J43" s="160" t="str">
        <f t="shared" si="4"/>
        <v/>
      </c>
      <c r="K43" s="160" t="str">
        <f t="shared" si="5"/>
        <v/>
      </c>
    </row>
    <row r="44" spans="1:11" x14ac:dyDescent="0.25">
      <c r="A44" s="160">
        <v>26</v>
      </c>
      <c r="B44" s="160" t="str">
        <f t="shared" si="6"/>
        <v/>
      </c>
      <c r="C44" s="160" t="str">
        <f t="shared" si="7"/>
        <v/>
      </c>
      <c r="D44" s="160" t="str">
        <f t="shared" si="0"/>
        <v/>
      </c>
      <c r="E44" s="160" t="str">
        <f t="shared" si="1"/>
        <v/>
      </c>
      <c r="F44" s="160" t="str">
        <f t="shared" si="2"/>
        <v/>
      </c>
      <c r="G44" s="160" t="str">
        <f>IF(A44&lt;=$B$9,SUM(F$18:$F44),"")</f>
        <v/>
      </c>
      <c r="H44" s="160" t="str">
        <f t="shared" si="3"/>
        <v/>
      </c>
      <c r="I44" s="160" t="str">
        <f>IF(A44&lt;=$B$10,SUM($H$18:H44),"")</f>
        <v/>
      </c>
      <c r="J44" s="160" t="str">
        <f t="shared" si="4"/>
        <v/>
      </c>
      <c r="K44" s="160" t="str">
        <f t="shared" si="5"/>
        <v/>
      </c>
    </row>
    <row r="45" spans="1:11" x14ac:dyDescent="0.25">
      <c r="A45" s="160">
        <v>27</v>
      </c>
      <c r="B45" s="160" t="str">
        <f t="shared" si="6"/>
        <v/>
      </c>
      <c r="C45" s="160" t="str">
        <f t="shared" si="7"/>
        <v/>
      </c>
      <c r="D45" s="160" t="str">
        <f t="shared" si="0"/>
        <v/>
      </c>
      <c r="E45" s="160" t="str">
        <f t="shared" si="1"/>
        <v/>
      </c>
      <c r="F45" s="160" t="str">
        <f t="shared" si="2"/>
        <v/>
      </c>
      <c r="G45" s="160" t="str">
        <f>IF(A45&lt;=$B$9,SUM(F$18:$F45),"")</f>
        <v/>
      </c>
      <c r="H45" s="160" t="str">
        <f t="shared" si="3"/>
        <v/>
      </c>
      <c r="I45" s="160" t="str">
        <f>IF(A45&lt;=$B$10,SUM($H$18:H45),"")</f>
        <v/>
      </c>
      <c r="J45" s="160" t="str">
        <f t="shared" si="4"/>
        <v/>
      </c>
      <c r="K45" s="160" t="str">
        <f t="shared" si="5"/>
        <v/>
      </c>
    </row>
    <row r="46" spans="1:11" x14ac:dyDescent="0.25">
      <c r="A46" s="160">
        <v>28</v>
      </c>
      <c r="B46" s="160" t="str">
        <f t="shared" si="6"/>
        <v/>
      </c>
      <c r="C46" s="160" t="str">
        <f t="shared" si="7"/>
        <v/>
      </c>
      <c r="D46" s="160" t="str">
        <f t="shared" si="0"/>
        <v/>
      </c>
      <c r="E46" s="160" t="str">
        <f t="shared" si="1"/>
        <v/>
      </c>
      <c r="F46" s="160" t="str">
        <f t="shared" si="2"/>
        <v/>
      </c>
      <c r="G46" s="160" t="str">
        <f>IF(A46&lt;=$B$9,SUM(F$18:$F46),"")</f>
        <v/>
      </c>
      <c r="H46" s="160" t="str">
        <f t="shared" si="3"/>
        <v/>
      </c>
      <c r="I46" s="160" t="str">
        <f>IF(A46&lt;=$B$10,SUM($H$18:H46),"")</f>
        <v/>
      </c>
      <c r="J46" s="160" t="str">
        <f t="shared" si="4"/>
        <v/>
      </c>
      <c r="K46" s="160" t="str">
        <f t="shared" si="5"/>
        <v/>
      </c>
    </row>
    <row r="47" spans="1:11" x14ac:dyDescent="0.25">
      <c r="A47" s="160">
        <v>29</v>
      </c>
      <c r="B47" s="160" t="str">
        <f t="shared" si="6"/>
        <v/>
      </c>
      <c r="C47" s="160" t="str">
        <f t="shared" si="7"/>
        <v/>
      </c>
      <c r="D47" s="160" t="str">
        <f t="shared" si="0"/>
        <v/>
      </c>
      <c r="E47" s="160" t="str">
        <f t="shared" si="1"/>
        <v/>
      </c>
      <c r="F47" s="160" t="str">
        <f t="shared" si="2"/>
        <v/>
      </c>
      <c r="G47" s="160" t="str">
        <f>IF(A47&lt;=$B$9,SUM(F$18:$F47),"")</f>
        <v/>
      </c>
      <c r="H47" s="160" t="str">
        <f t="shared" si="3"/>
        <v/>
      </c>
      <c r="I47" s="160" t="str">
        <f>IF(A47&lt;=$B$10,SUM($H$18:H47),"")</f>
        <v/>
      </c>
      <c r="J47" s="160" t="str">
        <f t="shared" si="4"/>
        <v/>
      </c>
      <c r="K47" s="160" t="str">
        <f t="shared" si="5"/>
        <v/>
      </c>
    </row>
    <row r="48" spans="1:11" x14ac:dyDescent="0.25">
      <c r="A48" s="160">
        <v>30</v>
      </c>
      <c r="B48" s="160" t="str">
        <f t="shared" si="6"/>
        <v/>
      </c>
      <c r="C48" s="160" t="str">
        <f t="shared" si="7"/>
        <v/>
      </c>
      <c r="D48" s="160" t="str">
        <f t="shared" si="0"/>
        <v/>
      </c>
      <c r="E48" s="160" t="str">
        <f t="shared" si="1"/>
        <v/>
      </c>
      <c r="F48" s="160" t="str">
        <f t="shared" si="2"/>
        <v/>
      </c>
      <c r="G48" s="160" t="str">
        <f>IF(A48&lt;=$B$9,SUM(F$18:$F48),"")</f>
        <v/>
      </c>
      <c r="H48" s="160" t="str">
        <f t="shared" si="3"/>
        <v/>
      </c>
      <c r="I48" s="160" t="str">
        <f>IF(A48&lt;=$B$10,SUM($H$18:H48),"")</f>
        <v/>
      </c>
      <c r="J48" s="160" t="str">
        <f t="shared" si="4"/>
        <v/>
      </c>
      <c r="K48" s="160" t="str">
        <f t="shared" si="5"/>
        <v/>
      </c>
    </row>
    <row r="49" spans="1:11" x14ac:dyDescent="0.25">
      <c r="A49" s="160">
        <v>31</v>
      </c>
      <c r="B49" s="160" t="str">
        <f t="shared" si="6"/>
        <v/>
      </c>
      <c r="C49" s="160" t="str">
        <f t="shared" si="7"/>
        <v/>
      </c>
      <c r="D49" s="160" t="str">
        <f t="shared" si="0"/>
        <v/>
      </c>
      <c r="E49" s="160" t="str">
        <f t="shared" si="1"/>
        <v/>
      </c>
      <c r="F49" s="160" t="str">
        <f t="shared" si="2"/>
        <v/>
      </c>
      <c r="G49" s="160" t="str">
        <f>IF(A49&lt;=$B$9,SUM(F$18:$F49),"")</f>
        <v/>
      </c>
      <c r="H49" s="160" t="str">
        <f t="shared" si="3"/>
        <v/>
      </c>
      <c r="I49" s="160" t="str">
        <f>IF(A49&lt;=$B$10,SUM($H$18:H49),"")</f>
        <v/>
      </c>
      <c r="J49" s="160" t="str">
        <f t="shared" si="4"/>
        <v/>
      </c>
      <c r="K49" s="160" t="str">
        <f t="shared" si="5"/>
        <v/>
      </c>
    </row>
  </sheetData>
  <pageMargins left="0.7" right="0.7" top="0.75" bottom="0.75" header="0.3" footer="0.3"/>
  <drawing r:id="rId1"/>
  <legacy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36"/>
  <dimension ref="A1:I22"/>
  <sheetViews>
    <sheetView zoomScaleNormal="100" workbookViewId="0">
      <selection activeCell="L17" sqref="L17"/>
    </sheetView>
  </sheetViews>
  <sheetFormatPr defaultRowHeight="12.5" x14ac:dyDescent="0.25"/>
  <cols>
    <col min="2" max="3" width="10.7265625" customWidth="1"/>
    <col min="4" max="4" width="10.6328125" customWidth="1"/>
    <col min="6" max="6" width="3.26953125" customWidth="1"/>
    <col min="8" max="8" width="9.26953125" customWidth="1"/>
  </cols>
  <sheetData>
    <row r="1" spans="1:9" ht="18" x14ac:dyDescent="0.4">
      <c r="A1" s="1" t="s">
        <v>193</v>
      </c>
      <c r="D1" s="114" t="s">
        <v>428</v>
      </c>
    </row>
    <row r="2" spans="1:9" ht="38" thickBot="1" x14ac:dyDescent="0.3">
      <c r="B2" s="20" t="s">
        <v>42</v>
      </c>
      <c r="C2" s="20" t="s">
        <v>167</v>
      </c>
      <c r="D2" s="20" t="s">
        <v>156</v>
      </c>
      <c r="E2" s="20" t="s">
        <v>168</v>
      </c>
      <c r="F2" s="20"/>
      <c r="G2" s="20" t="s">
        <v>169</v>
      </c>
      <c r="H2" s="20" t="s">
        <v>170</v>
      </c>
      <c r="I2" s="20" t="s">
        <v>171</v>
      </c>
    </row>
    <row r="3" spans="1:9" x14ac:dyDescent="0.25">
      <c r="B3" s="21">
        <v>0.05</v>
      </c>
      <c r="C3" s="22">
        <v>0</v>
      </c>
      <c r="D3" s="22">
        <f>B3</f>
        <v>0.05</v>
      </c>
      <c r="E3" s="23">
        <v>0</v>
      </c>
      <c r="G3" s="15">
        <v>1</v>
      </c>
      <c r="H3" s="31">
        <f t="shared" ref="H3:H12" ca="1" si="0">RAND()</f>
        <v>0.60860579702815054</v>
      </c>
      <c r="I3" s="32">
        <f t="shared" ref="I3:I12" ca="1" si="1">VLOOKUP(H3,$C$3:$E$8,3,TRUE)</f>
        <v>3</v>
      </c>
    </row>
    <row r="4" spans="1:9" x14ac:dyDescent="0.25">
      <c r="B4" s="24">
        <v>0.1</v>
      </c>
      <c r="C4">
        <f>D3</f>
        <v>0.05</v>
      </c>
      <c r="D4">
        <f>D3+B4</f>
        <v>0.15000000000000002</v>
      </c>
      <c r="E4" s="25">
        <v>1</v>
      </c>
      <c r="G4" s="15">
        <v>2</v>
      </c>
      <c r="H4" s="33">
        <f t="shared" ca="1" si="0"/>
        <v>3.5382105445736278E-2</v>
      </c>
      <c r="I4" s="34">
        <f t="shared" ca="1" si="1"/>
        <v>0</v>
      </c>
    </row>
    <row r="5" spans="1:9" x14ac:dyDescent="0.25">
      <c r="B5" s="24">
        <v>0.2</v>
      </c>
      <c r="C5">
        <f>D4</f>
        <v>0.15000000000000002</v>
      </c>
      <c r="D5">
        <f>D4+B5</f>
        <v>0.35000000000000003</v>
      </c>
      <c r="E5" s="25">
        <v>2</v>
      </c>
      <c r="G5" s="15">
        <v>3</v>
      </c>
      <c r="H5" s="33">
        <f t="shared" ca="1" si="0"/>
        <v>8.3345085394228358E-2</v>
      </c>
      <c r="I5" s="34">
        <f t="shared" ca="1" si="1"/>
        <v>1</v>
      </c>
    </row>
    <row r="6" spans="1:9" x14ac:dyDescent="0.25">
      <c r="B6" s="24">
        <v>0.3</v>
      </c>
      <c r="C6">
        <f>D5</f>
        <v>0.35000000000000003</v>
      </c>
      <c r="D6">
        <f>D5+B6</f>
        <v>0.65</v>
      </c>
      <c r="E6" s="25">
        <v>3</v>
      </c>
      <c r="G6" s="15">
        <v>4</v>
      </c>
      <c r="H6" s="33">
        <f t="shared" ca="1" si="0"/>
        <v>0.97435970626249158</v>
      </c>
      <c r="I6" s="34">
        <f t="shared" ca="1" si="1"/>
        <v>5</v>
      </c>
    </row>
    <row r="7" spans="1:9" x14ac:dyDescent="0.25">
      <c r="B7" s="24">
        <v>0.2</v>
      </c>
      <c r="C7">
        <f>D6</f>
        <v>0.65</v>
      </c>
      <c r="D7">
        <f>D6+B7</f>
        <v>0.85000000000000009</v>
      </c>
      <c r="E7" s="25">
        <v>4</v>
      </c>
      <c r="G7" s="15">
        <v>5</v>
      </c>
      <c r="H7" s="33">
        <f t="shared" ca="1" si="0"/>
        <v>0.77358162751764203</v>
      </c>
      <c r="I7" s="34">
        <f t="shared" ca="1" si="1"/>
        <v>4</v>
      </c>
    </row>
    <row r="8" spans="1:9" ht="13" thickBot="1" x14ac:dyDescent="0.3">
      <c r="B8" s="26">
        <v>0.15</v>
      </c>
      <c r="C8" s="27">
        <f>D7</f>
        <v>0.85000000000000009</v>
      </c>
      <c r="D8" s="27">
        <f>D7+B8</f>
        <v>1</v>
      </c>
      <c r="E8" s="28">
        <v>5</v>
      </c>
      <c r="G8" s="15">
        <v>6</v>
      </c>
      <c r="H8" s="33">
        <f t="shared" ca="1" si="0"/>
        <v>0.59997781426273145</v>
      </c>
      <c r="I8" s="34">
        <f t="shared" ca="1" si="1"/>
        <v>3</v>
      </c>
    </row>
    <row r="9" spans="1:9" x14ac:dyDescent="0.25">
      <c r="G9" s="15">
        <v>7</v>
      </c>
      <c r="H9" s="33">
        <f t="shared" ca="1" si="0"/>
        <v>0.29230291500901784</v>
      </c>
      <c r="I9" s="34">
        <f t="shared" ca="1" si="1"/>
        <v>2</v>
      </c>
    </row>
    <row r="10" spans="1:9" x14ac:dyDescent="0.25">
      <c r="G10" s="15">
        <v>8</v>
      </c>
      <c r="H10" s="33">
        <f t="shared" ca="1" si="0"/>
        <v>0.39132693409513641</v>
      </c>
      <c r="I10" s="34">
        <f t="shared" ca="1" si="1"/>
        <v>3</v>
      </c>
    </row>
    <row r="11" spans="1:9" x14ac:dyDescent="0.25">
      <c r="G11" s="15">
        <v>9</v>
      </c>
      <c r="H11" s="33">
        <f t="shared" ca="1" si="0"/>
        <v>0.13148089506815253</v>
      </c>
      <c r="I11" s="34">
        <f t="shared" ca="1" si="1"/>
        <v>1</v>
      </c>
    </row>
    <row r="12" spans="1:9" ht="13" thickBot="1" x14ac:dyDescent="0.3">
      <c r="G12" s="15">
        <v>10</v>
      </c>
      <c r="H12" s="35">
        <f t="shared" ca="1" si="0"/>
        <v>0.21596881597674933</v>
      </c>
      <c r="I12" s="36">
        <f t="shared" ca="1" si="1"/>
        <v>2</v>
      </c>
    </row>
    <row r="13" spans="1:9" x14ac:dyDescent="0.25">
      <c r="H13" t="s">
        <v>58</v>
      </c>
      <c r="I13">
        <f ca="1">AVERAGE(I3:I12)</f>
        <v>2.4</v>
      </c>
    </row>
    <row r="14" spans="1:9" ht="13" thickBot="1" x14ac:dyDescent="0.3">
      <c r="B14" t="s">
        <v>172</v>
      </c>
    </row>
    <row r="15" spans="1:9" ht="25" x14ac:dyDescent="0.25">
      <c r="B15" s="37" t="s">
        <v>173</v>
      </c>
      <c r="C15" s="13" t="s">
        <v>174</v>
      </c>
      <c r="D15" s="13" t="s">
        <v>175</v>
      </c>
      <c r="E15" s="3" t="s">
        <v>176</v>
      </c>
    </row>
    <row r="16" spans="1:9" x14ac:dyDescent="0.25">
      <c r="B16" s="14">
        <v>0</v>
      </c>
      <c r="C16">
        <f t="array" aca="1" ref="C16:C21" ca="1">FREQUENCY($I$3:$I$12,$B$16:$B$21)</f>
        <v>1</v>
      </c>
      <c r="D16" s="38">
        <f t="shared" ref="D16:D21" ca="1" si="2">C16/$C$22</f>
        <v>0.1</v>
      </c>
      <c r="E16" s="39">
        <f ca="1">D16</f>
        <v>0.1</v>
      </c>
    </row>
    <row r="17" spans="2:5" x14ac:dyDescent="0.25">
      <c r="B17" s="14">
        <v>1</v>
      </c>
      <c r="C17">
        <f ca="1"/>
        <v>2</v>
      </c>
      <c r="D17" s="38">
        <f t="shared" ca="1" si="2"/>
        <v>0.2</v>
      </c>
      <c r="E17" s="39">
        <f ca="1">E16+D17</f>
        <v>0.30000000000000004</v>
      </c>
    </row>
    <row r="18" spans="2:5" x14ac:dyDescent="0.25">
      <c r="B18" s="14">
        <v>2</v>
      </c>
      <c r="C18">
        <f ca="1"/>
        <v>2</v>
      </c>
      <c r="D18" s="38">
        <f t="shared" ca="1" si="2"/>
        <v>0.2</v>
      </c>
      <c r="E18" s="39">
        <f ca="1">E17+D18</f>
        <v>0.5</v>
      </c>
    </row>
    <row r="19" spans="2:5" x14ac:dyDescent="0.25">
      <c r="B19" s="14">
        <v>3</v>
      </c>
      <c r="C19">
        <f ca="1"/>
        <v>3</v>
      </c>
      <c r="D19" s="38">
        <f t="shared" ca="1" si="2"/>
        <v>0.3</v>
      </c>
      <c r="E19" s="39">
        <f ca="1">E18+D19</f>
        <v>0.8</v>
      </c>
    </row>
    <row r="20" spans="2:5" x14ac:dyDescent="0.25">
      <c r="B20" s="14">
        <v>4</v>
      </c>
      <c r="C20">
        <f ca="1"/>
        <v>1</v>
      </c>
      <c r="D20" s="38">
        <f t="shared" ca="1" si="2"/>
        <v>0.1</v>
      </c>
      <c r="E20" s="39">
        <f ca="1">E19+D20</f>
        <v>0.9</v>
      </c>
    </row>
    <row r="21" spans="2:5" ht="13" thickBot="1" x14ac:dyDescent="0.3">
      <c r="B21" s="16">
        <v>5</v>
      </c>
      <c r="C21" s="17">
        <f ca="1"/>
        <v>1</v>
      </c>
      <c r="D21" s="40">
        <f t="shared" ca="1" si="2"/>
        <v>0.1</v>
      </c>
      <c r="E21" s="41">
        <f ca="1">E20+D21</f>
        <v>1</v>
      </c>
    </row>
    <row r="22" spans="2:5" x14ac:dyDescent="0.25">
      <c r="C22">
        <f ca="1">SUM(C16:C21)</f>
        <v>10</v>
      </c>
    </row>
  </sheetData>
  <phoneticPr fontId="0" type="noConversion"/>
  <pageMargins left="0.75" right="0.75" top="1" bottom="1" header="0.5" footer="0.5"/>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25"/>
  <dimension ref="A1:M1017"/>
  <sheetViews>
    <sheetView workbookViewId="0"/>
  </sheetViews>
  <sheetFormatPr defaultColWidth="8.7265625" defaultRowHeight="13" x14ac:dyDescent="0.3"/>
  <cols>
    <col min="1" max="1" width="13.7265625" style="551" bestFit="1" customWidth="1"/>
    <col min="2" max="2" width="15.08984375" style="551" bestFit="1" customWidth="1"/>
    <col min="3" max="3" width="8.7265625" style="551"/>
    <col min="4" max="4" width="9.7265625" style="551" customWidth="1"/>
    <col min="5" max="5" width="4.26953125" style="551" customWidth="1"/>
    <col min="6" max="7" width="10.7265625" style="551" customWidth="1"/>
    <col min="8" max="8" width="10" style="551" customWidth="1"/>
    <col min="9" max="9" width="4.26953125" style="551" customWidth="1"/>
    <col min="10" max="10" width="8.36328125" style="551" customWidth="1"/>
    <col min="11" max="11" width="16.7265625" style="551" bestFit="1" customWidth="1"/>
    <col min="12" max="12" width="11.36328125" style="551" customWidth="1"/>
    <col min="13" max="13" width="10.7265625" style="551" customWidth="1"/>
    <col min="14" max="16384" width="8.7265625" style="551"/>
  </cols>
  <sheetData>
    <row r="1" spans="1:13" ht="18.5" x14ac:dyDescent="0.45">
      <c r="A1" s="577" t="s">
        <v>193</v>
      </c>
    </row>
    <row r="3" spans="1:13" x14ac:dyDescent="0.3">
      <c r="A3" s="807" t="s">
        <v>840</v>
      </c>
      <c r="B3" s="576"/>
      <c r="C3" s="576"/>
      <c r="D3" s="576"/>
      <c r="E3" s="576"/>
      <c r="F3" s="576"/>
      <c r="G3" s="576"/>
      <c r="H3" s="576"/>
    </row>
    <row r="6" spans="1:13" ht="13.5" thickBot="1" x14ac:dyDescent="0.35">
      <c r="B6" s="588" t="s">
        <v>27</v>
      </c>
      <c r="F6" s="554" t="s">
        <v>841</v>
      </c>
      <c r="J6" s="554" t="s">
        <v>842</v>
      </c>
    </row>
    <row r="7" spans="1:13" ht="26.5" thickBot="1" x14ac:dyDescent="0.35">
      <c r="A7" s="784" t="s">
        <v>843</v>
      </c>
      <c r="B7" s="589" t="s">
        <v>844</v>
      </c>
      <c r="C7" s="590" t="s">
        <v>48</v>
      </c>
      <c r="D7" s="591" t="s">
        <v>174</v>
      </c>
      <c r="F7" s="789" t="s">
        <v>42</v>
      </c>
      <c r="G7" s="790" t="s">
        <v>156</v>
      </c>
      <c r="H7" s="791" t="s">
        <v>845</v>
      </c>
      <c r="I7" s="746"/>
      <c r="J7" s="797" t="s">
        <v>48</v>
      </c>
      <c r="K7" s="798" t="s">
        <v>846</v>
      </c>
      <c r="L7" s="798" t="s">
        <v>175</v>
      </c>
      <c r="M7" s="799" t="s">
        <v>847</v>
      </c>
    </row>
    <row r="8" spans="1:13" x14ac:dyDescent="0.3">
      <c r="A8" s="578">
        <v>0</v>
      </c>
      <c r="B8" s="589" t="s">
        <v>848</v>
      </c>
      <c r="C8" s="787">
        <v>0</v>
      </c>
      <c r="D8" s="788">
        <v>10</v>
      </c>
      <c r="F8" s="792">
        <f>D8/$D$14</f>
        <v>0.05</v>
      </c>
      <c r="G8" s="598">
        <f>F8</f>
        <v>0.05</v>
      </c>
      <c r="H8" s="793">
        <f>C8*D8</f>
        <v>0</v>
      </c>
      <c r="J8" s="800">
        <f>C8</f>
        <v>0</v>
      </c>
      <c r="K8" s="571">
        <f t="array" aca="1" ref="K8:K13" ca="1">FREQUENCY($C$18:$C$1017,$J$8:$J$14)</f>
        <v>55</v>
      </c>
      <c r="L8" s="571">
        <f ca="1">K8/$K$14</f>
        <v>5.5E-2</v>
      </c>
      <c r="M8" s="801">
        <f ca="1">K8*J8</f>
        <v>0</v>
      </c>
    </row>
    <row r="9" spans="1:13" x14ac:dyDescent="0.3">
      <c r="A9" s="578">
        <f>100*G8</f>
        <v>5</v>
      </c>
      <c r="B9" s="592" t="s">
        <v>849</v>
      </c>
      <c r="C9" s="562">
        <v>1</v>
      </c>
      <c r="D9" s="594">
        <v>20</v>
      </c>
      <c r="F9" s="792">
        <f t="shared" ref="F9:F13" si="0">D9/$D$14</f>
        <v>0.1</v>
      </c>
      <c r="G9" s="598">
        <f>F9+G8</f>
        <v>0.15000000000000002</v>
      </c>
      <c r="H9" s="793">
        <f t="shared" ref="H9:H13" si="1">C9*D9</f>
        <v>20</v>
      </c>
      <c r="J9" s="800">
        <f t="shared" ref="J9:J13" si="2">C9</f>
        <v>1</v>
      </c>
      <c r="K9" s="571">
        <f ca="1"/>
        <v>99</v>
      </c>
      <c r="L9" s="571">
        <f t="shared" ref="L9:L13" ca="1" si="3">K9/$K$14</f>
        <v>9.9000000000000005E-2</v>
      </c>
      <c r="M9" s="801">
        <f t="shared" ref="M9:M13" ca="1" si="4">K9*J9</f>
        <v>99</v>
      </c>
    </row>
    <row r="10" spans="1:13" x14ac:dyDescent="0.3">
      <c r="A10" s="578">
        <f t="shared" ref="A10:A13" si="5">100*G9</f>
        <v>15.000000000000002</v>
      </c>
      <c r="B10" s="592" t="s">
        <v>852</v>
      </c>
      <c r="C10" s="562">
        <v>2</v>
      </c>
      <c r="D10" s="594">
        <v>40</v>
      </c>
      <c r="F10" s="792">
        <f t="shared" si="0"/>
        <v>0.2</v>
      </c>
      <c r="G10" s="598">
        <f t="shared" ref="G10:G13" si="6">F10+G9</f>
        <v>0.35000000000000003</v>
      </c>
      <c r="H10" s="793">
        <f t="shared" si="1"/>
        <v>80</v>
      </c>
      <c r="J10" s="800">
        <f t="shared" si="2"/>
        <v>2</v>
      </c>
      <c r="K10" s="571">
        <f ca="1"/>
        <v>206</v>
      </c>
      <c r="L10" s="571">
        <f t="shared" ca="1" si="3"/>
        <v>0.20599999999999999</v>
      </c>
      <c r="M10" s="801">
        <f t="shared" ca="1" si="4"/>
        <v>412</v>
      </c>
    </row>
    <row r="11" spans="1:13" x14ac:dyDescent="0.3">
      <c r="A11" s="578">
        <f t="shared" si="5"/>
        <v>35</v>
      </c>
      <c r="B11" s="592" t="s">
        <v>853</v>
      </c>
      <c r="C11" s="562">
        <v>3</v>
      </c>
      <c r="D11" s="594">
        <v>60</v>
      </c>
      <c r="F11" s="792">
        <f t="shared" si="0"/>
        <v>0.3</v>
      </c>
      <c r="G11" s="598">
        <f t="shared" si="6"/>
        <v>0.65</v>
      </c>
      <c r="H11" s="793">
        <f t="shared" si="1"/>
        <v>180</v>
      </c>
      <c r="J11" s="800">
        <f t="shared" si="2"/>
        <v>3</v>
      </c>
      <c r="K11" s="571">
        <f ca="1"/>
        <v>312</v>
      </c>
      <c r="L11" s="571">
        <f t="shared" ca="1" si="3"/>
        <v>0.312</v>
      </c>
      <c r="M11" s="801">
        <f t="shared" ca="1" si="4"/>
        <v>936</v>
      </c>
    </row>
    <row r="12" spans="1:13" x14ac:dyDescent="0.3">
      <c r="A12" s="578">
        <f t="shared" si="5"/>
        <v>65</v>
      </c>
      <c r="B12" s="592" t="s">
        <v>854</v>
      </c>
      <c r="C12" s="562">
        <v>4</v>
      </c>
      <c r="D12" s="594">
        <v>40</v>
      </c>
      <c r="F12" s="792">
        <f t="shared" si="0"/>
        <v>0.2</v>
      </c>
      <c r="G12" s="598">
        <f t="shared" si="6"/>
        <v>0.85000000000000009</v>
      </c>
      <c r="H12" s="793">
        <f t="shared" si="1"/>
        <v>160</v>
      </c>
      <c r="J12" s="800">
        <f t="shared" si="2"/>
        <v>4</v>
      </c>
      <c r="K12" s="571">
        <f ca="1"/>
        <v>187</v>
      </c>
      <c r="L12" s="571">
        <f t="shared" ca="1" si="3"/>
        <v>0.187</v>
      </c>
      <c r="M12" s="801">
        <f t="shared" ca="1" si="4"/>
        <v>748</v>
      </c>
    </row>
    <row r="13" spans="1:13" ht="13.5" thickBot="1" x14ac:dyDescent="0.35">
      <c r="A13" s="578">
        <f t="shared" si="5"/>
        <v>85.000000000000014</v>
      </c>
      <c r="B13" s="595" t="s">
        <v>855</v>
      </c>
      <c r="C13" s="596">
        <v>5</v>
      </c>
      <c r="D13" s="597">
        <v>30</v>
      </c>
      <c r="F13" s="794">
        <f t="shared" si="0"/>
        <v>0.15</v>
      </c>
      <c r="G13" s="795">
        <f t="shared" si="6"/>
        <v>1</v>
      </c>
      <c r="H13" s="796">
        <f t="shared" si="1"/>
        <v>150</v>
      </c>
      <c r="J13" s="802">
        <f t="shared" si="2"/>
        <v>5</v>
      </c>
      <c r="K13" s="803">
        <f ca="1"/>
        <v>141</v>
      </c>
      <c r="L13" s="803">
        <f t="shared" ca="1" si="3"/>
        <v>0.14099999999999999</v>
      </c>
      <c r="M13" s="804">
        <f t="shared" ca="1" si="4"/>
        <v>705</v>
      </c>
    </row>
    <row r="14" spans="1:13" x14ac:dyDescent="0.3">
      <c r="B14" s="551" t="s">
        <v>57</v>
      </c>
      <c r="D14" s="551">
        <f>SUM(D8:D13)</f>
        <v>200</v>
      </c>
      <c r="G14" s="554" t="s">
        <v>47</v>
      </c>
      <c r="H14" s="554">
        <f>SUM(H8:H13)/D14</f>
        <v>2.95</v>
      </c>
      <c r="J14" s="785" t="s">
        <v>111</v>
      </c>
      <c r="K14" s="785">
        <f ca="1">SUM(K8:K13)</f>
        <v>1000</v>
      </c>
      <c r="L14" s="785">
        <v>1</v>
      </c>
      <c r="M14" s="785">
        <f ca="1">SUM(M8:M13)</f>
        <v>2900</v>
      </c>
    </row>
    <row r="15" spans="1:13" x14ac:dyDescent="0.3">
      <c r="J15" s="554"/>
      <c r="K15" s="554"/>
      <c r="L15" s="785" t="s">
        <v>58</v>
      </c>
      <c r="M15" s="785">
        <f ca="1">M14/K14</f>
        <v>2.9</v>
      </c>
    </row>
    <row r="16" spans="1:13" ht="13.5" thickBot="1" x14ac:dyDescent="0.35">
      <c r="A16" s="554" t="s">
        <v>850</v>
      </c>
    </row>
    <row r="17" spans="1:11" x14ac:dyDescent="0.3">
      <c r="A17" s="797" t="s">
        <v>851</v>
      </c>
      <c r="B17" s="805" t="s">
        <v>181</v>
      </c>
      <c r="C17" s="806" t="s">
        <v>48</v>
      </c>
    </row>
    <row r="18" spans="1:11" x14ac:dyDescent="0.3">
      <c r="A18" s="800">
        <v>1</v>
      </c>
      <c r="B18" s="571">
        <f ca="1">100*RAND()</f>
        <v>11.532664333863218</v>
      </c>
      <c r="C18" s="801">
        <f ca="1">VLOOKUP(B18,$A$8:$C$13,3)</f>
        <v>1</v>
      </c>
      <c r="K18" s="786"/>
    </row>
    <row r="19" spans="1:11" x14ac:dyDescent="0.3">
      <c r="A19" s="800">
        <v>2</v>
      </c>
      <c r="B19" s="571">
        <f t="shared" ref="B19:B82" ca="1" si="7">100*RAND()</f>
        <v>98.845240409725477</v>
      </c>
      <c r="C19" s="801">
        <f t="shared" ref="C19:C82" ca="1" si="8">VLOOKUP(B19,$A$8:$C$13,3)</f>
        <v>5</v>
      </c>
      <c r="K19" s="786"/>
    </row>
    <row r="20" spans="1:11" x14ac:dyDescent="0.3">
      <c r="A20" s="800">
        <v>3</v>
      </c>
      <c r="B20" s="571">
        <f t="shared" ca="1" si="7"/>
        <v>25.229123325565784</v>
      </c>
      <c r="C20" s="801">
        <f t="shared" ca="1" si="8"/>
        <v>2</v>
      </c>
      <c r="K20" s="786"/>
    </row>
    <row r="21" spans="1:11" x14ac:dyDescent="0.3">
      <c r="A21" s="800">
        <v>4</v>
      </c>
      <c r="B21" s="571">
        <f t="shared" ca="1" si="7"/>
        <v>2.0045377668747144</v>
      </c>
      <c r="C21" s="801">
        <f t="shared" ca="1" si="8"/>
        <v>0</v>
      </c>
      <c r="K21" s="786"/>
    </row>
    <row r="22" spans="1:11" x14ac:dyDescent="0.3">
      <c r="A22" s="800">
        <v>5</v>
      </c>
      <c r="B22" s="571">
        <f t="shared" ca="1" si="7"/>
        <v>39.825040288807379</v>
      </c>
      <c r="C22" s="801">
        <f t="shared" ca="1" si="8"/>
        <v>3</v>
      </c>
      <c r="K22" s="786"/>
    </row>
    <row r="23" spans="1:11" x14ac:dyDescent="0.3">
      <c r="A23" s="800">
        <v>6</v>
      </c>
      <c r="B23" s="571">
        <f t="shared" ca="1" si="7"/>
        <v>45.621099594861171</v>
      </c>
      <c r="C23" s="801">
        <f t="shared" ca="1" si="8"/>
        <v>3</v>
      </c>
      <c r="K23" s="786"/>
    </row>
    <row r="24" spans="1:11" x14ac:dyDescent="0.3">
      <c r="A24" s="800">
        <v>7</v>
      </c>
      <c r="B24" s="571">
        <f t="shared" ca="1" si="7"/>
        <v>62.306001319949985</v>
      </c>
      <c r="C24" s="801">
        <f t="shared" ca="1" si="8"/>
        <v>3</v>
      </c>
      <c r="K24" s="786"/>
    </row>
    <row r="25" spans="1:11" x14ac:dyDescent="0.3">
      <c r="A25" s="800">
        <v>8</v>
      </c>
      <c r="B25" s="571">
        <f t="shared" ca="1" si="7"/>
        <v>6.9669025498252051</v>
      </c>
      <c r="C25" s="801">
        <f t="shared" ca="1" si="8"/>
        <v>1</v>
      </c>
      <c r="K25" s="786"/>
    </row>
    <row r="26" spans="1:11" x14ac:dyDescent="0.3">
      <c r="A26" s="800">
        <v>9</v>
      </c>
      <c r="B26" s="571">
        <f t="shared" ca="1" si="7"/>
        <v>97.375238928057612</v>
      </c>
      <c r="C26" s="801">
        <f t="shared" ca="1" si="8"/>
        <v>5</v>
      </c>
      <c r="K26" s="786"/>
    </row>
    <row r="27" spans="1:11" x14ac:dyDescent="0.3">
      <c r="A27" s="800">
        <v>10</v>
      </c>
      <c r="B27" s="571">
        <f t="shared" ca="1" si="7"/>
        <v>59.370375971901169</v>
      </c>
      <c r="C27" s="801">
        <f t="shared" ca="1" si="8"/>
        <v>3</v>
      </c>
      <c r="K27" s="786"/>
    </row>
    <row r="28" spans="1:11" x14ac:dyDescent="0.3">
      <c r="A28" s="800">
        <v>11</v>
      </c>
      <c r="B28" s="571">
        <f t="shared" ca="1" si="7"/>
        <v>11.483820920366073</v>
      </c>
      <c r="C28" s="801">
        <f t="shared" ca="1" si="8"/>
        <v>1</v>
      </c>
      <c r="K28" s="786"/>
    </row>
    <row r="29" spans="1:11" x14ac:dyDescent="0.3">
      <c r="A29" s="800">
        <v>12</v>
      </c>
      <c r="B29" s="571">
        <f t="shared" ca="1" si="7"/>
        <v>33.795330640559698</v>
      </c>
      <c r="C29" s="801">
        <f t="shared" ca="1" si="8"/>
        <v>2</v>
      </c>
      <c r="K29" s="786"/>
    </row>
    <row r="30" spans="1:11" x14ac:dyDescent="0.3">
      <c r="A30" s="800">
        <v>13</v>
      </c>
      <c r="B30" s="571">
        <f t="shared" ca="1" si="7"/>
        <v>30.500489185642941</v>
      </c>
      <c r="C30" s="801">
        <f t="shared" ca="1" si="8"/>
        <v>2</v>
      </c>
      <c r="K30" s="786"/>
    </row>
    <row r="31" spans="1:11" x14ac:dyDescent="0.3">
      <c r="A31" s="800">
        <v>14</v>
      </c>
      <c r="B31" s="571">
        <f t="shared" ca="1" si="7"/>
        <v>55.76002900473479</v>
      </c>
      <c r="C31" s="801">
        <f t="shared" ca="1" si="8"/>
        <v>3</v>
      </c>
      <c r="K31" s="786"/>
    </row>
    <row r="32" spans="1:11" x14ac:dyDescent="0.3">
      <c r="A32" s="800">
        <v>15</v>
      </c>
      <c r="B32" s="571">
        <f t="shared" ca="1" si="7"/>
        <v>35.880636837859988</v>
      </c>
      <c r="C32" s="801">
        <f t="shared" ca="1" si="8"/>
        <v>3</v>
      </c>
      <c r="K32" s="786"/>
    </row>
    <row r="33" spans="1:11" x14ac:dyDescent="0.3">
      <c r="A33" s="800">
        <v>16</v>
      </c>
      <c r="B33" s="571">
        <f t="shared" ca="1" si="7"/>
        <v>78.342545432882446</v>
      </c>
      <c r="C33" s="801">
        <f t="shared" ca="1" si="8"/>
        <v>4</v>
      </c>
      <c r="K33" s="786"/>
    </row>
    <row r="34" spans="1:11" x14ac:dyDescent="0.3">
      <c r="A34" s="800">
        <v>17</v>
      </c>
      <c r="B34" s="571">
        <f t="shared" ca="1" si="7"/>
        <v>88.777613615333578</v>
      </c>
      <c r="C34" s="801">
        <f t="shared" ca="1" si="8"/>
        <v>5</v>
      </c>
      <c r="K34" s="786"/>
    </row>
    <row r="35" spans="1:11" x14ac:dyDescent="0.3">
      <c r="A35" s="800">
        <v>18</v>
      </c>
      <c r="B35" s="571">
        <f t="shared" ca="1" si="7"/>
        <v>45.224297968533669</v>
      </c>
      <c r="C35" s="801">
        <f t="shared" ca="1" si="8"/>
        <v>3</v>
      </c>
      <c r="K35" s="786"/>
    </row>
    <row r="36" spans="1:11" x14ac:dyDescent="0.3">
      <c r="A36" s="800">
        <v>19</v>
      </c>
      <c r="B36" s="571">
        <f t="shared" ca="1" si="7"/>
        <v>59.7831584391989</v>
      </c>
      <c r="C36" s="801">
        <f t="shared" ca="1" si="8"/>
        <v>3</v>
      </c>
      <c r="K36" s="786"/>
    </row>
    <row r="37" spans="1:11" x14ac:dyDescent="0.3">
      <c r="A37" s="800">
        <v>20</v>
      </c>
      <c r="B37" s="571">
        <f t="shared" ca="1" si="7"/>
        <v>92.041238345200242</v>
      </c>
      <c r="C37" s="801">
        <f t="shared" ca="1" si="8"/>
        <v>5</v>
      </c>
      <c r="K37" s="786"/>
    </row>
    <row r="38" spans="1:11" x14ac:dyDescent="0.3">
      <c r="A38" s="800">
        <v>21</v>
      </c>
      <c r="B38" s="571">
        <f t="shared" ca="1" si="7"/>
        <v>41.810684865305213</v>
      </c>
      <c r="C38" s="801">
        <f t="shared" ca="1" si="8"/>
        <v>3</v>
      </c>
      <c r="K38" s="786"/>
    </row>
    <row r="39" spans="1:11" x14ac:dyDescent="0.3">
      <c r="A39" s="800">
        <v>22</v>
      </c>
      <c r="B39" s="571">
        <f t="shared" ca="1" si="7"/>
        <v>66.90779949938748</v>
      </c>
      <c r="C39" s="801">
        <f t="shared" ca="1" si="8"/>
        <v>4</v>
      </c>
      <c r="K39" s="786"/>
    </row>
    <row r="40" spans="1:11" x14ac:dyDescent="0.3">
      <c r="A40" s="800">
        <v>23</v>
      </c>
      <c r="B40" s="571">
        <f t="shared" ca="1" si="7"/>
        <v>7.1644679918092313</v>
      </c>
      <c r="C40" s="801">
        <f t="shared" ca="1" si="8"/>
        <v>1</v>
      </c>
      <c r="K40" s="786"/>
    </row>
    <row r="41" spans="1:11" x14ac:dyDescent="0.3">
      <c r="A41" s="800">
        <v>24</v>
      </c>
      <c r="B41" s="571">
        <f t="shared" ca="1" si="7"/>
        <v>74.077608710186084</v>
      </c>
      <c r="C41" s="801">
        <f t="shared" ca="1" si="8"/>
        <v>4</v>
      </c>
      <c r="K41" s="786"/>
    </row>
    <row r="42" spans="1:11" x14ac:dyDescent="0.3">
      <c r="A42" s="800">
        <v>25</v>
      </c>
      <c r="B42" s="571">
        <f t="shared" ca="1" si="7"/>
        <v>21.15220834982744</v>
      </c>
      <c r="C42" s="801">
        <f t="shared" ca="1" si="8"/>
        <v>2</v>
      </c>
      <c r="K42" s="786"/>
    </row>
    <row r="43" spans="1:11" x14ac:dyDescent="0.3">
      <c r="A43" s="800">
        <v>26</v>
      </c>
      <c r="B43" s="571">
        <f t="shared" ca="1" si="7"/>
        <v>93.615568313757564</v>
      </c>
      <c r="C43" s="801">
        <f t="shared" ca="1" si="8"/>
        <v>5</v>
      </c>
      <c r="K43" s="786"/>
    </row>
    <row r="44" spans="1:11" x14ac:dyDescent="0.3">
      <c r="A44" s="800">
        <v>27</v>
      </c>
      <c r="B44" s="571">
        <f t="shared" ca="1" si="7"/>
        <v>40.098142700345427</v>
      </c>
      <c r="C44" s="801">
        <f t="shared" ca="1" si="8"/>
        <v>3</v>
      </c>
      <c r="K44" s="786"/>
    </row>
    <row r="45" spans="1:11" x14ac:dyDescent="0.3">
      <c r="A45" s="800">
        <v>28</v>
      </c>
      <c r="B45" s="571">
        <f t="shared" ca="1" si="7"/>
        <v>24.637874906061754</v>
      </c>
      <c r="C45" s="801">
        <f t="shared" ca="1" si="8"/>
        <v>2</v>
      </c>
      <c r="K45" s="786"/>
    </row>
    <row r="46" spans="1:11" x14ac:dyDescent="0.3">
      <c r="A46" s="800">
        <v>29</v>
      </c>
      <c r="B46" s="571">
        <f t="shared" ca="1" si="7"/>
        <v>51.215034406588678</v>
      </c>
      <c r="C46" s="801">
        <f t="shared" ca="1" si="8"/>
        <v>3</v>
      </c>
      <c r="K46" s="786"/>
    </row>
    <row r="47" spans="1:11" x14ac:dyDescent="0.3">
      <c r="A47" s="800">
        <v>30</v>
      </c>
      <c r="B47" s="571">
        <f t="shared" ca="1" si="7"/>
        <v>96.851670075046627</v>
      </c>
      <c r="C47" s="801">
        <f t="shared" ca="1" si="8"/>
        <v>5</v>
      </c>
      <c r="K47" s="786"/>
    </row>
    <row r="48" spans="1:11" x14ac:dyDescent="0.3">
      <c r="A48" s="800">
        <v>31</v>
      </c>
      <c r="B48" s="571">
        <f t="shared" ca="1" si="7"/>
        <v>81.349490378539329</v>
      </c>
      <c r="C48" s="801">
        <f t="shared" ca="1" si="8"/>
        <v>4</v>
      </c>
      <c r="K48" s="786"/>
    </row>
    <row r="49" spans="1:11" x14ac:dyDescent="0.3">
      <c r="A49" s="800">
        <v>32</v>
      </c>
      <c r="B49" s="571">
        <f t="shared" ca="1" si="7"/>
        <v>71.721061314445251</v>
      </c>
      <c r="C49" s="801">
        <f t="shared" ca="1" si="8"/>
        <v>4</v>
      </c>
      <c r="K49" s="786"/>
    </row>
    <row r="50" spans="1:11" x14ac:dyDescent="0.3">
      <c r="A50" s="800">
        <v>33</v>
      </c>
      <c r="B50" s="571">
        <f t="shared" ca="1" si="7"/>
        <v>52.516178789494738</v>
      </c>
      <c r="C50" s="801">
        <f t="shared" ca="1" si="8"/>
        <v>3</v>
      </c>
      <c r="K50" s="786"/>
    </row>
    <row r="51" spans="1:11" x14ac:dyDescent="0.3">
      <c r="A51" s="800">
        <v>34</v>
      </c>
      <c r="B51" s="571">
        <f t="shared" ca="1" si="7"/>
        <v>79.161279578867294</v>
      </c>
      <c r="C51" s="801">
        <f t="shared" ca="1" si="8"/>
        <v>4</v>
      </c>
      <c r="K51" s="786"/>
    </row>
    <row r="52" spans="1:11" x14ac:dyDescent="0.3">
      <c r="A52" s="800">
        <v>35</v>
      </c>
      <c r="B52" s="571">
        <f t="shared" ca="1" si="7"/>
        <v>88.739281317664165</v>
      </c>
      <c r="C52" s="801">
        <f t="shared" ca="1" si="8"/>
        <v>5</v>
      </c>
      <c r="K52" s="786"/>
    </row>
    <row r="53" spans="1:11" x14ac:dyDescent="0.3">
      <c r="A53" s="800">
        <v>36</v>
      </c>
      <c r="B53" s="571">
        <f t="shared" ca="1" si="7"/>
        <v>3.5623987573893068</v>
      </c>
      <c r="C53" s="801">
        <f t="shared" ca="1" si="8"/>
        <v>0</v>
      </c>
      <c r="K53" s="786"/>
    </row>
    <row r="54" spans="1:11" x14ac:dyDescent="0.3">
      <c r="A54" s="800">
        <v>37</v>
      </c>
      <c r="B54" s="571">
        <f t="shared" ca="1" si="7"/>
        <v>73.3165356087448</v>
      </c>
      <c r="C54" s="801">
        <f t="shared" ca="1" si="8"/>
        <v>4</v>
      </c>
      <c r="K54" s="786"/>
    </row>
    <row r="55" spans="1:11" x14ac:dyDescent="0.3">
      <c r="A55" s="800">
        <v>38</v>
      </c>
      <c r="B55" s="571">
        <f t="shared" ca="1" si="7"/>
        <v>78.644989806557561</v>
      </c>
      <c r="C55" s="801">
        <f t="shared" ca="1" si="8"/>
        <v>4</v>
      </c>
      <c r="K55" s="786"/>
    </row>
    <row r="56" spans="1:11" x14ac:dyDescent="0.3">
      <c r="A56" s="800">
        <v>39</v>
      </c>
      <c r="B56" s="571">
        <f t="shared" ca="1" si="7"/>
        <v>36.496433852028233</v>
      </c>
      <c r="C56" s="801">
        <f t="shared" ca="1" si="8"/>
        <v>3</v>
      </c>
      <c r="K56" s="786"/>
    </row>
    <row r="57" spans="1:11" x14ac:dyDescent="0.3">
      <c r="A57" s="800">
        <v>40</v>
      </c>
      <c r="B57" s="571">
        <f t="shared" ca="1" si="7"/>
        <v>56.557536155164847</v>
      </c>
      <c r="C57" s="801">
        <f t="shared" ca="1" si="8"/>
        <v>3</v>
      </c>
      <c r="K57" s="786"/>
    </row>
    <row r="58" spans="1:11" x14ac:dyDescent="0.3">
      <c r="A58" s="800">
        <v>41</v>
      </c>
      <c r="B58" s="571">
        <f t="shared" ca="1" si="7"/>
        <v>53.026516706898718</v>
      </c>
      <c r="C58" s="801">
        <f t="shared" ca="1" si="8"/>
        <v>3</v>
      </c>
      <c r="K58" s="786"/>
    </row>
    <row r="59" spans="1:11" x14ac:dyDescent="0.3">
      <c r="A59" s="800">
        <v>42</v>
      </c>
      <c r="B59" s="571">
        <f t="shared" ca="1" si="7"/>
        <v>13.730920193240658</v>
      </c>
      <c r="C59" s="801">
        <f t="shared" ca="1" si="8"/>
        <v>1</v>
      </c>
      <c r="K59" s="786"/>
    </row>
    <row r="60" spans="1:11" x14ac:dyDescent="0.3">
      <c r="A60" s="800">
        <v>43</v>
      </c>
      <c r="B60" s="571">
        <f t="shared" ca="1" si="7"/>
        <v>40.638184049523488</v>
      </c>
      <c r="C60" s="801">
        <f t="shared" ca="1" si="8"/>
        <v>3</v>
      </c>
      <c r="K60" s="786"/>
    </row>
    <row r="61" spans="1:11" x14ac:dyDescent="0.3">
      <c r="A61" s="800">
        <v>44</v>
      </c>
      <c r="B61" s="571">
        <f t="shared" ca="1" si="7"/>
        <v>70.597200940504308</v>
      </c>
      <c r="C61" s="801">
        <f t="shared" ca="1" si="8"/>
        <v>4</v>
      </c>
      <c r="K61" s="786"/>
    </row>
    <row r="62" spans="1:11" x14ac:dyDescent="0.3">
      <c r="A62" s="800">
        <v>45</v>
      </c>
      <c r="B62" s="571">
        <f t="shared" ca="1" si="7"/>
        <v>24.29747666058908</v>
      </c>
      <c r="C62" s="801">
        <f t="shared" ca="1" si="8"/>
        <v>2</v>
      </c>
      <c r="K62" s="786"/>
    </row>
    <row r="63" spans="1:11" x14ac:dyDescent="0.3">
      <c r="A63" s="800">
        <v>46</v>
      </c>
      <c r="B63" s="571">
        <f t="shared" ca="1" si="7"/>
        <v>97.024240771919366</v>
      </c>
      <c r="C63" s="801">
        <f t="shared" ca="1" si="8"/>
        <v>5</v>
      </c>
      <c r="K63" s="786"/>
    </row>
    <row r="64" spans="1:11" x14ac:dyDescent="0.3">
      <c r="A64" s="800">
        <v>47</v>
      </c>
      <c r="B64" s="571">
        <f t="shared" ca="1" si="7"/>
        <v>10.064580371524512</v>
      </c>
      <c r="C64" s="801">
        <f t="shared" ca="1" si="8"/>
        <v>1</v>
      </c>
      <c r="K64" s="786"/>
    </row>
    <row r="65" spans="1:11" x14ac:dyDescent="0.3">
      <c r="A65" s="800">
        <v>48</v>
      </c>
      <c r="B65" s="571">
        <f t="shared" ca="1" si="7"/>
        <v>75.925268255069383</v>
      </c>
      <c r="C65" s="801">
        <f t="shared" ca="1" si="8"/>
        <v>4</v>
      </c>
      <c r="K65" s="786"/>
    </row>
    <row r="66" spans="1:11" x14ac:dyDescent="0.3">
      <c r="A66" s="800">
        <v>49</v>
      </c>
      <c r="B66" s="571">
        <f t="shared" ca="1" si="7"/>
        <v>57.310112221972233</v>
      </c>
      <c r="C66" s="801">
        <f t="shared" ca="1" si="8"/>
        <v>3</v>
      </c>
      <c r="K66" s="786"/>
    </row>
    <row r="67" spans="1:11" x14ac:dyDescent="0.3">
      <c r="A67" s="800">
        <v>50</v>
      </c>
      <c r="B67" s="571">
        <f t="shared" ca="1" si="7"/>
        <v>18.985264959729232</v>
      </c>
      <c r="C67" s="801">
        <f t="shared" ca="1" si="8"/>
        <v>2</v>
      </c>
      <c r="K67" s="786"/>
    </row>
    <row r="68" spans="1:11" x14ac:dyDescent="0.3">
      <c r="A68" s="800">
        <v>51</v>
      </c>
      <c r="B68" s="571">
        <f t="shared" ca="1" si="7"/>
        <v>94.971359622634466</v>
      </c>
      <c r="C68" s="801">
        <f t="shared" ca="1" si="8"/>
        <v>5</v>
      </c>
      <c r="K68" s="786"/>
    </row>
    <row r="69" spans="1:11" x14ac:dyDescent="0.3">
      <c r="A69" s="800">
        <v>52</v>
      </c>
      <c r="B69" s="571">
        <f t="shared" ca="1" si="7"/>
        <v>88.407663901149803</v>
      </c>
      <c r="C69" s="801">
        <f t="shared" ca="1" si="8"/>
        <v>5</v>
      </c>
      <c r="K69" s="786"/>
    </row>
    <row r="70" spans="1:11" x14ac:dyDescent="0.3">
      <c r="A70" s="800">
        <v>53</v>
      </c>
      <c r="B70" s="571">
        <f t="shared" ca="1" si="7"/>
        <v>78.003425865607596</v>
      </c>
      <c r="C70" s="801">
        <f t="shared" ca="1" si="8"/>
        <v>4</v>
      </c>
      <c r="K70" s="786"/>
    </row>
    <row r="71" spans="1:11" x14ac:dyDescent="0.3">
      <c r="A71" s="800">
        <v>54</v>
      </c>
      <c r="B71" s="571">
        <f t="shared" ca="1" si="7"/>
        <v>91.974977484961869</v>
      </c>
      <c r="C71" s="801">
        <f t="shared" ca="1" si="8"/>
        <v>5</v>
      </c>
      <c r="K71" s="786"/>
    </row>
    <row r="72" spans="1:11" x14ac:dyDescent="0.3">
      <c r="A72" s="800">
        <v>55</v>
      </c>
      <c r="B72" s="571">
        <f t="shared" ca="1" si="7"/>
        <v>51.082837275208028</v>
      </c>
      <c r="C72" s="801">
        <f t="shared" ca="1" si="8"/>
        <v>3</v>
      </c>
      <c r="K72" s="786"/>
    </row>
    <row r="73" spans="1:11" x14ac:dyDescent="0.3">
      <c r="A73" s="800">
        <v>56</v>
      </c>
      <c r="B73" s="571">
        <f t="shared" ca="1" si="7"/>
        <v>39.628877298996059</v>
      </c>
      <c r="C73" s="801">
        <f t="shared" ca="1" si="8"/>
        <v>3</v>
      </c>
      <c r="K73" s="786"/>
    </row>
    <row r="74" spans="1:11" x14ac:dyDescent="0.3">
      <c r="A74" s="800">
        <v>57</v>
      </c>
      <c r="B74" s="571">
        <f t="shared" ca="1" si="7"/>
        <v>58.078202467647223</v>
      </c>
      <c r="C74" s="801">
        <f t="shared" ca="1" si="8"/>
        <v>3</v>
      </c>
      <c r="K74" s="786"/>
    </row>
    <row r="75" spans="1:11" x14ac:dyDescent="0.3">
      <c r="A75" s="800">
        <v>58</v>
      </c>
      <c r="B75" s="571">
        <f t="shared" ca="1" si="7"/>
        <v>54.682573857876413</v>
      </c>
      <c r="C75" s="801">
        <f t="shared" ca="1" si="8"/>
        <v>3</v>
      </c>
      <c r="K75" s="786"/>
    </row>
    <row r="76" spans="1:11" x14ac:dyDescent="0.3">
      <c r="A76" s="800">
        <v>59</v>
      </c>
      <c r="B76" s="571">
        <f t="shared" ca="1" si="7"/>
        <v>10.347878951917322</v>
      </c>
      <c r="C76" s="801">
        <f t="shared" ca="1" si="8"/>
        <v>1</v>
      </c>
      <c r="K76" s="786"/>
    </row>
    <row r="77" spans="1:11" x14ac:dyDescent="0.3">
      <c r="A77" s="800">
        <v>60</v>
      </c>
      <c r="B77" s="571">
        <f t="shared" ca="1" si="7"/>
        <v>11.58521741090761</v>
      </c>
      <c r="C77" s="801">
        <f t="shared" ca="1" si="8"/>
        <v>1</v>
      </c>
      <c r="K77" s="786"/>
    </row>
    <row r="78" spans="1:11" x14ac:dyDescent="0.3">
      <c r="A78" s="800">
        <v>61</v>
      </c>
      <c r="B78" s="571">
        <f t="shared" ca="1" si="7"/>
        <v>94.126020629150702</v>
      </c>
      <c r="C78" s="801">
        <f t="shared" ca="1" si="8"/>
        <v>5</v>
      </c>
      <c r="K78" s="786"/>
    </row>
    <row r="79" spans="1:11" x14ac:dyDescent="0.3">
      <c r="A79" s="800">
        <v>62</v>
      </c>
      <c r="B79" s="571">
        <f t="shared" ca="1" si="7"/>
        <v>30.859359098841253</v>
      </c>
      <c r="C79" s="801">
        <f t="shared" ca="1" si="8"/>
        <v>2</v>
      </c>
      <c r="K79" s="786"/>
    </row>
    <row r="80" spans="1:11" x14ac:dyDescent="0.3">
      <c r="A80" s="800">
        <v>63</v>
      </c>
      <c r="B80" s="571">
        <f t="shared" ca="1" si="7"/>
        <v>89.558204528620962</v>
      </c>
      <c r="C80" s="801">
        <f t="shared" ca="1" si="8"/>
        <v>5</v>
      </c>
      <c r="K80" s="786"/>
    </row>
    <row r="81" spans="1:11" x14ac:dyDescent="0.3">
      <c r="A81" s="800">
        <v>64</v>
      </c>
      <c r="B81" s="571">
        <f t="shared" ca="1" si="7"/>
        <v>72.733968059024122</v>
      </c>
      <c r="C81" s="801">
        <f t="shared" ca="1" si="8"/>
        <v>4</v>
      </c>
      <c r="K81" s="786"/>
    </row>
    <row r="82" spans="1:11" x14ac:dyDescent="0.3">
      <c r="A82" s="800">
        <v>65</v>
      </c>
      <c r="B82" s="571">
        <f t="shared" ca="1" si="7"/>
        <v>39.179186892904397</v>
      </c>
      <c r="C82" s="801">
        <f t="shared" ca="1" si="8"/>
        <v>3</v>
      </c>
      <c r="K82" s="786"/>
    </row>
    <row r="83" spans="1:11" x14ac:dyDescent="0.3">
      <c r="A83" s="800">
        <v>66</v>
      </c>
      <c r="B83" s="571">
        <f t="shared" ref="B83:B146" ca="1" si="9">100*RAND()</f>
        <v>54.270451480317092</v>
      </c>
      <c r="C83" s="801">
        <f t="shared" ref="C83:C146" ca="1" si="10">VLOOKUP(B83,$A$8:$C$13,3)</f>
        <v>3</v>
      </c>
      <c r="K83" s="786"/>
    </row>
    <row r="84" spans="1:11" x14ac:dyDescent="0.3">
      <c r="A84" s="800">
        <v>67</v>
      </c>
      <c r="B84" s="571">
        <f t="shared" ca="1" si="9"/>
        <v>1.8045949385802285</v>
      </c>
      <c r="C84" s="801">
        <f t="shared" ca="1" si="10"/>
        <v>0</v>
      </c>
      <c r="K84" s="786"/>
    </row>
    <row r="85" spans="1:11" x14ac:dyDescent="0.3">
      <c r="A85" s="800">
        <v>68</v>
      </c>
      <c r="B85" s="571">
        <f t="shared" ca="1" si="9"/>
        <v>58.369063881912744</v>
      </c>
      <c r="C85" s="801">
        <f t="shared" ca="1" si="10"/>
        <v>3</v>
      </c>
      <c r="K85" s="786"/>
    </row>
    <row r="86" spans="1:11" x14ac:dyDescent="0.3">
      <c r="A86" s="800">
        <v>69</v>
      </c>
      <c r="B86" s="571">
        <f t="shared" ca="1" si="9"/>
        <v>63.857206600418124</v>
      </c>
      <c r="C86" s="801">
        <f t="shared" ca="1" si="10"/>
        <v>3</v>
      </c>
      <c r="K86" s="786"/>
    </row>
    <row r="87" spans="1:11" x14ac:dyDescent="0.3">
      <c r="A87" s="800">
        <v>70</v>
      </c>
      <c r="B87" s="571">
        <f t="shared" ca="1" si="9"/>
        <v>3.7362144887785664</v>
      </c>
      <c r="C87" s="801">
        <f t="shared" ca="1" si="10"/>
        <v>0</v>
      </c>
      <c r="K87" s="786"/>
    </row>
    <row r="88" spans="1:11" x14ac:dyDescent="0.3">
      <c r="A88" s="800">
        <v>71</v>
      </c>
      <c r="B88" s="571">
        <f t="shared" ca="1" si="9"/>
        <v>34.21235563985686</v>
      </c>
      <c r="C88" s="801">
        <f t="shared" ca="1" si="10"/>
        <v>2</v>
      </c>
      <c r="K88" s="786"/>
    </row>
    <row r="89" spans="1:11" x14ac:dyDescent="0.3">
      <c r="A89" s="800">
        <v>72</v>
      </c>
      <c r="B89" s="571">
        <f t="shared" ca="1" si="9"/>
        <v>85.336386077255156</v>
      </c>
      <c r="C89" s="801">
        <f t="shared" ca="1" si="10"/>
        <v>5</v>
      </c>
      <c r="K89" s="786"/>
    </row>
    <row r="90" spans="1:11" x14ac:dyDescent="0.3">
      <c r="A90" s="800">
        <v>73</v>
      </c>
      <c r="B90" s="571">
        <f t="shared" ca="1" si="9"/>
        <v>83.825781983049112</v>
      </c>
      <c r="C90" s="801">
        <f t="shared" ca="1" si="10"/>
        <v>4</v>
      </c>
      <c r="K90" s="786"/>
    </row>
    <row r="91" spans="1:11" x14ac:dyDescent="0.3">
      <c r="A91" s="800">
        <v>74</v>
      </c>
      <c r="B91" s="571">
        <f t="shared" ca="1" si="9"/>
        <v>52.817651866464132</v>
      </c>
      <c r="C91" s="801">
        <f t="shared" ca="1" si="10"/>
        <v>3</v>
      </c>
      <c r="K91" s="786"/>
    </row>
    <row r="92" spans="1:11" x14ac:dyDescent="0.3">
      <c r="A92" s="800">
        <v>75</v>
      </c>
      <c r="B92" s="571">
        <f t="shared" ca="1" si="9"/>
        <v>67.01545732009798</v>
      </c>
      <c r="C92" s="801">
        <f t="shared" ca="1" si="10"/>
        <v>4</v>
      </c>
      <c r="K92" s="786"/>
    </row>
    <row r="93" spans="1:11" x14ac:dyDescent="0.3">
      <c r="A93" s="800">
        <v>76</v>
      </c>
      <c r="B93" s="571">
        <f t="shared" ca="1" si="9"/>
        <v>66.468072249429397</v>
      </c>
      <c r="C93" s="801">
        <f t="shared" ca="1" si="10"/>
        <v>4</v>
      </c>
      <c r="K93" s="786"/>
    </row>
    <row r="94" spans="1:11" x14ac:dyDescent="0.3">
      <c r="A94" s="800">
        <v>77</v>
      </c>
      <c r="B94" s="571">
        <f t="shared" ca="1" si="9"/>
        <v>68.330249221887129</v>
      </c>
      <c r="C94" s="801">
        <f t="shared" ca="1" si="10"/>
        <v>4</v>
      </c>
      <c r="K94" s="786"/>
    </row>
    <row r="95" spans="1:11" x14ac:dyDescent="0.3">
      <c r="A95" s="800">
        <v>78</v>
      </c>
      <c r="B95" s="571">
        <f t="shared" ca="1" si="9"/>
        <v>53.575049091594487</v>
      </c>
      <c r="C95" s="801">
        <f t="shared" ca="1" si="10"/>
        <v>3</v>
      </c>
      <c r="K95" s="786"/>
    </row>
    <row r="96" spans="1:11" x14ac:dyDescent="0.3">
      <c r="A96" s="800">
        <v>79</v>
      </c>
      <c r="B96" s="571">
        <f t="shared" ca="1" si="9"/>
        <v>84.121004774241754</v>
      </c>
      <c r="C96" s="801">
        <f t="shared" ca="1" si="10"/>
        <v>4</v>
      </c>
      <c r="K96" s="786"/>
    </row>
    <row r="97" spans="1:11" x14ac:dyDescent="0.3">
      <c r="A97" s="800">
        <v>80</v>
      </c>
      <c r="B97" s="571">
        <f t="shared" ca="1" si="9"/>
        <v>16.500716551149996</v>
      </c>
      <c r="C97" s="801">
        <f t="shared" ca="1" si="10"/>
        <v>2</v>
      </c>
      <c r="K97" s="786"/>
    </row>
    <row r="98" spans="1:11" x14ac:dyDescent="0.3">
      <c r="A98" s="800">
        <v>81</v>
      </c>
      <c r="B98" s="571">
        <f t="shared" ca="1" si="9"/>
        <v>3.8268344350379624</v>
      </c>
      <c r="C98" s="801">
        <f t="shared" ca="1" si="10"/>
        <v>0</v>
      </c>
      <c r="K98" s="786"/>
    </row>
    <row r="99" spans="1:11" x14ac:dyDescent="0.3">
      <c r="A99" s="800">
        <v>82</v>
      </c>
      <c r="B99" s="571">
        <f t="shared" ca="1" si="9"/>
        <v>25.904890973054762</v>
      </c>
      <c r="C99" s="801">
        <f t="shared" ca="1" si="10"/>
        <v>2</v>
      </c>
      <c r="K99" s="786"/>
    </row>
    <row r="100" spans="1:11" x14ac:dyDescent="0.3">
      <c r="A100" s="800">
        <v>83</v>
      </c>
      <c r="B100" s="571">
        <f t="shared" ca="1" si="9"/>
        <v>52.313525159921156</v>
      </c>
      <c r="C100" s="801">
        <f t="shared" ca="1" si="10"/>
        <v>3</v>
      </c>
      <c r="K100" s="786"/>
    </row>
    <row r="101" spans="1:11" x14ac:dyDescent="0.3">
      <c r="A101" s="800">
        <v>84</v>
      </c>
      <c r="B101" s="571">
        <f t="shared" ca="1" si="9"/>
        <v>34.000523893289106</v>
      </c>
      <c r="C101" s="801">
        <f t="shared" ca="1" si="10"/>
        <v>2</v>
      </c>
      <c r="K101" s="786"/>
    </row>
    <row r="102" spans="1:11" x14ac:dyDescent="0.3">
      <c r="A102" s="800">
        <v>85</v>
      </c>
      <c r="B102" s="571">
        <f t="shared" ca="1" si="9"/>
        <v>75.198255196780465</v>
      </c>
      <c r="C102" s="801">
        <f t="shared" ca="1" si="10"/>
        <v>4</v>
      </c>
      <c r="K102" s="786"/>
    </row>
    <row r="103" spans="1:11" x14ac:dyDescent="0.3">
      <c r="A103" s="800">
        <v>86</v>
      </c>
      <c r="B103" s="571">
        <f t="shared" ca="1" si="9"/>
        <v>88.650738161902865</v>
      </c>
      <c r="C103" s="801">
        <f t="shared" ca="1" si="10"/>
        <v>5</v>
      </c>
      <c r="K103" s="786"/>
    </row>
    <row r="104" spans="1:11" x14ac:dyDescent="0.3">
      <c r="A104" s="800">
        <v>87</v>
      </c>
      <c r="B104" s="571">
        <f t="shared" ca="1" si="9"/>
        <v>38.073877439214307</v>
      </c>
      <c r="C104" s="801">
        <f t="shared" ca="1" si="10"/>
        <v>3</v>
      </c>
      <c r="K104" s="786"/>
    </row>
    <row r="105" spans="1:11" x14ac:dyDescent="0.3">
      <c r="A105" s="800">
        <v>88</v>
      </c>
      <c r="B105" s="571">
        <f t="shared" ca="1" si="9"/>
        <v>38.020020621624553</v>
      </c>
      <c r="C105" s="801">
        <f t="shared" ca="1" si="10"/>
        <v>3</v>
      </c>
      <c r="K105" s="786"/>
    </row>
    <row r="106" spans="1:11" x14ac:dyDescent="0.3">
      <c r="A106" s="800">
        <v>89</v>
      </c>
      <c r="B106" s="571">
        <f t="shared" ca="1" si="9"/>
        <v>71.674551978033122</v>
      </c>
      <c r="C106" s="801">
        <f t="shared" ca="1" si="10"/>
        <v>4</v>
      </c>
      <c r="K106" s="786"/>
    </row>
    <row r="107" spans="1:11" x14ac:dyDescent="0.3">
      <c r="A107" s="800">
        <v>90</v>
      </c>
      <c r="B107" s="571">
        <f t="shared" ca="1" si="9"/>
        <v>21.44567727986939</v>
      </c>
      <c r="C107" s="801">
        <f t="shared" ca="1" si="10"/>
        <v>2</v>
      </c>
      <c r="K107" s="786"/>
    </row>
    <row r="108" spans="1:11" x14ac:dyDescent="0.3">
      <c r="A108" s="800">
        <v>91</v>
      </c>
      <c r="B108" s="571">
        <f t="shared" ca="1" si="9"/>
        <v>19.354680861839491</v>
      </c>
      <c r="C108" s="801">
        <f t="shared" ca="1" si="10"/>
        <v>2</v>
      </c>
      <c r="K108" s="786"/>
    </row>
    <row r="109" spans="1:11" x14ac:dyDescent="0.3">
      <c r="A109" s="800">
        <v>92</v>
      </c>
      <c r="B109" s="571">
        <f t="shared" ca="1" si="9"/>
        <v>91.199225423754569</v>
      </c>
      <c r="C109" s="801">
        <f t="shared" ca="1" si="10"/>
        <v>5</v>
      </c>
      <c r="K109" s="786"/>
    </row>
    <row r="110" spans="1:11" x14ac:dyDescent="0.3">
      <c r="A110" s="800">
        <v>93</v>
      </c>
      <c r="B110" s="571">
        <f t="shared" ca="1" si="9"/>
        <v>93.402057062531682</v>
      </c>
      <c r="C110" s="801">
        <f t="shared" ca="1" si="10"/>
        <v>5</v>
      </c>
      <c r="K110" s="786"/>
    </row>
    <row r="111" spans="1:11" x14ac:dyDescent="0.3">
      <c r="A111" s="800">
        <v>94</v>
      </c>
      <c r="B111" s="571">
        <f t="shared" ca="1" si="9"/>
        <v>44.831480474012594</v>
      </c>
      <c r="C111" s="801">
        <f t="shared" ca="1" si="10"/>
        <v>3</v>
      </c>
      <c r="K111" s="786"/>
    </row>
    <row r="112" spans="1:11" x14ac:dyDescent="0.3">
      <c r="A112" s="800">
        <v>95</v>
      </c>
      <c r="B112" s="571">
        <f t="shared" ca="1" si="9"/>
        <v>43.319940581877248</v>
      </c>
      <c r="C112" s="801">
        <f t="shared" ca="1" si="10"/>
        <v>3</v>
      </c>
      <c r="K112" s="786"/>
    </row>
    <row r="113" spans="1:11" x14ac:dyDescent="0.3">
      <c r="A113" s="800">
        <v>96</v>
      </c>
      <c r="B113" s="571">
        <f t="shared" ca="1" si="9"/>
        <v>90.647389276086869</v>
      </c>
      <c r="C113" s="801">
        <f t="shared" ca="1" si="10"/>
        <v>5</v>
      </c>
      <c r="K113" s="786"/>
    </row>
    <row r="114" spans="1:11" x14ac:dyDescent="0.3">
      <c r="A114" s="800">
        <v>97</v>
      </c>
      <c r="B114" s="571">
        <f t="shared" ca="1" si="9"/>
        <v>61.317258571518842</v>
      </c>
      <c r="C114" s="801">
        <f t="shared" ca="1" si="10"/>
        <v>3</v>
      </c>
      <c r="K114" s="786"/>
    </row>
    <row r="115" spans="1:11" x14ac:dyDescent="0.3">
      <c r="A115" s="800">
        <v>98</v>
      </c>
      <c r="B115" s="571">
        <f t="shared" ca="1" si="9"/>
        <v>44.192964922345588</v>
      </c>
      <c r="C115" s="801">
        <f t="shared" ca="1" si="10"/>
        <v>3</v>
      </c>
      <c r="K115" s="786"/>
    </row>
    <row r="116" spans="1:11" x14ac:dyDescent="0.3">
      <c r="A116" s="800">
        <v>99</v>
      </c>
      <c r="B116" s="571">
        <f t="shared" ca="1" si="9"/>
        <v>75.736140460232519</v>
      </c>
      <c r="C116" s="801">
        <f t="shared" ca="1" si="10"/>
        <v>4</v>
      </c>
      <c r="K116" s="786"/>
    </row>
    <row r="117" spans="1:11" x14ac:dyDescent="0.3">
      <c r="A117" s="800">
        <v>100</v>
      </c>
      <c r="B117" s="571">
        <f t="shared" ca="1" si="9"/>
        <v>52.273976678537061</v>
      </c>
      <c r="C117" s="801">
        <f t="shared" ca="1" si="10"/>
        <v>3</v>
      </c>
      <c r="K117" s="786"/>
    </row>
    <row r="118" spans="1:11" x14ac:dyDescent="0.3">
      <c r="A118" s="800">
        <v>101</v>
      </c>
      <c r="B118" s="571">
        <f t="shared" ca="1" si="9"/>
        <v>30.536748551746694</v>
      </c>
      <c r="C118" s="801">
        <f t="shared" ca="1" si="10"/>
        <v>2</v>
      </c>
      <c r="K118" s="786"/>
    </row>
    <row r="119" spans="1:11" x14ac:dyDescent="0.3">
      <c r="A119" s="800">
        <v>102</v>
      </c>
      <c r="B119" s="571">
        <f t="shared" ca="1" si="9"/>
        <v>42.656347899505889</v>
      </c>
      <c r="C119" s="801">
        <f t="shared" ca="1" si="10"/>
        <v>3</v>
      </c>
      <c r="K119" s="786"/>
    </row>
    <row r="120" spans="1:11" x14ac:dyDescent="0.3">
      <c r="A120" s="800">
        <v>103</v>
      </c>
      <c r="B120" s="571">
        <f t="shared" ca="1" si="9"/>
        <v>36.806413046229466</v>
      </c>
      <c r="C120" s="801">
        <f t="shared" ca="1" si="10"/>
        <v>3</v>
      </c>
      <c r="K120" s="786"/>
    </row>
    <row r="121" spans="1:11" x14ac:dyDescent="0.3">
      <c r="A121" s="800">
        <v>104</v>
      </c>
      <c r="B121" s="571">
        <f t="shared" ca="1" si="9"/>
        <v>5.4932821147205768</v>
      </c>
      <c r="C121" s="801">
        <f t="shared" ca="1" si="10"/>
        <v>1</v>
      </c>
      <c r="K121" s="786"/>
    </row>
    <row r="122" spans="1:11" x14ac:dyDescent="0.3">
      <c r="A122" s="800">
        <v>105</v>
      </c>
      <c r="B122" s="571">
        <f t="shared" ca="1" si="9"/>
        <v>97.689118810427885</v>
      </c>
      <c r="C122" s="801">
        <f t="shared" ca="1" si="10"/>
        <v>5</v>
      </c>
      <c r="K122" s="786"/>
    </row>
    <row r="123" spans="1:11" x14ac:dyDescent="0.3">
      <c r="A123" s="800">
        <v>106</v>
      </c>
      <c r="B123" s="571">
        <f t="shared" ca="1" si="9"/>
        <v>87.303765167952861</v>
      </c>
      <c r="C123" s="801">
        <f t="shared" ca="1" si="10"/>
        <v>5</v>
      </c>
      <c r="K123" s="786"/>
    </row>
    <row r="124" spans="1:11" x14ac:dyDescent="0.3">
      <c r="A124" s="800">
        <v>107</v>
      </c>
      <c r="B124" s="571">
        <f t="shared" ca="1" si="9"/>
        <v>26.111982066315555</v>
      </c>
      <c r="C124" s="801">
        <f t="shared" ca="1" si="10"/>
        <v>2</v>
      </c>
      <c r="K124" s="786"/>
    </row>
    <row r="125" spans="1:11" x14ac:dyDescent="0.3">
      <c r="A125" s="800">
        <v>108</v>
      </c>
      <c r="B125" s="571">
        <f t="shared" ca="1" si="9"/>
        <v>73.852450950127221</v>
      </c>
      <c r="C125" s="801">
        <f t="shared" ca="1" si="10"/>
        <v>4</v>
      </c>
      <c r="K125" s="786"/>
    </row>
    <row r="126" spans="1:11" x14ac:dyDescent="0.3">
      <c r="A126" s="800">
        <v>109</v>
      </c>
      <c r="B126" s="571">
        <f t="shared" ca="1" si="9"/>
        <v>24.158342733815662</v>
      </c>
      <c r="C126" s="801">
        <f t="shared" ca="1" si="10"/>
        <v>2</v>
      </c>
      <c r="K126" s="786"/>
    </row>
    <row r="127" spans="1:11" x14ac:dyDescent="0.3">
      <c r="A127" s="800">
        <v>110</v>
      </c>
      <c r="B127" s="571">
        <f t="shared" ca="1" si="9"/>
        <v>80.198849973399462</v>
      </c>
      <c r="C127" s="801">
        <f t="shared" ca="1" si="10"/>
        <v>4</v>
      </c>
      <c r="K127" s="786"/>
    </row>
    <row r="128" spans="1:11" x14ac:dyDescent="0.3">
      <c r="A128" s="800">
        <v>111</v>
      </c>
      <c r="B128" s="571">
        <f t="shared" ca="1" si="9"/>
        <v>83.846191941796775</v>
      </c>
      <c r="C128" s="801">
        <f t="shared" ca="1" si="10"/>
        <v>4</v>
      </c>
      <c r="K128" s="786"/>
    </row>
    <row r="129" spans="1:11" x14ac:dyDescent="0.3">
      <c r="A129" s="800">
        <v>112</v>
      </c>
      <c r="B129" s="571">
        <f t="shared" ca="1" si="9"/>
        <v>74.877493592390181</v>
      </c>
      <c r="C129" s="801">
        <f t="shared" ca="1" si="10"/>
        <v>4</v>
      </c>
      <c r="K129" s="786"/>
    </row>
    <row r="130" spans="1:11" x14ac:dyDescent="0.3">
      <c r="A130" s="800">
        <v>113</v>
      </c>
      <c r="B130" s="571">
        <f t="shared" ca="1" si="9"/>
        <v>58.128437237839158</v>
      </c>
      <c r="C130" s="801">
        <f t="shared" ca="1" si="10"/>
        <v>3</v>
      </c>
      <c r="K130" s="786"/>
    </row>
    <row r="131" spans="1:11" x14ac:dyDescent="0.3">
      <c r="A131" s="800">
        <v>114</v>
      </c>
      <c r="B131" s="571">
        <f t="shared" ca="1" si="9"/>
        <v>26.68749286131893</v>
      </c>
      <c r="C131" s="801">
        <f t="shared" ca="1" si="10"/>
        <v>2</v>
      </c>
      <c r="K131" s="786"/>
    </row>
    <row r="132" spans="1:11" x14ac:dyDescent="0.3">
      <c r="A132" s="800">
        <v>115</v>
      </c>
      <c r="B132" s="571">
        <f t="shared" ca="1" si="9"/>
        <v>44.052768683088694</v>
      </c>
      <c r="C132" s="801">
        <f t="shared" ca="1" si="10"/>
        <v>3</v>
      </c>
      <c r="K132" s="786"/>
    </row>
    <row r="133" spans="1:11" x14ac:dyDescent="0.3">
      <c r="A133" s="800">
        <v>116</v>
      </c>
      <c r="B133" s="571">
        <f t="shared" ca="1" si="9"/>
        <v>5.8181207513627431</v>
      </c>
      <c r="C133" s="801">
        <f t="shared" ca="1" si="10"/>
        <v>1</v>
      </c>
      <c r="K133" s="786"/>
    </row>
    <row r="134" spans="1:11" x14ac:dyDescent="0.3">
      <c r="A134" s="800">
        <v>117</v>
      </c>
      <c r="B134" s="571">
        <f t="shared" ca="1" si="9"/>
        <v>30.121044895645543</v>
      </c>
      <c r="C134" s="801">
        <f t="shared" ca="1" si="10"/>
        <v>2</v>
      </c>
      <c r="K134" s="786"/>
    </row>
    <row r="135" spans="1:11" x14ac:dyDescent="0.3">
      <c r="A135" s="800">
        <v>118</v>
      </c>
      <c r="B135" s="571">
        <f t="shared" ca="1" si="9"/>
        <v>82.155924071470992</v>
      </c>
      <c r="C135" s="801">
        <f t="shared" ca="1" si="10"/>
        <v>4</v>
      </c>
      <c r="K135" s="786"/>
    </row>
    <row r="136" spans="1:11" x14ac:dyDescent="0.3">
      <c r="A136" s="800">
        <v>119</v>
      </c>
      <c r="B136" s="571">
        <f t="shared" ca="1" si="9"/>
        <v>36.083147012921998</v>
      </c>
      <c r="C136" s="801">
        <f t="shared" ca="1" si="10"/>
        <v>3</v>
      </c>
      <c r="K136" s="786"/>
    </row>
    <row r="137" spans="1:11" x14ac:dyDescent="0.3">
      <c r="A137" s="800">
        <v>120</v>
      </c>
      <c r="B137" s="571">
        <f t="shared" ca="1" si="9"/>
        <v>2.105555128534653</v>
      </c>
      <c r="C137" s="801">
        <f t="shared" ca="1" si="10"/>
        <v>0</v>
      </c>
      <c r="K137" s="786"/>
    </row>
    <row r="138" spans="1:11" x14ac:dyDescent="0.3">
      <c r="A138" s="800">
        <v>121</v>
      </c>
      <c r="B138" s="571">
        <f t="shared" ca="1" si="9"/>
        <v>44.553285164452383</v>
      </c>
      <c r="C138" s="801">
        <f t="shared" ca="1" si="10"/>
        <v>3</v>
      </c>
      <c r="K138" s="786"/>
    </row>
    <row r="139" spans="1:11" x14ac:dyDescent="0.3">
      <c r="A139" s="800">
        <v>122</v>
      </c>
      <c r="B139" s="571">
        <f t="shared" ca="1" si="9"/>
        <v>56.903364092002306</v>
      </c>
      <c r="C139" s="801">
        <f t="shared" ca="1" si="10"/>
        <v>3</v>
      </c>
      <c r="K139" s="786"/>
    </row>
    <row r="140" spans="1:11" x14ac:dyDescent="0.3">
      <c r="A140" s="800">
        <v>123</v>
      </c>
      <c r="B140" s="571">
        <f t="shared" ca="1" si="9"/>
        <v>47.359699065542728</v>
      </c>
      <c r="C140" s="801">
        <f t="shared" ca="1" si="10"/>
        <v>3</v>
      </c>
      <c r="K140" s="786"/>
    </row>
    <row r="141" spans="1:11" x14ac:dyDescent="0.3">
      <c r="A141" s="800">
        <v>124</v>
      </c>
      <c r="B141" s="571">
        <f t="shared" ca="1" si="9"/>
        <v>21.832397346325962</v>
      </c>
      <c r="C141" s="801">
        <f t="shared" ca="1" si="10"/>
        <v>2</v>
      </c>
      <c r="K141" s="786"/>
    </row>
    <row r="142" spans="1:11" x14ac:dyDescent="0.3">
      <c r="A142" s="800">
        <v>125</v>
      </c>
      <c r="B142" s="571">
        <f t="shared" ca="1" si="9"/>
        <v>37.103737209385393</v>
      </c>
      <c r="C142" s="801">
        <f t="shared" ca="1" si="10"/>
        <v>3</v>
      </c>
      <c r="K142" s="786"/>
    </row>
    <row r="143" spans="1:11" x14ac:dyDescent="0.3">
      <c r="A143" s="800">
        <v>126</v>
      </c>
      <c r="B143" s="571">
        <f t="shared" ca="1" si="9"/>
        <v>13.082194232465017</v>
      </c>
      <c r="C143" s="801">
        <f t="shared" ca="1" si="10"/>
        <v>1</v>
      </c>
      <c r="K143" s="786"/>
    </row>
    <row r="144" spans="1:11" x14ac:dyDescent="0.3">
      <c r="A144" s="800">
        <v>127</v>
      </c>
      <c r="B144" s="571">
        <f t="shared" ca="1" si="9"/>
        <v>81.239750724281294</v>
      </c>
      <c r="C144" s="801">
        <f t="shared" ca="1" si="10"/>
        <v>4</v>
      </c>
      <c r="K144" s="786"/>
    </row>
    <row r="145" spans="1:11" x14ac:dyDescent="0.3">
      <c r="A145" s="800">
        <v>128</v>
      </c>
      <c r="B145" s="571">
        <f t="shared" ca="1" si="9"/>
        <v>89.328346394591691</v>
      </c>
      <c r="C145" s="801">
        <f t="shared" ca="1" si="10"/>
        <v>5</v>
      </c>
      <c r="K145" s="786"/>
    </row>
    <row r="146" spans="1:11" x14ac:dyDescent="0.3">
      <c r="A146" s="800">
        <v>129</v>
      </c>
      <c r="B146" s="571">
        <f t="shared" ca="1" si="9"/>
        <v>78.984754909054587</v>
      </c>
      <c r="C146" s="801">
        <f t="shared" ca="1" si="10"/>
        <v>4</v>
      </c>
      <c r="K146" s="786"/>
    </row>
    <row r="147" spans="1:11" x14ac:dyDescent="0.3">
      <c r="A147" s="800">
        <v>130</v>
      </c>
      <c r="B147" s="571">
        <f t="shared" ref="B147:B210" ca="1" si="11">100*RAND()</f>
        <v>34.222223898277313</v>
      </c>
      <c r="C147" s="801">
        <f t="shared" ref="C147:C210" ca="1" si="12">VLOOKUP(B147,$A$8:$C$13,3)</f>
        <v>2</v>
      </c>
      <c r="K147" s="786"/>
    </row>
    <row r="148" spans="1:11" x14ac:dyDescent="0.3">
      <c r="A148" s="800">
        <v>131</v>
      </c>
      <c r="B148" s="571">
        <f t="shared" ca="1" si="11"/>
        <v>12.001255942798373</v>
      </c>
      <c r="C148" s="801">
        <f t="shared" ca="1" si="12"/>
        <v>1</v>
      </c>
      <c r="K148" s="786"/>
    </row>
    <row r="149" spans="1:11" x14ac:dyDescent="0.3">
      <c r="A149" s="800">
        <v>132</v>
      </c>
      <c r="B149" s="571">
        <f t="shared" ca="1" si="11"/>
        <v>6.6551401065442555</v>
      </c>
      <c r="C149" s="801">
        <f t="shared" ca="1" si="12"/>
        <v>1</v>
      </c>
      <c r="K149" s="786"/>
    </row>
    <row r="150" spans="1:11" x14ac:dyDescent="0.3">
      <c r="A150" s="800">
        <v>133</v>
      </c>
      <c r="B150" s="571">
        <f t="shared" ca="1" si="11"/>
        <v>22.718478720925429</v>
      </c>
      <c r="C150" s="801">
        <f t="shared" ca="1" si="12"/>
        <v>2</v>
      </c>
      <c r="K150" s="786"/>
    </row>
    <row r="151" spans="1:11" x14ac:dyDescent="0.3">
      <c r="A151" s="800">
        <v>134</v>
      </c>
      <c r="B151" s="571">
        <f t="shared" ca="1" si="11"/>
        <v>44.447237917330675</v>
      </c>
      <c r="C151" s="801">
        <f t="shared" ca="1" si="12"/>
        <v>3</v>
      </c>
      <c r="K151" s="786"/>
    </row>
    <row r="152" spans="1:11" x14ac:dyDescent="0.3">
      <c r="A152" s="800">
        <v>135</v>
      </c>
      <c r="B152" s="571">
        <f t="shared" ca="1" si="11"/>
        <v>1.0466982187308904</v>
      </c>
      <c r="C152" s="801">
        <f t="shared" ca="1" si="12"/>
        <v>0</v>
      </c>
      <c r="K152" s="786"/>
    </row>
    <row r="153" spans="1:11" x14ac:dyDescent="0.3">
      <c r="A153" s="800">
        <v>136</v>
      </c>
      <c r="B153" s="571">
        <f t="shared" ca="1" si="11"/>
        <v>82.803345893661941</v>
      </c>
      <c r="C153" s="801">
        <f t="shared" ca="1" si="12"/>
        <v>4</v>
      </c>
      <c r="K153" s="786"/>
    </row>
    <row r="154" spans="1:11" x14ac:dyDescent="0.3">
      <c r="A154" s="800">
        <v>137</v>
      </c>
      <c r="B154" s="571">
        <f t="shared" ca="1" si="11"/>
        <v>89.519180021856698</v>
      </c>
      <c r="C154" s="801">
        <f t="shared" ca="1" si="12"/>
        <v>5</v>
      </c>
      <c r="K154" s="786"/>
    </row>
    <row r="155" spans="1:11" x14ac:dyDescent="0.3">
      <c r="A155" s="800">
        <v>138</v>
      </c>
      <c r="B155" s="571">
        <f t="shared" ca="1" si="11"/>
        <v>70.427462907633327</v>
      </c>
      <c r="C155" s="801">
        <f t="shared" ca="1" si="12"/>
        <v>4</v>
      </c>
      <c r="K155" s="786"/>
    </row>
    <row r="156" spans="1:11" x14ac:dyDescent="0.3">
      <c r="A156" s="800">
        <v>139</v>
      </c>
      <c r="B156" s="571">
        <f t="shared" ca="1" si="11"/>
        <v>28.27922739076978</v>
      </c>
      <c r="C156" s="801">
        <f t="shared" ca="1" si="12"/>
        <v>2</v>
      </c>
      <c r="K156" s="786"/>
    </row>
    <row r="157" spans="1:11" x14ac:dyDescent="0.3">
      <c r="A157" s="800">
        <v>140</v>
      </c>
      <c r="B157" s="571">
        <f t="shared" ca="1" si="11"/>
        <v>38.234206555233975</v>
      </c>
      <c r="C157" s="801">
        <f t="shared" ca="1" si="12"/>
        <v>3</v>
      </c>
      <c r="K157" s="786"/>
    </row>
    <row r="158" spans="1:11" x14ac:dyDescent="0.3">
      <c r="A158" s="800">
        <v>141</v>
      </c>
      <c r="B158" s="571">
        <f t="shared" ca="1" si="11"/>
        <v>1.3071957207379081</v>
      </c>
      <c r="C158" s="801">
        <f t="shared" ca="1" si="12"/>
        <v>0</v>
      </c>
      <c r="K158" s="786"/>
    </row>
    <row r="159" spans="1:11" x14ac:dyDescent="0.3">
      <c r="A159" s="800">
        <v>142</v>
      </c>
      <c r="B159" s="571">
        <f t="shared" ca="1" si="11"/>
        <v>69.983335152683821</v>
      </c>
      <c r="C159" s="801">
        <f t="shared" ca="1" si="12"/>
        <v>4</v>
      </c>
      <c r="K159" s="786"/>
    </row>
    <row r="160" spans="1:11" x14ac:dyDescent="0.3">
      <c r="A160" s="800">
        <v>143</v>
      </c>
      <c r="B160" s="571">
        <f t="shared" ca="1" si="11"/>
        <v>38.39715032079777</v>
      </c>
      <c r="C160" s="801">
        <f t="shared" ca="1" si="12"/>
        <v>3</v>
      </c>
      <c r="K160" s="786"/>
    </row>
    <row r="161" spans="1:11" x14ac:dyDescent="0.3">
      <c r="A161" s="800">
        <v>144</v>
      </c>
      <c r="B161" s="571">
        <f t="shared" ca="1" si="11"/>
        <v>12.484849716185209</v>
      </c>
      <c r="C161" s="801">
        <f t="shared" ca="1" si="12"/>
        <v>1</v>
      </c>
      <c r="K161" s="786"/>
    </row>
    <row r="162" spans="1:11" x14ac:dyDescent="0.3">
      <c r="A162" s="800">
        <v>145</v>
      </c>
      <c r="B162" s="571">
        <f t="shared" ca="1" si="11"/>
        <v>34.996425374578735</v>
      </c>
      <c r="C162" s="801">
        <f t="shared" ca="1" si="12"/>
        <v>2</v>
      </c>
      <c r="K162" s="786"/>
    </row>
    <row r="163" spans="1:11" x14ac:dyDescent="0.3">
      <c r="A163" s="800">
        <v>146</v>
      </c>
      <c r="B163" s="571">
        <f t="shared" ca="1" si="11"/>
        <v>72.4191499642602</v>
      </c>
      <c r="C163" s="801">
        <f t="shared" ca="1" si="12"/>
        <v>4</v>
      </c>
      <c r="K163" s="786"/>
    </row>
    <row r="164" spans="1:11" x14ac:dyDescent="0.3">
      <c r="A164" s="800">
        <v>147</v>
      </c>
      <c r="B164" s="571">
        <f t="shared" ca="1" si="11"/>
        <v>44.880570185763659</v>
      </c>
      <c r="C164" s="801">
        <f t="shared" ca="1" si="12"/>
        <v>3</v>
      </c>
      <c r="K164" s="786"/>
    </row>
    <row r="165" spans="1:11" x14ac:dyDescent="0.3">
      <c r="A165" s="800">
        <v>148</v>
      </c>
      <c r="B165" s="571">
        <f t="shared" ca="1" si="11"/>
        <v>11.455158725806891</v>
      </c>
      <c r="C165" s="801">
        <f t="shared" ca="1" si="12"/>
        <v>1</v>
      </c>
      <c r="K165" s="786"/>
    </row>
    <row r="166" spans="1:11" x14ac:dyDescent="0.3">
      <c r="A166" s="800">
        <v>149</v>
      </c>
      <c r="B166" s="571">
        <f t="shared" ca="1" si="11"/>
        <v>34.76479838392035</v>
      </c>
      <c r="C166" s="801">
        <f t="shared" ca="1" si="12"/>
        <v>2</v>
      </c>
      <c r="K166" s="786"/>
    </row>
    <row r="167" spans="1:11" x14ac:dyDescent="0.3">
      <c r="A167" s="800">
        <v>150</v>
      </c>
      <c r="B167" s="571">
        <f t="shared" ca="1" si="11"/>
        <v>30.720679646258542</v>
      </c>
      <c r="C167" s="801">
        <f t="shared" ca="1" si="12"/>
        <v>2</v>
      </c>
      <c r="K167" s="786"/>
    </row>
    <row r="168" spans="1:11" x14ac:dyDescent="0.3">
      <c r="A168" s="800">
        <v>151</v>
      </c>
      <c r="B168" s="571">
        <f t="shared" ca="1" si="11"/>
        <v>75.745571147604224</v>
      </c>
      <c r="C168" s="801">
        <f t="shared" ca="1" si="12"/>
        <v>4</v>
      </c>
      <c r="K168" s="786"/>
    </row>
    <row r="169" spans="1:11" x14ac:dyDescent="0.3">
      <c r="A169" s="800">
        <v>152</v>
      </c>
      <c r="B169" s="571">
        <f t="shared" ca="1" si="11"/>
        <v>3.9079649191180565</v>
      </c>
      <c r="C169" s="801">
        <f t="shared" ca="1" si="12"/>
        <v>0</v>
      </c>
      <c r="K169" s="786"/>
    </row>
    <row r="170" spans="1:11" x14ac:dyDescent="0.3">
      <c r="A170" s="800">
        <v>153</v>
      </c>
      <c r="B170" s="571">
        <f t="shared" ca="1" si="11"/>
        <v>78.358541015976414</v>
      </c>
      <c r="C170" s="801">
        <f t="shared" ca="1" si="12"/>
        <v>4</v>
      </c>
      <c r="K170" s="786"/>
    </row>
    <row r="171" spans="1:11" x14ac:dyDescent="0.3">
      <c r="A171" s="800">
        <v>154</v>
      </c>
      <c r="B171" s="571">
        <f t="shared" ca="1" si="11"/>
        <v>58.929642139683565</v>
      </c>
      <c r="C171" s="801">
        <f t="shared" ca="1" si="12"/>
        <v>3</v>
      </c>
      <c r="K171" s="786"/>
    </row>
    <row r="172" spans="1:11" x14ac:dyDescent="0.3">
      <c r="A172" s="800">
        <v>155</v>
      </c>
      <c r="B172" s="571">
        <f t="shared" ca="1" si="11"/>
        <v>2.3572977507123727</v>
      </c>
      <c r="C172" s="801">
        <f t="shared" ca="1" si="12"/>
        <v>0</v>
      </c>
      <c r="K172" s="786"/>
    </row>
    <row r="173" spans="1:11" x14ac:dyDescent="0.3">
      <c r="A173" s="800">
        <v>156</v>
      </c>
      <c r="B173" s="571">
        <f t="shared" ca="1" si="11"/>
        <v>20.267513356730969</v>
      </c>
      <c r="C173" s="801">
        <f t="shared" ca="1" si="12"/>
        <v>2</v>
      </c>
      <c r="K173" s="786"/>
    </row>
    <row r="174" spans="1:11" x14ac:dyDescent="0.3">
      <c r="A174" s="800">
        <v>157</v>
      </c>
      <c r="B174" s="571">
        <f t="shared" ca="1" si="11"/>
        <v>58.512255870756704</v>
      </c>
      <c r="C174" s="801">
        <f t="shared" ca="1" si="12"/>
        <v>3</v>
      </c>
      <c r="K174" s="786"/>
    </row>
    <row r="175" spans="1:11" x14ac:dyDescent="0.3">
      <c r="A175" s="800">
        <v>158</v>
      </c>
      <c r="B175" s="571">
        <f t="shared" ca="1" si="11"/>
        <v>8.2732007169429522</v>
      </c>
      <c r="C175" s="801">
        <f t="shared" ca="1" si="12"/>
        <v>1</v>
      </c>
      <c r="K175" s="786"/>
    </row>
    <row r="176" spans="1:11" x14ac:dyDescent="0.3">
      <c r="A176" s="800">
        <v>159</v>
      </c>
      <c r="B176" s="571">
        <f t="shared" ca="1" si="11"/>
        <v>1.3549309048520808</v>
      </c>
      <c r="C176" s="801">
        <f t="shared" ca="1" si="12"/>
        <v>0</v>
      </c>
      <c r="K176" s="786"/>
    </row>
    <row r="177" spans="1:11" x14ac:dyDescent="0.3">
      <c r="A177" s="800">
        <v>160</v>
      </c>
      <c r="B177" s="571">
        <f t="shared" ca="1" si="11"/>
        <v>90.528289247678444</v>
      </c>
      <c r="C177" s="801">
        <f t="shared" ca="1" si="12"/>
        <v>5</v>
      </c>
      <c r="K177" s="786"/>
    </row>
    <row r="178" spans="1:11" x14ac:dyDescent="0.3">
      <c r="A178" s="800">
        <v>161</v>
      </c>
      <c r="B178" s="571">
        <f t="shared" ca="1" si="11"/>
        <v>18.571225268267668</v>
      </c>
      <c r="C178" s="801">
        <f t="shared" ca="1" si="12"/>
        <v>2</v>
      </c>
      <c r="K178" s="786"/>
    </row>
    <row r="179" spans="1:11" x14ac:dyDescent="0.3">
      <c r="A179" s="800">
        <v>162</v>
      </c>
      <c r="B179" s="571">
        <f t="shared" ca="1" si="11"/>
        <v>90.237391741316003</v>
      </c>
      <c r="C179" s="801">
        <f t="shared" ca="1" si="12"/>
        <v>5</v>
      </c>
      <c r="K179" s="786"/>
    </row>
    <row r="180" spans="1:11" x14ac:dyDescent="0.3">
      <c r="A180" s="800">
        <v>163</v>
      </c>
      <c r="B180" s="571">
        <f t="shared" ca="1" si="11"/>
        <v>32.776049916693772</v>
      </c>
      <c r="C180" s="801">
        <f t="shared" ca="1" si="12"/>
        <v>2</v>
      </c>
      <c r="K180" s="786"/>
    </row>
    <row r="181" spans="1:11" x14ac:dyDescent="0.3">
      <c r="A181" s="800">
        <v>164</v>
      </c>
      <c r="B181" s="571">
        <f t="shared" ca="1" si="11"/>
        <v>9.5821101398050779</v>
      </c>
      <c r="C181" s="801">
        <f t="shared" ca="1" si="12"/>
        <v>1</v>
      </c>
      <c r="K181" s="786"/>
    </row>
    <row r="182" spans="1:11" x14ac:dyDescent="0.3">
      <c r="A182" s="800">
        <v>165</v>
      </c>
      <c r="B182" s="571">
        <f t="shared" ca="1" si="11"/>
        <v>6.7193056057441751</v>
      </c>
      <c r="C182" s="801">
        <f t="shared" ca="1" si="12"/>
        <v>1</v>
      </c>
      <c r="K182" s="786"/>
    </row>
    <row r="183" spans="1:11" x14ac:dyDescent="0.3">
      <c r="A183" s="800">
        <v>166</v>
      </c>
      <c r="B183" s="571">
        <f t="shared" ca="1" si="11"/>
        <v>67.33018571774214</v>
      </c>
      <c r="C183" s="801">
        <f t="shared" ca="1" si="12"/>
        <v>4</v>
      </c>
      <c r="K183" s="786"/>
    </row>
    <row r="184" spans="1:11" x14ac:dyDescent="0.3">
      <c r="A184" s="800">
        <v>167</v>
      </c>
      <c r="B184" s="571">
        <f t="shared" ca="1" si="11"/>
        <v>18.534014942022381</v>
      </c>
      <c r="C184" s="801">
        <f t="shared" ca="1" si="12"/>
        <v>2</v>
      </c>
      <c r="K184" s="786"/>
    </row>
    <row r="185" spans="1:11" x14ac:dyDescent="0.3">
      <c r="A185" s="800">
        <v>168</v>
      </c>
      <c r="B185" s="571">
        <f t="shared" ca="1" si="11"/>
        <v>30.502409616841152</v>
      </c>
      <c r="C185" s="801">
        <f t="shared" ca="1" si="12"/>
        <v>2</v>
      </c>
      <c r="K185" s="786"/>
    </row>
    <row r="186" spans="1:11" x14ac:dyDescent="0.3">
      <c r="A186" s="800">
        <v>169</v>
      </c>
      <c r="B186" s="571">
        <f t="shared" ca="1" si="11"/>
        <v>94.930074636551055</v>
      </c>
      <c r="C186" s="801">
        <f t="shared" ca="1" si="12"/>
        <v>5</v>
      </c>
      <c r="K186" s="786"/>
    </row>
    <row r="187" spans="1:11" x14ac:dyDescent="0.3">
      <c r="A187" s="800">
        <v>170</v>
      </c>
      <c r="B187" s="571">
        <f t="shared" ca="1" si="11"/>
        <v>29.876569140028408</v>
      </c>
      <c r="C187" s="801">
        <f t="shared" ca="1" si="12"/>
        <v>2</v>
      </c>
      <c r="K187" s="786"/>
    </row>
    <row r="188" spans="1:11" x14ac:dyDescent="0.3">
      <c r="A188" s="800">
        <v>171</v>
      </c>
      <c r="B188" s="571">
        <f t="shared" ca="1" si="11"/>
        <v>60.078142036596759</v>
      </c>
      <c r="C188" s="801">
        <f t="shared" ca="1" si="12"/>
        <v>3</v>
      </c>
      <c r="K188" s="786"/>
    </row>
    <row r="189" spans="1:11" x14ac:dyDescent="0.3">
      <c r="A189" s="800">
        <v>172</v>
      </c>
      <c r="B189" s="571">
        <f t="shared" ca="1" si="11"/>
        <v>65.876355983439495</v>
      </c>
      <c r="C189" s="801">
        <f t="shared" ca="1" si="12"/>
        <v>4</v>
      </c>
      <c r="K189" s="786"/>
    </row>
    <row r="190" spans="1:11" x14ac:dyDescent="0.3">
      <c r="A190" s="800">
        <v>173</v>
      </c>
      <c r="B190" s="571">
        <f t="shared" ca="1" si="11"/>
        <v>95.761127989625706</v>
      </c>
      <c r="C190" s="801">
        <f t="shared" ca="1" si="12"/>
        <v>5</v>
      </c>
      <c r="K190" s="786"/>
    </row>
    <row r="191" spans="1:11" x14ac:dyDescent="0.3">
      <c r="A191" s="800">
        <v>174</v>
      </c>
      <c r="B191" s="571">
        <f t="shared" ca="1" si="11"/>
        <v>82.434500248039058</v>
      </c>
      <c r="C191" s="801">
        <f t="shared" ca="1" si="12"/>
        <v>4</v>
      </c>
      <c r="K191" s="786"/>
    </row>
    <row r="192" spans="1:11" x14ac:dyDescent="0.3">
      <c r="A192" s="800">
        <v>175</v>
      </c>
      <c r="B192" s="571">
        <f t="shared" ca="1" si="11"/>
        <v>35.112128197041081</v>
      </c>
      <c r="C192" s="801">
        <f t="shared" ca="1" si="12"/>
        <v>3</v>
      </c>
      <c r="K192" s="786"/>
    </row>
    <row r="193" spans="1:11" x14ac:dyDescent="0.3">
      <c r="A193" s="800">
        <v>176</v>
      </c>
      <c r="B193" s="571">
        <f t="shared" ca="1" si="11"/>
        <v>4.9236206054375291</v>
      </c>
      <c r="C193" s="801">
        <f t="shared" ca="1" si="12"/>
        <v>0</v>
      </c>
      <c r="K193" s="786"/>
    </row>
    <row r="194" spans="1:11" x14ac:dyDescent="0.3">
      <c r="A194" s="800">
        <v>177</v>
      </c>
      <c r="B194" s="571">
        <f t="shared" ca="1" si="11"/>
        <v>38.617412307362706</v>
      </c>
      <c r="C194" s="801">
        <f t="shared" ca="1" si="12"/>
        <v>3</v>
      </c>
      <c r="K194" s="786"/>
    </row>
    <row r="195" spans="1:11" x14ac:dyDescent="0.3">
      <c r="A195" s="800">
        <v>178</v>
      </c>
      <c r="B195" s="571">
        <f t="shared" ca="1" si="11"/>
        <v>54.097022509769431</v>
      </c>
      <c r="C195" s="801">
        <f t="shared" ca="1" si="12"/>
        <v>3</v>
      </c>
      <c r="K195" s="786"/>
    </row>
    <row r="196" spans="1:11" x14ac:dyDescent="0.3">
      <c r="A196" s="800">
        <v>179</v>
      </c>
      <c r="B196" s="571">
        <f t="shared" ca="1" si="11"/>
        <v>33.361245809135895</v>
      </c>
      <c r="C196" s="801">
        <f t="shared" ca="1" si="12"/>
        <v>2</v>
      </c>
      <c r="K196" s="786"/>
    </row>
    <row r="197" spans="1:11" x14ac:dyDescent="0.3">
      <c r="A197" s="800">
        <v>180</v>
      </c>
      <c r="B197" s="571">
        <f t="shared" ca="1" si="11"/>
        <v>65.825568880712723</v>
      </c>
      <c r="C197" s="801">
        <f t="shared" ca="1" si="12"/>
        <v>4</v>
      </c>
      <c r="K197" s="786"/>
    </row>
    <row r="198" spans="1:11" x14ac:dyDescent="0.3">
      <c r="A198" s="800">
        <v>181</v>
      </c>
      <c r="B198" s="571">
        <f t="shared" ca="1" si="11"/>
        <v>62.994074356460828</v>
      </c>
      <c r="C198" s="801">
        <f t="shared" ca="1" si="12"/>
        <v>3</v>
      </c>
      <c r="K198" s="786"/>
    </row>
    <row r="199" spans="1:11" x14ac:dyDescent="0.3">
      <c r="A199" s="800">
        <v>182</v>
      </c>
      <c r="B199" s="571">
        <f t="shared" ca="1" si="11"/>
        <v>3.6613527737511586</v>
      </c>
      <c r="C199" s="801">
        <f t="shared" ca="1" si="12"/>
        <v>0</v>
      </c>
      <c r="K199" s="786"/>
    </row>
    <row r="200" spans="1:11" x14ac:dyDescent="0.3">
      <c r="A200" s="800">
        <v>183</v>
      </c>
      <c r="B200" s="571">
        <f t="shared" ca="1" si="11"/>
        <v>66.183882353858323</v>
      </c>
      <c r="C200" s="801">
        <f t="shared" ca="1" si="12"/>
        <v>4</v>
      </c>
      <c r="K200" s="786"/>
    </row>
    <row r="201" spans="1:11" x14ac:dyDescent="0.3">
      <c r="A201" s="800">
        <v>184</v>
      </c>
      <c r="B201" s="571">
        <f t="shared" ca="1" si="11"/>
        <v>38.680557492311209</v>
      </c>
      <c r="C201" s="801">
        <f t="shared" ca="1" si="12"/>
        <v>3</v>
      </c>
      <c r="K201" s="786"/>
    </row>
    <row r="202" spans="1:11" x14ac:dyDescent="0.3">
      <c r="A202" s="800">
        <v>185</v>
      </c>
      <c r="B202" s="571">
        <f t="shared" ca="1" si="11"/>
        <v>49.801483075743711</v>
      </c>
      <c r="C202" s="801">
        <f t="shared" ca="1" si="12"/>
        <v>3</v>
      </c>
      <c r="K202" s="786"/>
    </row>
    <row r="203" spans="1:11" x14ac:dyDescent="0.3">
      <c r="A203" s="800">
        <v>186</v>
      </c>
      <c r="B203" s="571">
        <f t="shared" ca="1" si="11"/>
        <v>82.196581278896318</v>
      </c>
      <c r="C203" s="801">
        <f t="shared" ca="1" si="12"/>
        <v>4</v>
      </c>
      <c r="K203" s="786"/>
    </row>
    <row r="204" spans="1:11" x14ac:dyDescent="0.3">
      <c r="A204" s="800">
        <v>187</v>
      </c>
      <c r="B204" s="571">
        <f t="shared" ca="1" si="11"/>
        <v>42.050004785671732</v>
      </c>
      <c r="C204" s="801">
        <f t="shared" ca="1" si="12"/>
        <v>3</v>
      </c>
      <c r="K204" s="786"/>
    </row>
    <row r="205" spans="1:11" x14ac:dyDescent="0.3">
      <c r="A205" s="800">
        <v>188</v>
      </c>
      <c r="B205" s="571">
        <f t="shared" ca="1" si="11"/>
        <v>82.774690146372322</v>
      </c>
      <c r="C205" s="801">
        <f t="shared" ca="1" si="12"/>
        <v>4</v>
      </c>
      <c r="K205" s="786"/>
    </row>
    <row r="206" spans="1:11" x14ac:dyDescent="0.3">
      <c r="A206" s="800">
        <v>189</v>
      </c>
      <c r="B206" s="571">
        <f t="shared" ca="1" si="11"/>
        <v>42.609482900681826</v>
      </c>
      <c r="C206" s="801">
        <f t="shared" ca="1" si="12"/>
        <v>3</v>
      </c>
      <c r="K206" s="786"/>
    </row>
    <row r="207" spans="1:11" x14ac:dyDescent="0.3">
      <c r="A207" s="800">
        <v>190</v>
      </c>
      <c r="B207" s="571">
        <f t="shared" ca="1" si="11"/>
        <v>27.885974248169777</v>
      </c>
      <c r="C207" s="801">
        <f t="shared" ca="1" si="12"/>
        <v>2</v>
      </c>
      <c r="K207" s="786"/>
    </row>
    <row r="208" spans="1:11" x14ac:dyDescent="0.3">
      <c r="A208" s="800">
        <v>191</v>
      </c>
      <c r="B208" s="571">
        <f t="shared" ca="1" si="11"/>
        <v>85.515610046720397</v>
      </c>
      <c r="C208" s="801">
        <f t="shared" ca="1" si="12"/>
        <v>5</v>
      </c>
      <c r="K208" s="786"/>
    </row>
    <row r="209" spans="1:11" x14ac:dyDescent="0.3">
      <c r="A209" s="800">
        <v>192</v>
      </c>
      <c r="B209" s="571">
        <f t="shared" ca="1" si="11"/>
        <v>6.9871173300228184</v>
      </c>
      <c r="C209" s="801">
        <f t="shared" ca="1" si="12"/>
        <v>1</v>
      </c>
      <c r="K209" s="786"/>
    </row>
    <row r="210" spans="1:11" x14ac:dyDescent="0.3">
      <c r="A210" s="800">
        <v>193</v>
      </c>
      <c r="B210" s="571">
        <f t="shared" ca="1" si="11"/>
        <v>34.994248612420634</v>
      </c>
      <c r="C210" s="801">
        <f t="shared" ca="1" si="12"/>
        <v>2</v>
      </c>
      <c r="K210" s="786"/>
    </row>
    <row r="211" spans="1:11" x14ac:dyDescent="0.3">
      <c r="A211" s="800">
        <v>194</v>
      </c>
      <c r="B211" s="571">
        <f t="shared" ref="B211:B274" ca="1" si="13">100*RAND()</f>
        <v>70.088388689235998</v>
      </c>
      <c r="C211" s="801">
        <f t="shared" ref="C211:C274" ca="1" si="14">VLOOKUP(B211,$A$8:$C$13,3)</f>
        <v>4</v>
      </c>
      <c r="K211" s="786"/>
    </row>
    <row r="212" spans="1:11" x14ac:dyDescent="0.3">
      <c r="A212" s="800">
        <v>195</v>
      </c>
      <c r="B212" s="571">
        <f t="shared" ca="1" si="13"/>
        <v>27.770006486294683</v>
      </c>
      <c r="C212" s="801">
        <f t="shared" ca="1" si="14"/>
        <v>2</v>
      </c>
      <c r="K212" s="786"/>
    </row>
    <row r="213" spans="1:11" x14ac:dyDescent="0.3">
      <c r="A213" s="800">
        <v>196</v>
      </c>
      <c r="B213" s="571">
        <f t="shared" ca="1" si="13"/>
        <v>14.272700865669197</v>
      </c>
      <c r="C213" s="801">
        <f t="shared" ca="1" si="14"/>
        <v>1</v>
      </c>
      <c r="K213" s="786"/>
    </row>
    <row r="214" spans="1:11" x14ac:dyDescent="0.3">
      <c r="A214" s="800">
        <v>197</v>
      </c>
      <c r="B214" s="571">
        <f t="shared" ca="1" si="13"/>
        <v>2.4120741914800181</v>
      </c>
      <c r="C214" s="801">
        <f t="shared" ca="1" si="14"/>
        <v>0</v>
      </c>
      <c r="K214" s="786"/>
    </row>
    <row r="215" spans="1:11" x14ac:dyDescent="0.3">
      <c r="A215" s="800">
        <v>198</v>
      </c>
      <c r="B215" s="571">
        <f t="shared" ca="1" si="13"/>
        <v>91.15554875042811</v>
      </c>
      <c r="C215" s="801">
        <f t="shared" ca="1" si="14"/>
        <v>5</v>
      </c>
      <c r="K215" s="786"/>
    </row>
    <row r="216" spans="1:11" x14ac:dyDescent="0.3">
      <c r="A216" s="800">
        <v>199</v>
      </c>
      <c r="B216" s="571">
        <f t="shared" ca="1" si="13"/>
        <v>60.292442222971779</v>
      </c>
      <c r="C216" s="801">
        <f t="shared" ca="1" si="14"/>
        <v>3</v>
      </c>
      <c r="K216" s="786"/>
    </row>
    <row r="217" spans="1:11" x14ac:dyDescent="0.3">
      <c r="A217" s="800">
        <v>200</v>
      </c>
      <c r="B217" s="571">
        <f t="shared" ca="1" si="13"/>
        <v>43.840145144110451</v>
      </c>
      <c r="C217" s="801">
        <f t="shared" ca="1" si="14"/>
        <v>3</v>
      </c>
      <c r="K217" s="786"/>
    </row>
    <row r="218" spans="1:11" x14ac:dyDescent="0.3">
      <c r="A218" s="800">
        <v>201</v>
      </c>
      <c r="B218" s="571">
        <f t="shared" ca="1" si="13"/>
        <v>60.974364300477788</v>
      </c>
      <c r="C218" s="801">
        <f t="shared" ca="1" si="14"/>
        <v>3</v>
      </c>
      <c r="K218" s="786"/>
    </row>
    <row r="219" spans="1:11" x14ac:dyDescent="0.3">
      <c r="A219" s="800">
        <v>202</v>
      </c>
      <c r="B219" s="571">
        <f t="shared" ca="1" si="13"/>
        <v>63.735501769905923</v>
      </c>
      <c r="C219" s="801">
        <f t="shared" ca="1" si="14"/>
        <v>3</v>
      </c>
      <c r="K219" s="786"/>
    </row>
    <row r="220" spans="1:11" x14ac:dyDescent="0.3">
      <c r="A220" s="800">
        <v>203</v>
      </c>
      <c r="B220" s="571">
        <f t="shared" ca="1" si="13"/>
        <v>61.115930462081415</v>
      </c>
      <c r="C220" s="801">
        <f t="shared" ca="1" si="14"/>
        <v>3</v>
      </c>
      <c r="K220" s="786"/>
    </row>
    <row r="221" spans="1:11" x14ac:dyDescent="0.3">
      <c r="A221" s="800">
        <v>204</v>
      </c>
      <c r="B221" s="571">
        <f t="shared" ca="1" si="13"/>
        <v>93.22242420750139</v>
      </c>
      <c r="C221" s="801">
        <f t="shared" ca="1" si="14"/>
        <v>5</v>
      </c>
      <c r="K221" s="786"/>
    </row>
    <row r="222" spans="1:11" x14ac:dyDescent="0.3">
      <c r="A222" s="800">
        <v>205</v>
      </c>
      <c r="B222" s="571">
        <f t="shared" ca="1" si="13"/>
        <v>57.940420815397644</v>
      </c>
      <c r="C222" s="801">
        <f t="shared" ca="1" si="14"/>
        <v>3</v>
      </c>
      <c r="K222" s="786"/>
    </row>
    <row r="223" spans="1:11" x14ac:dyDescent="0.3">
      <c r="A223" s="800">
        <v>206</v>
      </c>
      <c r="B223" s="571">
        <f t="shared" ca="1" si="13"/>
        <v>28.941470333866604</v>
      </c>
      <c r="C223" s="801">
        <f t="shared" ca="1" si="14"/>
        <v>2</v>
      </c>
      <c r="K223" s="786"/>
    </row>
    <row r="224" spans="1:11" x14ac:dyDescent="0.3">
      <c r="A224" s="800">
        <v>207</v>
      </c>
      <c r="B224" s="571">
        <f t="shared" ca="1" si="13"/>
        <v>8.2372965724616947</v>
      </c>
      <c r="C224" s="801">
        <f t="shared" ca="1" si="14"/>
        <v>1</v>
      </c>
      <c r="K224" s="786"/>
    </row>
    <row r="225" spans="1:11" x14ac:dyDescent="0.3">
      <c r="A225" s="800">
        <v>208</v>
      </c>
      <c r="B225" s="571">
        <f t="shared" ca="1" si="13"/>
        <v>77.838788015728724</v>
      </c>
      <c r="C225" s="801">
        <f t="shared" ca="1" si="14"/>
        <v>4</v>
      </c>
      <c r="K225" s="786"/>
    </row>
    <row r="226" spans="1:11" x14ac:dyDescent="0.3">
      <c r="A226" s="800">
        <v>209</v>
      </c>
      <c r="B226" s="571">
        <f t="shared" ca="1" si="13"/>
        <v>59.761171534722266</v>
      </c>
      <c r="C226" s="801">
        <f t="shared" ca="1" si="14"/>
        <v>3</v>
      </c>
      <c r="K226" s="786"/>
    </row>
    <row r="227" spans="1:11" x14ac:dyDescent="0.3">
      <c r="A227" s="800">
        <v>210</v>
      </c>
      <c r="B227" s="571">
        <f t="shared" ca="1" si="13"/>
        <v>47.511651505823792</v>
      </c>
      <c r="C227" s="801">
        <f t="shared" ca="1" si="14"/>
        <v>3</v>
      </c>
      <c r="K227" s="786"/>
    </row>
    <row r="228" spans="1:11" x14ac:dyDescent="0.3">
      <c r="A228" s="800">
        <v>211</v>
      </c>
      <c r="B228" s="571">
        <f t="shared" ca="1" si="13"/>
        <v>65.421499795144527</v>
      </c>
      <c r="C228" s="801">
        <f t="shared" ca="1" si="14"/>
        <v>4</v>
      </c>
      <c r="K228" s="786"/>
    </row>
    <row r="229" spans="1:11" x14ac:dyDescent="0.3">
      <c r="A229" s="800">
        <v>212</v>
      </c>
      <c r="B229" s="571">
        <f t="shared" ca="1" si="13"/>
        <v>11.552713288359474</v>
      </c>
      <c r="C229" s="801">
        <f t="shared" ca="1" si="14"/>
        <v>1</v>
      </c>
      <c r="K229" s="786"/>
    </row>
    <row r="230" spans="1:11" x14ac:dyDescent="0.3">
      <c r="A230" s="800">
        <v>213</v>
      </c>
      <c r="B230" s="571">
        <f t="shared" ca="1" si="13"/>
        <v>16.709660742875677</v>
      </c>
      <c r="C230" s="801">
        <f t="shared" ca="1" si="14"/>
        <v>2</v>
      </c>
      <c r="K230" s="786"/>
    </row>
    <row r="231" spans="1:11" x14ac:dyDescent="0.3">
      <c r="A231" s="800">
        <v>214</v>
      </c>
      <c r="B231" s="571">
        <f t="shared" ca="1" si="13"/>
        <v>19.43869865469674</v>
      </c>
      <c r="C231" s="801">
        <f t="shared" ca="1" si="14"/>
        <v>2</v>
      </c>
      <c r="K231" s="786"/>
    </row>
    <row r="232" spans="1:11" x14ac:dyDescent="0.3">
      <c r="A232" s="800">
        <v>215</v>
      </c>
      <c r="B232" s="571">
        <f t="shared" ca="1" si="13"/>
        <v>83.509336598171956</v>
      </c>
      <c r="C232" s="801">
        <f t="shared" ca="1" si="14"/>
        <v>4</v>
      </c>
      <c r="K232" s="786"/>
    </row>
    <row r="233" spans="1:11" x14ac:dyDescent="0.3">
      <c r="A233" s="800">
        <v>216</v>
      </c>
      <c r="B233" s="571">
        <f t="shared" ca="1" si="13"/>
        <v>43.080187817447559</v>
      </c>
      <c r="C233" s="801">
        <f t="shared" ca="1" si="14"/>
        <v>3</v>
      </c>
      <c r="K233" s="786"/>
    </row>
    <row r="234" spans="1:11" x14ac:dyDescent="0.3">
      <c r="A234" s="800">
        <v>217</v>
      </c>
      <c r="B234" s="571">
        <f t="shared" ca="1" si="13"/>
        <v>95.910934959091037</v>
      </c>
      <c r="C234" s="801">
        <f t="shared" ca="1" si="14"/>
        <v>5</v>
      </c>
      <c r="K234" s="786"/>
    </row>
    <row r="235" spans="1:11" x14ac:dyDescent="0.3">
      <c r="A235" s="800">
        <v>218</v>
      </c>
      <c r="B235" s="571">
        <f t="shared" ca="1" si="13"/>
        <v>35.827983908732676</v>
      </c>
      <c r="C235" s="801">
        <f t="shared" ca="1" si="14"/>
        <v>3</v>
      </c>
      <c r="K235" s="786"/>
    </row>
    <row r="236" spans="1:11" x14ac:dyDescent="0.3">
      <c r="A236" s="800">
        <v>219</v>
      </c>
      <c r="B236" s="571">
        <f t="shared" ca="1" si="13"/>
        <v>93.06290701536706</v>
      </c>
      <c r="C236" s="801">
        <f t="shared" ca="1" si="14"/>
        <v>5</v>
      </c>
      <c r="K236" s="786"/>
    </row>
    <row r="237" spans="1:11" x14ac:dyDescent="0.3">
      <c r="A237" s="800">
        <v>220</v>
      </c>
      <c r="B237" s="571">
        <f t="shared" ca="1" si="13"/>
        <v>0.3450342721387778</v>
      </c>
      <c r="C237" s="801">
        <f t="shared" ca="1" si="14"/>
        <v>0</v>
      </c>
      <c r="K237" s="786"/>
    </row>
    <row r="238" spans="1:11" x14ac:dyDescent="0.3">
      <c r="A238" s="800">
        <v>221</v>
      </c>
      <c r="B238" s="571">
        <f t="shared" ca="1" si="13"/>
        <v>70.970308580364588</v>
      </c>
      <c r="C238" s="801">
        <f t="shared" ca="1" si="14"/>
        <v>4</v>
      </c>
      <c r="K238" s="786"/>
    </row>
    <row r="239" spans="1:11" x14ac:dyDescent="0.3">
      <c r="A239" s="800">
        <v>222</v>
      </c>
      <c r="B239" s="571">
        <f t="shared" ca="1" si="13"/>
        <v>48.997949773922386</v>
      </c>
      <c r="C239" s="801">
        <f t="shared" ca="1" si="14"/>
        <v>3</v>
      </c>
      <c r="K239" s="786"/>
    </row>
    <row r="240" spans="1:11" x14ac:dyDescent="0.3">
      <c r="A240" s="800">
        <v>223</v>
      </c>
      <c r="B240" s="571">
        <f t="shared" ca="1" si="13"/>
        <v>48.426032740088054</v>
      </c>
      <c r="C240" s="801">
        <f t="shared" ca="1" si="14"/>
        <v>3</v>
      </c>
      <c r="K240" s="786"/>
    </row>
    <row r="241" spans="1:11" x14ac:dyDescent="0.3">
      <c r="A241" s="800">
        <v>224</v>
      </c>
      <c r="B241" s="571">
        <f t="shared" ca="1" si="13"/>
        <v>36.972368750741211</v>
      </c>
      <c r="C241" s="801">
        <f t="shared" ca="1" si="14"/>
        <v>3</v>
      </c>
      <c r="K241" s="786"/>
    </row>
    <row r="242" spans="1:11" x14ac:dyDescent="0.3">
      <c r="A242" s="800">
        <v>225</v>
      </c>
      <c r="B242" s="571">
        <f t="shared" ca="1" si="13"/>
        <v>20.627674109385563</v>
      </c>
      <c r="C242" s="801">
        <f t="shared" ca="1" si="14"/>
        <v>2</v>
      </c>
      <c r="K242" s="786"/>
    </row>
    <row r="243" spans="1:11" x14ac:dyDescent="0.3">
      <c r="A243" s="800">
        <v>226</v>
      </c>
      <c r="B243" s="571">
        <f t="shared" ca="1" si="13"/>
        <v>20.806287924514123</v>
      </c>
      <c r="C243" s="801">
        <f t="shared" ca="1" si="14"/>
        <v>2</v>
      </c>
      <c r="K243" s="786"/>
    </row>
    <row r="244" spans="1:11" x14ac:dyDescent="0.3">
      <c r="A244" s="800">
        <v>227</v>
      </c>
      <c r="B244" s="571">
        <f t="shared" ca="1" si="13"/>
        <v>16.798688938583773</v>
      </c>
      <c r="C244" s="801">
        <f t="shared" ca="1" si="14"/>
        <v>2</v>
      </c>
      <c r="K244" s="786"/>
    </row>
    <row r="245" spans="1:11" x14ac:dyDescent="0.3">
      <c r="A245" s="800">
        <v>228</v>
      </c>
      <c r="B245" s="571">
        <f t="shared" ca="1" si="13"/>
        <v>6.6205626017894588</v>
      </c>
      <c r="C245" s="801">
        <f t="shared" ca="1" si="14"/>
        <v>1</v>
      </c>
      <c r="K245" s="786"/>
    </row>
    <row r="246" spans="1:11" x14ac:dyDescent="0.3">
      <c r="A246" s="800">
        <v>229</v>
      </c>
      <c r="B246" s="571">
        <f t="shared" ca="1" si="13"/>
        <v>44.885443920556753</v>
      </c>
      <c r="C246" s="801">
        <f t="shared" ca="1" si="14"/>
        <v>3</v>
      </c>
      <c r="K246" s="786"/>
    </row>
    <row r="247" spans="1:11" x14ac:dyDescent="0.3">
      <c r="A247" s="800">
        <v>230</v>
      </c>
      <c r="B247" s="571">
        <f t="shared" ca="1" si="13"/>
        <v>18.080175524729391</v>
      </c>
      <c r="C247" s="801">
        <f t="shared" ca="1" si="14"/>
        <v>2</v>
      </c>
      <c r="K247" s="786"/>
    </row>
    <row r="248" spans="1:11" x14ac:dyDescent="0.3">
      <c r="A248" s="800">
        <v>231</v>
      </c>
      <c r="B248" s="571">
        <f t="shared" ca="1" si="13"/>
        <v>34.425874857163087</v>
      </c>
      <c r="C248" s="801">
        <f t="shared" ca="1" si="14"/>
        <v>2</v>
      </c>
      <c r="K248" s="786"/>
    </row>
    <row r="249" spans="1:11" x14ac:dyDescent="0.3">
      <c r="A249" s="800">
        <v>232</v>
      </c>
      <c r="B249" s="571">
        <f t="shared" ca="1" si="13"/>
        <v>48.133386146356273</v>
      </c>
      <c r="C249" s="801">
        <f t="shared" ca="1" si="14"/>
        <v>3</v>
      </c>
      <c r="K249" s="786"/>
    </row>
    <row r="250" spans="1:11" x14ac:dyDescent="0.3">
      <c r="A250" s="800">
        <v>233</v>
      </c>
      <c r="B250" s="571">
        <f t="shared" ca="1" si="13"/>
        <v>6.0101543863319336</v>
      </c>
      <c r="C250" s="801">
        <f t="shared" ca="1" si="14"/>
        <v>1</v>
      </c>
      <c r="K250" s="786"/>
    </row>
    <row r="251" spans="1:11" x14ac:dyDescent="0.3">
      <c r="A251" s="800">
        <v>234</v>
      </c>
      <c r="B251" s="571">
        <f t="shared" ca="1" si="13"/>
        <v>22.592349374420394</v>
      </c>
      <c r="C251" s="801">
        <f t="shared" ca="1" si="14"/>
        <v>2</v>
      </c>
      <c r="K251" s="786"/>
    </row>
    <row r="252" spans="1:11" x14ac:dyDescent="0.3">
      <c r="A252" s="800">
        <v>235</v>
      </c>
      <c r="B252" s="571">
        <f t="shared" ca="1" si="13"/>
        <v>26.280145960156474</v>
      </c>
      <c r="C252" s="801">
        <f t="shared" ca="1" si="14"/>
        <v>2</v>
      </c>
      <c r="K252" s="786"/>
    </row>
    <row r="253" spans="1:11" x14ac:dyDescent="0.3">
      <c r="A253" s="800">
        <v>236</v>
      </c>
      <c r="B253" s="571">
        <f t="shared" ca="1" si="13"/>
        <v>18.194210515494969</v>
      </c>
      <c r="C253" s="801">
        <f t="shared" ca="1" si="14"/>
        <v>2</v>
      </c>
      <c r="K253" s="786"/>
    </row>
    <row r="254" spans="1:11" x14ac:dyDescent="0.3">
      <c r="A254" s="800">
        <v>237</v>
      </c>
      <c r="B254" s="571">
        <f t="shared" ca="1" si="13"/>
        <v>25.070279693178321</v>
      </c>
      <c r="C254" s="801">
        <f t="shared" ca="1" si="14"/>
        <v>2</v>
      </c>
      <c r="K254" s="786"/>
    </row>
    <row r="255" spans="1:11" x14ac:dyDescent="0.3">
      <c r="A255" s="800">
        <v>238</v>
      </c>
      <c r="B255" s="571">
        <f t="shared" ca="1" si="13"/>
        <v>31.723180007411401</v>
      </c>
      <c r="C255" s="801">
        <f t="shared" ca="1" si="14"/>
        <v>2</v>
      </c>
      <c r="K255" s="786"/>
    </row>
    <row r="256" spans="1:11" x14ac:dyDescent="0.3">
      <c r="A256" s="800">
        <v>239</v>
      </c>
      <c r="B256" s="571">
        <f t="shared" ca="1" si="13"/>
        <v>96.441414634440932</v>
      </c>
      <c r="C256" s="801">
        <f t="shared" ca="1" si="14"/>
        <v>5</v>
      </c>
      <c r="K256" s="786"/>
    </row>
    <row r="257" spans="1:11" x14ac:dyDescent="0.3">
      <c r="A257" s="800">
        <v>240</v>
      </c>
      <c r="B257" s="571">
        <f t="shared" ca="1" si="13"/>
        <v>43.869623310950757</v>
      </c>
      <c r="C257" s="801">
        <f t="shared" ca="1" si="14"/>
        <v>3</v>
      </c>
      <c r="K257" s="786"/>
    </row>
    <row r="258" spans="1:11" x14ac:dyDescent="0.3">
      <c r="A258" s="800">
        <v>241</v>
      </c>
      <c r="B258" s="571">
        <f t="shared" ca="1" si="13"/>
        <v>50.744425432461291</v>
      </c>
      <c r="C258" s="801">
        <f t="shared" ca="1" si="14"/>
        <v>3</v>
      </c>
      <c r="K258" s="786"/>
    </row>
    <row r="259" spans="1:11" x14ac:dyDescent="0.3">
      <c r="A259" s="800">
        <v>242</v>
      </c>
      <c r="B259" s="571">
        <f t="shared" ca="1" si="13"/>
        <v>76.309252159542211</v>
      </c>
      <c r="C259" s="801">
        <f t="shared" ca="1" si="14"/>
        <v>4</v>
      </c>
      <c r="K259" s="786"/>
    </row>
    <row r="260" spans="1:11" x14ac:dyDescent="0.3">
      <c r="A260" s="800">
        <v>243</v>
      </c>
      <c r="B260" s="571">
        <f t="shared" ca="1" si="13"/>
        <v>10.477093295120831</v>
      </c>
      <c r="C260" s="801">
        <f t="shared" ca="1" si="14"/>
        <v>1</v>
      </c>
      <c r="K260" s="786"/>
    </row>
    <row r="261" spans="1:11" x14ac:dyDescent="0.3">
      <c r="A261" s="800">
        <v>244</v>
      </c>
      <c r="B261" s="571">
        <f t="shared" ca="1" si="13"/>
        <v>94.495982656728799</v>
      </c>
      <c r="C261" s="801">
        <f t="shared" ca="1" si="14"/>
        <v>5</v>
      </c>
      <c r="K261" s="786"/>
    </row>
    <row r="262" spans="1:11" x14ac:dyDescent="0.3">
      <c r="A262" s="800">
        <v>245</v>
      </c>
      <c r="B262" s="571">
        <f t="shared" ca="1" si="13"/>
        <v>22.994983251018976</v>
      </c>
      <c r="C262" s="801">
        <f t="shared" ca="1" si="14"/>
        <v>2</v>
      </c>
      <c r="K262" s="786"/>
    </row>
    <row r="263" spans="1:11" x14ac:dyDescent="0.3">
      <c r="A263" s="800">
        <v>246</v>
      </c>
      <c r="B263" s="571">
        <f t="shared" ca="1" si="13"/>
        <v>73.010708070794351</v>
      </c>
      <c r="C263" s="801">
        <f t="shared" ca="1" si="14"/>
        <v>4</v>
      </c>
      <c r="K263" s="786"/>
    </row>
    <row r="264" spans="1:11" x14ac:dyDescent="0.3">
      <c r="A264" s="800">
        <v>247</v>
      </c>
      <c r="B264" s="571">
        <f t="shared" ca="1" si="13"/>
        <v>2.5589571856512561</v>
      </c>
      <c r="C264" s="801">
        <f t="shared" ca="1" si="14"/>
        <v>0</v>
      </c>
      <c r="K264" s="786"/>
    </row>
    <row r="265" spans="1:11" x14ac:dyDescent="0.3">
      <c r="A265" s="800">
        <v>248</v>
      </c>
      <c r="B265" s="571">
        <f t="shared" ca="1" si="13"/>
        <v>93.028220304526727</v>
      </c>
      <c r="C265" s="801">
        <f t="shared" ca="1" si="14"/>
        <v>5</v>
      </c>
      <c r="K265" s="786"/>
    </row>
    <row r="266" spans="1:11" x14ac:dyDescent="0.3">
      <c r="A266" s="800">
        <v>249</v>
      </c>
      <c r="B266" s="571">
        <f t="shared" ca="1" si="13"/>
        <v>68.190060801550473</v>
      </c>
      <c r="C266" s="801">
        <f t="shared" ca="1" si="14"/>
        <v>4</v>
      </c>
      <c r="K266" s="786"/>
    </row>
    <row r="267" spans="1:11" x14ac:dyDescent="0.3">
      <c r="A267" s="800">
        <v>250</v>
      </c>
      <c r="B267" s="571">
        <f t="shared" ca="1" si="13"/>
        <v>62.199489552166696</v>
      </c>
      <c r="C267" s="801">
        <f t="shared" ca="1" si="14"/>
        <v>3</v>
      </c>
      <c r="K267" s="786"/>
    </row>
    <row r="268" spans="1:11" x14ac:dyDescent="0.3">
      <c r="A268" s="800">
        <v>251</v>
      </c>
      <c r="B268" s="571">
        <f t="shared" ca="1" si="13"/>
        <v>66.851546567391836</v>
      </c>
      <c r="C268" s="801">
        <f t="shared" ca="1" si="14"/>
        <v>4</v>
      </c>
      <c r="K268" s="786"/>
    </row>
    <row r="269" spans="1:11" x14ac:dyDescent="0.3">
      <c r="A269" s="800">
        <v>252</v>
      </c>
      <c r="B269" s="571">
        <f t="shared" ca="1" si="13"/>
        <v>41.305236144075316</v>
      </c>
      <c r="C269" s="801">
        <f t="shared" ca="1" si="14"/>
        <v>3</v>
      </c>
      <c r="K269" s="786"/>
    </row>
    <row r="270" spans="1:11" x14ac:dyDescent="0.3">
      <c r="A270" s="800">
        <v>253</v>
      </c>
      <c r="B270" s="571">
        <f t="shared" ca="1" si="13"/>
        <v>9.0558127309502972</v>
      </c>
      <c r="C270" s="801">
        <f t="shared" ca="1" si="14"/>
        <v>1</v>
      </c>
      <c r="K270" s="786"/>
    </row>
    <row r="271" spans="1:11" x14ac:dyDescent="0.3">
      <c r="A271" s="800">
        <v>254</v>
      </c>
      <c r="B271" s="571">
        <f t="shared" ca="1" si="13"/>
        <v>58.660386943654075</v>
      </c>
      <c r="C271" s="801">
        <f t="shared" ca="1" si="14"/>
        <v>3</v>
      </c>
      <c r="K271" s="786"/>
    </row>
    <row r="272" spans="1:11" x14ac:dyDescent="0.3">
      <c r="A272" s="800">
        <v>255</v>
      </c>
      <c r="B272" s="571">
        <f t="shared" ca="1" si="13"/>
        <v>62.532479661589946</v>
      </c>
      <c r="C272" s="801">
        <f t="shared" ca="1" si="14"/>
        <v>3</v>
      </c>
      <c r="K272" s="786"/>
    </row>
    <row r="273" spans="1:11" x14ac:dyDescent="0.3">
      <c r="A273" s="800">
        <v>256</v>
      </c>
      <c r="B273" s="571">
        <f t="shared" ca="1" si="13"/>
        <v>97.892610744837711</v>
      </c>
      <c r="C273" s="801">
        <f t="shared" ca="1" si="14"/>
        <v>5</v>
      </c>
      <c r="K273" s="786"/>
    </row>
    <row r="274" spans="1:11" x14ac:dyDescent="0.3">
      <c r="A274" s="800">
        <v>257</v>
      </c>
      <c r="B274" s="571">
        <f t="shared" ca="1" si="13"/>
        <v>64.943581739303127</v>
      </c>
      <c r="C274" s="801">
        <f t="shared" ca="1" si="14"/>
        <v>3</v>
      </c>
      <c r="K274" s="786"/>
    </row>
    <row r="275" spans="1:11" x14ac:dyDescent="0.3">
      <c r="A275" s="800">
        <v>258</v>
      </c>
      <c r="B275" s="571">
        <f t="shared" ref="B275:B338" ca="1" si="15">100*RAND()</f>
        <v>84.62849389533234</v>
      </c>
      <c r="C275" s="801">
        <f t="shared" ref="C275:C338" ca="1" si="16">VLOOKUP(B275,$A$8:$C$13,3)</f>
        <v>4</v>
      </c>
      <c r="K275" s="786"/>
    </row>
    <row r="276" spans="1:11" x14ac:dyDescent="0.3">
      <c r="A276" s="800">
        <v>259</v>
      </c>
      <c r="B276" s="571">
        <f t="shared" ca="1" si="15"/>
        <v>93.956586939131554</v>
      </c>
      <c r="C276" s="801">
        <f t="shared" ca="1" si="16"/>
        <v>5</v>
      </c>
      <c r="K276" s="786"/>
    </row>
    <row r="277" spans="1:11" x14ac:dyDescent="0.3">
      <c r="A277" s="800">
        <v>260</v>
      </c>
      <c r="B277" s="571">
        <f t="shared" ca="1" si="15"/>
        <v>8.5490327876012291</v>
      </c>
      <c r="C277" s="801">
        <f t="shared" ca="1" si="16"/>
        <v>1</v>
      </c>
      <c r="K277" s="786"/>
    </row>
    <row r="278" spans="1:11" x14ac:dyDescent="0.3">
      <c r="A278" s="800">
        <v>261</v>
      </c>
      <c r="B278" s="571">
        <f t="shared" ca="1" si="15"/>
        <v>33.129770750995448</v>
      </c>
      <c r="C278" s="801">
        <f t="shared" ca="1" si="16"/>
        <v>2</v>
      </c>
      <c r="K278" s="786"/>
    </row>
    <row r="279" spans="1:11" x14ac:dyDescent="0.3">
      <c r="A279" s="800">
        <v>262</v>
      </c>
      <c r="B279" s="571">
        <f t="shared" ca="1" si="15"/>
        <v>3.6259896775618805</v>
      </c>
      <c r="C279" s="801">
        <f t="shared" ca="1" si="16"/>
        <v>0</v>
      </c>
      <c r="K279" s="786"/>
    </row>
    <row r="280" spans="1:11" x14ac:dyDescent="0.3">
      <c r="A280" s="800">
        <v>263</v>
      </c>
      <c r="B280" s="571">
        <f t="shared" ca="1" si="15"/>
        <v>69.257881197458531</v>
      </c>
      <c r="C280" s="801">
        <f t="shared" ca="1" si="16"/>
        <v>4</v>
      </c>
      <c r="K280" s="786"/>
    </row>
    <row r="281" spans="1:11" x14ac:dyDescent="0.3">
      <c r="A281" s="800">
        <v>264</v>
      </c>
      <c r="B281" s="571">
        <f t="shared" ca="1" si="15"/>
        <v>79.927338232228919</v>
      </c>
      <c r="C281" s="801">
        <f t="shared" ca="1" si="16"/>
        <v>4</v>
      </c>
      <c r="K281" s="786"/>
    </row>
    <row r="282" spans="1:11" x14ac:dyDescent="0.3">
      <c r="A282" s="800">
        <v>265</v>
      </c>
      <c r="B282" s="571">
        <f t="shared" ca="1" si="15"/>
        <v>30.516367763635767</v>
      </c>
      <c r="C282" s="801">
        <f t="shared" ca="1" si="16"/>
        <v>2</v>
      </c>
      <c r="K282" s="786"/>
    </row>
    <row r="283" spans="1:11" x14ac:dyDescent="0.3">
      <c r="A283" s="800">
        <v>266</v>
      </c>
      <c r="B283" s="571">
        <f t="shared" ca="1" si="15"/>
        <v>12.87123255658228</v>
      </c>
      <c r="C283" s="801">
        <f t="shared" ca="1" si="16"/>
        <v>1</v>
      </c>
      <c r="K283" s="786"/>
    </row>
    <row r="284" spans="1:11" x14ac:dyDescent="0.3">
      <c r="A284" s="800">
        <v>267</v>
      </c>
      <c r="B284" s="571">
        <f t="shared" ca="1" si="15"/>
        <v>61.46832745008404</v>
      </c>
      <c r="C284" s="801">
        <f t="shared" ca="1" si="16"/>
        <v>3</v>
      </c>
      <c r="K284" s="786"/>
    </row>
    <row r="285" spans="1:11" x14ac:dyDescent="0.3">
      <c r="A285" s="800">
        <v>268</v>
      </c>
      <c r="B285" s="571">
        <f t="shared" ca="1" si="15"/>
        <v>27.143226675026575</v>
      </c>
      <c r="C285" s="801">
        <f t="shared" ca="1" si="16"/>
        <v>2</v>
      </c>
      <c r="K285" s="786"/>
    </row>
    <row r="286" spans="1:11" x14ac:dyDescent="0.3">
      <c r="A286" s="800">
        <v>269</v>
      </c>
      <c r="B286" s="571">
        <f t="shared" ca="1" si="15"/>
        <v>50.876806933126886</v>
      </c>
      <c r="C286" s="801">
        <f t="shared" ca="1" si="16"/>
        <v>3</v>
      </c>
      <c r="K286" s="786"/>
    </row>
    <row r="287" spans="1:11" x14ac:dyDescent="0.3">
      <c r="A287" s="800">
        <v>270</v>
      </c>
      <c r="B287" s="571">
        <f t="shared" ca="1" si="15"/>
        <v>93.124682857570235</v>
      </c>
      <c r="C287" s="801">
        <f t="shared" ca="1" si="16"/>
        <v>5</v>
      </c>
      <c r="K287" s="786"/>
    </row>
    <row r="288" spans="1:11" x14ac:dyDescent="0.3">
      <c r="A288" s="800">
        <v>271</v>
      </c>
      <c r="B288" s="571">
        <f t="shared" ca="1" si="15"/>
        <v>69.590295098931662</v>
      </c>
      <c r="C288" s="801">
        <f t="shared" ca="1" si="16"/>
        <v>4</v>
      </c>
      <c r="K288" s="786"/>
    </row>
    <row r="289" spans="1:11" x14ac:dyDescent="0.3">
      <c r="A289" s="800">
        <v>272</v>
      </c>
      <c r="B289" s="571">
        <f t="shared" ca="1" si="15"/>
        <v>66.390037354926449</v>
      </c>
      <c r="C289" s="801">
        <f t="shared" ca="1" si="16"/>
        <v>4</v>
      </c>
      <c r="K289" s="786"/>
    </row>
    <row r="290" spans="1:11" x14ac:dyDescent="0.3">
      <c r="A290" s="800">
        <v>273</v>
      </c>
      <c r="B290" s="571">
        <f t="shared" ca="1" si="15"/>
        <v>45.489692898411604</v>
      </c>
      <c r="C290" s="801">
        <f t="shared" ca="1" si="16"/>
        <v>3</v>
      </c>
      <c r="K290" s="786"/>
    </row>
    <row r="291" spans="1:11" x14ac:dyDescent="0.3">
      <c r="A291" s="800">
        <v>274</v>
      </c>
      <c r="B291" s="571">
        <f t="shared" ca="1" si="15"/>
        <v>1.4873494786853625</v>
      </c>
      <c r="C291" s="801">
        <f t="shared" ca="1" si="16"/>
        <v>0</v>
      </c>
      <c r="K291" s="786"/>
    </row>
    <row r="292" spans="1:11" x14ac:dyDescent="0.3">
      <c r="A292" s="800">
        <v>275</v>
      </c>
      <c r="B292" s="571">
        <f t="shared" ca="1" si="15"/>
        <v>73.913654490234606</v>
      </c>
      <c r="C292" s="801">
        <f t="shared" ca="1" si="16"/>
        <v>4</v>
      </c>
      <c r="K292" s="786"/>
    </row>
    <row r="293" spans="1:11" x14ac:dyDescent="0.3">
      <c r="A293" s="800">
        <v>276</v>
      </c>
      <c r="B293" s="571">
        <f t="shared" ca="1" si="15"/>
        <v>70.388900677331151</v>
      </c>
      <c r="C293" s="801">
        <f t="shared" ca="1" si="16"/>
        <v>4</v>
      </c>
      <c r="K293" s="786"/>
    </row>
    <row r="294" spans="1:11" x14ac:dyDescent="0.3">
      <c r="A294" s="800">
        <v>277</v>
      </c>
      <c r="B294" s="571">
        <f t="shared" ca="1" si="15"/>
        <v>49.724593209152765</v>
      </c>
      <c r="C294" s="801">
        <f t="shared" ca="1" si="16"/>
        <v>3</v>
      </c>
      <c r="K294" s="786"/>
    </row>
    <row r="295" spans="1:11" x14ac:dyDescent="0.3">
      <c r="A295" s="800">
        <v>278</v>
      </c>
      <c r="B295" s="571">
        <f t="shared" ca="1" si="15"/>
        <v>89.988245801368478</v>
      </c>
      <c r="C295" s="801">
        <f t="shared" ca="1" si="16"/>
        <v>5</v>
      </c>
      <c r="K295" s="786"/>
    </row>
    <row r="296" spans="1:11" x14ac:dyDescent="0.3">
      <c r="A296" s="800">
        <v>279</v>
      </c>
      <c r="B296" s="571">
        <f t="shared" ca="1" si="15"/>
        <v>49.082901559331169</v>
      </c>
      <c r="C296" s="801">
        <f t="shared" ca="1" si="16"/>
        <v>3</v>
      </c>
      <c r="K296" s="786"/>
    </row>
    <row r="297" spans="1:11" x14ac:dyDescent="0.3">
      <c r="A297" s="800">
        <v>280</v>
      </c>
      <c r="B297" s="571">
        <f t="shared" ca="1" si="15"/>
        <v>76.636558878064676</v>
      </c>
      <c r="C297" s="801">
        <f t="shared" ca="1" si="16"/>
        <v>4</v>
      </c>
      <c r="K297" s="786"/>
    </row>
    <row r="298" spans="1:11" x14ac:dyDescent="0.3">
      <c r="A298" s="800">
        <v>281</v>
      </c>
      <c r="B298" s="571">
        <f t="shared" ca="1" si="15"/>
        <v>35.978550362919293</v>
      </c>
      <c r="C298" s="801">
        <f t="shared" ca="1" si="16"/>
        <v>3</v>
      </c>
      <c r="K298" s="786"/>
    </row>
    <row r="299" spans="1:11" x14ac:dyDescent="0.3">
      <c r="A299" s="800">
        <v>282</v>
      </c>
      <c r="B299" s="571">
        <f t="shared" ca="1" si="15"/>
        <v>35.004616692277757</v>
      </c>
      <c r="C299" s="801">
        <f t="shared" ca="1" si="16"/>
        <v>3</v>
      </c>
      <c r="K299" s="786"/>
    </row>
    <row r="300" spans="1:11" x14ac:dyDescent="0.3">
      <c r="A300" s="800">
        <v>283</v>
      </c>
      <c r="B300" s="571">
        <f t="shared" ca="1" si="15"/>
        <v>4.2581461328031427</v>
      </c>
      <c r="C300" s="801">
        <f t="shared" ca="1" si="16"/>
        <v>0</v>
      </c>
      <c r="K300" s="786"/>
    </row>
    <row r="301" spans="1:11" x14ac:dyDescent="0.3">
      <c r="A301" s="800">
        <v>284</v>
      </c>
      <c r="B301" s="571">
        <f t="shared" ca="1" si="15"/>
        <v>43.555625223032457</v>
      </c>
      <c r="C301" s="801">
        <f t="shared" ca="1" si="16"/>
        <v>3</v>
      </c>
      <c r="K301" s="786"/>
    </row>
    <row r="302" spans="1:11" x14ac:dyDescent="0.3">
      <c r="A302" s="800">
        <v>285</v>
      </c>
      <c r="B302" s="571">
        <f t="shared" ca="1" si="15"/>
        <v>35.409197509282208</v>
      </c>
      <c r="C302" s="801">
        <f t="shared" ca="1" si="16"/>
        <v>3</v>
      </c>
      <c r="K302" s="786"/>
    </row>
    <row r="303" spans="1:11" x14ac:dyDescent="0.3">
      <c r="A303" s="800">
        <v>286</v>
      </c>
      <c r="B303" s="571">
        <f t="shared" ca="1" si="15"/>
        <v>20.763831673477185</v>
      </c>
      <c r="C303" s="801">
        <f t="shared" ca="1" si="16"/>
        <v>2</v>
      </c>
      <c r="K303" s="786"/>
    </row>
    <row r="304" spans="1:11" x14ac:dyDescent="0.3">
      <c r="A304" s="800">
        <v>287</v>
      </c>
      <c r="B304" s="571">
        <f t="shared" ca="1" si="15"/>
        <v>50.386055684205985</v>
      </c>
      <c r="C304" s="801">
        <f t="shared" ca="1" si="16"/>
        <v>3</v>
      </c>
      <c r="K304" s="786"/>
    </row>
    <row r="305" spans="1:11" x14ac:dyDescent="0.3">
      <c r="A305" s="800">
        <v>288</v>
      </c>
      <c r="B305" s="571">
        <f t="shared" ca="1" si="15"/>
        <v>20.456883714472916</v>
      </c>
      <c r="C305" s="801">
        <f t="shared" ca="1" si="16"/>
        <v>2</v>
      </c>
      <c r="K305" s="786"/>
    </row>
    <row r="306" spans="1:11" x14ac:dyDescent="0.3">
      <c r="A306" s="800">
        <v>289</v>
      </c>
      <c r="B306" s="571">
        <f t="shared" ca="1" si="15"/>
        <v>4.2712312063923115</v>
      </c>
      <c r="C306" s="801">
        <f t="shared" ca="1" si="16"/>
        <v>0</v>
      </c>
      <c r="K306" s="786"/>
    </row>
    <row r="307" spans="1:11" x14ac:dyDescent="0.3">
      <c r="A307" s="800">
        <v>290</v>
      </c>
      <c r="B307" s="571">
        <f t="shared" ca="1" si="15"/>
        <v>29.784590651360045</v>
      </c>
      <c r="C307" s="801">
        <f t="shared" ca="1" si="16"/>
        <v>2</v>
      </c>
      <c r="K307" s="786"/>
    </row>
    <row r="308" spans="1:11" x14ac:dyDescent="0.3">
      <c r="A308" s="800">
        <v>291</v>
      </c>
      <c r="B308" s="571">
        <f t="shared" ca="1" si="15"/>
        <v>2.7366657068888522</v>
      </c>
      <c r="C308" s="801">
        <f t="shared" ca="1" si="16"/>
        <v>0</v>
      </c>
      <c r="K308" s="786"/>
    </row>
    <row r="309" spans="1:11" x14ac:dyDescent="0.3">
      <c r="A309" s="800">
        <v>292</v>
      </c>
      <c r="B309" s="571">
        <f t="shared" ca="1" si="15"/>
        <v>22.368857250425854</v>
      </c>
      <c r="C309" s="801">
        <f t="shared" ca="1" si="16"/>
        <v>2</v>
      </c>
      <c r="K309" s="786"/>
    </row>
    <row r="310" spans="1:11" x14ac:dyDescent="0.3">
      <c r="A310" s="800">
        <v>293</v>
      </c>
      <c r="B310" s="571">
        <f t="shared" ca="1" si="15"/>
        <v>21.285577616870121</v>
      </c>
      <c r="C310" s="801">
        <f t="shared" ca="1" si="16"/>
        <v>2</v>
      </c>
      <c r="K310" s="786"/>
    </row>
    <row r="311" spans="1:11" x14ac:dyDescent="0.3">
      <c r="A311" s="800">
        <v>294</v>
      </c>
      <c r="B311" s="571">
        <f t="shared" ca="1" si="15"/>
        <v>47.642353393575895</v>
      </c>
      <c r="C311" s="801">
        <f t="shared" ca="1" si="16"/>
        <v>3</v>
      </c>
      <c r="K311" s="786"/>
    </row>
    <row r="312" spans="1:11" x14ac:dyDescent="0.3">
      <c r="A312" s="800">
        <v>295</v>
      </c>
      <c r="B312" s="571">
        <f t="shared" ca="1" si="15"/>
        <v>31.885895032671286</v>
      </c>
      <c r="C312" s="801">
        <f t="shared" ca="1" si="16"/>
        <v>2</v>
      </c>
      <c r="K312" s="786"/>
    </row>
    <row r="313" spans="1:11" x14ac:dyDescent="0.3">
      <c r="A313" s="800">
        <v>296</v>
      </c>
      <c r="B313" s="571">
        <f t="shared" ca="1" si="15"/>
        <v>41.350304470435454</v>
      </c>
      <c r="C313" s="801">
        <f t="shared" ca="1" si="16"/>
        <v>3</v>
      </c>
      <c r="K313" s="786"/>
    </row>
    <row r="314" spans="1:11" x14ac:dyDescent="0.3">
      <c r="A314" s="800">
        <v>297</v>
      </c>
      <c r="B314" s="571">
        <f t="shared" ca="1" si="15"/>
        <v>7.8197642954224929</v>
      </c>
      <c r="C314" s="801">
        <f t="shared" ca="1" si="16"/>
        <v>1</v>
      </c>
      <c r="K314" s="786"/>
    </row>
    <row r="315" spans="1:11" x14ac:dyDescent="0.3">
      <c r="A315" s="800">
        <v>298</v>
      </c>
      <c r="B315" s="571">
        <f t="shared" ca="1" si="15"/>
        <v>23.870367280653937</v>
      </c>
      <c r="C315" s="801">
        <f t="shared" ca="1" si="16"/>
        <v>2</v>
      </c>
      <c r="K315" s="786"/>
    </row>
    <row r="316" spans="1:11" x14ac:dyDescent="0.3">
      <c r="A316" s="800">
        <v>299</v>
      </c>
      <c r="B316" s="571">
        <f t="shared" ca="1" si="15"/>
        <v>30.178960686455603</v>
      </c>
      <c r="C316" s="801">
        <f t="shared" ca="1" si="16"/>
        <v>2</v>
      </c>
      <c r="K316" s="786"/>
    </row>
    <row r="317" spans="1:11" x14ac:dyDescent="0.3">
      <c r="A317" s="800">
        <v>300</v>
      </c>
      <c r="B317" s="571">
        <f t="shared" ca="1" si="15"/>
        <v>40.558977529418414</v>
      </c>
      <c r="C317" s="801">
        <f t="shared" ca="1" si="16"/>
        <v>3</v>
      </c>
      <c r="K317" s="786"/>
    </row>
    <row r="318" spans="1:11" x14ac:dyDescent="0.3">
      <c r="A318" s="800">
        <v>301</v>
      </c>
      <c r="B318" s="571">
        <f t="shared" ca="1" si="15"/>
        <v>90.41268537949243</v>
      </c>
      <c r="C318" s="801">
        <f t="shared" ca="1" si="16"/>
        <v>5</v>
      </c>
      <c r="K318" s="786"/>
    </row>
    <row r="319" spans="1:11" x14ac:dyDescent="0.3">
      <c r="A319" s="800">
        <v>302</v>
      </c>
      <c r="B319" s="571">
        <f t="shared" ca="1" si="15"/>
        <v>94.125671810576307</v>
      </c>
      <c r="C319" s="801">
        <f t="shared" ca="1" si="16"/>
        <v>5</v>
      </c>
      <c r="K319" s="786"/>
    </row>
    <row r="320" spans="1:11" x14ac:dyDescent="0.3">
      <c r="A320" s="800">
        <v>303</v>
      </c>
      <c r="B320" s="571">
        <f t="shared" ca="1" si="15"/>
        <v>4.055944252899768</v>
      </c>
      <c r="C320" s="801">
        <f t="shared" ca="1" si="16"/>
        <v>0</v>
      </c>
      <c r="K320" s="786"/>
    </row>
    <row r="321" spans="1:11" x14ac:dyDescent="0.3">
      <c r="A321" s="800">
        <v>304</v>
      </c>
      <c r="B321" s="571">
        <f t="shared" ca="1" si="15"/>
        <v>26.373493924050706</v>
      </c>
      <c r="C321" s="801">
        <f t="shared" ca="1" si="16"/>
        <v>2</v>
      </c>
      <c r="K321" s="786"/>
    </row>
    <row r="322" spans="1:11" x14ac:dyDescent="0.3">
      <c r="A322" s="800">
        <v>305</v>
      </c>
      <c r="B322" s="571">
        <f t="shared" ca="1" si="15"/>
        <v>59.98590433228226</v>
      </c>
      <c r="C322" s="801">
        <f t="shared" ca="1" si="16"/>
        <v>3</v>
      </c>
      <c r="K322" s="786"/>
    </row>
    <row r="323" spans="1:11" x14ac:dyDescent="0.3">
      <c r="A323" s="800">
        <v>306</v>
      </c>
      <c r="B323" s="571">
        <f t="shared" ca="1" si="15"/>
        <v>58.387970689465909</v>
      </c>
      <c r="C323" s="801">
        <f t="shared" ca="1" si="16"/>
        <v>3</v>
      </c>
      <c r="K323" s="786"/>
    </row>
    <row r="324" spans="1:11" x14ac:dyDescent="0.3">
      <c r="A324" s="800">
        <v>307</v>
      </c>
      <c r="B324" s="571">
        <f t="shared" ca="1" si="15"/>
        <v>63.541138563153112</v>
      </c>
      <c r="C324" s="801">
        <f t="shared" ca="1" si="16"/>
        <v>3</v>
      </c>
      <c r="K324" s="786"/>
    </row>
    <row r="325" spans="1:11" x14ac:dyDescent="0.3">
      <c r="A325" s="800">
        <v>308</v>
      </c>
      <c r="B325" s="571">
        <f t="shared" ca="1" si="15"/>
        <v>87.717840302562308</v>
      </c>
      <c r="C325" s="801">
        <f t="shared" ca="1" si="16"/>
        <v>5</v>
      </c>
      <c r="K325" s="786"/>
    </row>
    <row r="326" spans="1:11" x14ac:dyDescent="0.3">
      <c r="A326" s="800">
        <v>309</v>
      </c>
      <c r="B326" s="571">
        <f t="shared" ca="1" si="15"/>
        <v>65.206050612502139</v>
      </c>
      <c r="C326" s="801">
        <f t="shared" ca="1" si="16"/>
        <v>4</v>
      </c>
      <c r="K326" s="786"/>
    </row>
    <row r="327" spans="1:11" x14ac:dyDescent="0.3">
      <c r="A327" s="800">
        <v>310</v>
      </c>
      <c r="B327" s="571">
        <f t="shared" ca="1" si="15"/>
        <v>61.632484370844665</v>
      </c>
      <c r="C327" s="801">
        <f t="shared" ca="1" si="16"/>
        <v>3</v>
      </c>
      <c r="K327" s="786"/>
    </row>
    <row r="328" spans="1:11" x14ac:dyDescent="0.3">
      <c r="A328" s="800">
        <v>311</v>
      </c>
      <c r="B328" s="571">
        <f t="shared" ca="1" si="15"/>
        <v>41.614622642778599</v>
      </c>
      <c r="C328" s="801">
        <f t="shared" ca="1" si="16"/>
        <v>3</v>
      </c>
      <c r="K328" s="786"/>
    </row>
    <row r="329" spans="1:11" x14ac:dyDescent="0.3">
      <c r="A329" s="800">
        <v>312</v>
      </c>
      <c r="B329" s="571">
        <f t="shared" ca="1" si="15"/>
        <v>36.948564292889628</v>
      </c>
      <c r="C329" s="801">
        <f t="shared" ca="1" si="16"/>
        <v>3</v>
      </c>
      <c r="K329" s="786"/>
    </row>
    <row r="330" spans="1:11" x14ac:dyDescent="0.3">
      <c r="A330" s="800">
        <v>313</v>
      </c>
      <c r="B330" s="571">
        <f t="shared" ca="1" si="15"/>
        <v>96.07826392841892</v>
      </c>
      <c r="C330" s="801">
        <f t="shared" ca="1" si="16"/>
        <v>5</v>
      </c>
      <c r="K330" s="786"/>
    </row>
    <row r="331" spans="1:11" x14ac:dyDescent="0.3">
      <c r="A331" s="800">
        <v>314</v>
      </c>
      <c r="B331" s="571">
        <f t="shared" ca="1" si="15"/>
        <v>15.678832338025462</v>
      </c>
      <c r="C331" s="801">
        <f t="shared" ca="1" si="16"/>
        <v>2</v>
      </c>
      <c r="K331" s="786"/>
    </row>
    <row r="332" spans="1:11" x14ac:dyDescent="0.3">
      <c r="A332" s="800">
        <v>315</v>
      </c>
      <c r="B332" s="571">
        <f t="shared" ca="1" si="15"/>
        <v>59.928763416880606</v>
      </c>
      <c r="C332" s="801">
        <f t="shared" ca="1" si="16"/>
        <v>3</v>
      </c>
      <c r="K332" s="786"/>
    </row>
    <row r="333" spans="1:11" x14ac:dyDescent="0.3">
      <c r="A333" s="800">
        <v>316</v>
      </c>
      <c r="B333" s="571">
        <f t="shared" ca="1" si="15"/>
        <v>76.707224005318793</v>
      </c>
      <c r="C333" s="801">
        <f t="shared" ca="1" si="16"/>
        <v>4</v>
      </c>
      <c r="K333" s="786"/>
    </row>
    <row r="334" spans="1:11" x14ac:dyDescent="0.3">
      <c r="A334" s="800">
        <v>317</v>
      </c>
      <c r="B334" s="571">
        <f t="shared" ca="1" si="15"/>
        <v>13.734270380150326</v>
      </c>
      <c r="C334" s="801">
        <f t="shared" ca="1" si="16"/>
        <v>1</v>
      </c>
      <c r="K334" s="786"/>
    </row>
    <row r="335" spans="1:11" x14ac:dyDescent="0.3">
      <c r="A335" s="800">
        <v>318</v>
      </c>
      <c r="B335" s="571">
        <f t="shared" ca="1" si="15"/>
        <v>30.854275671153363</v>
      </c>
      <c r="C335" s="801">
        <f t="shared" ca="1" si="16"/>
        <v>2</v>
      </c>
      <c r="K335" s="786"/>
    </row>
    <row r="336" spans="1:11" x14ac:dyDescent="0.3">
      <c r="A336" s="800">
        <v>319</v>
      </c>
      <c r="B336" s="571">
        <f t="shared" ca="1" si="15"/>
        <v>59.861745232103189</v>
      </c>
      <c r="C336" s="801">
        <f t="shared" ca="1" si="16"/>
        <v>3</v>
      </c>
      <c r="K336" s="786"/>
    </row>
    <row r="337" spans="1:11" x14ac:dyDescent="0.3">
      <c r="A337" s="800">
        <v>320</v>
      </c>
      <c r="B337" s="571">
        <f t="shared" ca="1" si="15"/>
        <v>38.187362673136761</v>
      </c>
      <c r="C337" s="801">
        <f t="shared" ca="1" si="16"/>
        <v>3</v>
      </c>
      <c r="K337" s="786"/>
    </row>
    <row r="338" spans="1:11" x14ac:dyDescent="0.3">
      <c r="A338" s="800">
        <v>321</v>
      </c>
      <c r="B338" s="571">
        <f t="shared" ca="1" si="15"/>
        <v>54.150403956852941</v>
      </c>
      <c r="C338" s="801">
        <f t="shared" ca="1" si="16"/>
        <v>3</v>
      </c>
      <c r="K338" s="786"/>
    </row>
    <row r="339" spans="1:11" x14ac:dyDescent="0.3">
      <c r="A339" s="800">
        <v>322</v>
      </c>
      <c r="B339" s="571">
        <f t="shared" ref="B339:B402" ca="1" si="17">100*RAND()</f>
        <v>20.215425041509107</v>
      </c>
      <c r="C339" s="801">
        <f t="shared" ref="C339:C402" ca="1" si="18">VLOOKUP(B339,$A$8:$C$13,3)</f>
        <v>2</v>
      </c>
      <c r="K339" s="786"/>
    </row>
    <row r="340" spans="1:11" x14ac:dyDescent="0.3">
      <c r="A340" s="800">
        <v>323</v>
      </c>
      <c r="B340" s="571">
        <f t="shared" ca="1" si="17"/>
        <v>45.476990290062147</v>
      </c>
      <c r="C340" s="801">
        <f t="shared" ca="1" si="18"/>
        <v>3</v>
      </c>
      <c r="K340" s="786"/>
    </row>
    <row r="341" spans="1:11" x14ac:dyDescent="0.3">
      <c r="A341" s="800">
        <v>324</v>
      </c>
      <c r="B341" s="571">
        <f t="shared" ca="1" si="17"/>
        <v>96.189880747346535</v>
      </c>
      <c r="C341" s="801">
        <f t="shared" ca="1" si="18"/>
        <v>5</v>
      </c>
      <c r="K341" s="786"/>
    </row>
    <row r="342" spans="1:11" x14ac:dyDescent="0.3">
      <c r="A342" s="800">
        <v>325</v>
      </c>
      <c r="B342" s="571">
        <f t="shared" ca="1" si="17"/>
        <v>77.971604346715651</v>
      </c>
      <c r="C342" s="801">
        <f t="shared" ca="1" si="18"/>
        <v>4</v>
      </c>
      <c r="K342" s="786"/>
    </row>
    <row r="343" spans="1:11" x14ac:dyDescent="0.3">
      <c r="A343" s="800">
        <v>326</v>
      </c>
      <c r="B343" s="571">
        <f t="shared" ca="1" si="17"/>
        <v>60.002020922982894</v>
      </c>
      <c r="C343" s="801">
        <f t="shared" ca="1" si="18"/>
        <v>3</v>
      </c>
      <c r="K343" s="786"/>
    </row>
    <row r="344" spans="1:11" x14ac:dyDescent="0.3">
      <c r="A344" s="800">
        <v>327</v>
      </c>
      <c r="B344" s="571">
        <f t="shared" ca="1" si="17"/>
        <v>75.662940405028948</v>
      </c>
      <c r="C344" s="801">
        <f t="shared" ca="1" si="18"/>
        <v>4</v>
      </c>
      <c r="K344" s="786"/>
    </row>
    <row r="345" spans="1:11" x14ac:dyDescent="0.3">
      <c r="A345" s="800">
        <v>328</v>
      </c>
      <c r="B345" s="571">
        <f t="shared" ca="1" si="17"/>
        <v>16.277967146267201</v>
      </c>
      <c r="C345" s="801">
        <f t="shared" ca="1" si="18"/>
        <v>2</v>
      </c>
      <c r="K345" s="786"/>
    </row>
    <row r="346" spans="1:11" x14ac:dyDescent="0.3">
      <c r="A346" s="800">
        <v>329</v>
      </c>
      <c r="B346" s="571">
        <f t="shared" ca="1" si="17"/>
        <v>9.3723363067919845</v>
      </c>
      <c r="C346" s="801">
        <f t="shared" ca="1" si="18"/>
        <v>1</v>
      </c>
      <c r="K346" s="786"/>
    </row>
    <row r="347" spans="1:11" x14ac:dyDescent="0.3">
      <c r="A347" s="800">
        <v>330</v>
      </c>
      <c r="B347" s="571">
        <f t="shared" ca="1" si="17"/>
        <v>73.591982654988868</v>
      </c>
      <c r="C347" s="801">
        <f t="shared" ca="1" si="18"/>
        <v>4</v>
      </c>
      <c r="K347" s="786"/>
    </row>
    <row r="348" spans="1:11" x14ac:dyDescent="0.3">
      <c r="A348" s="800">
        <v>331</v>
      </c>
      <c r="B348" s="571">
        <f t="shared" ca="1" si="17"/>
        <v>83.515227102799841</v>
      </c>
      <c r="C348" s="801">
        <f t="shared" ca="1" si="18"/>
        <v>4</v>
      </c>
      <c r="K348" s="786"/>
    </row>
    <row r="349" spans="1:11" x14ac:dyDescent="0.3">
      <c r="A349" s="800">
        <v>332</v>
      </c>
      <c r="B349" s="571">
        <f t="shared" ca="1" si="17"/>
        <v>5.0183541736899091</v>
      </c>
      <c r="C349" s="801">
        <f t="shared" ca="1" si="18"/>
        <v>1</v>
      </c>
      <c r="K349" s="786"/>
    </row>
    <row r="350" spans="1:11" x14ac:dyDescent="0.3">
      <c r="A350" s="800">
        <v>333</v>
      </c>
      <c r="B350" s="571">
        <f t="shared" ca="1" si="17"/>
        <v>7.4973598420180698</v>
      </c>
      <c r="C350" s="801">
        <f t="shared" ca="1" si="18"/>
        <v>1</v>
      </c>
      <c r="K350" s="786"/>
    </row>
    <row r="351" spans="1:11" x14ac:dyDescent="0.3">
      <c r="A351" s="800">
        <v>334</v>
      </c>
      <c r="B351" s="571">
        <f t="shared" ca="1" si="17"/>
        <v>57.15377303101026</v>
      </c>
      <c r="C351" s="801">
        <f t="shared" ca="1" si="18"/>
        <v>3</v>
      </c>
      <c r="K351" s="786"/>
    </row>
    <row r="352" spans="1:11" x14ac:dyDescent="0.3">
      <c r="A352" s="800">
        <v>335</v>
      </c>
      <c r="B352" s="571">
        <f t="shared" ca="1" si="17"/>
        <v>69.985962112589576</v>
      </c>
      <c r="C352" s="801">
        <f t="shared" ca="1" si="18"/>
        <v>4</v>
      </c>
      <c r="K352" s="786"/>
    </row>
    <row r="353" spans="1:11" x14ac:dyDescent="0.3">
      <c r="A353" s="800">
        <v>336</v>
      </c>
      <c r="B353" s="571">
        <f t="shared" ca="1" si="17"/>
        <v>61.608185193017519</v>
      </c>
      <c r="C353" s="801">
        <f t="shared" ca="1" si="18"/>
        <v>3</v>
      </c>
      <c r="K353" s="786"/>
    </row>
    <row r="354" spans="1:11" x14ac:dyDescent="0.3">
      <c r="A354" s="800">
        <v>337</v>
      </c>
      <c r="B354" s="571">
        <f t="shared" ca="1" si="17"/>
        <v>29.611464136221201</v>
      </c>
      <c r="C354" s="801">
        <f t="shared" ca="1" si="18"/>
        <v>2</v>
      </c>
      <c r="K354" s="786"/>
    </row>
    <row r="355" spans="1:11" x14ac:dyDescent="0.3">
      <c r="A355" s="800">
        <v>338</v>
      </c>
      <c r="B355" s="571">
        <f t="shared" ca="1" si="17"/>
        <v>64.106442095117671</v>
      </c>
      <c r="C355" s="801">
        <f t="shared" ca="1" si="18"/>
        <v>3</v>
      </c>
      <c r="K355" s="786"/>
    </row>
    <row r="356" spans="1:11" x14ac:dyDescent="0.3">
      <c r="A356" s="800">
        <v>339</v>
      </c>
      <c r="B356" s="571">
        <f t="shared" ca="1" si="17"/>
        <v>47.952727142373689</v>
      </c>
      <c r="C356" s="801">
        <f t="shared" ca="1" si="18"/>
        <v>3</v>
      </c>
      <c r="K356" s="786"/>
    </row>
    <row r="357" spans="1:11" x14ac:dyDescent="0.3">
      <c r="A357" s="800">
        <v>340</v>
      </c>
      <c r="B357" s="571">
        <f t="shared" ca="1" si="17"/>
        <v>4.4248792186652786</v>
      </c>
      <c r="C357" s="801">
        <f t="shared" ca="1" si="18"/>
        <v>0</v>
      </c>
      <c r="K357" s="786"/>
    </row>
    <row r="358" spans="1:11" x14ac:dyDescent="0.3">
      <c r="A358" s="800">
        <v>341</v>
      </c>
      <c r="B358" s="571">
        <f t="shared" ca="1" si="17"/>
        <v>64.791408104225525</v>
      </c>
      <c r="C358" s="801">
        <f t="shared" ca="1" si="18"/>
        <v>3</v>
      </c>
      <c r="K358" s="786"/>
    </row>
    <row r="359" spans="1:11" x14ac:dyDescent="0.3">
      <c r="A359" s="800">
        <v>342</v>
      </c>
      <c r="B359" s="571">
        <f t="shared" ca="1" si="17"/>
        <v>74.015121008276367</v>
      </c>
      <c r="C359" s="801">
        <f t="shared" ca="1" si="18"/>
        <v>4</v>
      </c>
      <c r="K359" s="786"/>
    </row>
    <row r="360" spans="1:11" x14ac:dyDescent="0.3">
      <c r="A360" s="800">
        <v>343</v>
      </c>
      <c r="B360" s="571">
        <f t="shared" ca="1" si="17"/>
        <v>51.096392262559718</v>
      </c>
      <c r="C360" s="801">
        <f t="shared" ca="1" si="18"/>
        <v>3</v>
      </c>
      <c r="K360" s="786"/>
    </row>
    <row r="361" spans="1:11" x14ac:dyDescent="0.3">
      <c r="A361" s="800">
        <v>344</v>
      </c>
      <c r="B361" s="571">
        <f t="shared" ca="1" si="17"/>
        <v>21.244164467310924</v>
      </c>
      <c r="C361" s="801">
        <f t="shared" ca="1" si="18"/>
        <v>2</v>
      </c>
      <c r="K361" s="786"/>
    </row>
    <row r="362" spans="1:11" x14ac:dyDescent="0.3">
      <c r="A362" s="800">
        <v>345</v>
      </c>
      <c r="B362" s="571">
        <f t="shared" ca="1" si="17"/>
        <v>99.919668499922381</v>
      </c>
      <c r="C362" s="801">
        <f t="shared" ca="1" si="18"/>
        <v>5</v>
      </c>
      <c r="K362" s="786"/>
    </row>
    <row r="363" spans="1:11" x14ac:dyDescent="0.3">
      <c r="A363" s="800">
        <v>346</v>
      </c>
      <c r="B363" s="571">
        <f t="shared" ca="1" si="17"/>
        <v>90.199325987039487</v>
      </c>
      <c r="C363" s="801">
        <f t="shared" ca="1" si="18"/>
        <v>5</v>
      </c>
      <c r="K363" s="786"/>
    </row>
    <row r="364" spans="1:11" x14ac:dyDescent="0.3">
      <c r="A364" s="800">
        <v>347</v>
      </c>
      <c r="B364" s="571">
        <f t="shared" ca="1" si="17"/>
        <v>4.6327507176216702</v>
      </c>
      <c r="C364" s="801">
        <f t="shared" ca="1" si="18"/>
        <v>0</v>
      </c>
      <c r="K364" s="786"/>
    </row>
    <row r="365" spans="1:11" x14ac:dyDescent="0.3">
      <c r="A365" s="800">
        <v>348</v>
      </c>
      <c r="B365" s="571">
        <f t="shared" ca="1" si="17"/>
        <v>60.778177915182098</v>
      </c>
      <c r="C365" s="801">
        <f t="shared" ca="1" si="18"/>
        <v>3</v>
      </c>
      <c r="K365" s="786"/>
    </row>
    <row r="366" spans="1:11" x14ac:dyDescent="0.3">
      <c r="A366" s="800">
        <v>349</v>
      </c>
      <c r="B366" s="571">
        <f t="shared" ca="1" si="17"/>
        <v>45.10063314756848</v>
      </c>
      <c r="C366" s="801">
        <f t="shared" ca="1" si="18"/>
        <v>3</v>
      </c>
      <c r="K366" s="786"/>
    </row>
    <row r="367" spans="1:11" x14ac:dyDescent="0.3">
      <c r="A367" s="800">
        <v>350</v>
      </c>
      <c r="B367" s="571">
        <f t="shared" ca="1" si="17"/>
        <v>43.570733494838287</v>
      </c>
      <c r="C367" s="801">
        <f t="shared" ca="1" si="18"/>
        <v>3</v>
      </c>
      <c r="K367" s="786"/>
    </row>
    <row r="368" spans="1:11" x14ac:dyDescent="0.3">
      <c r="A368" s="800">
        <v>351</v>
      </c>
      <c r="B368" s="571">
        <f t="shared" ca="1" si="17"/>
        <v>6.6075099589988913</v>
      </c>
      <c r="C368" s="801">
        <f t="shared" ca="1" si="18"/>
        <v>1</v>
      </c>
      <c r="K368" s="786"/>
    </row>
    <row r="369" spans="1:11" x14ac:dyDescent="0.3">
      <c r="A369" s="800">
        <v>352</v>
      </c>
      <c r="B369" s="571">
        <f t="shared" ca="1" si="17"/>
        <v>70.578995923868519</v>
      </c>
      <c r="C369" s="801">
        <f t="shared" ca="1" si="18"/>
        <v>4</v>
      </c>
      <c r="K369" s="786"/>
    </row>
    <row r="370" spans="1:11" x14ac:dyDescent="0.3">
      <c r="A370" s="800">
        <v>353</v>
      </c>
      <c r="B370" s="571">
        <f t="shared" ca="1" si="17"/>
        <v>67.576085971068849</v>
      </c>
      <c r="C370" s="801">
        <f t="shared" ca="1" si="18"/>
        <v>4</v>
      </c>
      <c r="K370" s="786"/>
    </row>
    <row r="371" spans="1:11" x14ac:dyDescent="0.3">
      <c r="A371" s="800">
        <v>354</v>
      </c>
      <c r="B371" s="571">
        <f t="shared" ca="1" si="17"/>
        <v>53.618747801364378</v>
      </c>
      <c r="C371" s="801">
        <f t="shared" ca="1" si="18"/>
        <v>3</v>
      </c>
      <c r="K371" s="786"/>
    </row>
    <row r="372" spans="1:11" x14ac:dyDescent="0.3">
      <c r="A372" s="800">
        <v>355</v>
      </c>
      <c r="B372" s="571">
        <f t="shared" ca="1" si="17"/>
        <v>83.428900338918268</v>
      </c>
      <c r="C372" s="801">
        <f t="shared" ca="1" si="18"/>
        <v>4</v>
      </c>
      <c r="K372" s="786"/>
    </row>
    <row r="373" spans="1:11" x14ac:dyDescent="0.3">
      <c r="A373" s="800">
        <v>356</v>
      </c>
      <c r="B373" s="571">
        <f t="shared" ca="1" si="17"/>
        <v>35.598209997235472</v>
      </c>
      <c r="C373" s="801">
        <f t="shared" ca="1" si="18"/>
        <v>3</v>
      </c>
      <c r="K373" s="786"/>
    </row>
    <row r="374" spans="1:11" x14ac:dyDescent="0.3">
      <c r="A374" s="800">
        <v>357</v>
      </c>
      <c r="B374" s="571">
        <f t="shared" ca="1" si="17"/>
        <v>35.020474242013343</v>
      </c>
      <c r="C374" s="801">
        <f t="shared" ca="1" si="18"/>
        <v>3</v>
      </c>
      <c r="K374" s="786"/>
    </row>
    <row r="375" spans="1:11" x14ac:dyDescent="0.3">
      <c r="A375" s="800">
        <v>358</v>
      </c>
      <c r="B375" s="571">
        <f t="shared" ca="1" si="17"/>
        <v>95.49727275190692</v>
      </c>
      <c r="C375" s="801">
        <f t="shared" ca="1" si="18"/>
        <v>5</v>
      </c>
      <c r="K375" s="786"/>
    </row>
    <row r="376" spans="1:11" x14ac:dyDescent="0.3">
      <c r="A376" s="800">
        <v>359</v>
      </c>
      <c r="B376" s="571">
        <f t="shared" ca="1" si="17"/>
        <v>80.441384659958601</v>
      </c>
      <c r="C376" s="801">
        <f t="shared" ca="1" si="18"/>
        <v>4</v>
      </c>
      <c r="K376" s="786"/>
    </row>
    <row r="377" spans="1:11" x14ac:dyDescent="0.3">
      <c r="A377" s="800">
        <v>360</v>
      </c>
      <c r="B377" s="571">
        <f t="shared" ca="1" si="17"/>
        <v>64.835134942902044</v>
      </c>
      <c r="C377" s="801">
        <f t="shared" ca="1" si="18"/>
        <v>3</v>
      </c>
      <c r="K377" s="786"/>
    </row>
    <row r="378" spans="1:11" x14ac:dyDescent="0.3">
      <c r="A378" s="800">
        <v>361</v>
      </c>
      <c r="B378" s="571">
        <f t="shared" ca="1" si="17"/>
        <v>28.332383648744187</v>
      </c>
      <c r="C378" s="801">
        <f t="shared" ca="1" si="18"/>
        <v>2</v>
      </c>
      <c r="K378" s="786"/>
    </row>
    <row r="379" spans="1:11" x14ac:dyDescent="0.3">
      <c r="A379" s="800">
        <v>362</v>
      </c>
      <c r="B379" s="571">
        <f t="shared" ca="1" si="17"/>
        <v>36.494183611092822</v>
      </c>
      <c r="C379" s="801">
        <f t="shared" ca="1" si="18"/>
        <v>3</v>
      </c>
      <c r="K379" s="786"/>
    </row>
    <row r="380" spans="1:11" x14ac:dyDescent="0.3">
      <c r="A380" s="800">
        <v>363</v>
      </c>
      <c r="B380" s="571">
        <f t="shared" ca="1" si="17"/>
        <v>70.301823961539526</v>
      </c>
      <c r="C380" s="801">
        <f t="shared" ca="1" si="18"/>
        <v>4</v>
      </c>
      <c r="K380" s="786"/>
    </row>
    <row r="381" spans="1:11" x14ac:dyDescent="0.3">
      <c r="A381" s="800">
        <v>364</v>
      </c>
      <c r="B381" s="571">
        <f t="shared" ca="1" si="17"/>
        <v>90.030711895000664</v>
      </c>
      <c r="C381" s="801">
        <f t="shared" ca="1" si="18"/>
        <v>5</v>
      </c>
      <c r="K381" s="786"/>
    </row>
    <row r="382" spans="1:11" x14ac:dyDescent="0.3">
      <c r="A382" s="800">
        <v>365</v>
      </c>
      <c r="B382" s="571">
        <f t="shared" ca="1" si="17"/>
        <v>34.491582844138925</v>
      </c>
      <c r="C382" s="801">
        <f t="shared" ca="1" si="18"/>
        <v>2</v>
      </c>
      <c r="K382" s="786"/>
    </row>
    <row r="383" spans="1:11" x14ac:dyDescent="0.3">
      <c r="A383" s="800">
        <v>366</v>
      </c>
      <c r="B383" s="571">
        <f t="shared" ca="1" si="17"/>
        <v>47.570022513029109</v>
      </c>
      <c r="C383" s="801">
        <f t="shared" ca="1" si="18"/>
        <v>3</v>
      </c>
      <c r="K383" s="786"/>
    </row>
    <row r="384" spans="1:11" x14ac:dyDescent="0.3">
      <c r="A384" s="800">
        <v>367</v>
      </c>
      <c r="B384" s="571">
        <f t="shared" ca="1" si="17"/>
        <v>24.037406526284965</v>
      </c>
      <c r="C384" s="801">
        <f t="shared" ca="1" si="18"/>
        <v>2</v>
      </c>
      <c r="K384" s="786"/>
    </row>
    <row r="385" spans="1:11" x14ac:dyDescent="0.3">
      <c r="A385" s="800">
        <v>368</v>
      </c>
      <c r="B385" s="571">
        <f t="shared" ca="1" si="17"/>
        <v>44.481784777502355</v>
      </c>
      <c r="C385" s="801">
        <f t="shared" ca="1" si="18"/>
        <v>3</v>
      </c>
      <c r="K385" s="786"/>
    </row>
    <row r="386" spans="1:11" x14ac:dyDescent="0.3">
      <c r="A386" s="800">
        <v>369</v>
      </c>
      <c r="B386" s="571">
        <f t="shared" ca="1" si="17"/>
        <v>40.893045841849229</v>
      </c>
      <c r="C386" s="801">
        <f t="shared" ca="1" si="18"/>
        <v>3</v>
      </c>
      <c r="K386" s="786"/>
    </row>
    <row r="387" spans="1:11" x14ac:dyDescent="0.3">
      <c r="A387" s="800">
        <v>370</v>
      </c>
      <c r="B387" s="571">
        <f t="shared" ca="1" si="17"/>
        <v>20.218183285771808</v>
      </c>
      <c r="C387" s="801">
        <f t="shared" ca="1" si="18"/>
        <v>2</v>
      </c>
      <c r="K387" s="786"/>
    </row>
    <row r="388" spans="1:11" x14ac:dyDescent="0.3">
      <c r="A388" s="800">
        <v>371</v>
      </c>
      <c r="B388" s="571">
        <f t="shared" ca="1" si="17"/>
        <v>33.35417094058478</v>
      </c>
      <c r="C388" s="801">
        <f t="shared" ca="1" si="18"/>
        <v>2</v>
      </c>
      <c r="K388" s="786"/>
    </row>
    <row r="389" spans="1:11" x14ac:dyDescent="0.3">
      <c r="A389" s="800">
        <v>372</v>
      </c>
      <c r="B389" s="571">
        <f t="shared" ca="1" si="17"/>
        <v>43.727408132054038</v>
      </c>
      <c r="C389" s="801">
        <f t="shared" ca="1" si="18"/>
        <v>3</v>
      </c>
      <c r="K389" s="786"/>
    </row>
    <row r="390" spans="1:11" x14ac:dyDescent="0.3">
      <c r="A390" s="800">
        <v>373</v>
      </c>
      <c r="B390" s="571">
        <f t="shared" ca="1" si="17"/>
        <v>7.4157109837895803</v>
      </c>
      <c r="C390" s="801">
        <f t="shared" ca="1" si="18"/>
        <v>1</v>
      </c>
      <c r="K390" s="786"/>
    </row>
    <row r="391" spans="1:11" x14ac:dyDescent="0.3">
      <c r="A391" s="800">
        <v>374</v>
      </c>
      <c r="B391" s="571">
        <f t="shared" ca="1" si="17"/>
        <v>14.821864958702458</v>
      </c>
      <c r="C391" s="801">
        <f t="shared" ca="1" si="18"/>
        <v>1</v>
      </c>
      <c r="K391" s="786"/>
    </row>
    <row r="392" spans="1:11" x14ac:dyDescent="0.3">
      <c r="A392" s="800">
        <v>375</v>
      </c>
      <c r="B392" s="571">
        <f t="shared" ca="1" si="17"/>
        <v>50.737698330095803</v>
      </c>
      <c r="C392" s="801">
        <f t="shared" ca="1" si="18"/>
        <v>3</v>
      </c>
      <c r="K392" s="786"/>
    </row>
    <row r="393" spans="1:11" x14ac:dyDescent="0.3">
      <c r="A393" s="800">
        <v>376</v>
      </c>
      <c r="B393" s="571">
        <f t="shared" ca="1" si="17"/>
        <v>52.626248383255124</v>
      </c>
      <c r="C393" s="801">
        <f t="shared" ca="1" si="18"/>
        <v>3</v>
      </c>
      <c r="K393" s="786"/>
    </row>
    <row r="394" spans="1:11" x14ac:dyDescent="0.3">
      <c r="A394" s="800">
        <v>377</v>
      </c>
      <c r="B394" s="571">
        <f t="shared" ca="1" si="17"/>
        <v>72.001755672178305</v>
      </c>
      <c r="C394" s="801">
        <f t="shared" ca="1" si="18"/>
        <v>4</v>
      </c>
      <c r="K394" s="786"/>
    </row>
    <row r="395" spans="1:11" x14ac:dyDescent="0.3">
      <c r="A395" s="800">
        <v>378</v>
      </c>
      <c r="B395" s="571">
        <f t="shared" ca="1" si="17"/>
        <v>20.277036579208087</v>
      </c>
      <c r="C395" s="801">
        <f t="shared" ca="1" si="18"/>
        <v>2</v>
      </c>
      <c r="K395" s="786"/>
    </row>
    <row r="396" spans="1:11" x14ac:dyDescent="0.3">
      <c r="A396" s="800">
        <v>379</v>
      </c>
      <c r="B396" s="571">
        <f t="shared" ca="1" si="17"/>
        <v>21.590858243832521</v>
      </c>
      <c r="C396" s="801">
        <f t="shared" ca="1" si="18"/>
        <v>2</v>
      </c>
      <c r="K396" s="786"/>
    </row>
    <row r="397" spans="1:11" x14ac:dyDescent="0.3">
      <c r="A397" s="800">
        <v>380</v>
      </c>
      <c r="B397" s="571">
        <f t="shared" ca="1" si="17"/>
        <v>96.427421937824306</v>
      </c>
      <c r="C397" s="801">
        <f t="shared" ca="1" si="18"/>
        <v>5</v>
      </c>
      <c r="K397" s="786"/>
    </row>
    <row r="398" spans="1:11" x14ac:dyDescent="0.3">
      <c r="A398" s="800">
        <v>381</v>
      </c>
      <c r="B398" s="571">
        <f t="shared" ca="1" si="17"/>
        <v>90.409334507219086</v>
      </c>
      <c r="C398" s="801">
        <f t="shared" ca="1" si="18"/>
        <v>5</v>
      </c>
      <c r="K398" s="786"/>
    </row>
    <row r="399" spans="1:11" x14ac:dyDescent="0.3">
      <c r="A399" s="800">
        <v>382</v>
      </c>
      <c r="B399" s="571">
        <f t="shared" ca="1" si="17"/>
        <v>63.125723815507371</v>
      </c>
      <c r="C399" s="801">
        <f t="shared" ca="1" si="18"/>
        <v>3</v>
      </c>
      <c r="K399" s="786"/>
    </row>
    <row r="400" spans="1:11" x14ac:dyDescent="0.3">
      <c r="A400" s="800">
        <v>383</v>
      </c>
      <c r="B400" s="571">
        <f t="shared" ca="1" si="17"/>
        <v>34.3770413218176</v>
      </c>
      <c r="C400" s="801">
        <f t="shared" ca="1" si="18"/>
        <v>2</v>
      </c>
      <c r="K400" s="786"/>
    </row>
    <row r="401" spans="1:11" x14ac:dyDescent="0.3">
      <c r="A401" s="800">
        <v>384</v>
      </c>
      <c r="B401" s="571">
        <f t="shared" ca="1" si="17"/>
        <v>38.410592289188358</v>
      </c>
      <c r="C401" s="801">
        <f t="shared" ca="1" si="18"/>
        <v>3</v>
      </c>
      <c r="K401" s="786"/>
    </row>
    <row r="402" spans="1:11" x14ac:dyDescent="0.3">
      <c r="A402" s="800">
        <v>385</v>
      </c>
      <c r="B402" s="571">
        <f t="shared" ca="1" si="17"/>
        <v>25.172812102527963</v>
      </c>
      <c r="C402" s="801">
        <f t="shared" ca="1" si="18"/>
        <v>2</v>
      </c>
      <c r="K402" s="786"/>
    </row>
    <row r="403" spans="1:11" x14ac:dyDescent="0.3">
      <c r="A403" s="800">
        <v>386</v>
      </c>
      <c r="B403" s="571">
        <f t="shared" ref="B403:B466" ca="1" si="19">100*RAND()</f>
        <v>35.15127526999774</v>
      </c>
      <c r="C403" s="801">
        <f t="shared" ref="C403:C466" ca="1" si="20">VLOOKUP(B403,$A$8:$C$13,3)</f>
        <v>3</v>
      </c>
      <c r="K403" s="786"/>
    </row>
    <row r="404" spans="1:11" x14ac:dyDescent="0.3">
      <c r="A404" s="800">
        <v>387</v>
      </c>
      <c r="B404" s="571">
        <f t="shared" ca="1" si="19"/>
        <v>16.493974495793207</v>
      </c>
      <c r="C404" s="801">
        <f t="shared" ca="1" si="20"/>
        <v>2</v>
      </c>
      <c r="K404" s="786"/>
    </row>
    <row r="405" spans="1:11" x14ac:dyDescent="0.3">
      <c r="A405" s="800">
        <v>388</v>
      </c>
      <c r="B405" s="571">
        <f t="shared" ca="1" si="19"/>
        <v>57.665428545871301</v>
      </c>
      <c r="C405" s="801">
        <f t="shared" ca="1" si="20"/>
        <v>3</v>
      </c>
      <c r="K405" s="786"/>
    </row>
    <row r="406" spans="1:11" x14ac:dyDescent="0.3">
      <c r="A406" s="800">
        <v>389</v>
      </c>
      <c r="B406" s="571">
        <f t="shared" ca="1" si="19"/>
        <v>18.312866554329254</v>
      </c>
      <c r="C406" s="801">
        <f t="shared" ca="1" si="20"/>
        <v>2</v>
      </c>
      <c r="K406" s="786"/>
    </row>
    <row r="407" spans="1:11" x14ac:dyDescent="0.3">
      <c r="A407" s="800">
        <v>390</v>
      </c>
      <c r="B407" s="571">
        <f t="shared" ca="1" si="19"/>
        <v>91.088954863567878</v>
      </c>
      <c r="C407" s="801">
        <f t="shared" ca="1" si="20"/>
        <v>5</v>
      </c>
      <c r="K407" s="786"/>
    </row>
    <row r="408" spans="1:11" x14ac:dyDescent="0.3">
      <c r="A408" s="800">
        <v>391</v>
      </c>
      <c r="B408" s="571">
        <f t="shared" ca="1" si="19"/>
        <v>96.463316047600387</v>
      </c>
      <c r="C408" s="801">
        <f t="shared" ca="1" si="20"/>
        <v>5</v>
      </c>
      <c r="K408" s="786"/>
    </row>
    <row r="409" spans="1:11" x14ac:dyDescent="0.3">
      <c r="A409" s="800">
        <v>392</v>
      </c>
      <c r="B409" s="571">
        <f t="shared" ca="1" si="19"/>
        <v>11.72046121064907</v>
      </c>
      <c r="C409" s="801">
        <f t="shared" ca="1" si="20"/>
        <v>1</v>
      </c>
      <c r="K409" s="786"/>
    </row>
    <row r="410" spans="1:11" x14ac:dyDescent="0.3">
      <c r="A410" s="800">
        <v>393</v>
      </c>
      <c r="B410" s="571">
        <f t="shared" ca="1" si="19"/>
        <v>71.387812568199564</v>
      </c>
      <c r="C410" s="801">
        <f t="shared" ca="1" si="20"/>
        <v>4</v>
      </c>
      <c r="K410" s="786"/>
    </row>
    <row r="411" spans="1:11" x14ac:dyDescent="0.3">
      <c r="A411" s="800">
        <v>394</v>
      </c>
      <c r="B411" s="571">
        <f t="shared" ca="1" si="19"/>
        <v>56.974366238247576</v>
      </c>
      <c r="C411" s="801">
        <f t="shared" ca="1" si="20"/>
        <v>3</v>
      </c>
      <c r="K411" s="786"/>
    </row>
    <row r="412" spans="1:11" x14ac:dyDescent="0.3">
      <c r="A412" s="800">
        <v>395</v>
      </c>
      <c r="B412" s="571">
        <f t="shared" ca="1" si="19"/>
        <v>89.38183371558199</v>
      </c>
      <c r="C412" s="801">
        <f t="shared" ca="1" si="20"/>
        <v>5</v>
      </c>
      <c r="K412" s="786"/>
    </row>
    <row r="413" spans="1:11" x14ac:dyDescent="0.3">
      <c r="A413" s="800">
        <v>396</v>
      </c>
      <c r="B413" s="571">
        <f t="shared" ca="1" si="19"/>
        <v>20.594677601845625</v>
      </c>
      <c r="C413" s="801">
        <f t="shared" ca="1" si="20"/>
        <v>2</v>
      </c>
      <c r="K413" s="786"/>
    </row>
    <row r="414" spans="1:11" x14ac:dyDescent="0.3">
      <c r="A414" s="800">
        <v>397</v>
      </c>
      <c r="B414" s="571">
        <f t="shared" ca="1" si="19"/>
        <v>73.636034648543344</v>
      </c>
      <c r="C414" s="801">
        <f t="shared" ca="1" si="20"/>
        <v>4</v>
      </c>
      <c r="K414" s="786"/>
    </row>
    <row r="415" spans="1:11" x14ac:dyDescent="0.3">
      <c r="A415" s="800">
        <v>398</v>
      </c>
      <c r="B415" s="571">
        <f t="shared" ca="1" si="19"/>
        <v>81.540569471159515</v>
      </c>
      <c r="C415" s="801">
        <f t="shared" ca="1" si="20"/>
        <v>4</v>
      </c>
      <c r="K415" s="786"/>
    </row>
    <row r="416" spans="1:11" x14ac:dyDescent="0.3">
      <c r="A416" s="800">
        <v>399</v>
      </c>
      <c r="B416" s="571">
        <f t="shared" ca="1" si="19"/>
        <v>78.115831863884438</v>
      </c>
      <c r="C416" s="801">
        <f t="shared" ca="1" si="20"/>
        <v>4</v>
      </c>
      <c r="K416" s="786"/>
    </row>
    <row r="417" spans="1:11" x14ac:dyDescent="0.3">
      <c r="A417" s="800">
        <v>400</v>
      </c>
      <c r="B417" s="571">
        <f t="shared" ca="1" si="19"/>
        <v>61.552589775415797</v>
      </c>
      <c r="C417" s="801">
        <f t="shared" ca="1" si="20"/>
        <v>3</v>
      </c>
      <c r="K417" s="786"/>
    </row>
    <row r="418" spans="1:11" x14ac:dyDescent="0.3">
      <c r="A418" s="800">
        <v>401</v>
      </c>
      <c r="B418" s="571">
        <f t="shared" ca="1" si="19"/>
        <v>27.061247627814609</v>
      </c>
      <c r="C418" s="801">
        <f t="shared" ca="1" si="20"/>
        <v>2</v>
      </c>
      <c r="K418" s="786"/>
    </row>
    <row r="419" spans="1:11" x14ac:dyDescent="0.3">
      <c r="A419" s="800">
        <v>402</v>
      </c>
      <c r="B419" s="571">
        <f t="shared" ca="1" si="19"/>
        <v>38.675898892940161</v>
      </c>
      <c r="C419" s="801">
        <f t="shared" ca="1" si="20"/>
        <v>3</v>
      </c>
      <c r="K419" s="786"/>
    </row>
    <row r="420" spans="1:11" x14ac:dyDescent="0.3">
      <c r="A420" s="800">
        <v>403</v>
      </c>
      <c r="B420" s="571">
        <f t="shared" ca="1" si="19"/>
        <v>10.172043115440399</v>
      </c>
      <c r="C420" s="801">
        <f t="shared" ca="1" si="20"/>
        <v>1</v>
      </c>
      <c r="K420" s="786"/>
    </row>
    <row r="421" spans="1:11" x14ac:dyDescent="0.3">
      <c r="A421" s="800">
        <v>404</v>
      </c>
      <c r="B421" s="571">
        <f t="shared" ca="1" si="19"/>
        <v>24.131849190034551</v>
      </c>
      <c r="C421" s="801">
        <f t="shared" ca="1" si="20"/>
        <v>2</v>
      </c>
      <c r="K421" s="786"/>
    </row>
    <row r="422" spans="1:11" x14ac:dyDescent="0.3">
      <c r="A422" s="800">
        <v>405</v>
      </c>
      <c r="B422" s="571">
        <f t="shared" ca="1" si="19"/>
        <v>14.839156457650438</v>
      </c>
      <c r="C422" s="801">
        <f t="shared" ca="1" si="20"/>
        <v>1</v>
      </c>
      <c r="K422" s="786"/>
    </row>
    <row r="423" spans="1:11" x14ac:dyDescent="0.3">
      <c r="A423" s="800">
        <v>406</v>
      </c>
      <c r="B423" s="571">
        <f t="shared" ca="1" si="19"/>
        <v>48.464183123582707</v>
      </c>
      <c r="C423" s="801">
        <f t="shared" ca="1" si="20"/>
        <v>3</v>
      </c>
      <c r="K423" s="786"/>
    </row>
    <row r="424" spans="1:11" x14ac:dyDescent="0.3">
      <c r="A424" s="800">
        <v>407</v>
      </c>
      <c r="B424" s="571">
        <f t="shared" ca="1" si="19"/>
        <v>60.197002654778288</v>
      </c>
      <c r="C424" s="801">
        <f t="shared" ca="1" si="20"/>
        <v>3</v>
      </c>
      <c r="K424" s="786"/>
    </row>
    <row r="425" spans="1:11" x14ac:dyDescent="0.3">
      <c r="A425" s="800">
        <v>408</v>
      </c>
      <c r="B425" s="571">
        <f t="shared" ca="1" si="19"/>
        <v>92.87967231499637</v>
      </c>
      <c r="C425" s="801">
        <f t="shared" ca="1" si="20"/>
        <v>5</v>
      </c>
      <c r="K425" s="786"/>
    </row>
    <row r="426" spans="1:11" x14ac:dyDescent="0.3">
      <c r="A426" s="800">
        <v>409</v>
      </c>
      <c r="B426" s="571">
        <f t="shared" ca="1" si="19"/>
        <v>5.0238922887070769</v>
      </c>
      <c r="C426" s="801">
        <f t="shared" ca="1" si="20"/>
        <v>1</v>
      </c>
      <c r="K426" s="786"/>
    </row>
    <row r="427" spans="1:11" x14ac:dyDescent="0.3">
      <c r="A427" s="800">
        <v>410</v>
      </c>
      <c r="B427" s="571">
        <f t="shared" ca="1" si="19"/>
        <v>36.612994075542659</v>
      </c>
      <c r="C427" s="801">
        <f t="shared" ca="1" si="20"/>
        <v>3</v>
      </c>
      <c r="K427" s="786"/>
    </row>
    <row r="428" spans="1:11" x14ac:dyDescent="0.3">
      <c r="A428" s="800">
        <v>411</v>
      </c>
      <c r="B428" s="571">
        <f t="shared" ca="1" si="19"/>
        <v>80.931009763665855</v>
      </c>
      <c r="C428" s="801">
        <f t="shared" ca="1" si="20"/>
        <v>4</v>
      </c>
      <c r="K428" s="786"/>
    </row>
    <row r="429" spans="1:11" x14ac:dyDescent="0.3">
      <c r="A429" s="800">
        <v>412</v>
      </c>
      <c r="B429" s="571">
        <f t="shared" ca="1" si="19"/>
        <v>29.815464657160206</v>
      </c>
      <c r="C429" s="801">
        <f t="shared" ca="1" si="20"/>
        <v>2</v>
      </c>
      <c r="K429" s="786"/>
    </row>
    <row r="430" spans="1:11" x14ac:dyDescent="0.3">
      <c r="A430" s="800">
        <v>413</v>
      </c>
      <c r="B430" s="571">
        <f t="shared" ca="1" si="19"/>
        <v>65.908908760575628</v>
      </c>
      <c r="C430" s="801">
        <f t="shared" ca="1" si="20"/>
        <v>4</v>
      </c>
      <c r="K430" s="786"/>
    </row>
    <row r="431" spans="1:11" x14ac:dyDescent="0.3">
      <c r="A431" s="800">
        <v>414</v>
      </c>
      <c r="B431" s="571">
        <f t="shared" ca="1" si="19"/>
        <v>87.554683547743224</v>
      </c>
      <c r="C431" s="801">
        <f t="shared" ca="1" si="20"/>
        <v>5</v>
      </c>
      <c r="K431" s="786"/>
    </row>
    <row r="432" spans="1:11" x14ac:dyDescent="0.3">
      <c r="A432" s="800">
        <v>415</v>
      </c>
      <c r="B432" s="571">
        <f t="shared" ca="1" si="19"/>
        <v>55.36184644242995</v>
      </c>
      <c r="C432" s="801">
        <f t="shared" ca="1" si="20"/>
        <v>3</v>
      </c>
      <c r="K432" s="786"/>
    </row>
    <row r="433" spans="1:11" x14ac:dyDescent="0.3">
      <c r="A433" s="800">
        <v>416</v>
      </c>
      <c r="B433" s="571">
        <f t="shared" ca="1" si="19"/>
        <v>47.632732141810408</v>
      </c>
      <c r="C433" s="801">
        <f t="shared" ca="1" si="20"/>
        <v>3</v>
      </c>
      <c r="K433" s="786"/>
    </row>
    <row r="434" spans="1:11" x14ac:dyDescent="0.3">
      <c r="A434" s="800">
        <v>417</v>
      </c>
      <c r="B434" s="571">
        <f t="shared" ca="1" si="19"/>
        <v>86.967068722230721</v>
      </c>
      <c r="C434" s="801">
        <f t="shared" ca="1" si="20"/>
        <v>5</v>
      </c>
      <c r="K434" s="786"/>
    </row>
    <row r="435" spans="1:11" x14ac:dyDescent="0.3">
      <c r="A435" s="800">
        <v>418</v>
      </c>
      <c r="B435" s="571">
        <f t="shared" ca="1" si="19"/>
        <v>96.040996514438831</v>
      </c>
      <c r="C435" s="801">
        <f t="shared" ca="1" si="20"/>
        <v>5</v>
      </c>
      <c r="K435" s="786"/>
    </row>
    <row r="436" spans="1:11" x14ac:dyDescent="0.3">
      <c r="A436" s="800">
        <v>419</v>
      </c>
      <c r="B436" s="571">
        <f t="shared" ca="1" si="19"/>
        <v>30.208184206951895</v>
      </c>
      <c r="C436" s="801">
        <f t="shared" ca="1" si="20"/>
        <v>2</v>
      </c>
      <c r="K436" s="786"/>
    </row>
    <row r="437" spans="1:11" x14ac:dyDescent="0.3">
      <c r="A437" s="800">
        <v>420</v>
      </c>
      <c r="B437" s="571">
        <f t="shared" ca="1" si="19"/>
        <v>14.726799755921416</v>
      </c>
      <c r="C437" s="801">
        <f t="shared" ca="1" si="20"/>
        <v>1</v>
      </c>
      <c r="K437" s="786"/>
    </row>
    <row r="438" spans="1:11" x14ac:dyDescent="0.3">
      <c r="A438" s="800">
        <v>421</v>
      </c>
      <c r="B438" s="571">
        <f t="shared" ca="1" si="19"/>
        <v>75.878726989047451</v>
      </c>
      <c r="C438" s="801">
        <f t="shared" ca="1" si="20"/>
        <v>4</v>
      </c>
      <c r="K438" s="786"/>
    </row>
    <row r="439" spans="1:11" x14ac:dyDescent="0.3">
      <c r="A439" s="800">
        <v>422</v>
      </c>
      <c r="B439" s="571">
        <f t="shared" ca="1" si="19"/>
        <v>66.752697119832106</v>
      </c>
      <c r="C439" s="801">
        <f t="shared" ca="1" si="20"/>
        <v>4</v>
      </c>
      <c r="K439" s="786"/>
    </row>
    <row r="440" spans="1:11" x14ac:dyDescent="0.3">
      <c r="A440" s="800">
        <v>423</v>
      </c>
      <c r="B440" s="571">
        <f t="shared" ca="1" si="19"/>
        <v>47.293483145662748</v>
      </c>
      <c r="C440" s="801">
        <f t="shared" ca="1" si="20"/>
        <v>3</v>
      </c>
      <c r="K440" s="786"/>
    </row>
    <row r="441" spans="1:11" x14ac:dyDescent="0.3">
      <c r="A441" s="800">
        <v>424</v>
      </c>
      <c r="B441" s="571">
        <f t="shared" ca="1" si="19"/>
        <v>54.543907801410938</v>
      </c>
      <c r="C441" s="801">
        <f t="shared" ca="1" si="20"/>
        <v>3</v>
      </c>
      <c r="K441" s="786"/>
    </row>
    <row r="442" spans="1:11" x14ac:dyDescent="0.3">
      <c r="A442" s="800">
        <v>425</v>
      </c>
      <c r="B442" s="571">
        <f t="shared" ca="1" si="19"/>
        <v>18.965116023337703</v>
      </c>
      <c r="C442" s="801">
        <f t="shared" ca="1" si="20"/>
        <v>2</v>
      </c>
      <c r="K442" s="786"/>
    </row>
    <row r="443" spans="1:11" x14ac:dyDescent="0.3">
      <c r="A443" s="800">
        <v>426</v>
      </c>
      <c r="B443" s="571">
        <f t="shared" ca="1" si="19"/>
        <v>58.193297760049113</v>
      </c>
      <c r="C443" s="801">
        <f t="shared" ca="1" si="20"/>
        <v>3</v>
      </c>
      <c r="K443" s="786"/>
    </row>
    <row r="444" spans="1:11" x14ac:dyDescent="0.3">
      <c r="A444" s="800">
        <v>427</v>
      </c>
      <c r="B444" s="571">
        <f t="shared" ca="1" si="19"/>
        <v>41.394528883029956</v>
      </c>
      <c r="C444" s="801">
        <f t="shared" ca="1" si="20"/>
        <v>3</v>
      </c>
      <c r="K444" s="786"/>
    </row>
    <row r="445" spans="1:11" x14ac:dyDescent="0.3">
      <c r="A445" s="800">
        <v>428</v>
      </c>
      <c r="B445" s="571">
        <f t="shared" ca="1" si="19"/>
        <v>14.977835237794679</v>
      </c>
      <c r="C445" s="801">
        <f t="shared" ca="1" si="20"/>
        <v>1</v>
      </c>
      <c r="K445" s="786"/>
    </row>
    <row r="446" spans="1:11" x14ac:dyDescent="0.3">
      <c r="A446" s="800">
        <v>429</v>
      </c>
      <c r="B446" s="571">
        <f t="shared" ca="1" si="19"/>
        <v>34.691768532763845</v>
      </c>
      <c r="C446" s="801">
        <f t="shared" ca="1" si="20"/>
        <v>2</v>
      </c>
      <c r="K446" s="786"/>
    </row>
    <row r="447" spans="1:11" x14ac:dyDescent="0.3">
      <c r="A447" s="800">
        <v>430</v>
      </c>
      <c r="B447" s="571">
        <f t="shared" ca="1" si="19"/>
        <v>14.125135898704</v>
      </c>
      <c r="C447" s="801">
        <f t="shared" ca="1" si="20"/>
        <v>1</v>
      </c>
      <c r="K447" s="786"/>
    </row>
    <row r="448" spans="1:11" x14ac:dyDescent="0.3">
      <c r="A448" s="800">
        <v>431</v>
      </c>
      <c r="B448" s="571">
        <f t="shared" ca="1" si="19"/>
        <v>60.632819145567197</v>
      </c>
      <c r="C448" s="801">
        <f t="shared" ca="1" si="20"/>
        <v>3</v>
      </c>
      <c r="K448" s="786"/>
    </row>
    <row r="449" spans="1:11" x14ac:dyDescent="0.3">
      <c r="A449" s="800">
        <v>432</v>
      </c>
      <c r="B449" s="571">
        <f t="shared" ca="1" si="19"/>
        <v>99.55887892442054</v>
      </c>
      <c r="C449" s="801">
        <f t="shared" ca="1" si="20"/>
        <v>5</v>
      </c>
      <c r="K449" s="786"/>
    </row>
    <row r="450" spans="1:11" x14ac:dyDescent="0.3">
      <c r="A450" s="800">
        <v>433</v>
      </c>
      <c r="B450" s="571">
        <f t="shared" ca="1" si="19"/>
        <v>41.370376594897408</v>
      </c>
      <c r="C450" s="801">
        <f t="shared" ca="1" si="20"/>
        <v>3</v>
      </c>
      <c r="K450" s="786"/>
    </row>
    <row r="451" spans="1:11" x14ac:dyDescent="0.3">
      <c r="A451" s="800">
        <v>434</v>
      </c>
      <c r="B451" s="571">
        <f t="shared" ca="1" si="19"/>
        <v>51.307906146691096</v>
      </c>
      <c r="C451" s="801">
        <f t="shared" ca="1" si="20"/>
        <v>3</v>
      </c>
      <c r="K451" s="786"/>
    </row>
    <row r="452" spans="1:11" x14ac:dyDescent="0.3">
      <c r="A452" s="800">
        <v>435</v>
      </c>
      <c r="B452" s="571">
        <f t="shared" ca="1" si="19"/>
        <v>78.612116487664068</v>
      </c>
      <c r="C452" s="801">
        <f t="shared" ca="1" si="20"/>
        <v>4</v>
      </c>
      <c r="K452" s="786"/>
    </row>
    <row r="453" spans="1:11" x14ac:dyDescent="0.3">
      <c r="A453" s="800">
        <v>436</v>
      </c>
      <c r="B453" s="571">
        <f t="shared" ca="1" si="19"/>
        <v>25.869702898801485</v>
      </c>
      <c r="C453" s="801">
        <f t="shared" ca="1" si="20"/>
        <v>2</v>
      </c>
      <c r="K453" s="786"/>
    </row>
    <row r="454" spans="1:11" x14ac:dyDescent="0.3">
      <c r="A454" s="800">
        <v>437</v>
      </c>
      <c r="B454" s="571">
        <f t="shared" ca="1" si="19"/>
        <v>19.995324504363289</v>
      </c>
      <c r="C454" s="801">
        <f t="shared" ca="1" si="20"/>
        <v>2</v>
      </c>
      <c r="K454" s="786"/>
    </row>
    <row r="455" spans="1:11" x14ac:dyDescent="0.3">
      <c r="A455" s="800">
        <v>438</v>
      </c>
      <c r="B455" s="571">
        <f t="shared" ca="1" si="19"/>
        <v>39.081767395568377</v>
      </c>
      <c r="C455" s="801">
        <f t="shared" ca="1" si="20"/>
        <v>3</v>
      </c>
      <c r="K455" s="786"/>
    </row>
    <row r="456" spans="1:11" x14ac:dyDescent="0.3">
      <c r="A456" s="800">
        <v>439</v>
      </c>
      <c r="B456" s="571">
        <f t="shared" ca="1" si="19"/>
        <v>58.75701141611556</v>
      </c>
      <c r="C456" s="801">
        <f t="shared" ca="1" si="20"/>
        <v>3</v>
      </c>
      <c r="K456" s="786"/>
    </row>
    <row r="457" spans="1:11" x14ac:dyDescent="0.3">
      <c r="A457" s="800">
        <v>440</v>
      </c>
      <c r="B457" s="571">
        <f t="shared" ca="1" si="19"/>
        <v>96.449182644624884</v>
      </c>
      <c r="C457" s="801">
        <f t="shared" ca="1" si="20"/>
        <v>5</v>
      </c>
      <c r="K457" s="786"/>
    </row>
    <row r="458" spans="1:11" x14ac:dyDescent="0.3">
      <c r="A458" s="800">
        <v>441</v>
      </c>
      <c r="B458" s="571">
        <f t="shared" ca="1" si="19"/>
        <v>76.019967419486548</v>
      </c>
      <c r="C458" s="801">
        <f t="shared" ca="1" si="20"/>
        <v>4</v>
      </c>
      <c r="K458" s="786"/>
    </row>
    <row r="459" spans="1:11" x14ac:dyDescent="0.3">
      <c r="A459" s="800">
        <v>442</v>
      </c>
      <c r="B459" s="571">
        <f t="shared" ca="1" si="19"/>
        <v>84.927674083899205</v>
      </c>
      <c r="C459" s="801">
        <f t="shared" ca="1" si="20"/>
        <v>4</v>
      </c>
      <c r="K459" s="786"/>
    </row>
    <row r="460" spans="1:11" x14ac:dyDescent="0.3">
      <c r="A460" s="800">
        <v>443</v>
      </c>
      <c r="B460" s="571">
        <f t="shared" ca="1" si="19"/>
        <v>33.706004480494158</v>
      </c>
      <c r="C460" s="801">
        <f t="shared" ca="1" si="20"/>
        <v>2</v>
      </c>
      <c r="K460" s="786"/>
    </row>
    <row r="461" spans="1:11" x14ac:dyDescent="0.3">
      <c r="A461" s="800">
        <v>444</v>
      </c>
      <c r="B461" s="571">
        <f t="shared" ca="1" si="19"/>
        <v>88.305858788672509</v>
      </c>
      <c r="C461" s="801">
        <f t="shared" ca="1" si="20"/>
        <v>5</v>
      </c>
      <c r="K461" s="786"/>
    </row>
    <row r="462" spans="1:11" x14ac:dyDescent="0.3">
      <c r="A462" s="800">
        <v>445</v>
      </c>
      <c r="B462" s="571">
        <f t="shared" ca="1" si="19"/>
        <v>93.132460718520051</v>
      </c>
      <c r="C462" s="801">
        <f t="shared" ca="1" si="20"/>
        <v>5</v>
      </c>
      <c r="K462" s="786"/>
    </row>
    <row r="463" spans="1:11" x14ac:dyDescent="0.3">
      <c r="A463" s="800">
        <v>446</v>
      </c>
      <c r="B463" s="571">
        <f t="shared" ca="1" si="19"/>
        <v>39.219854482965602</v>
      </c>
      <c r="C463" s="801">
        <f t="shared" ca="1" si="20"/>
        <v>3</v>
      </c>
      <c r="K463" s="786"/>
    </row>
    <row r="464" spans="1:11" x14ac:dyDescent="0.3">
      <c r="A464" s="800">
        <v>447</v>
      </c>
      <c r="B464" s="571">
        <f t="shared" ca="1" si="19"/>
        <v>88.500923220314021</v>
      </c>
      <c r="C464" s="801">
        <f t="shared" ca="1" si="20"/>
        <v>5</v>
      </c>
      <c r="K464" s="786"/>
    </row>
    <row r="465" spans="1:11" x14ac:dyDescent="0.3">
      <c r="A465" s="800">
        <v>448</v>
      </c>
      <c r="B465" s="571">
        <f t="shared" ca="1" si="19"/>
        <v>36.605265152679642</v>
      </c>
      <c r="C465" s="801">
        <f t="shared" ca="1" si="20"/>
        <v>3</v>
      </c>
      <c r="K465" s="786"/>
    </row>
    <row r="466" spans="1:11" x14ac:dyDescent="0.3">
      <c r="A466" s="800">
        <v>449</v>
      </c>
      <c r="B466" s="571">
        <f t="shared" ca="1" si="19"/>
        <v>60.193996144935994</v>
      </c>
      <c r="C466" s="801">
        <f t="shared" ca="1" si="20"/>
        <v>3</v>
      </c>
      <c r="K466" s="786"/>
    </row>
    <row r="467" spans="1:11" x14ac:dyDescent="0.3">
      <c r="A467" s="800">
        <v>450</v>
      </c>
      <c r="B467" s="571">
        <f t="shared" ref="B467:B530" ca="1" si="21">100*RAND()</f>
        <v>45.85149908844901</v>
      </c>
      <c r="C467" s="801">
        <f t="shared" ref="C467:C530" ca="1" si="22">VLOOKUP(B467,$A$8:$C$13,3)</f>
        <v>3</v>
      </c>
      <c r="K467" s="786"/>
    </row>
    <row r="468" spans="1:11" x14ac:dyDescent="0.3">
      <c r="A468" s="800">
        <v>451</v>
      </c>
      <c r="B468" s="571">
        <f t="shared" ca="1" si="21"/>
        <v>31.33754042521787</v>
      </c>
      <c r="C468" s="801">
        <f t="shared" ca="1" si="22"/>
        <v>2</v>
      </c>
      <c r="K468" s="786"/>
    </row>
    <row r="469" spans="1:11" x14ac:dyDescent="0.3">
      <c r="A469" s="800">
        <v>452</v>
      </c>
      <c r="B469" s="571">
        <f t="shared" ca="1" si="21"/>
        <v>22.52376153523673</v>
      </c>
      <c r="C469" s="801">
        <f t="shared" ca="1" si="22"/>
        <v>2</v>
      </c>
      <c r="K469" s="786"/>
    </row>
    <row r="470" spans="1:11" x14ac:dyDescent="0.3">
      <c r="A470" s="800">
        <v>453</v>
      </c>
      <c r="B470" s="571">
        <f t="shared" ca="1" si="21"/>
        <v>3.6124304754854841</v>
      </c>
      <c r="C470" s="801">
        <f t="shared" ca="1" si="22"/>
        <v>0</v>
      </c>
      <c r="K470" s="786"/>
    </row>
    <row r="471" spans="1:11" x14ac:dyDescent="0.3">
      <c r="A471" s="800">
        <v>454</v>
      </c>
      <c r="B471" s="571">
        <f t="shared" ca="1" si="21"/>
        <v>38.639367897241215</v>
      </c>
      <c r="C471" s="801">
        <f t="shared" ca="1" si="22"/>
        <v>3</v>
      </c>
      <c r="K471" s="786"/>
    </row>
    <row r="472" spans="1:11" x14ac:dyDescent="0.3">
      <c r="A472" s="800">
        <v>455</v>
      </c>
      <c r="B472" s="571">
        <f t="shared" ca="1" si="21"/>
        <v>42.922347744973877</v>
      </c>
      <c r="C472" s="801">
        <f t="shared" ca="1" si="22"/>
        <v>3</v>
      </c>
      <c r="K472" s="786"/>
    </row>
    <row r="473" spans="1:11" x14ac:dyDescent="0.3">
      <c r="A473" s="800">
        <v>456</v>
      </c>
      <c r="B473" s="571">
        <f t="shared" ca="1" si="21"/>
        <v>9.4128893578033885</v>
      </c>
      <c r="C473" s="801">
        <f t="shared" ca="1" si="22"/>
        <v>1</v>
      </c>
      <c r="K473" s="786"/>
    </row>
    <row r="474" spans="1:11" x14ac:dyDescent="0.3">
      <c r="A474" s="800">
        <v>457</v>
      </c>
      <c r="B474" s="571">
        <f t="shared" ca="1" si="21"/>
        <v>26.501104636457541</v>
      </c>
      <c r="C474" s="801">
        <f t="shared" ca="1" si="22"/>
        <v>2</v>
      </c>
      <c r="K474" s="786"/>
    </row>
    <row r="475" spans="1:11" x14ac:dyDescent="0.3">
      <c r="A475" s="800">
        <v>458</v>
      </c>
      <c r="B475" s="571">
        <f t="shared" ca="1" si="21"/>
        <v>57.602013161920354</v>
      </c>
      <c r="C475" s="801">
        <f t="shared" ca="1" si="22"/>
        <v>3</v>
      </c>
      <c r="K475" s="786"/>
    </row>
    <row r="476" spans="1:11" x14ac:dyDescent="0.3">
      <c r="A476" s="800">
        <v>459</v>
      </c>
      <c r="B476" s="571">
        <f t="shared" ca="1" si="21"/>
        <v>33.518929790165643</v>
      </c>
      <c r="C476" s="801">
        <f t="shared" ca="1" si="22"/>
        <v>2</v>
      </c>
      <c r="K476" s="786"/>
    </row>
    <row r="477" spans="1:11" x14ac:dyDescent="0.3">
      <c r="A477" s="800">
        <v>460</v>
      </c>
      <c r="B477" s="571">
        <f t="shared" ca="1" si="21"/>
        <v>24.648919920295874</v>
      </c>
      <c r="C477" s="801">
        <f t="shared" ca="1" si="22"/>
        <v>2</v>
      </c>
      <c r="K477" s="786"/>
    </row>
    <row r="478" spans="1:11" x14ac:dyDescent="0.3">
      <c r="A478" s="800">
        <v>461</v>
      </c>
      <c r="B478" s="571">
        <f t="shared" ca="1" si="21"/>
        <v>18.91135959291076</v>
      </c>
      <c r="C478" s="801">
        <f t="shared" ca="1" si="22"/>
        <v>2</v>
      </c>
      <c r="K478" s="786"/>
    </row>
    <row r="479" spans="1:11" x14ac:dyDescent="0.3">
      <c r="A479" s="800">
        <v>462</v>
      </c>
      <c r="B479" s="571">
        <f t="shared" ca="1" si="21"/>
        <v>20.385982194010243</v>
      </c>
      <c r="C479" s="801">
        <f t="shared" ca="1" si="22"/>
        <v>2</v>
      </c>
      <c r="K479" s="786"/>
    </row>
    <row r="480" spans="1:11" x14ac:dyDescent="0.3">
      <c r="A480" s="800">
        <v>463</v>
      </c>
      <c r="B480" s="571">
        <f t="shared" ca="1" si="21"/>
        <v>44.694196598695704</v>
      </c>
      <c r="C480" s="801">
        <f t="shared" ca="1" si="22"/>
        <v>3</v>
      </c>
      <c r="K480" s="786"/>
    </row>
    <row r="481" spans="1:11" x14ac:dyDescent="0.3">
      <c r="A481" s="800">
        <v>464</v>
      </c>
      <c r="B481" s="571">
        <f t="shared" ca="1" si="21"/>
        <v>86.695663527104855</v>
      </c>
      <c r="C481" s="801">
        <f t="shared" ca="1" si="22"/>
        <v>5</v>
      </c>
      <c r="K481" s="786"/>
    </row>
    <row r="482" spans="1:11" x14ac:dyDescent="0.3">
      <c r="A482" s="800">
        <v>465</v>
      </c>
      <c r="B482" s="571">
        <f t="shared" ca="1" si="21"/>
        <v>2.4912061664938978</v>
      </c>
      <c r="C482" s="801">
        <f t="shared" ca="1" si="22"/>
        <v>0</v>
      </c>
      <c r="K482" s="786"/>
    </row>
    <row r="483" spans="1:11" x14ac:dyDescent="0.3">
      <c r="A483" s="800">
        <v>466</v>
      </c>
      <c r="B483" s="571">
        <f t="shared" ca="1" si="21"/>
        <v>88.674294465014441</v>
      </c>
      <c r="C483" s="801">
        <f t="shared" ca="1" si="22"/>
        <v>5</v>
      </c>
      <c r="K483" s="786"/>
    </row>
    <row r="484" spans="1:11" x14ac:dyDescent="0.3">
      <c r="A484" s="800">
        <v>467</v>
      </c>
      <c r="B484" s="571">
        <f t="shared" ca="1" si="21"/>
        <v>37.62288624367558</v>
      </c>
      <c r="C484" s="801">
        <f t="shared" ca="1" si="22"/>
        <v>3</v>
      </c>
      <c r="K484" s="786"/>
    </row>
    <row r="485" spans="1:11" x14ac:dyDescent="0.3">
      <c r="A485" s="800">
        <v>468</v>
      </c>
      <c r="B485" s="571">
        <f t="shared" ca="1" si="21"/>
        <v>10.563479782274232</v>
      </c>
      <c r="C485" s="801">
        <f t="shared" ca="1" si="22"/>
        <v>1</v>
      </c>
      <c r="K485" s="786"/>
    </row>
    <row r="486" spans="1:11" x14ac:dyDescent="0.3">
      <c r="A486" s="800">
        <v>469</v>
      </c>
      <c r="B486" s="571">
        <f t="shared" ca="1" si="21"/>
        <v>57.40027320782373</v>
      </c>
      <c r="C486" s="801">
        <f t="shared" ca="1" si="22"/>
        <v>3</v>
      </c>
      <c r="K486" s="786"/>
    </row>
    <row r="487" spans="1:11" x14ac:dyDescent="0.3">
      <c r="A487" s="800">
        <v>470</v>
      </c>
      <c r="B487" s="571">
        <f t="shared" ca="1" si="21"/>
        <v>96.376459070902669</v>
      </c>
      <c r="C487" s="801">
        <f t="shared" ca="1" si="22"/>
        <v>5</v>
      </c>
      <c r="K487" s="786"/>
    </row>
    <row r="488" spans="1:11" x14ac:dyDescent="0.3">
      <c r="A488" s="800">
        <v>471</v>
      </c>
      <c r="B488" s="571">
        <f t="shared" ca="1" si="21"/>
        <v>94.622195682045856</v>
      </c>
      <c r="C488" s="801">
        <f t="shared" ca="1" si="22"/>
        <v>5</v>
      </c>
      <c r="K488" s="786"/>
    </row>
    <row r="489" spans="1:11" x14ac:dyDescent="0.3">
      <c r="A489" s="800">
        <v>472</v>
      </c>
      <c r="B489" s="571">
        <f t="shared" ca="1" si="21"/>
        <v>36.437244007246029</v>
      </c>
      <c r="C489" s="801">
        <f t="shared" ca="1" si="22"/>
        <v>3</v>
      </c>
      <c r="K489" s="786"/>
    </row>
    <row r="490" spans="1:11" x14ac:dyDescent="0.3">
      <c r="A490" s="800">
        <v>473</v>
      </c>
      <c r="B490" s="571">
        <f t="shared" ca="1" si="21"/>
        <v>42.724789013000361</v>
      </c>
      <c r="C490" s="801">
        <f t="shared" ca="1" si="22"/>
        <v>3</v>
      </c>
      <c r="K490" s="786"/>
    </row>
    <row r="491" spans="1:11" x14ac:dyDescent="0.3">
      <c r="A491" s="800">
        <v>474</v>
      </c>
      <c r="B491" s="571">
        <f t="shared" ca="1" si="21"/>
        <v>40.174816214414257</v>
      </c>
      <c r="C491" s="801">
        <f t="shared" ca="1" si="22"/>
        <v>3</v>
      </c>
      <c r="K491" s="786"/>
    </row>
    <row r="492" spans="1:11" x14ac:dyDescent="0.3">
      <c r="A492" s="800">
        <v>475</v>
      </c>
      <c r="B492" s="571">
        <f t="shared" ca="1" si="21"/>
        <v>92.607024197449945</v>
      </c>
      <c r="C492" s="801">
        <f t="shared" ca="1" si="22"/>
        <v>5</v>
      </c>
      <c r="K492" s="786"/>
    </row>
    <row r="493" spans="1:11" x14ac:dyDescent="0.3">
      <c r="A493" s="800">
        <v>476</v>
      </c>
      <c r="B493" s="571">
        <f t="shared" ca="1" si="21"/>
        <v>62.003113247070331</v>
      </c>
      <c r="C493" s="801">
        <f t="shared" ca="1" si="22"/>
        <v>3</v>
      </c>
      <c r="K493" s="786"/>
    </row>
    <row r="494" spans="1:11" x14ac:dyDescent="0.3">
      <c r="A494" s="800">
        <v>477</v>
      </c>
      <c r="B494" s="571">
        <f t="shared" ca="1" si="21"/>
        <v>72.301492051942489</v>
      </c>
      <c r="C494" s="801">
        <f t="shared" ca="1" si="22"/>
        <v>4</v>
      </c>
      <c r="K494" s="786"/>
    </row>
    <row r="495" spans="1:11" x14ac:dyDescent="0.3">
      <c r="A495" s="800">
        <v>478</v>
      </c>
      <c r="B495" s="571">
        <f t="shared" ca="1" si="21"/>
        <v>49.901338550440968</v>
      </c>
      <c r="C495" s="801">
        <f t="shared" ca="1" si="22"/>
        <v>3</v>
      </c>
      <c r="K495" s="786"/>
    </row>
    <row r="496" spans="1:11" x14ac:dyDescent="0.3">
      <c r="A496" s="800">
        <v>479</v>
      </c>
      <c r="B496" s="571">
        <f t="shared" ca="1" si="21"/>
        <v>21.622944766375774</v>
      </c>
      <c r="C496" s="801">
        <f t="shared" ca="1" si="22"/>
        <v>2</v>
      </c>
      <c r="K496" s="786"/>
    </row>
    <row r="497" spans="1:11" x14ac:dyDescent="0.3">
      <c r="A497" s="800">
        <v>480</v>
      </c>
      <c r="B497" s="571">
        <f t="shared" ca="1" si="21"/>
        <v>7.546988300872826</v>
      </c>
      <c r="C497" s="801">
        <f t="shared" ca="1" si="22"/>
        <v>1</v>
      </c>
      <c r="K497" s="786"/>
    </row>
    <row r="498" spans="1:11" x14ac:dyDescent="0.3">
      <c r="A498" s="800">
        <v>481</v>
      </c>
      <c r="B498" s="571">
        <f t="shared" ca="1" si="21"/>
        <v>19.687339953144601</v>
      </c>
      <c r="C498" s="801">
        <f t="shared" ca="1" si="22"/>
        <v>2</v>
      </c>
      <c r="K498" s="786"/>
    </row>
    <row r="499" spans="1:11" x14ac:dyDescent="0.3">
      <c r="A499" s="800">
        <v>482</v>
      </c>
      <c r="B499" s="571">
        <f t="shared" ca="1" si="21"/>
        <v>13.393965313168554</v>
      </c>
      <c r="C499" s="801">
        <f t="shared" ca="1" si="22"/>
        <v>1</v>
      </c>
      <c r="K499" s="786"/>
    </row>
    <row r="500" spans="1:11" x14ac:dyDescent="0.3">
      <c r="A500" s="800">
        <v>483</v>
      </c>
      <c r="B500" s="571">
        <f t="shared" ca="1" si="21"/>
        <v>72.636864962315514</v>
      </c>
      <c r="C500" s="801">
        <f t="shared" ca="1" si="22"/>
        <v>4</v>
      </c>
      <c r="K500" s="786"/>
    </row>
    <row r="501" spans="1:11" x14ac:dyDescent="0.3">
      <c r="A501" s="800">
        <v>484</v>
      </c>
      <c r="B501" s="571">
        <f t="shared" ca="1" si="21"/>
        <v>52.763080136490295</v>
      </c>
      <c r="C501" s="801">
        <f t="shared" ca="1" si="22"/>
        <v>3</v>
      </c>
      <c r="K501" s="786"/>
    </row>
    <row r="502" spans="1:11" x14ac:dyDescent="0.3">
      <c r="A502" s="800">
        <v>485</v>
      </c>
      <c r="B502" s="571">
        <f t="shared" ca="1" si="21"/>
        <v>67.986502872523914</v>
      </c>
      <c r="C502" s="801">
        <f t="shared" ca="1" si="22"/>
        <v>4</v>
      </c>
      <c r="K502" s="786"/>
    </row>
    <row r="503" spans="1:11" x14ac:dyDescent="0.3">
      <c r="A503" s="800">
        <v>486</v>
      </c>
      <c r="B503" s="571">
        <f t="shared" ca="1" si="21"/>
        <v>53.475808549248903</v>
      </c>
      <c r="C503" s="801">
        <f t="shared" ca="1" si="22"/>
        <v>3</v>
      </c>
      <c r="K503" s="786"/>
    </row>
    <row r="504" spans="1:11" x14ac:dyDescent="0.3">
      <c r="A504" s="800">
        <v>487</v>
      </c>
      <c r="B504" s="571">
        <f t="shared" ca="1" si="21"/>
        <v>16.947823753197287</v>
      </c>
      <c r="C504" s="801">
        <f t="shared" ca="1" si="22"/>
        <v>2</v>
      </c>
      <c r="K504" s="786"/>
    </row>
    <row r="505" spans="1:11" x14ac:dyDescent="0.3">
      <c r="A505" s="800">
        <v>488</v>
      </c>
      <c r="B505" s="571">
        <f t="shared" ca="1" si="21"/>
        <v>20.238894879135614</v>
      </c>
      <c r="C505" s="801">
        <f t="shared" ca="1" si="22"/>
        <v>2</v>
      </c>
      <c r="K505" s="786"/>
    </row>
    <row r="506" spans="1:11" x14ac:dyDescent="0.3">
      <c r="A506" s="800">
        <v>489</v>
      </c>
      <c r="B506" s="571">
        <f t="shared" ca="1" si="21"/>
        <v>69.934674392536564</v>
      </c>
      <c r="C506" s="801">
        <f t="shared" ca="1" si="22"/>
        <v>4</v>
      </c>
      <c r="K506" s="786"/>
    </row>
    <row r="507" spans="1:11" x14ac:dyDescent="0.3">
      <c r="A507" s="800">
        <v>490</v>
      </c>
      <c r="B507" s="571">
        <f t="shared" ca="1" si="21"/>
        <v>39.144624694129085</v>
      </c>
      <c r="C507" s="801">
        <f t="shared" ca="1" si="22"/>
        <v>3</v>
      </c>
      <c r="K507" s="786"/>
    </row>
    <row r="508" spans="1:11" x14ac:dyDescent="0.3">
      <c r="A508" s="800">
        <v>491</v>
      </c>
      <c r="B508" s="571">
        <f t="shared" ca="1" si="21"/>
        <v>30.342222499564752</v>
      </c>
      <c r="C508" s="801">
        <f t="shared" ca="1" si="22"/>
        <v>2</v>
      </c>
      <c r="K508" s="786"/>
    </row>
    <row r="509" spans="1:11" x14ac:dyDescent="0.3">
      <c r="A509" s="800">
        <v>492</v>
      </c>
      <c r="B509" s="571">
        <f t="shared" ca="1" si="21"/>
        <v>8.0725317809333568</v>
      </c>
      <c r="C509" s="801">
        <f t="shared" ca="1" si="22"/>
        <v>1</v>
      </c>
      <c r="K509" s="786"/>
    </row>
    <row r="510" spans="1:11" x14ac:dyDescent="0.3">
      <c r="A510" s="800">
        <v>493</v>
      </c>
      <c r="B510" s="571">
        <f t="shared" ca="1" si="21"/>
        <v>12.231131960276532</v>
      </c>
      <c r="C510" s="801">
        <f t="shared" ca="1" si="22"/>
        <v>1</v>
      </c>
      <c r="K510" s="786"/>
    </row>
    <row r="511" spans="1:11" x14ac:dyDescent="0.3">
      <c r="A511" s="800">
        <v>494</v>
      </c>
      <c r="B511" s="571">
        <f t="shared" ca="1" si="21"/>
        <v>70.351074924353355</v>
      </c>
      <c r="C511" s="801">
        <f t="shared" ca="1" si="22"/>
        <v>4</v>
      </c>
      <c r="K511" s="786"/>
    </row>
    <row r="512" spans="1:11" x14ac:dyDescent="0.3">
      <c r="A512" s="800">
        <v>495</v>
      </c>
      <c r="B512" s="571">
        <f t="shared" ca="1" si="21"/>
        <v>7.1645965758005969</v>
      </c>
      <c r="C512" s="801">
        <f t="shared" ca="1" si="22"/>
        <v>1</v>
      </c>
      <c r="K512" s="786"/>
    </row>
    <row r="513" spans="1:11" x14ac:dyDescent="0.3">
      <c r="A513" s="800">
        <v>496</v>
      </c>
      <c r="B513" s="571">
        <f t="shared" ca="1" si="21"/>
        <v>29.558112236063604</v>
      </c>
      <c r="C513" s="801">
        <f t="shared" ca="1" si="22"/>
        <v>2</v>
      </c>
      <c r="K513" s="786"/>
    </row>
    <row r="514" spans="1:11" x14ac:dyDescent="0.3">
      <c r="A514" s="800">
        <v>497</v>
      </c>
      <c r="B514" s="571">
        <f t="shared" ca="1" si="21"/>
        <v>71.048014062373099</v>
      </c>
      <c r="C514" s="801">
        <f t="shared" ca="1" si="22"/>
        <v>4</v>
      </c>
      <c r="K514" s="786"/>
    </row>
    <row r="515" spans="1:11" x14ac:dyDescent="0.3">
      <c r="A515" s="800">
        <v>498</v>
      </c>
      <c r="B515" s="571">
        <f t="shared" ca="1" si="21"/>
        <v>33.032571120459529</v>
      </c>
      <c r="C515" s="801">
        <f t="shared" ca="1" si="22"/>
        <v>2</v>
      </c>
      <c r="K515" s="786"/>
    </row>
    <row r="516" spans="1:11" x14ac:dyDescent="0.3">
      <c r="A516" s="800">
        <v>499</v>
      </c>
      <c r="B516" s="571">
        <f t="shared" ca="1" si="21"/>
        <v>93.955146496324716</v>
      </c>
      <c r="C516" s="801">
        <f t="shared" ca="1" si="22"/>
        <v>5</v>
      </c>
      <c r="K516" s="786"/>
    </row>
    <row r="517" spans="1:11" x14ac:dyDescent="0.3">
      <c r="A517" s="800">
        <v>500</v>
      </c>
      <c r="B517" s="571">
        <f t="shared" ca="1" si="21"/>
        <v>74.923612134941649</v>
      </c>
      <c r="C517" s="801">
        <f t="shared" ca="1" si="22"/>
        <v>4</v>
      </c>
      <c r="K517" s="786"/>
    </row>
    <row r="518" spans="1:11" x14ac:dyDescent="0.3">
      <c r="A518" s="800">
        <v>501</v>
      </c>
      <c r="B518" s="571">
        <f t="shared" ca="1" si="21"/>
        <v>12.130130089924551</v>
      </c>
      <c r="C518" s="801">
        <f t="shared" ca="1" si="22"/>
        <v>1</v>
      </c>
      <c r="K518" s="786"/>
    </row>
    <row r="519" spans="1:11" x14ac:dyDescent="0.3">
      <c r="A519" s="800">
        <v>502</v>
      </c>
      <c r="B519" s="571">
        <f t="shared" ca="1" si="21"/>
        <v>62.620270772009292</v>
      </c>
      <c r="C519" s="801">
        <f t="shared" ca="1" si="22"/>
        <v>3</v>
      </c>
      <c r="K519" s="786"/>
    </row>
    <row r="520" spans="1:11" x14ac:dyDescent="0.3">
      <c r="A520" s="800">
        <v>503</v>
      </c>
      <c r="B520" s="571">
        <f t="shared" ca="1" si="21"/>
        <v>88.216739187067901</v>
      </c>
      <c r="C520" s="801">
        <f t="shared" ca="1" si="22"/>
        <v>5</v>
      </c>
      <c r="K520" s="786"/>
    </row>
    <row r="521" spans="1:11" x14ac:dyDescent="0.3">
      <c r="A521" s="800">
        <v>504</v>
      </c>
      <c r="B521" s="571">
        <f t="shared" ca="1" si="21"/>
        <v>23.967568409463791</v>
      </c>
      <c r="C521" s="801">
        <f t="shared" ca="1" si="22"/>
        <v>2</v>
      </c>
      <c r="K521" s="786"/>
    </row>
    <row r="522" spans="1:11" x14ac:dyDescent="0.3">
      <c r="A522" s="800">
        <v>505</v>
      </c>
      <c r="B522" s="571">
        <f t="shared" ca="1" si="21"/>
        <v>39.689842591615566</v>
      </c>
      <c r="C522" s="801">
        <f t="shared" ca="1" si="22"/>
        <v>3</v>
      </c>
      <c r="K522" s="786"/>
    </row>
    <row r="523" spans="1:11" x14ac:dyDescent="0.3">
      <c r="A523" s="800">
        <v>506</v>
      </c>
      <c r="B523" s="571">
        <f t="shared" ca="1" si="21"/>
        <v>16.301188938980392</v>
      </c>
      <c r="C523" s="801">
        <f t="shared" ca="1" si="22"/>
        <v>2</v>
      </c>
      <c r="K523" s="786"/>
    </row>
    <row r="524" spans="1:11" x14ac:dyDescent="0.3">
      <c r="A524" s="800">
        <v>507</v>
      </c>
      <c r="B524" s="571">
        <f t="shared" ca="1" si="21"/>
        <v>31.60083533770328</v>
      </c>
      <c r="C524" s="801">
        <f t="shared" ca="1" si="22"/>
        <v>2</v>
      </c>
      <c r="K524" s="786"/>
    </row>
    <row r="525" spans="1:11" x14ac:dyDescent="0.3">
      <c r="A525" s="800">
        <v>508</v>
      </c>
      <c r="B525" s="571">
        <f t="shared" ca="1" si="21"/>
        <v>27.838737913766231</v>
      </c>
      <c r="C525" s="801">
        <f t="shared" ca="1" si="22"/>
        <v>2</v>
      </c>
      <c r="K525" s="786"/>
    </row>
    <row r="526" spans="1:11" x14ac:dyDescent="0.3">
      <c r="A526" s="800">
        <v>509</v>
      </c>
      <c r="B526" s="571">
        <f t="shared" ca="1" si="21"/>
        <v>5.0365756051530042</v>
      </c>
      <c r="C526" s="801">
        <f t="shared" ca="1" si="22"/>
        <v>1</v>
      </c>
      <c r="K526" s="786"/>
    </row>
    <row r="527" spans="1:11" x14ac:dyDescent="0.3">
      <c r="A527" s="800">
        <v>510</v>
      </c>
      <c r="B527" s="571">
        <f t="shared" ca="1" si="21"/>
        <v>42.054812073313606</v>
      </c>
      <c r="C527" s="801">
        <f t="shared" ca="1" si="22"/>
        <v>3</v>
      </c>
      <c r="K527" s="786"/>
    </row>
    <row r="528" spans="1:11" x14ac:dyDescent="0.3">
      <c r="A528" s="800">
        <v>511</v>
      </c>
      <c r="B528" s="571">
        <f t="shared" ca="1" si="21"/>
        <v>51.042324619432165</v>
      </c>
      <c r="C528" s="801">
        <f t="shared" ca="1" si="22"/>
        <v>3</v>
      </c>
      <c r="K528" s="786"/>
    </row>
    <row r="529" spans="1:11" x14ac:dyDescent="0.3">
      <c r="A529" s="800">
        <v>512</v>
      </c>
      <c r="B529" s="571">
        <f t="shared" ca="1" si="21"/>
        <v>25.234850989415513</v>
      </c>
      <c r="C529" s="801">
        <f t="shared" ca="1" si="22"/>
        <v>2</v>
      </c>
      <c r="K529" s="786"/>
    </row>
    <row r="530" spans="1:11" x14ac:dyDescent="0.3">
      <c r="A530" s="800">
        <v>513</v>
      </c>
      <c r="B530" s="571">
        <f t="shared" ca="1" si="21"/>
        <v>9.8861538299926046</v>
      </c>
      <c r="C530" s="801">
        <f t="shared" ca="1" si="22"/>
        <v>1</v>
      </c>
      <c r="K530" s="786"/>
    </row>
    <row r="531" spans="1:11" x14ac:dyDescent="0.3">
      <c r="A531" s="800">
        <v>514</v>
      </c>
      <c r="B531" s="571">
        <f t="shared" ref="B531:B594" ca="1" si="23">100*RAND()</f>
        <v>30.319539754841461</v>
      </c>
      <c r="C531" s="801">
        <f t="shared" ref="C531:C594" ca="1" si="24">VLOOKUP(B531,$A$8:$C$13,3)</f>
        <v>2</v>
      </c>
      <c r="K531" s="786"/>
    </row>
    <row r="532" spans="1:11" x14ac:dyDescent="0.3">
      <c r="A532" s="800">
        <v>515</v>
      </c>
      <c r="B532" s="571">
        <f t="shared" ca="1" si="23"/>
        <v>2.8565666290225611E-2</v>
      </c>
      <c r="C532" s="801">
        <f t="shared" ca="1" si="24"/>
        <v>0</v>
      </c>
      <c r="K532" s="786"/>
    </row>
    <row r="533" spans="1:11" x14ac:dyDescent="0.3">
      <c r="A533" s="800">
        <v>516</v>
      </c>
      <c r="B533" s="571">
        <f t="shared" ca="1" si="23"/>
        <v>57.374234815884272</v>
      </c>
      <c r="C533" s="801">
        <f t="shared" ca="1" si="24"/>
        <v>3</v>
      </c>
      <c r="K533" s="786"/>
    </row>
    <row r="534" spans="1:11" x14ac:dyDescent="0.3">
      <c r="A534" s="800">
        <v>517</v>
      </c>
      <c r="B534" s="571">
        <f t="shared" ca="1" si="23"/>
        <v>71.103294107090449</v>
      </c>
      <c r="C534" s="801">
        <f t="shared" ca="1" si="24"/>
        <v>4</v>
      </c>
      <c r="K534" s="786"/>
    </row>
    <row r="535" spans="1:11" x14ac:dyDescent="0.3">
      <c r="A535" s="800">
        <v>518</v>
      </c>
      <c r="B535" s="571">
        <f t="shared" ca="1" si="23"/>
        <v>83.640469896693403</v>
      </c>
      <c r="C535" s="801">
        <f t="shared" ca="1" si="24"/>
        <v>4</v>
      </c>
      <c r="K535" s="786"/>
    </row>
    <row r="536" spans="1:11" x14ac:dyDescent="0.3">
      <c r="A536" s="800">
        <v>519</v>
      </c>
      <c r="B536" s="571">
        <f t="shared" ca="1" si="23"/>
        <v>33.710350631183772</v>
      </c>
      <c r="C536" s="801">
        <f t="shared" ca="1" si="24"/>
        <v>2</v>
      </c>
      <c r="K536" s="786"/>
    </row>
    <row r="537" spans="1:11" x14ac:dyDescent="0.3">
      <c r="A537" s="800">
        <v>520</v>
      </c>
      <c r="B537" s="571">
        <f t="shared" ca="1" si="23"/>
        <v>4.7549526194062057</v>
      </c>
      <c r="C537" s="801">
        <f t="shared" ca="1" si="24"/>
        <v>0</v>
      </c>
      <c r="K537" s="786"/>
    </row>
    <row r="538" spans="1:11" x14ac:dyDescent="0.3">
      <c r="A538" s="800">
        <v>521</v>
      </c>
      <c r="B538" s="571">
        <f t="shared" ca="1" si="23"/>
        <v>2.2543510433594371</v>
      </c>
      <c r="C538" s="801">
        <f t="shared" ca="1" si="24"/>
        <v>0</v>
      </c>
      <c r="K538" s="786"/>
    </row>
    <row r="539" spans="1:11" x14ac:dyDescent="0.3">
      <c r="A539" s="800">
        <v>522</v>
      </c>
      <c r="B539" s="571">
        <f t="shared" ca="1" si="23"/>
        <v>1.6517252628455048</v>
      </c>
      <c r="C539" s="801">
        <f t="shared" ca="1" si="24"/>
        <v>0</v>
      </c>
      <c r="K539" s="786"/>
    </row>
    <row r="540" spans="1:11" x14ac:dyDescent="0.3">
      <c r="A540" s="800">
        <v>523</v>
      </c>
      <c r="B540" s="571">
        <f t="shared" ca="1" si="23"/>
        <v>35.982841956534251</v>
      </c>
      <c r="C540" s="801">
        <f t="shared" ca="1" si="24"/>
        <v>3</v>
      </c>
      <c r="K540" s="786"/>
    </row>
    <row r="541" spans="1:11" x14ac:dyDescent="0.3">
      <c r="A541" s="800">
        <v>524</v>
      </c>
      <c r="B541" s="571">
        <f t="shared" ca="1" si="23"/>
        <v>52.135305973843124</v>
      </c>
      <c r="C541" s="801">
        <f t="shared" ca="1" si="24"/>
        <v>3</v>
      </c>
      <c r="K541" s="786"/>
    </row>
    <row r="542" spans="1:11" x14ac:dyDescent="0.3">
      <c r="A542" s="800">
        <v>525</v>
      </c>
      <c r="B542" s="571">
        <f t="shared" ca="1" si="23"/>
        <v>23.771577838670911</v>
      </c>
      <c r="C542" s="801">
        <f t="shared" ca="1" si="24"/>
        <v>2</v>
      </c>
      <c r="K542" s="786"/>
    </row>
    <row r="543" spans="1:11" x14ac:dyDescent="0.3">
      <c r="A543" s="800">
        <v>526</v>
      </c>
      <c r="B543" s="571">
        <f t="shared" ca="1" si="23"/>
        <v>48.445410964536897</v>
      </c>
      <c r="C543" s="801">
        <f t="shared" ca="1" si="24"/>
        <v>3</v>
      </c>
      <c r="K543" s="786"/>
    </row>
    <row r="544" spans="1:11" x14ac:dyDescent="0.3">
      <c r="A544" s="800">
        <v>527</v>
      </c>
      <c r="B544" s="571">
        <f t="shared" ca="1" si="23"/>
        <v>38.693743965931802</v>
      </c>
      <c r="C544" s="801">
        <f t="shared" ca="1" si="24"/>
        <v>3</v>
      </c>
      <c r="K544" s="786"/>
    </row>
    <row r="545" spans="1:11" x14ac:dyDescent="0.3">
      <c r="A545" s="800">
        <v>528</v>
      </c>
      <c r="B545" s="571">
        <f t="shared" ca="1" si="23"/>
        <v>42.5895293984196</v>
      </c>
      <c r="C545" s="801">
        <f t="shared" ca="1" si="24"/>
        <v>3</v>
      </c>
      <c r="K545" s="786"/>
    </row>
    <row r="546" spans="1:11" x14ac:dyDescent="0.3">
      <c r="A546" s="800">
        <v>529</v>
      </c>
      <c r="B546" s="571">
        <f t="shared" ca="1" si="23"/>
        <v>80.909625963654307</v>
      </c>
      <c r="C546" s="801">
        <f t="shared" ca="1" si="24"/>
        <v>4</v>
      </c>
      <c r="K546" s="786"/>
    </row>
    <row r="547" spans="1:11" x14ac:dyDescent="0.3">
      <c r="A547" s="800">
        <v>530</v>
      </c>
      <c r="B547" s="571">
        <f t="shared" ca="1" si="23"/>
        <v>58.803286161179493</v>
      </c>
      <c r="C547" s="801">
        <f t="shared" ca="1" si="24"/>
        <v>3</v>
      </c>
      <c r="K547" s="786"/>
    </row>
    <row r="548" spans="1:11" x14ac:dyDescent="0.3">
      <c r="A548" s="800">
        <v>531</v>
      </c>
      <c r="B548" s="571">
        <f t="shared" ca="1" si="23"/>
        <v>80.320068155801877</v>
      </c>
      <c r="C548" s="801">
        <f t="shared" ca="1" si="24"/>
        <v>4</v>
      </c>
      <c r="K548" s="786"/>
    </row>
    <row r="549" spans="1:11" x14ac:dyDescent="0.3">
      <c r="A549" s="800">
        <v>532</v>
      </c>
      <c r="B549" s="571">
        <f t="shared" ca="1" si="23"/>
        <v>52.50522500946213</v>
      </c>
      <c r="C549" s="801">
        <f t="shared" ca="1" si="24"/>
        <v>3</v>
      </c>
      <c r="K549" s="786"/>
    </row>
    <row r="550" spans="1:11" x14ac:dyDescent="0.3">
      <c r="A550" s="800">
        <v>533</v>
      </c>
      <c r="B550" s="571">
        <f t="shared" ca="1" si="23"/>
        <v>0.66874828910896689</v>
      </c>
      <c r="C550" s="801">
        <f t="shared" ca="1" si="24"/>
        <v>0</v>
      </c>
      <c r="K550" s="786"/>
    </row>
    <row r="551" spans="1:11" x14ac:dyDescent="0.3">
      <c r="A551" s="800">
        <v>534</v>
      </c>
      <c r="B551" s="571">
        <f t="shared" ca="1" si="23"/>
        <v>8.5967191386889681</v>
      </c>
      <c r="C551" s="801">
        <f t="shared" ca="1" si="24"/>
        <v>1</v>
      </c>
      <c r="K551" s="786"/>
    </row>
    <row r="552" spans="1:11" x14ac:dyDescent="0.3">
      <c r="A552" s="800">
        <v>535</v>
      </c>
      <c r="B552" s="571">
        <f t="shared" ca="1" si="23"/>
        <v>63.531680851217722</v>
      </c>
      <c r="C552" s="801">
        <f t="shared" ca="1" si="24"/>
        <v>3</v>
      </c>
      <c r="K552" s="786"/>
    </row>
    <row r="553" spans="1:11" x14ac:dyDescent="0.3">
      <c r="A553" s="800">
        <v>536</v>
      </c>
      <c r="B553" s="571">
        <f t="shared" ca="1" si="23"/>
        <v>96.419554585689255</v>
      </c>
      <c r="C553" s="801">
        <f t="shared" ca="1" si="24"/>
        <v>5</v>
      </c>
      <c r="K553" s="786"/>
    </row>
    <row r="554" spans="1:11" x14ac:dyDescent="0.3">
      <c r="A554" s="800">
        <v>537</v>
      </c>
      <c r="B554" s="571">
        <f t="shared" ca="1" si="23"/>
        <v>77.112842093183076</v>
      </c>
      <c r="C554" s="801">
        <f t="shared" ca="1" si="24"/>
        <v>4</v>
      </c>
      <c r="K554" s="786"/>
    </row>
    <row r="555" spans="1:11" x14ac:dyDescent="0.3">
      <c r="A555" s="800">
        <v>538</v>
      </c>
      <c r="B555" s="571">
        <f t="shared" ca="1" si="23"/>
        <v>25.41291188799163</v>
      </c>
      <c r="C555" s="801">
        <f t="shared" ca="1" si="24"/>
        <v>2</v>
      </c>
      <c r="K555" s="786"/>
    </row>
    <row r="556" spans="1:11" x14ac:dyDescent="0.3">
      <c r="A556" s="800">
        <v>539</v>
      </c>
      <c r="B556" s="571">
        <f t="shared" ca="1" si="23"/>
        <v>30.383968348550983</v>
      </c>
      <c r="C556" s="801">
        <f t="shared" ca="1" si="24"/>
        <v>2</v>
      </c>
      <c r="K556" s="786"/>
    </row>
    <row r="557" spans="1:11" x14ac:dyDescent="0.3">
      <c r="A557" s="800">
        <v>540</v>
      </c>
      <c r="B557" s="571">
        <f t="shared" ca="1" si="23"/>
        <v>35.35999064519698</v>
      </c>
      <c r="C557" s="801">
        <f t="shared" ca="1" si="24"/>
        <v>3</v>
      </c>
      <c r="K557" s="786"/>
    </row>
    <row r="558" spans="1:11" x14ac:dyDescent="0.3">
      <c r="A558" s="800">
        <v>541</v>
      </c>
      <c r="B558" s="571">
        <f t="shared" ca="1" si="23"/>
        <v>31.905429174309962</v>
      </c>
      <c r="C558" s="801">
        <f t="shared" ca="1" si="24"/>
        <v>2</v>
      </c>
      <c r="K558" s="786"/>
    </row>
    <row r="559" spans="1:11" x14ac:dyDescent="0.3">
      <c r="A559" s="800">
        <v>542</v>
      </c>
      <c r="B559" s="571">
        <f t="shared" ca="1" si="23"/>
        <v>17.873621215345302</v>
      </c>
      <c r="C559" s="801">
        <f t="shared" ca="1" si="24"/>
        <v>2</v>
      </c>
      <c r="K559" s="786"/>
    </row>
    <row r="560" spans="1:11" x14ac:dyDescent="0.3">
      <c r="A560" s="800">
        <v>543</v>
      </c>
      <c r="B560" s="571">
        <f t="shared" ca="1" si="23"/>
        <v>54.827661921287152</v>
      </c>
      <c r="C560" s="801">
        <f t="shared" ca="1" si="24"/>
        <v>3</v>
      </c>
      <c r="K560" s="786"/>
    </row>
    <row r="561" spans="1:11" x14ac:dyDescent="0.3">
      <c r="A561" s="800">
        <v>544</v>
      </c>
      <c r="B561" s="571">
        <f t="shared" ca="1" si="23"/>
        <v>66.564672012415855</v>
      </c>
      <c r="C561" s="801">
        <f t="shared" ca="1" si="24"/>
        <v>4</v>
      </c>
      <c r="K561" s="786"/>
    </row>
    <row r="562" spans="1:11" x14ac:dyDescent="0.3">
      <c r="A562" s="800">
        <v>545</v>
      </c>
      <c r="B562" s="571">
        <f t="shared" ca="1" si="23"/>
        <v>86.075476807692809</v>
      </c>
      <c r="C562" s="801">
        <f t="shared" ca="1" si="24"/>
        <v>5</v>
      </c>
      <c r="K562" s="786"/>
    </row>
    <row r="563" spans="1:11" x14ac:dyDescent="0.3">
      <c r="A563" s="800">
        <v>546</v>
      </c>
      <c r="B563" s="571">
        <f t="shared" ca="1" si="23"/>
        <v>47.3104725641074</v>
      </c>
      <c r="C563" s="801">
        <f t="shared" ca="1" si="24"/>
        <v>3</v>
      </c>
      <c r="K563" s="786"/>
    </row>
    <row r="564" spans="1:11" x14ac:dyDescent="0.3">
      <c r="A564" s="800">
        <v>547</v>
      </c>
      <c r="B564" s="571">
        <f t="shared" ca="1" si="23"/>
        <v>7.0370155302539423</v>
      </c>
      <c r="C564" s="801">
        <f t="shared" ca="1" si="24"/>
        <v>1</v>
      </c>
      <c r="K564" s="786"/>
    </row>
    <row r="565" spans="1:11" x14ac:dyDescent="0.3">
      <c r="A565" s="800">
        <v>548</v>
      </c>
      <c r="B565" s="571">
        <f t="shared" ca="1" si="23"/>
        <v>4.7723078498783433</v>
      </c>
      <c r="C565" s="801">
        <f t="shared" ca="1" si="24"/>
        <v>0</v>
      </c>
      <c r="K565" s="786"/>
    </row>
    <row r="566" spans="1:11" x14ac:dyDescent="0.3">
      <c r="A566" s="800">
        <v>549</v>
      </c>
      <c r="B566" s="571">
        <f t="shared" ca="1" si="23"/>
        <v>81.268786877419856</v>
      </c>
      <c r="C566" s="801">
        <f t="shared" ca="1" si="24"/>
        <v>4</v>
      </c>
      <c r="K566" s="786"/>
    </row>
    <row r="567" spans="1:11" x14ac:dyDescent="0.3">
      <c r="A567" s="800">
        <v>550</v>
      </c>
      <c r="B567" s="571">
        <f t="shared" ca="1" si="23"/>
        <v>97.208251397956133</v>
      </c>
      <c r="C567" s="801">
        <f t="shared" ca="1" si="24"/>
        <v>5</v>
      </c>
      <c r="K567" s="786"/>
    </row>
    <row r="568" spans="1:11" x14ac:dyDescent="0.3">
      <c r="A568" s="800">
        <v>551</v>
      </c>
      <c r="B568" s="571">
        <f t="shared" ca="1" si="23"/>
        <v>35.427661401276836</v>
      </c>
      <c r="C568" s="801">
        <f t="shared" ca="1" si="24"/>
        <v>3</v>
      </c>
      <c r="K568" s="786"/>
    </row>
    <row r="569" spans="1:11" x14ac:dyDescent="0.3">
      <c r="A569" s="800">
        <v>552</v>
      </c>
      <c r="B569" s="571">
        <f t="shared" ca="1" si="23"/>
        <v>62.084449771661696</v>
      </c>
      <c r="C569" s="801">
        <f t="shared" ca="1" si="24"/>
        <v>3</v>
      </c>
      <c r="K569" s="786"/>
    </row>
    <row r="570" spans="1:11" x14ac:dyDescent="0.3">
      <c r="A570" s="800">
        <v>553</v>
      </c>
      <c r="B570" s="571">
        <f t="shared" ca="1" si="23"/>
        <v>3.0263951329634553</v>
      </c>
      <c r="C570" s="801">
        <f t="shared" ca="1" si="24"/>
        <v>0</v>
      </c>
      <c r="K570" s="786"/>
    </row>
    <row r="571" spans="1:11" x14ac:dyDescent="0.3">
      <c r="A571" s="800">
        <v>554</v>
      </c>
      <c r="B571" s="571">
        <f t="shared" ca="1" si="23"/>
        <v>32.316750846828889</v>
      </c>
      <c r="C571" s="801">
        <f t="shared" ca="1" si="24"/>
        <v>2</v>
      </c>
      <c r="K571" s="786"/>
    </row>
    <row r="572" spans="1:11" x14ac:dyDescent="0.3">
      <c r="A572" s="800">
        <v>555</v>
      </c>
      <c r="B572" s="571">
        <f t="shared" ca="1" si="23"/>
        <v>92.354284904231164</v>
      </c>
      <c r="C572" s="801">
        <f t="shared" ca="1" si="24"/>
        <v>5</v>
      </c>
      <c r="K572" s="786"/>
    </row>
    <row r="573" spans="1:11" x14ac:dyDescent="0.3">
      <c r="A573" s="800">
        <v>556</v>
      </c>
      <c r="B573" s="571">
        <f t="shared" ca="1" si="23"/>
        <v>6.9510136198279282</v>
      </c>
      <c r="C573" s="801">
        <f t="shared" ca="1" si="24"/>
        <v>1</v>
      </c>
      <c r="K573" s="786"/>
    </row>
    <row r="574" spans="1:11" x14ac:dyDescent="0.3">
      <c r="A574" s="800">
        <v>557</v>
      </c>
      <c r="B574" s="571">
        <f t="shared" ca="1" si="23"/>
        <v>86.728228344329167</v>
      </c>
      <c r="C574" s="801">
        <f t="shared" ca="1" si="24"/>
        <v>5</v>
      </c>
      <c r="K574" s="786"/>
    </row>
    <row r="575" spans="1:11" x14ac:dyDescent="0.3">
      <c r="A575" s="800">
        <v>558</v>
      </c>
      <c r="B575" s="571">
        <f t="shared" ca="1" si="23"/>
        <v>98.696479802399651</v>
      </c>
      <c r="C575" s="801">
        <f t="shared" ca="1" si="24"/>
        <v>5</v>
      </c>
      <c r="K575" s="786"/>
    </row>
    <row r="576" spans="1:11" x14ac:dyDescent="0.3">
      <c r="A576" s="800">
        <v>559</v>
      </c>
      <c r="B576" s="571">
        <f t="shared" ca="1" si="23"/>
        <v>68.609857095317281</v>
      </c>
      <c r="C576" s="801">
        <f t="shared" ca="1" si="24"/>
        <v>4</v>
      </c>
      <c r="K576" s="786"/>
    </row>
    <row r="577" spans="1:11" x14ac:dyDescent="0.3">
      <c r="A577" s="800">
        <v>560</v>
      </c>
      <c r="B577" s="571">
        <f t="shared" ca="1" si="23"/>
        <v>63.08185909883035</v>
      </c>
      <c r="C577" s="801">
        <f t="shared" ca="1" si="24"/>
        <v>3</v>
      </c>
      <c r="K577" s="786"/>
    </row>
    <row r="578" spans="1:11" x14ac:dyDescent="0.3">
      <c r="A578" s="800">
        <v>561</v>
      </c>
      <c r="B578" s="571">
        <f t="shared" ca="1" si="23"/>
        <v>22.576457490521751</v>
      </c>
      <c r="C578" s="801">
        <f t="shared" ca="1" si="24"/>
        <v>2</v>
      </c>
      <c r="K578" s="786"/>
    </row>
    <row r="579" spans="1:11" x14ac:dyDescent="0.3">
      <c r="A579" s="800">
        <v>562</v>
      </c>
      <c r="B579" s="571">
        <f t="shared" ca="1" si="23"/>
        <v>77.353157039745867</v>
      </c>
      <c r="C579" s="801">
        <f t="shared" ca="1" si="24"/>
        <v>4</v>
      </c>
      <c r="K579" s="786"/>
    </row>
    <row r="580" spans="1:11" x14ac:dyDescent="0.3">
      <c r="A580" s="800">
        <v>563</v>
      </c>
      <c r="B580" s="571">
        <f t="shared" ca="1" si="23"/>
        <v>27.783772433187359</v>
      </c>
      <c r="C580" s="801">
        <f t="shared" ca="1" si="24"/>
        <v>2</v>
      </c>
      <c r="K580" s="786"/>
    </row>
    <row r="581" spans="1:11" x14ac:dyDescent="0.3">
      <c r="A581" s="800">
        <v>564</v>
      </c>
      <c r="B581" s="571">
        <f t="shared" ca="1" si="23"/>
        <v>33.310125526242921</v>
      </c>
      <c r="C581" s="801">
        <f t="shared" ca="1" si="24"/>
        <v>2</v>
      </c>
      <c r="K581" s="786"/>
    </row>
    <row r="582" spans="1:11" x14ac:dyDescent="0.3">
      <c r="A582" s="800">
        <v>565</v>
      </c>
      <c r="B582" s="571">
        <f t="shared" ca="1" si="23"/>
        <v>95.053106545677323</v>
      </c>
      <c r="C582" s="801">
        <f t="shared" ca="1" si="24"/>
        <v>5</v>
      </c>
      <c r="K582" s="786"/>
    </row>
    <row r="583" spans="1:11" x14ac:dyDescent="0.3">
      <c r="A583" s="800">
        <v>566</v>
      </c>
      <c r="B583" s="571">
        <f t="shared" ca="1" si="23"/>
        <v>19.330292820969596</v>
      </c>
      <c r="C583" s="801">
        <f t="shared" ca="1" si="24"/>
        <v>2</v>
      </c>
      <c r="K583" s="786"/>
    </row>
    <row r="584" spans="1:11" x14ac:dyDescent="0.3">
      <c r="A584" s="800">
        <v>567</v>
      </c>
      <c r="B584" s="571">
        <f t="shared" ca="1" si="23"/>
        <v>42.224900504268305</v>
      </c>
      <c r="C584" s="801">
        <f t="shared" ca="1" si="24"/>
        <v>3</v>
      </c>
      <c r="K584" s="786"/>
    </row>
    <row r="585" spans="1:11" x14ac:dyDescent="0.3">
      <c r="A585" s="800">
        <v>568</v>
      </c>
      <c r="B585" s="571">
        <f t="shared" ca="1" si="23"/>
        <v>11.550557175724773</v>
      </c>
      <c r="C585" s="801">
        <f t="shared" ca="1" si="24"/>
        <v>1</v>
      </c>
      <c r="K585" s="786"/>
    </row>
    <row r="586" spans="1:11" x14ac:dyDescent="0.3">
      <c r="A586" s="800">
        <v>569</v>
      </c>
      <c r="B586" s="571">
        <f t="shared" ca="1" si="23"/>
        <v>8.6644331390454905</v>
      </c>
      <c r="C586" s="801">
        <f t="shared" ca="1" si="24"/>
        <v>1</v>
      </c>
      <c r="K586" s="786"/>
    </row>
    <row r="587" spans="1:11" x14ac:dyDescent="0.3">
      <c r="A587" s="800">
        <v>570</v>
      </c>
      <c r="B587" s="571">
        <f t="shared" ca="1" si="23"/>
        <v>54.612559220744004</v>
      </c>
      <c r="C587" s="801">
        <f t="shared" ca="1" si="24"/>
        <v>3</v>
      </c>
      <c r="K587" s="786"/>
    </row>
    <row r="588" spans="1:11" x14ac:dyDescent="0.3">
      <c r="A588" s="800">
        <v>571</v>
      </c>
      <c r="B588" s="571">
        <f t="shared" ca="1" si="23"/>
        <v>73.85153873623166</v>
      </c>
      <c r="C588" s="801">
        <f t="shared" ca="1" si="24"/>
        <v>4</v>
      </c>
      <c r="K588" s="786"/>
    </row>
    <row r="589" spans="1:11" x14ac:dyDescent="0.3">
      <c r="A589" s="800">
        <v>572</v>
      </c>
      <c r="B589" s="571">
        <f t="shared" ca="1" si="23"/>
        <v>28.182165874195931</v>
      </c>
      <c r="C589" s="801">
        <f t="shared" ca="1" si="24"/>
        <v>2</v>
      </c>
      <c r="K589" s="786"/>
    </row>
    <row r="590" spans="1:11" x14ac:dyDescent="0.3">
      <c r="A590" s="800">
        <v>573</v>
      </c>
      <c r="B590" s="571">
        <f t="shared" ca="1" si="23"/>
        <v>50.401347613221191</v>
      </c>
      <c r="C590" s="801">
        <f t="shared" ca="1" si="24"/>
        <v>3</v>
      </c>
      <c r="K590" s="786"/>
    </row>
    <row r="591" spans="1:11" x14ac:dyDescent="0.3">
      <c r="A591" s="800">
        <v>574</v>
      </c>
      <c r="B591" s="571">
        <f t="shared" ca="1" si="23"/>
        <v>63.114160096260342</v>
      </c>
      <c r="C591" s="801">
        <f t="shared" ca="1" si="24"/>
        <v>3</v>
      </c>
      <c r="K591" s="786"/>
    </row>
    <row r="592" spans="1:11" x14ac:dyDescent="0.3">
      <c r="A592" s="800">
        <v>575</v>
      </c>
      <c r="B592" s="571">
        <f t="shared" ca="1" si="23"/>
        <v>61.852643661626459</v>
      </c>
      <c r="C592" s="801">
        <f t="shared" ca="1" si="24"/>
        <v>3</v>
      </c>
      <c r="K592" s="786"/>
    </row>
    <row r="593" spans="1:11" x14ac:dyDescent="0.3">
      <c r="A593" s="800">
        <v>576</v>
      </c>
      <c r="B593" s="571">
        <f t="shared" ca="1" si="23"/>
        <v>97.164932156524003</v>
      </c>
      <c r="C593" s="801">
        <f t="shared" ca="1" si="24"/>
        <v>5</v>
      </c>
      <c r="K593" s="786"/>
    </row>
    <row r="594" spans="1:11" x14ac:dyDescent="0.3">
      <c r="A594" s="800">
        <v>577</v>
      </c>
      <c r="B594" s="571">
        <f t="shared" ca="1" si="23"/>
        <v>10.086541594731624</v>
      </c>
      <c r="C594" s="801">
        <f t="shared" ca="1" si="24"/>
        <v>1</v>
      </c>
      <c r="K594" s="786"/>
    </row>
    <row r="595" spans="1:11" x14ac:dyDescent="0.3">
      <c r="A595" s="800">
        <v>578</v>
      </c>
      <c r="B595" s="571">
        <f t="shared" ref="B595:B658" ca="1" si="25">100*RAND()</f>
        <v>95.371449298394111</v>
      </c>
      <c r="C595" s="801">
        <f t="shared" ref="C595:C658" ca="1" si="26">VLOOKUP(B595,$A$8:$C$13,3)</f>
        <v>5</v>
      </c>
      <c r="K595" s="786"/>
    </row>
    <row r="596" spans="1:11" x14ac:dyDescent="0.3">
      <c r="A596" s="800">
        <v>579</v>
      </c>
      <c r="B596" s="571">
        <f t="shared" ca="1" si="25"/>
        <v>77.186386124327143</v>
      </c>
      <c r="C596" s="801">
        <f t="shared" ca="1" si="26"/>
        <v>4</v>
      </c>
      <c r="K596" s="786"/>
    </row>
    <row r="597" spans="1:11" x14ac:dyDescent="0.3">
      <c r="A597" s="800">
        <v>580</v>
      </c>
      <c r="B597" s="571">
        <f t="shared" ca="1" si="25"/>
        <v>69.849389067517961</v>
      </c>
      <c r="C597" s="801">
        <f t="shared" ca="1" si="26"/>
        <v>4</v>
      </c>
      <c r="K597" s="786"/>
    </row>
    <row r="598" spans="1:11" x14ac:dyDescent="0.3">
      <c r="A598" s="800">
        <v>581</v>
      </c>
      <c r="B598" s="571">
        <f t="shared" ca="1" si="25"/>
        <v>56.085260994215837</v>
      </c>
      <c r="C598" s="801">
        <f t="shared" ca="1" si="26"/>
        <v>3</v>
      </c>
      <c r="K598" s="786"/>
    </row>
    <row r="599" spans="1:11" x14ac:dyDescent="0.3">
      <c r="A599" s="800">
        <v>582</v>
      </c>
      <c r="B599" s="571">
        <f t="shared" ca="1" si="25"/>
        <v>29.534759996713277</v>
      </c>
      <c r="C599" s="801">
        <f t="shared" ca="1" si="26"/>
        <v>2</v>
      </c>
      <c r="K599" s="786"/>
    </row>
    <row r="600" spans="1:11" x14ac:dyDescent="0.3">
      <c r="A600" s="800">
        <v>583</v>
      </c>
      <c r="B600" s="571">
        <f t="shared" ca="1" si="25"/>
        <v>97.177881133374044</v>
      </c>
      <c r="C600" s="801">
        <f t="shared" ca="1" si="26"/>
        <v>5</v>
      </c>
      <c r="K600" s="786"/>
    </row>
    <row r="601" spans="1:11" x14ac:dyDescent="0.3">
      <c r="A601" s="800">
        <v>584</v>
      </c>
      <c r="B601" s="571">
        <f t="shared" ca="1" si="25"/>
        <v>84.809406314771138</v>
      </c>
      <c r="C601" s="801">
        <f t="shared" ca="1" si="26"/>
        <v>4</v>
      </c>
      <c r="K601" s="786"/>
    </row>
    <row r="602" spans="1:11" x14ac:dyDescent="0.3">
      <c r="A602" s="800">
        <v>585</v>
      </c>
      <c r="B602" s="571">
        <f t="shared" ca="1" si="25"/>
        <v>63.397842459564579</v>
      </c>
      <c r="C602" s="801">
        <f t="shared" ca="1" si="26"/>
        <v>3</v>
      </c>
      <c r="K602" s="786"/>
    </row>
    <row r="603" spans="1:11" x14ac:dyDescent="0.3">
      <c r="A603" s="800">
        <v>586</v>
      </c>
      <c r="B603" s="571">
        <f t="shared" ca="1" si="25"/>
        <v>90.825655057241789</v>
      </c>
      <c r="C603" s="801">
        <f t="shared" ca="1" si="26"/>
        <v>5</v>
      </c>
      <c r="K603" s="786"/>
    </row>
    <row r="604" spans="1:11" x14ac:dyDescent="0.3">
      <c r="A604" s="800">
        <v>587</v>
      </c>
      <c r="B604" s="571">
        <f t="shared" ca="1" si="25"/>
        <v>18.662939030405123</v>
      </c>
      <c r="C604" s="801">
        <f t="shared" ca="1" si="26"/>
        <v>2</v>
      </c>
      <c r="K604" s="786"/>
    </row>
    <row r="605" spans="1:11" x14ac:dyDescent="0.3">
      <c r="A605" s="800">
        <v>588</v>
      </c>
      <c r="B605" s="571">
        <f t="shared" ca="1" si="25"/>
        <v>3.9968794185757051</v>
      </c>
      <c r="C605" s="801">
        <f t="shared" ca="1" si="26"/>
        <v>0</v>
      </c>
      <c r="K605" s="786"/>
    </row>
    <row r="606" spans="1:11" x14ac:dyDescent="0.3">
      <c r="A606" s="800">
        <v>589</v>
      </c>
      <c r="B606" s="571">
        <f t="shared" ca="1" si="25"/>
        <v>54.06851632939469</v>
      </c>
      <c r="C606" s="801">
        <f t="shared" ca="1" si="26"/>
        <v>3</v>
      </c>
      <c r="K606" s="786"/>
    </row>
    <row r="607" spans="1:11" x14ac:dyDescent="0.3">
      <c r="A607" s="800">
        <v>590</v>
      </c>
      <c r="B607" s="571">
        <f t="shared" ca="1" si="25"/>
        <v>25.69480014536304</v>
      </c>
      <c r="C607" s="801">
        <f t="shared" ca="1" si="26"/>
        <v>2</v>
      </c>
      <c r="K607" s="786"/>
    </row>
    <row r="608" spans="1:11" x14ac:dyDescent="0.3">
      <c r="A608" s="800">
        <v>591</v>
      </c>
      <c r="B608" s="571">
        <f t="shared" ca="1" si="25"/>
        <v>79.157693941079771</v>
      </c>
      <c r="C608" s="801">
        <f t="shared" ca="1" si="26"/>
        <v>4</v>
      </c>
      <c r="K608" s="786"/>
    </row>
    <row r="609" spans="1:11" x14ac:dyDescent="0.3">
      <c r="A609" s="800">
        <v>592</v>
      </c>
      <c r="B609" s="571">
        <f t="shared" ca="1" si="25"/>
        <v>41.591901246544914</v>
      </c>
      <c r="C609" s="801">
        <f t="shared" ca="1" si="26"/>
        <v>3</v>
      </c>
      <c r="K609" s="786"/>
    </row>
    <row r="610" spans="1:11" x14ac:dyDescent="0.3">
      <c r="A610" s="800">
        <v>593</v>
      </c>
      <c r="B610" s="571">
        <f t="shared" ca="1" si="25"/>
        <v>32.149927351366905</v>
      </c>
      <c r="C610" s="801">
        <f t="shared" ca="1" si="26"/>
        <v>2</v>
      </c>
      <c r="K610" s="786"/>
    </row>
    <row r="611" spans="1:11" x14ac:dyDescent="0.3">
      <c r="A611" s="800">
        <v>594</v>
      </c>
      <c r="B611" s="571">
        <f t="shared" ca="1" si="25"/>
        <v>80.251202079765363</v>
      </c>
      <c r="C611" s="801">
        <f t="shared" ca="1" si="26"/>
        <v>4</v>
      </c>
      <c r="K611" s="786"/>
    </row>
    <row r="612" spans="1:11" x14ac:dyDescent="0.3">
      <c r="A612" s="800">
        <v>595</v>
      </c>
      <c r="B612" s="571">
        <f t="shared" ca="1" si="25"/>
        <v>92.859368361748352</v>
      </c>
      <c r="C612" s="801">
        <f t="shared" ca="1" si="26"/>
        <v>5</v>
      </c>
      <c r="K612" s="786"/>
    </row>
    <row r="613" spans="1:11" x14ac:dyDescent="0.3">
      <c r="A613" s="800">
        <v>596</v>
      </c>
      <c r="B613" s="571">
        <f t="shared" ca="1" si="25"/>
        <v>56.761296881244007</v>
      </c>
      <c r="C613" s="801">
        <f t="shared" ca="1" si="26"/>
        <v>3</v>
      </c>
      <c r="K613" s="786"/>
    </row>
    <row r="614" spans="1:11" x14ac:dyDescent="0.3">
      <c r="A614" s="800">
        <v>597</v>
      </c>
      <c r="B614" s="571">
        <f t="shared" ca="1" si="25"/>
        <v>6.1286023635448323</v>
      </c>
      <c r="C614" s="801">
        <f t="shared" ca="1" si="26"/>
        <v>1</v>
      </c>
      <c r="K614" s="786"/>
    </row>
    <row r="615" spans="1:11" x14ac:dyDescent="0.3">
      <c r="A615" s="800">
        <v>598</v>
      </c>
      <c r="B615" s="571">
        <f t="shared" ca="1" si="25"/>
        <v>48.417322377735061</v>
      </c>
      <c r="C615" s="801">
        <f t="shared" ca="1" si="26"/>
        <v>3</v>
      </c>
      <c r="K615" s="786"/>
    </row>
    <row r="616" spans="1:11" x14ac:dyDescent="0.3">
      <c r="A616" s="800">
        <v>599</v>
      </c>
      <c r="B616" s="571">
        <f t="shared" ca="1" si="25"/>
        <v>97.269250404185755</v>
      </c>
      <c r="C616" s="801">
        <f t="shared" ca="1" si="26"/>
        <v>5</v>
      </c>
      <c r="K616" s="786"/>
    </row>
    <row r="617" spans="1:11" x14ac:dyDescent="0.3">
      <c r="A617" s="800">
        <v>600</v>
      </c>
      <c r="B617" s="571">
        <f t="shared" ca="1" si="25"/>
        <v>55.163976794808825</v>
      </c>
      <c r="C617" s="801">
        <f t="shared" ca="1" si="26"/>
        <v>3</v>
      </c>
      <c r="K617" s="786"/>
    </row>
    <row r="618" spans="1:11" x14ac:dyDescent="0.3">
      <c r="A618" s="800">
        <v>601</v>
      </c>
      <c r="B618" s="571">
        <f t="shared" ca="1" si="25"/>
        <v>82.911585497917514</v>
      </c>
      <c r="C618" s="801">
        <f t="shared" ca="1" si="26"/>
        <v>4</v>
      </c>
      <c r="K618" s="786"/>
    </row>
    <row r="619" spans="1:11" x14ac:dyDescent="0.3">
      <c r="A619" s="800">
        <v>602</v>
      </c>
      <c r="B619" s="571">
        <f t="shared" ca="1" si="25"/>
        <v>17.849596669490364</v>
      </c>
      <c r="C619" s="801">
        <f t="shared" ca="1" si="26"/>
        <v>2</v>
      </c>
      <c r="K619" s="786"/>
    </row>
    <row r="620" spans="1:11" x14ac:dyDescent="0.3">
      <c r="A620" s="800">
        <v>603</v>
      </c>
      <c r="B620" s="571">
        <f t="shared" ca="1" si="25"/>
        <v>82.1502159149574</v>
      </c>
      <c r="C620" s="801">
        <f t="shared" ca="1" si="26"/>
        <v>4</v>
      </c>
      <c r="K620" s="786"/>
    </row>
    <row r="621" spans="1:11" x14ac:dyDescent="0.3">
      <c r="A621" s="800">
        <v>604</v>
      </c>
      <c r="B621" s="571">
        <f t="shared" ca="1" si="25"/>
        <v>32.629702850729913</v>
      </c>
      <c r="C621" s="801">
        <f t="shared" ca="1" si="26"/>
        <v>2</v>
      </c>
      <c r="K621" s="786"/>
    </row>
    <row r="622" spans="1:11" x14ac:dyDescent="0.3">
      <c r="A622" s="800">
        <v>605</v>
      </c>
      <c r="B622" s="571">
        <f t="shared" ca="1" si="25"/>
        <v>36.121272732772034</v>
      </c>
      <c r="C622" s="801">
        <f t="shared" ca="1" si="26"/>
        <v>3</v>
      </c>
      <c r="K622" s="786"/>
    </row>
    <row r="623" spans="1:11" x14ac:dyDescent="0.3">
      <c r="A623" s="800">
        <v>606</v>
      </c>
      <c r="B623" s="571">
        <f t="shared" ca="1" si="25"/>
        <v>81.182949153207034</v>
      </c>
      <c r="C623" s="801">
        <f t="shared" ca="1" si="26"/>
        <v>4</v>
      </c>
      <c r="K623" s="786"/>
    </row>
    <row r="624" spans="1:11" x14ac:dyDescent="0.3">
      <c r="A624" s="800">
        <v>607</v>
      </c>
      <c r="B624" s="571">
        <f t="shared" ca="1" si="25"/>
        <v>14.497783586271451</v>
      </c>
      <c r="C624" s="801">
        <f t="shared" ca="1" si="26"/>
        <v>1</v>
      </c>
      <c r="K624" s="786"/>
    </row>
    <row r="625" spans="1:11" x14ac:dyDescent="0.3">
      <c r="A625" s="800">
        <v>608</v>
      </c>
      <c r="B625" s="571">
        <f t="shared" ca="1" si="25"/>
        <v>49.574338525539041</v>
      </c>
      <c r="C625" s="801">
        <f t="shared" ca="1" si="26"/>
        <v>3</v>
      </c>
      <c r="K625" s="786"/>
    </row>
    <row r="626" spans="1:11" x14ac:dyDescent="0.3">
      <c r="A626" s="800">
        <v>609</v>
      </c>
      <c r="B626" s="571">
        <f t="shared" ca="1" si="25"/>
        <v>9.1828640769305423</v>
      </c>
      <c r="C626" s="801">
        <f t="shared" ca="1" si="26"/>
        <v>1</v>
      </c>
      <c r="K626" s="786"/>
    </row>
    <row r="627" spans="1:11" x14ac:dyDescent="0.3">
      <c r="A627" s="800">
        <v>610</v>
      </c>
      <c r="B627" s="571">
        <f t="shared" ca="1" si="25"/>
        <v>58.237012951744504</v>
      </c>
      <c r="C627" s="801">
        <f t="shared" ca="1" si="26"/>
        <v>3</v>
      </c>
      <c r="K627" s="786"/>
    </row>
    <row r="628" spans="1:11" x14ac:dyDescent="0.3">
      <c r="A628" s="800">
        <v>611</v>
      </c>
      <c r="B628" s="571">
        <f t="shared" ca="1" si="25"/>
        <v>74.784725892415622</v>
      </c>
      <c r="C628" s="801">
        <f t="shared" ca="1" si="26"/>
        <v>4</v>
      </c>
      <c r="K628" s="786"/>
    </row>
    <row r="629" spans="1:11" x14ac:dyDescent="0.3">
      <c r="A629" s="800">
        <v>612</v>
      </c>
      <c r="B629" s="571">
        <f t="shared" ca="1" si="25"/>
        <v>65.93361431560588</v>
      </c>
      <c r="C629" s="801">
        <f t="shared" ca="1" si="26"/>
        <v>4</v>
      </c>
      <c r="K629" s="786"/>
    </row>
    <row r="630" spans="1:11" x14ac:dyDescent="0.3">
      <c r="A630" s="800">
        <v>613</v>
      </c>
      <c r="B630" s="571">
        <f t="shared" ca="1" si="25"/>
        <v>87.062198015289383</v>
      </c>
      <c r="C630" s="801">
        <f t="shared" ca="1" si="26"/>
        <v>5</v>
      </c>
      <c r="K630" s="786"/>
    </row>
    <row r="631" spans="1:11" x14ac:dyDescent="0.3">
      <c r="A631" s="800">
        <v>614</v>
      </c>
      <c r="B631" s="571">
        <f t="shared" ca="1" si="25"/>
        <v>22.630283743636248</v>
      </c>
      <c r="C631" s="801">
        <f t="shared" ca="1" si="26"/>
        <v>2</v>
      </c>
      <c r="K631" s="786"/>
    </row>
    <row r="632" spans="1:11" x14ac:dyDescent="0.3">
      <c r="A632" s="800">
        <v>615</v>
      </c>
      <c r="B632" s="571">
        <f t="shared" ca="1" si="25"/>
        <v>26.959723534574287</v>
      </c>
      <c r="C632" s="801">
        <f t="shared" ca="1" si="26"/>
        <v>2</v>
      </c>
      <c r="K632" s="786"/>
    </row>
    <row r="633" spans="1:11" x14ac:dyDescent="0.3">
      <c r="A633" s="800">
        <v>616</v>
      </c>
      <c r="B633" s="571">
        <f t="shared" ca="1" si="25"/>
        <v>16.193084625662379</v>
      </c>
      <c r="C633" s="801">
        <f t="shared" ca="1" si="26"/>
        <v>2</v>
      </c>
      <c r="K633" s="786"/>
    </row>
    <row r="634" spans="1:11" x14ac:dyDescent="0.3">
      <c r="A634" s="800">
        <v>617</v>
      </c>
      <c r="B634" s="571">
        <f t="shared" ca="1" si="25"/>
        <v>9.620009611597947</v>
      </c>
      <c r="C634" s="801">
        <f t="shared" ca="1" si="26"/>
        <v>1</v>
      </c>
      <c r="K634" s="786"/>
    </row>
    <row r="635" spans="1:11" x14ac:dyDescent="0.3">
      <c r="A635" s="800">
        <v>618</v>
      </c>
      <c r="B635" s="571">
        <f t="shared" ca="1" si="25"/>
        <v>80.564156404188225</v>
      </c>
      <c r="C635" s="801">
        <f t="shared" ca="1" si="26"/>
        <v>4</v>
      </c>
      <c r="K635" s="786"/>
    </row>
    <row r="636" spans="1:11" x14ac:dyDescent="0.3">
      <c r="A636" s="800">
        <v>619</v>
      </c>
      <c r="B636" s="571">
        <f t="shared" ca="1" si="25"/>
        <v>21.918554218025122</v>
      </c>
      <c r="C636" s="801">
        <f t="shared" ca="1" si="26"/>
        <v>2</v>
      </c>
      <c r="K636" s="786"/>
    </row>
    <row r="637" spans="1:11" x14ac:dyDescent="0.3">
      <c r="A637" s="800">
        <v>620</v>
      </c>
      <c r="B637" s="571">
        <f t="shared" ca="1" si="25"/>
        <v>38.468883643128038</v>
      </c>
      <c r="C637" s="801">
        <f t="shared" ca="1" si="26"/>
        <v>3</v>
      </c>
      <c r="K637" s="786"/>
    </row>
    <row r="638" spans="1:11" x14ac:dyDescent="0.3">
      <c r="A638" s="800">
        <v>621</v>
      </c>
      <c r="B638" s="571">
        <f t="shared" ca="1" si="25"/>
        <v>73.980400735813717</v>
      </c>
      <c r="C638" s="801">
        <f t="shared" ca="1" si="26"/>
        <v>4</v>
      </c>
      <c r="K638" s="786"/>
    </row>
    <row r="639" spans="1:11" x14ac:dyDescent="0.3">
      <c r="A639" s="800">
        <v>622</v>
      </c>
      <c r="B639" s="571">
        <f t="shared" ca="1" si="25"/>
        <v>72.558937948897224</v>
      </c>
      <c r="C639" s="801">
        <f t="shared" ca="1" si="26"/>
        <v>4</v>
      </c>
      <c r="K639" s="786"/>
    </row>
    <row r="640" spans="1:11" x14ac:dyDescent="0.3">
      <c r="A640" s="800">
        <v>623</v>
      </c>
      <c r="B640" s="571">
        <f t="shared" ca="1" si="25"/>
        <v>49.448559218484903</v>
      </c>
      <c r="C640" s="801">
        <f t="shared" ca="1" si="26"/>
        <v>3</v>
      </c>
      <c r="K640" s="786"/>
    </row>
    <row r="641" spans="1:11" x14ac:dyDescent="0.3">
      <c r="A641" s="800">
        <v>624</v>
      </c>
      <c r="B641" s="571">
        <f t="shared" ca="1" si="25"/>
        <v>6.1863127532121975</v>
      </c>
      <c r="C641" s="801">
        <f t="shared" ca="1" si="26"/>
        <v>1</v>
      </c>
      <c r="K641" s="786"/>
    </row>
    <row r="642" spans="1:11" x14ac:dyDescent="0.3">
      <c r="A642" s="800">
        <v>625</v>
      </c>
      <c r="B642" s="571">
        <f t="shared" ca="1" si="25"/>
        <v>39.364791712384751</v>
      </c>
      <c r="C642" s="801">
        <f t="shared" ca="1" si="26"/>
        <v>3</v>
      </c>
      <c r="K642" s="786"/>
    </row>
    <row r="643" spans="1:11" x14ac:dyDescent="0.3">
      <c r="A643" s="800">
        <v>626</v>
      </c>
      <c r="B643" s="571">
        <f t="shared" ca="1" si="25"/>
        <v>54.406672633236809</v>
      </c>
      <c r="C643" s="801">
        <f t="shared" ca="1" si="26"/>
        <v>3</v>
      </c>
      <c r="K643" s="786"/>
    </row>
    <row r="644" spans="1:11" x14ac:dyDescent="0.3">
      <c r="A644" s="800">
        <v>627</v>
      </c>
      <c r="B644" s="571">
        <f t="shared" ca="1" si="25"/>
        <v>20.544959613744439</v>
      </c>
      <c r="C644" s="801">
        <f t="shared" ca="1" si="26"/>
        <v>2</v>
      </c>
      <c r="K644" s="786"/>
    </row>
    <row r="645" spans="1:11" x14ac:dyDescent="0.3">
      <c r="A645" s="800">
        <v>628</v>
      </c>
      <c r="B645" s="571">
        <f t="shared" ca="1" si="25"/>
        <v>76.550965039283142</v>
      </c>
      <c r="C645" s="801">
        <f t="shared" ca="1" si="26"/>
        <v>4</v>
      </c>
      <c r="K645" s="786"/>
    </row>
    <row r="646" spans="1:11" x14ac:dyDescent="0.3">
      <c r="A646" s="800">
        <v>629</v>
      </c>
      <c r="B646" s="571">
        <f t="shared" ca="1" si="25"/>
        <v>54.789339521558247</v>
      </c>
      <c r="C646" s="801">
        <f t="shared" ca="1" si="26"/>
        <v>3</v>
      </c>
      <c r="K646" s="786"/>
    </row>
    <row r="647" spans="1:11" x14ac:dyDescent="0.3">
      <c r="A647" s="800">
        <v>630</v>
      </c>
      <c r="B647" s="571">
        <f t="shared" ca="1" si="25"/>
        <v>18.227894767838837</v>
      </c>
      <c r="C647" s="801">
        <f t="shared" ca="1" si="26"/>
        <v>2</v>
      </c>
      <c r="K647" s="786"/>
    </row>
    <row r="648" spans="1:11" x14ac:dyDescent="0.3">
      <c r="A648" s="800">
        <v>631</v>
      </c>
      <c r="B648" s="571">
        <f t="shared" ca="1" si="25"/>
        <v>28.935133851340446</v>
      </c>
      <c r="C648" s="801">
        <f t="shared" ca="1" si="26"/>
        <v>2</v>
      </c>
      <c r="K648" s="786"/>
    </row>
    <row r="649" spans="1:11" x14ac:dyDescent="0.3">
      <c r="A649" s="800">
        <v>632</v>
      </c>
      <c r="B649" s="571">
        <f t="shared" ca="1" si="25"/>
        <v>22.593347133268558</v>
      </c>
      <c r="C649" s="801">
        <f t="shared" ca="1" si="26"/>
        <v>2</v>
      </c>
      <c r="K649" s="786"/>
    </row>
    <row r="650" spans="1:11" x14ac:dyDescent="0.3">
      <c r="A650" s="800">
        <v>633</v>
      </c>
      <c r="B650" s="571">
        <f t="shared" ca="1" si="25"/>
        <v>9.125103507058963</v>
      </c>
      <c r="C650" s="801">
        <f t="shared" ca="1" si="26"/>
        <v>1</v>
      </c>
      <c r="K650" s="786"/>
    </row>
    <row r="651" spans="1:11" x14ac:dyDescent="0.3">
      <c r="A651" s="800">
        <v>634</v>
      </c>
      <c r="B651" s="571">
        <f t="shared" ca="1" si="25"/>
        <v>61.815142148056744</v>
      </c>
      <c r="C651" s="801">
        <f t="shared" ca="1" si="26"/>
        <v>3</v>
      </c>
      <c r="K651" s="786"/>
    </row>
    <row r="652" spans="1:11" x14ac:dyDescent="0.3">
      <c r="A652" s="800">
        <v>635</v>
      </c>
      <c r="B652" s="571">
        <f t="shared" ca="1" si="25"/>
        <v>94.867745337446181</v>
      </c>
      <c r="C652" s="801">
        <f t="shared" ca="1" si="26"/>
        <v>5</v>
      </c>
      <c r="K652" s="786"/>
    </row>
    <row r="653" spans="1:11" x14ac:dyDescent="0.3">
      <c r="A653" s="800">
        <v>636</v>
      </c>
      <c r="B653" s="571">
        <f t="shared" ca="1" si="25"/>
        <v>33.858176226120626</v>
      </c>
      <c r="C653" s="801">
        <f t="shared" ca="1" si="26"/>
        <v>2</v>
      </c>
      <c r="K653" s="786"/>
    </row>
    <row r="654" spans="1:11" x14ac:dyDescent="0.3">
      <c r="A654" s="800">
        <v>637</v>
      </c>
      <c r="B654" s="571">
        <f t="shared" ca="1" si="25"/>
        <v>63.253488219584057</v>
      </c>
      <c r="C654" s="801">
        <f t="shared" ca="1" si="26"/>
        <v>3</v>
      </c>
      <c r="K654" s="786"/>
    </row>
    <row r="655" spans="1:11" x14ac:dyDescent="0.3">
      <c r="A655" s="800">
        <v>638</v>
      </c>
      <c r="B655" s="571">
        <f t="shared" ca="1" si="25"/>
        <v>25.196565860405851</v>
      </c>
      <c r="C655" s="801">
        <f t="shared" ca="1" si="26"/>
        <v>2</v>
      </c>
      <c r="K655" s="786"/>
    </row>
    <row r="656" spans="1:11" x14ac:dyDescent="0.3">
      <c r="A656" s="800">
        <v>639</v>
      </c>
      <c r="B656" s="571">
        <f t="shared" ca="1" si="25"/>
        <v>90.771296244349358</v>
      </c>
      <c r="C656" s="801">
        <f t="shared" ca="1" si="26"/>
        <v>5</v>
      </c>
      <c r="K656" s="786"/>
    </row>
    <row r="657" spans="1:11" x14ac:dyDescent="0.3">
      <c r="A657" s="800">
        <v>640</v>
      </c>
      <c r="B657" s="571">
        <f t="shared" ca="1" si="25"/>
        <v>25.393976749680913</v>
      </c>
      <c r="C657" s="801">
        <f t="shared" ca="1" si="26"/>
        <v>2</v>
      </c>
      <c r="K657" s="786"/>
    </row>
    <row r="658" spans="1:11" x14ac:dyDescent="0.3">
      <c r="A658" s="800">
        <v>641</v>
      </c>
      <c r="B658" s="571">
        <f t="shared" ca="1" si="25"/>
        <v>40.901339196044631</v>
      </c>
      <c r="C658" s="801">
        <f t="shared" ca="1" si="26"/>
        <v>3</v>
      </c>
      <c r="K658" s="786"/>
    </row>
    <row r="659" spans="1:11" x14ac:dyDescent="0.3">
      <c r="A659" s="800">
        <v>642</v>
      </c>
      <c r="B659" s="571">
        <f t="shared" ref="B659:B722" ca="1" si="27">100*RAND()</f>
        <v>79.123218589210595</v>
      </c>
      <c r="C659" s="801">
        <f t="shared" ref="C659:C722" ca="1" si="28">VLOOKUP(B659,$A$8:$C$13,3)</f>
        <v>4</v>
      </c>
      <c r="K659" s="786"/>
    </row>
    <row r="660" spans="1:11" x14ac:dyDescent="0.3">
      <c r="A660" s="800">
        <v>643</v>
      </c>
      <c r="B660" s="571">
        <f t="shared" ca="1" si="27"/>
        <v>29.545712687533122</v>
      </c>
      <c r="C660" s="801">
        <f t="shared" ca="1" si="28"/>
        <v>2</v>
      </c>
      <c r="K660" s="786"/>
    </row>
    <row r="661" spans="1:11" x14ac:dyDescent="0.3">
      <c r="A661" s="800">
        <v>644</v>
      </c>
      <c r="B661" s="571">
        <f t="shared" ca="1" si="27"/>
        <v>48.844668874815788</v>
      </c>
      <c r="C661" s="801">
        <f t="shared" ca="1" si="28"/>
        <v>3</v>
      </c>
      <c r="K661" s="786"/>
    </row>
    <row r="662" spans="1:11" x14ac:dyDescent="0.3">
      <c r="A662" s="800">
        <v>645</v>
      </c>
      <c r="B662" s="571">
        <f t="shared" ca="1" si="27"/>
        <v>63.05807373404626</v>
      </c>
      <c r="C662" s="801">
        <f t="shared" ca="1" si="28"/>
        <v>3</v>
      </c>
      <c r="K662" s="786"/>
    </row>
    <row r="663" spans="1:11" x14ac:dyDescent="0.3">
      <c r="A663" s="800">
        <v>646</v>
      </c>
      <c r="B663" s="571">
        <f t="shared" ca="1" si="27"/>
        <v>25.206157969341959</v>
      </c>
      <c r="C663" s="801">
        <f t="shared" ca="1" si="28"/>
        <v>2</v>
      </c>
      <c r="K663" s="786"/>
    </row>
    <row r="664" spans="1:11" x14ac:dyDescent="0.3">
      <c r="A664" s="800">
        <v>647</v>
      </c>
      <c r="B664" s="571">
        <f t="shared" ca="1" si="27"/>
        <v>89.080879708453537</v>
      </c>
      <c r="C664" s="801">
        <f t="shared" ca="1" si="28"/>
        <v>5</v>
      </c>
      <c r="K664" s="786"/>
    </row>
    <row r="665" spans="1:11" x14ac:dyDescent="0.3">
      <c r="A665" s="800">
        <v>648</v>
      </c>
      <c r="B665" s="571">
        <f t="shared" ca="1" si="27"/>
        <v>99.681848995751935</v>
      </c>
      <c r="C665" s="801">
        <f t="shared" ca="1" si="28"/>
        <v>5</v>
      </c>
      <c r="K665" s="786"/>
    </row>
    <row r="666" spans="1:11" x14ac:dyDescent="0.3">
      <c r="A666" s="800">
        <v>649</v>
      </c>
      <c r="B666" s="571">
        <f t="shared" ca="1" si="27"/>
        <v>77.677400794846889</v>
      </c>
      <c r="C666" s="801">
        <f t="shared" ca="1" si="28"/>
        <v>4</v>
      </c>
      <c r="K666" s="786"/>
    </row>
    <row r="667" spans="1:11" x14ac:dyDescent="0.3">
      <c r="A667" s="800">
        <v>650</v>
      </c>
      <c r="B667" s="571">
        <f t="shared" ca="1" si="27"/>
        <v>98.383917108951138</v>
      </c>
      <c r="C667" s="801">
        <f t="shared" ca="1" si="28"/>
        <v>5</v>
      </c>
      <c r="K667" s="786"/>
    </row>
    <row r="668" spans="1:11" x14ac:dyDescent="0.3">
      <c r="A668" s="800">
        <v>651</v>
      </c>
      <c r="B668" s="571">
        <f t="shared" ca="1" si="27"/>
        <v>48.111632214003485</v>
      </c>
      <c r="C668" s="801">
        <f t="shared" ca="1" si="28"/>
        <v>3</v>
      </c>
      <c r="K668" s="786"/>
    </row>
    <row r="669" spans="1:11" x14ac:dyDescent="0.3">
      <c r="A669" s="800">
        <v>652</v>
      </c>
      <c r="B669" s="571">
        <f t="shared" ca="1" si="27"/>
        <v>8.1789180792047667</v>
      </c>
      <c r="C669" s="801">
        <f t="shared" ca="1" si="28"/>
        <v>1</v>
      </c>
      <c r="K669" s="786"/>
    </row>
    <row r="670" spans="1:11" x14ac:dyDescent="0.3">
      <c r="A670" s="800">
        <v>653</v>
      </c>
      <c r="B670" s="571">
        <f t="shared" ca="1" si="27"/>
        <v>40.601625106370655</v>
      </c>
      <c r="C670" s="801">
        <f t="shared" ca="1" si="28"/>
        <v>3</v>
      </c>
      <c r="K670" s="786"/>
    </row>
    <row r="671" spans="1:11" x14ac:dyDescent="0.3">
      <c r="A671" s="800">
        <v>654</v>
      </c>
      <c r="B671" s="571">
        <f t="shared" ca="1" si="27"/>
        <v>19.889922013958749</v>
      </c>
      <c r="C671" s="801">
        <f t="shared" ca="1" si="28"/>
        <v>2</v>
      </c>
      <c r="K671" s="786"/>
    </row>
    <row r="672" spans="1:11" x14ac:dyDescent="0.3">
      <c r="A672" s="800">
        <v>655</v>
      </c>
      <c r="B672" s="571">
        <f t="shared" ca="1" si="27"/>
        <v>79.330516763772053</v>
      </c>
      <c r="C672" s="801">
        <f t="shared" ca="1" si="28"/>
        <v>4</v>
      </c>
      <c r="K672" s="786"/>
    </row>
    <row r="673" spans="1:11" x14ac:dyDescent="0.3">
      <c r="A673" s="800">
        <v>656</v>
      </c>
      <c r="B673" s="571">
        <f t="shared" ca="1" si="27"/>
        <v>61.022628852038153</v>
      </c>
      <c r="C673" s="801">
        <f t="shared" ca="1" si="28"/>
        <v>3</v>
      </c>
      <c r="K673" s="786"/>
    </row>
    <row r="674" spans="1:11" x14ac:dyDescent="0.3">
      <c r="A674" s="800">
        <v>657</v>
      </c>
      <c r="B674" s="571">
        <f t="shared" ca="1" si="27"/>
        <v>10.842401866910523</v>
      </c>
      <c r="C674" s="801">
        <f t="shared" ca="1" si="28"/>
        <v>1</v>
      </c>
      <c r="K674" s="786"/>
    </row>
    <row r="675" spans="1:11" x14ac:dyDescent="0.3">
      <c r="A675" s="800">
        <v>658</v>
      </c>
      <c r="B675" s="571">
        <f t="shared" ca="1" si="27"/>
        <v>75.965900610166486</v>
      </c>
      <c r="C675" s="801">
        <f t="shared" ca="1" si="28"/>
        <v>4</v>
      </c>
      <c r="K675" s="786"/>
    </row>
    <row r="676" spans="1:11" x14ac:dyDescent="0.3">
      <c r="A676" s="800">
        <v>659</v>
      </c>
      <c r="B676" s="571">
        <f t="shared" ca="1" si="27"/>
        <v>80.212805158950957</v>
      </c>
      <c r="C676" s="801">
        <f t="shared" ca="1" si="28"/>
        <v>4</v>
      </c>
      <c r="K676" s="786"/>
    </row>
    <row r="677" spans="1:11" x14ac:dyDescent="0.3">
      <c r="A677" s="800">
        <v>660</v>
      </c>
      <c r="B677" s="571">
        <f t="shared" ca="1" si="27"/>
        <v>2.1198640222271026</v>
      </c>
      <c r="C677" s="801">
        <f t="shared" ca="1" si="28"/>
        <v>0</v>
      </c>
      <c r="K677" s="786"/>
    </row>
    <row r="678" spans="1:11" x14ac:dyDescent="0.3">
      <c r="A678" s="800">
        <v>661</v>
      </c>
      <c r="B678" s="571">
        <f t="shared" ca="1" si="27"/>
        <v>64.031897885799339</v>
      </c>
      <c r="C678" s="801">
        <f t="shared" ca="1" si="28"/>
        <v>3</v>
      </c>
      <c r="K678" s="786"/>
    </row>
    <row r="679" spans="1:11" x14ac:dyDescent="0.3">
      <c r="A679" s="800">
        <v>662</v>
      </c>
      <c r="B679" s="571">
        <f t="shared" ca="1" si="27"/>
        <v>77.757070064260276</v>
      </c>
      <c r="C679" s="801">
        <f t="shared" ca="1" si="28"/>
        <v>4</v>
      </c>
      <c r="K679" s="786"/>
    </row>
    <row r="680" spans="1:11" x14ac:dyDescent="0.3">
      <c r="A680" s="800">
        <v>663</v>
      </c>
      <c r="B680" s="571">
        <f t="shared" ca="1" si="27"/>
        <v>93.688963475869471</v>
      </c>
      <c r="C680" s="801">
        <f t="shared" ca="1" si="28"/>
        <v>5</v>
      </c>
      <c r="K680" s="786"/>
    </row>
    <row r="681" spans="1:11" x14ac:dyDescent="0.3">
      <c r="A681" s="800">
        <v>664</v>
      </c>
      <c r="B681" s="571">
        <f t="shared" ca="1" si="27"/>
        <v>62.490391925798285</v>
      </c>
      <c r="C681" s="801">
        <f t="shared" ca="1" si="28"/>
        <v>3</v>
      </c>
      <c r="K681" s="786"/>
    </row>
    <row r="682" spans="1:11" x14ac:dyDescent="0.3">
      <c r="A682" s="800">
        <v>665</v>
      </c>
      <c r="B682" s="571">
        <f t="shared" ca="1" si="27"/>
        <v>77.297917965478675</v>
      </c>
      <c r="C682" s="801">
        <f t="shared" ca="1" si="28"/>
        <v>4</v>
      </c>
      <c r="K682" s="786"/>
    </row>
    <row r="683" spans="1:11" x14ac:dyDescent="0.3">
      <c r="A683" s="800">
        <v>666</v>
      </c>
      <c r="B683" s="571">
        <f t="shared" ca="1" si="27"/>
        <v>80.318044124953573</v>
      </c>
      <c r="C683" s="801">
        <f t="shared" ca="1" si="28"/>
        <v>4</v>
      </c>
      <c r="K683" s="786"/>
    </row>
    <row r="684" spans="1:11" x14ac:dyDescent="0.3">
      <c r="A684" s="800">
        <v>667</v>
      </c>
      <c r="B684" s="571">
        <f t="shared" ca="1" si="27"/>
        <v>71.026122656739531</v>
      </c>
      <c r="C684" s="801">
        <f t="shared" ca="1" si="28"/>
        <v>4</v>
      </c>
      <c r="K684" s="786"/>
    </row>
    <row r="685" spans="1:11" x14ac:dyDescent="0.3">
      <c r="A685" s="800">
        <v>668</v>
      </c>
      <c r="B685" s="571">
        <f t="shared" ca="1" si="27"/>
        <v>23.712882238562994</v>
      </c>
      <c r="C685" s="801">
        <f t="shared" ca="1" si="28"/>
        <v>2</v>
      </c>
      <c r="K685" s="786"/>
    </row>
    <row r="686" spans="1:11" x14ac:dyDescent="0.3">
      <c r="A686" s="800">
        <v>669</v>
      </c>
      <c r="B686" s="571">
        <f t="shared" ca="1" si="27"/>
        <v>0.9321286724887301</v>
      </c>
      <c r="C686" s="801">
        <f t="shared" ca="1" si="28"/>
        <v>0</v>
      </c>
      <c r="K686" s="786"/>
    </row>
    <row r="687" spans="1:11" x14ac:dyDescent="0.3">
      <c r="A687" s="800">
        <v>670</v>
      </c>
      <c r="B687" s="571">
        <f t="shared" ca="1" si="27"/>
        <v>26.489244167525438</v>
      </c>
      <c r="C687" s="801">
        <f t="shared" ca="1" si="28"/>
        <v>2</v>
      </c>
      <c r="K687" s="786"/>
    </row>
    <row r="688" spans="1:11" x14ac:dyDescent="0.3">
      <c r="A688" s="800">
        <v>671</v>
      </c>
      <c r="B688" s="571">
        <f t="shared" ca="1" si="27"/>
        <v>59.17469744993781</v>
      </c>
      <c r="C688" s="801">
        <f t="shared" ca="1" si="28"/>
        <v>3</v>
      </c>
      <c r="K688" s="786"/>
    </row>
    <row r="689" spans="1:11" x14ac:dyDescent="0.3">
      <c r="A689" s="800">
        <v>672</v>
      </c>
      <c r="B689" s="571">
        <f t="shared" ca="1" si="27"/>
        <v>66.951009689996113</v>
      </c>
      <c r="C689" s="801">
        <f t="shared" ca="1" si="28"/>
        <v>4</v>
      </c>
      <c r="K689" s="786"/>
    </row>
    <row r="690" spans="1:11" x14ac:dyDescent="0.3">
      <c r="A690" s="800">
        <v>673</v>
      </c>
      <c r="B690" s="571">
        <f t="shared" ca="1" si="27"/>
        <v>48.612019293951946</v>
      </c>
      <c r="C690" s="801">
        <f t="shared" ca="1" si="28"/>
        <v>3</v>
      </c>
      <c r="K690" s="786"/>
    </row>
    <row r="691" spans="1:11" x14ac:dyDescent="0.3">
      <c r="A691" s="800">
        <v>674</v>
      </c>
      <c r="B691" s="571">
        <f t="shared" ca="1" si="27"/>
        <v>32.616386068537473</v>
      </c>
      <c r="C691" s="801">
        <f t="shared" ca="1" si="28"/>
        <v>2</v>
      </c>
      <c r="K691" s="786"/>
    </row>
    <row r="692" spans="1:11" x14ac:dyDescent="0.3">
      <c r="A692" s="800">
        <v>675</v>
      </c>
      <c r="B692" s="571">
        <f t="shared" ca="1" si="27"/>
        <v>11.516907534989851</v>
      </c>
      <c r="C692" s="801">
        <f t="shared" ca="1" si="28"/>
        <v>1</v>
      </c>
      <c r="K692" s="786"/>
    </row>
    <row r="693" spans="1:11" x14ac:dyDescent="0.3">
      <c r="A693" s="800">
        <v>676</v>
      </c>
      <c r="B693" s="571">
        <f t="shared" ca="1" si="27"/>
        <v>12.064079241634973</v>
      </c>
      <c r="C693" s="801">
        <f t="shared" ca="1" si="28"/>
        <v>1</v>
      </c>
      <c r="K693" s="786"/>
    </row>
    <row r="694" spans="1:11" x14ac:dyDescent="0.3">
      <c r="A694" s="800">
        <v>677</v>
      </c>
      <c r="B694" s="571">
        <f t="shared" ca="1" si="27"/>
        <v>27.269610697922086</v>
      </c>
      <c r="C694" s="801">
        <f t="shared" ca="1" si="28"/>
        <v>2</v>
      </c>
      <c r="K694" s="786"/>
    </row>
    <row r="695" spans="1:11" x14ac:dyDescent="0.3">
      <c r="A695" s="800">
        <v>678</v>
      </c>
      <c r="B695" s="571">
        <f t="shared" ca="1" si="27"/>
        <v>93.429878186910528</v>
      </c>
      <c r="C695" s="801">
        <f t="shared" ca="1" si="28"/>
        <v>5</v>
      </c>
      <c r="K695" s="786"/>
    </row>
    <row r="696" spans="1:11" x14ac:dyDescent="0.3">
      <c r="A696" s="800">
        <v>679</v>
      </c>
      <c r="B696" s="571">
        <f t="shared" ca="1" si="27"/>
        <v>46.90562381679225</v>
      </c>
      <c r="C696" s="801">
        <f t="shared" ca="1" si="28"/>
        <v>3</v>
      </c>
      <c r="K696" s="786"/>
    </row>
    <row r="697" spans="1:11" x14ac:dyDescent="0.3">
      <c r="A697" s="800">
        <v>680</v>
      </c>
      <c r="B697" s="571">
        <f t="shared" ca="1" si="27"/>
        <v>81.20604117077616</v>
      </c>
      <c r="C697" s="801">
        <f t="shared" ca="1" si="28"/>
        <v>4</v>
      </c>
      <c r="K697" s="786"/>
    </row>
    <row r="698" spans="1:11" x14ac:dyDescent="0.3">
      <c r="A698" s="800">
        <v>681</v>
      </c>
      <c r="B698" s="571">
        <f t="shared" ca="1" si="27"/>
        <v>95.131818134497408</v>
      </c>
      <c r="C698" s="801">
        <f t="shared" ca="1" si="28"/>
        <v>5</v>
      </c>
      <c r="K698" s="786"/>
    </row>
    <row r="699" spans="1:11" x14ac:dyDescent="0.3">
      <c r="A699" s="800">
        <v>682</v>
      </c>
      <c r="B699" s="571">
        <f t="shared" ca="1" si="27"/>
        <v>84.47498178966562</v>
      </c>
      <c r="C699" s="801">
        <f t="shared" ca="1" si="28"/>
        <v>4</v>
      </c>
      <c r="K699" s="786"/>
    </row>
    <row r="700" spans="1:11" x14ac:dyDescent="0.3">
      <c r="A700" s="800">
        <v>683</v>
      </c>
      <c r="B700" s="571">
        <f t="shared" ca="1" si="27"/>
        <v>34.632031160988653</v>
      </c>
      <c r="C700" s="801">
        <f t="shared" ca="1" si="28"/>
        <v>2</v>
      </c>
      <c r="K700" s="786"/>
    </row>
    <row r="701" spans="1:11" x14ac:dyDescent="0.3">
      <c r="A701" s="800">
        <v>684</v>
      </c>
      <c r="B701" s="571">
        <f t="shared" ca="1" si="27"/>
        <v>6.1793377879517326</v>
      </c>
      <c r="C701" s="801">
        <f t="shared" ca="1" si="28"/>
        <v>1</v>
      </c>
      <c r="K701" s="786"/>
    </row>
    <row r="702" spans="1:11" x14ac:dyDescent="0.3">
      <c r="A702" s="800">
        <v>685</v>
      </c>
      <c r="B702" s="571">
        <f t="shared" ca="1" si="27"/>
        <v>66.708654098002711</v>
      </c>
      <c r="C702" s="801">
        <f t="shared" ca="1" si="28"/>
        <v>4</v>
      </c>
      <c r="K702" s="786"/>
    </row>
    <row r="703" spans="1:11" x14ac:dyDescent="0.3">
      <c r="A703" s="800">
        <v>686</v>
      </c>
      <c r="B703" s="571">
        <f t="shared" ca="1" si="27"/>
        <v>46.924922027414361</v>
      </c>
      <c r="C703" s="801">
        <f t="shared" ca="1" si="28"/>
        <v>3</v>
      </c>
      <c r="K703" s="786"/>
    </row>
    <row r="704" spans="1:11" x14ac:dyDescent="0.3">
      <c r="A704" s="800">
        <v>687</v>
      </c>
      <c r="B704" s="571">
        <f t="shared" ca="1" si="27"/>
        <v>97.99039437987571</v>
      </c>
      <c r="C704" s="801">
        <f t="shared" ca="1" si="28"/>
        <v>5</v>
      </c>
      <c r="K704" s="786"/>
    </row>
    <row r="705" spans="1:11" x14ac:dyDescent="0.3">
      <c r="A705" s="800">
        <v>688</v>
      </c>
      <c r="B705" s="571">
        <f t="shared" ca="1" si="27"/>
        <v>45.917507304572247</v>
      </c>
      <c r="C705" s="801">
        <f t="shared" ca="1" si="28"/>
        <v>3</v>
      </c>
      <c r="K705" s="786"/>
    </row>
    <row r="706" spans="1:11" x14ac:dyDescent="0.3">
      <c r="A706" s="800">
        <v>689</v>
      </c>
      <c r="B706" s="571">
        <f t="shared" ca="1" si="27"/>
        <v>91.969090182009623</v>
      </c>
      <c r="C706" s="801">
        <f t="shared" ca="1" si="28"/>
        <v>5</v>
      </c>
      <c r="K706" s="786"/>
    </row>
    <row r="707" spans="1:11" x14ac:dyDescent="0.3">
      <c r="A707" s="800">
        <v>690</v>
      </c>
      <c r="B707" s="571">
        <f t="shared" ca="1" si="27"/>
        <v>60.084169674490852</v>
      </c>
      <c r="C707" s="801">
        <f t="shared" ca="1" si="28"/>
        <v>3</v>
      </c>
      <c r="K707" s="786"/>
    </row>
    <row r="708" spans="1:11" x14ac:dyDescent="0.3">
      <c r="A708" s="800">
        <v>691</v>
      </c>
      <c r="B708" s="571">
        <f t="shared" ca="1" si="27"/>
        <v>54.091430314974552</v>
      </c>
      <c r="C708" s="801">
        <f t="shared" ca="1" si="28"/>
        <v>3</v>
      </c>
      <c r="K708" s="786"/>
    </row>
    <row r="709" spans="1:11" x14ac:dyDescent="0.3">
      <c r="A709" s="800">
        <v>692</v>
      </c>
      <c r="B709" s="571">
        <f t="shared" ca="1" si="27"/>
        <v>19.97390358714879</v>
      </c>
      <c r="C709" s="801">
        <f t="shared" ca="1" si="28"/>
        <v>2</v>
      </c>
      <c r="K709" s="786"/>
    </row>
    <row r="710" spans="1:11" x14ac:dyDescent="0.3">
      <c r="A710" s="800">
        <v>693</v>
      </c>
      <c r="B710" s="571">
        <f t="shared" ca="1" si="27"/>
        <v>96.235882146752161</v>
      </c>
      <c r="C710" s="801">
        <f t="shared" ca="1" si="28"/>
        <v>5</v>
      </c>
      <c r="K710" s="786"/>
    </row>
    <row r="711" spans="1:11" x14ac:dyDescent="0.3">
      <c r="A711" s="800">
        <v>694</v>
      </c>
      <c r="B711" s="571">
        <f t="shared" ca="1" si="27"/>
        <v>60.785526493724603</v>
      </c>
      <c r="C711" s="801">
        <f t="shared" ca="1" si="28"/>
        <v>3</v>
      </c>
      <c r="K711" s="786"/>
    </row>
    <row r="712" spans="1:11" x14ac:dyDescent="0.3">
      <c r="A712" s="800">
        <v>695</v>
      </c>
      <c r="B712" s="571">
        <f t="shared" ca="1" si="27"/>
        <v>43.409931300548266</v>
      </c>
      <c r="C712" s="801">
        <f t="shared" ca="1" si="28"/>
        <v>3</v>
      </c>
      <c r="K712" s="786"/>
    </row>
    <row r="713" spans="1:11" x14ac:dyDescent="0.3">
      <c r="A713" s="800">
        <v>696</v>
      </c>
      <c r="B713" s="571">
        <f t="shared" ca="1" si="27"/>
        <v>46.19155439244026</v>
      </c>
      <c r="C713" s="801">
        <f t="shared" ca="1" si="28"/>
        <v>3</v>
      </c>
      <c r="K713" s="786"/>
    </row>
    <row r="714" spans="1:11" x14ac:dyDescent="0.3">
      <c r="A714" s="800">
        <v>697</v>
      </c>
      <c r="B714" s="571">
        <f t="shared" ca="1" si="27"/>
        <v>62.3199197707997</v>
      </c>
      <c r="C714" s="801">
        <f t="shared" ca="1" si="28"/>
        <v>3</v>
      </c>
      <c r="K714" s="786"/>
    </row>
    <row r="715" spans="1:11" x14ac:dyDescent="0.3">
      <c r="A715" s="800">
        <v>698</v>
      </c>
      <c r="B715" s="571">
        <f t="shared" ca="1" si="27"/>
        <v>75.554330919189781</v>
      </c>
      <c r="C715" s="801">
        <f t="shared" ca="1" si="28"/>
        <v>4</v>
      </c>
      <c r="K715" s="786"/>
    </row>
    <row r="716" spans="1:11" x14ac:dyDescent="0.3">
      <c r="A716" s="800">
        <v>699</v>
      </c>
      <c r="B716" s="571">
        <f t="shared" ca="1" si="27"/>
        <v>52.896106574814198</v>
      </c>
      <c r="C716" s="801">
        <f t="shared" ca="1" si="28"/>
        <v>3</v>
      </c>
      <c r="K716" s="786"/>
    </row>
    <row r="717" spans="1:11" x14ac:dyDescent="0.3">
      <c r="A717" s="800">
        <v>700</v>
      </c>
      <c r="B717" s="571">
        <f t="shared" ca="1" si="27"/>
        <v>77.653377089339131</v>
      </c>
      <c r="C717" s="801">
        <f t="shared" ca="1" si="28"/>
        <v>4</v>
      </c>
      <c r="K717" s="786"/>
    </row>
    <row r="718" spans="1:11" x14ac:dyDescent="0.3">
      <c r="A718" s="800">
        <v>701</v>
      </c>
      <c r="B718" s="571">
        <f t="shared" ca="1" si="27"/>
        <v>7.7374249544993612</v>
      </c>
      <c r="C718" s="801">
        <f t="shared" ca="1" si="28"/>
        <v>1</v>
      </c>
      <c r="K718" s="786"/>
    </row>
    <row r="719" spans="1:11" x14ac:dyDescent="0.3">
      <c r="A719" s="800">
        <v>702</v>
      </c>
      <c r="B719" s="571">
        <f t="shared" ca="1" si="27"/>
        <v>0.85471026659506011</v>
      </c>
      <c r="C719" s="801">
        <f t="shared" ca="1" si="28"/>
        <v>0</v>
      </c>
      <c r="K719" s="786"/>
    </row>
    <row r="720" spans="1:11" x14ac:dyDescent="0.3">
      <c r="A720" s="800">
        <v>703</v>
      </c>
      <c r="B720" s="571">
        <f t="shared" ca="1" si="27"/>
        <v>35.15481508172563</v>
      </c>
      <c r="C720" s="801">
        <f t="shared" ca="1" si="28"/>
        <v>3</v>
      </c>
      <c r="K720" s="786"/>
    </row>
    <row r="721" spans="1:11" x14ac:dyDescent="0.3">
      <c r="A721" s="800">
        <v>704</v>
      </c>
      <c r="B721" s="571">
        <f t="shared" ca="1" si="27"/>
        <v>69.745598665343095</v>
      </c>
      <c r="C721" s="801">
        <f t="shared" ca="1" si="28"/>
        <v>4</v>
      </c>
      <c r="K721" s="786"/>
    </row>
    <row r="722" spans="1:11" x14ac:dyDescent="0.3">
      <c r="A722" s="800">
        <v>705</v>
      </c>
      <c r="B722" s="571">
        <f t="shared" ca="1" si="27"/>
        <v>59.358998377691975</v>
      </c>
      <c r="C722" s="801">
        <f t="shared" ca="1" si="28"/>
        <v>3</v>
      </c>
      <c r="K722" s="786"/>
    </row>
    <row r="723" spans="1:11" x14ac:dyDescent="0.3">
      <c r="A723" s="800">
        <v>706</v>
      </c>
      <c r="B723" s="571">
        <f t="shared" ref="B723:B786" ca="1" si="29">100*RAND()</f>
        <v>56.281248185168373</v>
      </c>
      <c r="C723" s="801">
        <f t="shared" ref="C723:C786" ca="1" si="30">VLOOKUP(B723,$A$8:$C$13,3)</f>
        <v>3</v>
      </c>
      <c r="K723" s="786"/>
    </row>
    <row r="724" spans="1:11" x14ac:dyDescent="0.3">
      <c r="A724" s="800">
        <v>707</v>
      </c>
      <c r="B724" s="571">
        <f t="shared" ca="1" si="29"/>
        <v>24.890590475836948</v>
      </c>
      <c r="C724" s="801">
        <f t="shared" ca="1" si="30"/>
        <v>2</v>
      </c>
      <c r="K724" s="786"/>
    </row>
    <row r="725" spans="1:11" x14ac:dyDescent="0.3">
      <c r="A725" s="800">
        <v>708</v>
      </c>
      <c r="B725" s="571">
        <f t="shared" ca="1" si="29"/>
        <v>90.359349081415303</v>
      </c>
      <c r="C725" s="801">
        <f t="shared" ca="1" si="30"/>
        <v>5</v>
      </c>
      <c r="K725" s="786"/>
    </row>
    <row r="726" spans="1:11" x14ac:dyDescent="0.3">
      <c r="A726" s="800">
        <v>709</v>
      </c>
      <c r="B726" s="571">
        <f t="shared" ca="1" si="29"/>
        <v>92.526092533038167</v>
      </c>
      <c r="C726" s="801">
        <f t="shared" ca="1" si="30"/>
        <v>5</v>
      </c>
      <c r="K726" s="786"/>
    </row>
    <row r="727" spans="1:11" x14ac:dyDescent="0.3">
      <c r="A727" s="800">
        <v>710</v>
      </c>
      <c r="B727" s="571">
        <f t="shared" ca="1" si="29"/>
        <v>34.479130891707399</v>
      </c>
      <c r="C727" s="801">
        <f t="shared" ca="1" si="30"/>
        <v>2</v>
      </c>
      <c r="K727" s="786"/>
    </row>
    <row r="728" spans="1:11" x14ac:dyDescent="0.3">
      <c r="A728" s="800">
        <v>711</v>
      </c>
      <c r="B728" s="571">
        <f t="shared" ca="1" si="29"/>
        <v>87.504059421349709</v>
      </c>
      <c r="C728" s="801">
        <f t="shared" ca="1" si="30"/>
        <v>5</v>
      </c>
      <c r="K728" s="786"/>
    </row>
    <row r="729" spans="1:11" x14ac:dyDescent="0.3">
      <c r="A729" s="800">
        <v>712</v>
      </c>
      <c r="B729" s="571">
        <f t="shared" ca="1" si="29"/>
        <v>11.447298186228272</v>
      </c>
      <c r="C729" s="801">
        <f t="shared" ca="1" si="30"/>
        <v>1</v>
      </c>
      <c r="K729" s="786"/>
    </row>
    <row r="730" spans="1:11" x14ac:dyDescent="0.3">
      <c r="A730" s="800">
        <v>713</v>
      </c>
      <c r="B730" s="571">
        <f t="shared" ca="1" si="29"/>
        <v>29.620051913615963</v>
      </c>
      <c r="C730" s="801">
        <f t="shared" ca="1" si="30"/>
        <v>2</v>
      </c>
      <c r="K730" s="786"/>
    </row>
    <row r="731" spans="1:11" x14ac:dyDescent="0.3">
      <c r="A731" s="800">
        <v>714</v>
      </c>
      <c r="B731" s="571">
        <f t="shared" ca="1" si="29"/>
        <v>18.696992129496149</v>
      </c>
      <c r="C731" s="801">
        <f t="shared" ca="1" si="30"/>
        <v>2</v>
      </c>
      <c r="K731" s="786"/>
    </row>
    <row r="732" spans="1:11" x14ac:dyDescent="0.3">
      <c r="A732" s="800">
        <v>715</v>
      </c>
      <c r="B732" s="571">
        <f t="shared" ca="1" si="29"/>
        <v>39.476988823258964</v>
      </c>
      <c r="C732" s="801">
        <f t="shared" ca="1" si="30"/>
        <v>3</v>
      </c>
      <c r="K732" s="786"/>
    </row>
    <row r="733" spans="1:11" x14ac:dyDescent="0.3">
      <c r="A733" s="800">
        <v>716</v>
      </c>
      <c r="B733" s="571">
        <f t="shared" ca="1" si="29"/>
        <v>79.083836264674417</v>
      </c>
      <c r="C733" s="801">
        <f t="shared" ca="1" si="30"/>
        <v>4</v>
      </c>
      <c r="K733" s="786"/>
    </row>
    <row r="734" spans="1:11" x14ac:dyDescent="0.3">
      <c r="A734" s="800">
        <v>717</v>
      </c>
      <c r="B734" s="571">
        <f t="shared" ca="1" si="29"/>
        <v>89.527205227783384</v>
      </c>
      <c r="C734" s="801">
        <f t="shared" ca="1" si="30"/>
        <v>5</v>
      </c>
      <c r="K734" s="786"/>
    </row>
    <row r="735" spans="1:11" x14ac:dyDescent="0.3">
      <c r="A735" s="800">
        <v>718</v>
      </c>
      <c r="B735" s="571">
        <f t="shared" ca="1" si="29"/>
        <v>61.040262707445258</v>
      </c>
      <c r="C735" s="801">
        <f t="shared" ca="1" si="30"/>
        <v>3</v>
      </c>
      <c r="K735" s="786"/>
    </row>
    <row r="736" spans="1:11" x14ac:dyDescent="0.3">
      <c r="A736" s="800">
        <v>719</v>
      </c>
      <c r="B736" s="571">
        <f t="shared" ca="1" si="29"/>
        <v>79.19997699998838</v>
      </c>
      <c r="C736" s="801">
        <f t="shared" ca="1" si="30"/>
        <v>4</v>
      </c>
      <c r="K736" s="786"/>
    </row>
    <row r="737" spans="1:11" x14ac:dyDescent="0.3">
      <c r="A737" s="800">
        <v>720</v>
      </c>
      <c r="B737" s="571">
        <f t="shared" ca="1" si="29"/>
        <v>73.428726849752067</v>
      </c>
      <c r="C737" s="801">
        <f t="shared" ca="1" si="30"/>
        <v>4</v>
      </c>
      <c r="K737" s="786"/>
    </row>
    <row r="738" spans="1:11" x14ac:dyDescent="0.3">
      <c r="A738" s="800">
        <v>721</v>
      </c>
      <c r="B738" s="571">
        <f t="shared" ca="1" si="29"/>
        <v>63.335985535606319</v>
      </c>
      <c r="C738" s="801">
        <f t="shared" ca="1" si="30"/>
        <v>3</v>
      </c>
      <c r="K738" s="786"/>
    </row>
    <row r="739" spans="1:11" x14ac:dyDescent="0.3">
      <c r="A739" s="800">
        <v>722</v>
      </c>
      <c r="B739" s="571">
        <f t="shared" ca="1" si="29"/>
        <v>18.262973373971349</v>
      </c>
      <c r="C739" s="801">
        <f t="shared" ca="1" si="30"/>
        <v>2</v>
      </c>
      <c r="K739" s="786"/>
    </row>
    <row r="740" spans="1:11" x14ac:dyDescent="0.3">
      <c r="A740" s="800">
        <v>723</v>
      </c>
      <c r="B740" s="571">
        <f t="shared" ca="1" si="29"/>
        <v>81.669408740217008</v>
      </c>
      <c r="C740" s="801">
        <f t="shared" ca="1" si="30"/>
        <v>4</v>
      </c>
      <c r="K740" s="786"/>
    </row>
    <row r="741" spans="1:11" x14ac:dyDescent="0.3">
      <c r="A741" s="800">
        <v>724</v>
      </c>
      <c r="B741" s="571">
        <f t="shared" ca="1" si="29"/>
        <v>32.443587478154868</v>
      </c>
      <c r="C741" s="801">
        <f t="shared" ca="1" si="30"/>
        <v>2</v>
      </c>
      <c r="K741" s="786"/>
    </row>
    <row r="742" spans="1:11" x14ac:dyDescent="0.3">
      <c r="A742" s="800">
        <v>725</v>
      </c>
      <c r="B742" s="571">
        <f t="shared" ca="1" si="29"/>
        <v>1.4071630101288313</v>
      </c>
      <c r="C742" s="801">
        <f t="shared" ca="1" si="30"/>
        <v>0</v>
      </c>
      <c r="K742" s="786"/>
    </row>
    <row r="743" spans="1:11" x14ac:dyDescent="0.3">
      <c r="A743" s="800">
        <v>726</v>
      </c>
      <c r="B743" s="571">
        <f t="shared" ca="1" si="29"/>
        <v>70.120075205643943</v>
      </c>
      <c r="C743" s="801">
        <f t="shared" ca="1" si="30"/>
        <v>4</v>
      </c>
      <c r="K743" s="786"/>
    </row>
    <row r="744" spans="1:11" x14ac:dyDescent="0.3">
      <c r="A744" s="800">
        <v>727</v>
      </c>
      <c r="B744" s="571">
        <f t="shared" ca="1" si="29"/>
        <v>64.089765732520192</v>
      </c>
      <c r="C744" s="801">
        <f t="shared" ca="1" si="30"/>
        <v>3</v>
      </c>
      <c r="K744" s="786"/>
    </row>
    <row r="745" spans="1:11" x14ac:dyDescent="0.3">
      <c r="A745" s="800">
        <v>728</v>
      </c>
      <c r="B745" s="571">
        <f t="shared" ca="1" si="29"/>
        <v>36.115601299483437</v>
      </c>
      <c r="C745" s="801">
        <f t="shared" ca="1" si="30"/>
        <v>3</v>
      </c>
      <c r="K745" s="786"/>
    </row>
    <row r="746" spans="1:11" x14ac:dyDescent="0.3">
      <c r="A746" s="800">
        <v>729</v>
      </c>
      <c r="B746" s="571">
        <f t="shared" ca="1" si="29"/>
        <v>57.032624469375691</v>
      </c>
      <c r="C746" s="801">
        <f t="shared" ca="1" si="30"/>
        <v>3</v>
      </c>
      <c r="K746" s="786"/>
    </row>
    <row r="747" spans="1:11" x14ac:dyDescent="0.3">
      <c r="A747" s="800">
        <v>730</v>
      </c>
      <c r="B747" s="571">
        <f t="shared" ca="1" si="29"/>
        <v>86.1892564719235</v>
      </c>
      <c r="C747" s="801">
        <f t="shared" ca="1" si="30"/>
        <v>5</v>
      </c>
      <c r="K747" s="786"/>
    </row>
    <row r="748" spans="1:11" x14ac:dyDescent="0.3">
      <c r="A748" s="800">
        <v>731</v>
      </c>
      <c r="B748" s="571">
        <f t="shared" ca="1" si="29"/>
        <v>30.380807451463532</v>
      </c>
      <c r="C748" s="801">
        <f t="shared" ca="1" si="30"/>
        <v>2</v>
      </c>
      <c r="K748" s="786"/>
    </row>
    <row r="749" spans="1:11" x14ac:dyDescent="0.3">
      <c r="A749" s="800">
        <v>732</v>
      </c>
      <c r="B749" s="571">
        <f t="shared" ca="1" si="29"/>
        <v>72.940479451709294</v>
      </c>
      <c r="C749" s="801">
        <f t="shared" ca="1" si="30"/>
        <v>4</v>
      </c>
      <c r="K749" s="786"/>
    </row>
    <row r="750" spans="1:11" x14ac:dyDescent="0.3">
      <c r="A750" s="800">
        <v>733</v>
      </c>
      <c r="B750" s="571">
        <f t="shared" ca="1" si="29"/>
        <v>89.453313733122926</v>
      </c>
      <c r="C750" s="801">
        <f t="shared" ca="1" si="30"/>
        <v>5</v>
      </c>
      <c r="K750" s="786"/>
    </row>
    <row r="751" spans="1:11" x14ac:dyDescent="0.3">
      <c r="A751" s="800">
        <v>734</v>
      </c>
      <c r="B751" s="571">
        <f t="shared" ca="1" si="29"/>
        <v>93.053431983649432</v>
      </c>
      <c r="C751" s="801">
        <f t="shared" ca="1" si="30"/>
        <v>5</v>
      </c>
      <c r="K751" s="786"/>
    </row>
    <row r="752" spans="1:11" x14ac:dyDescent="0.3">
      <c r="A752" s="800">
        <v>735</v>
      </c>
      <c r="B752" s="571">
        <f t="shared" ca="1" si="29"/>
        <v>15.876019344081648</v>
      </c>
      <c r="C752" s="801">
        <f t="shared" ca="1" si="30"/>
        <v>2</v>
      </c>
      <c r="K752" s="786"/>
    </row>
    <row r="753" spans="1:11" x14ac:dyDescent="0.3">
      <c r="A753" s="800">
        <v>736</v>
      </c>
      <c r="B753" s="571">
        <f t="shared" ca="1" si="29"/>
        <v>62.18973499630961</v>
      </c>
      <c r="C753" s="801">
        <f t="shared" ca="1" si="30"/>
        <v>3</v>
      </c>
      <c r="K753" s="786"/>
    </row>
    <row r="754" spans="1:11" x14ac:dyDescent="0.3">
      <c r="A754" s="800">
        <v>737</v>
      </c>
      <c r="B754" s="571">
        <f t="shared" ca="1" si="29"/>
        <v>29.317818008142961</v>
      </c>
      <c r="C754" s="801">
        <f t="shared" ca="1" si="30"/>
        <v>2</v>
      </c>
      <c r="K754" s="786"/>
    </row>
    <row r="755" spans="1:11" x14ac:dyDescent="0.3">
      <c r="A755" s="800">
        <v>738</v>
      </c>
      <c r="B755" s="571">
        <f t="shared" ca="1" si="29"/>
        <v>91.210574039365611</v>
      </c>
      <c r="C755" s="801">
        <f t="shared" ca="1" si="30"/>
        <v>5</v>
      </c>
      <c r="K755" s="786"/>
    </row>
    <row r="756" spans="1:11" x14ac:dyDescent="0.3">
      <c r="A756" s="800">
        <v>739</v>
      </c>
      <c r="B756" s="571">
        <f t="shared" ca="1" si="29"/>
        <v>1.9715354612900526</v>
      </c>
      <c r="C756" s="801">
        <f t="shared" ca="1" si="30"/>
        <v>0</v>
      </c>
      <c r="K756" s="786"/>
    </row>
    <row r="757" spans="1:11" x14ac:dyDescent="0.3">
      <c r="A757" s="800">
        <v>740</v>
      </c>
      <c r="B757" s="571">
        <f t="shared" ca="1" si="29"/>
        <v>61.505163531095164</v>
      </c>
      <c r="C757" s="801">
        <f t="shared" ca="1" si="30"/>
        <v>3</v>
      </c>
      <c r="K757" s="786"/>
    </row>
    <row r="758" spans="1:11" x14ac:dyDescent="0.3">
      <c r="A758" s="800">
        <v>741</v>
      </c>
      <c r="B758" s="571">
        <f t="shared" ca="1" si="29"/>
        <v>59.769634048582276</v>
      </c>
      <c r="C758" s="801">
        <f t="shared" ca="1" si="30"/>
        <v>3</v>
      </c>
      <c r="K758" s="786"/>
    </row>
    <row r="759" spans="1:11" x14ac:dyDescent="0.3">
      <c r="A759" s="800">
        <v>742</v>
      </c>
      <c r="B759" s="571">
        <f t="shared" ca="1" si="29"/>
        <v>37.620545200163846</v>
      </c>
      <c r="C759" s="801">
        <f t="shared" ca="1" si="30"/>
        <v>3</v>
      </c>
      <c r="K759" s="786"/>
    </row>
    <row r="760" spans="1:11" x14ac:dyDescent="0.3">
      <c r="A760" s="800">
        <v>743</v>
      </c>
      <c r="B760" s="571">
        <f t="shared" ca="1" si="29"/>
        <v>67.582030735764263</v>
      </c>
      <c r="C760" s="801">
        <f t="shared" ca="1" si="30"/>
        <v>4</v>
      </c>
      <c r="K760" s="786"/>
    </row>
    <row r="761" spans="1:11" x14ac:dyDescent="0.3">
      <c r="A761" s="800">
        <v>744</v>
      </c>
      <c r="B761" s="571">
        <f t="shared" ca="1" si="29"/>
        <v>74.112274379513991</v>
      </c>
      <c r="C761" s="801">
        <f t="shared" ca="1" si="30"/>
        <v>4</v>
      </c>
      <c r="K761" s="786"/>
    </row>
    <row r="762" spans="1:11" x14ac:dyDescent="0.3">
      <c r="A762" s="800">
        <v>745</v>
      </c>
      <c r="B762" s="571">
        <f t="shared" ca="1" si="29"/>
        <v>36.744994943127963</v>
      </c>
      <c r="C762" s="801">
        <f t="shared" ca="1" si="30"/>
        <v>3</v>
      </c>
      <c r="K762" s="786"/>
    </row>
    <row r="763" spans="1:11" x14ac:dyDescent="0.3">
      <c r="A763" s="800">
        <v>746</v>
      </c>
      <c r="B763" s="571">
        <f t="shared" ca="1" si="29"/>
        <v>74.89551649647052</v>
      </c>
      <c r="C763" s="801">
        <f t="shared" ca="1" si="30"/>
        <v>4</v>
      </c>
      <c r="K763" s="786"/>
    </row>
    <row r="764" spans="1:11" x14ac:dyDescent="0.3">
      <c r="A764" s="800">
        <v>747</v>
      </c>
      <c r="B764" s="571">
        <f t="shared" ca="1" si="29"/>
        <v>16.756497823331905</v>
      </c>
      <c r="C764" s="801">
        <f t="shared" ca="1" si="30"/>
        <v>2</v>
      </c>
      <c r="K764" s="786"/>
    </row>
    <row r="765" spans="1:11" x14ac:dyDescent="0.3">
      <c r="A765" s="800">
        <v>748</v>
      </c>
      <c r="B765" s="571">
        <f t="shared" ca="1" si="29"/>
        <v>90.488566897673678</v>
      </c>
      <c r="C765" s="801">
        <f t="shared" ca="1" si="30"/>
        <v>5</v>
      </c>
      <c r="K765" s="786"/>
    </row>
    <row r="766" spans="1:11" x14ac:dyDescent="0.3">
      <c r="A766" s="800">
        <v>749</v>
      </c>
      <c r="B766" s="571">
        <f t="shared" ca="1" si="29"/>
        <v>37.29169140808272</v>
      </c>
      <c r="C766" s="801">
        <f t="shared" ca="1" si="30"/>
        <v>3</v>
      </c>
      <c r="K766" s="786"/>
    </row>
    <row r="767" spans="1:11" x14ac:dyDescent="0.3">
      <c r="A767" s="800">
        <v>750</v>
      </c>
      <c r="B767" s="571">
        <f t="shared" ca="1" si="29"/>
        <v>58.461411383262231</v>
      </c>
      <c r="C767" s="801">
        <f t="shared" ca="1" si="30"/>
        <v>3</v>
      </c>
      <c r="K767" s="786"/>
    </row>
    <row r="768" spans="1:11" x14ac:dyDescent="0.3">
      <c r="A768" s="800">
        <v>751</v>
      </c>
      <c r="B768" s="571">
        <f t="shared" ca="1" si="29"/>
        <v>95.20078607686753</v>
      </c>
      <c r="C768" s="801">
        <f t="shared" ca="1" si="30"/>
        <v>5</v>
      </c>
      <c r="K768" s="786"/>
    </row>
    <row r="769" spans="1:11" x14ac:dyDescent="0.3">
      <c r="A769" s="800">
        <v>752</v>
      </c>
      <c r="B769" s="571">
        <f t="shared" ca="1" si="29"/>
        <v>37.936018166474028</v>
      </c>
      <c r="C769" s="801">
        <f t="shared" ca="1" si="30"/>
        <v>3</v>
      </c>
      <c r="K769" s="786"/>
    </row>
    <row r="770" spans="1:11" x14ac:dyDescent="0.3">
      <c r="A770" s="800">
        <v>753</v>
      </c>
      <c r="B770" s="571">
        <f t="shared" ca="1" si="29"/>
        <v>25.404547239689279</v>
      </c>
      <c r="C770" s="801">
        <f t="shared" ca="1" si="30"/>
        <v>2</v>
      </c>
      <c r="K770" s="786"/>
    </row>
    <row r="771" spans="1:11" x14ac:dyDescent="0.3">
      <c r="A771" s="800">
        <v>754</v>
      </c>
      <c r="B771" s="571">
        <f t="shared" ca="1" si="29"/>
        <v>11.36939171902166</v>
      </c>
      <c r="C771" s="801">
        <f t="shared" ca="1" si="30"/>
        <v>1</v>
      </c>
      <c r="K771" s="786"/>
    </row>
    <row r="772" spans="1:11" x14ac:dyDescent="0.3">
      <c r="A772" s="800">
        <v>755</v>
      </c>
      <c r="B772" s="571">
        <f t="shared" ca="1" si="29"/>
        <v>18.12089475110491</v>
      </c>
      <c r="C772" s="801">
        <f t="shared" ca="1" si="30"/>
        <v>2</v>
      </c>
      <c r="K772" s="786"/>
    </row>
    <row r="773" spans="1:11" x14ac:dyDescent="0.3">
      <c r="A773" s="800">
        <v>756</v>
      </c>
      <c r="B773" s="571">
        <f t="shared" ca="1" si="29"/>
        <v>41.294974441057683</v>
      </c>
      <c r="C773" s="801">
        <f t="shared" ca="1" si="30"/>
        <v>3</v>
      </c>
      <c r="K773" s="786"/>
    </row>
    <row r="774" spans="1:11" x14ac:dyDescent="0.3">
      <c r="A774" s="800">
        <v>757</v>
      </c>
      <c r="B774" s="571">
        <f t="shared" ca="1" si="29"/>
        <v>86.819580305186108</v>
      </c>
      <c r="C774" s="801">
        <f t="shared" ca="1" si="30"/>
        <v>5</v>
      </c>
      <c r="K774" s="786"/>
    </row>
    <row r="775" spans="1:11" x14ac:dyDescent="0.3">
      <c r="A775" s="800">
        <v>758</v>
      </c>
      <c r="B775" s="571">
        <f t="shared" ca="1" si="29"/>
        <v>19.157929256751004</v>
      </c>
      <c r="C775" s="801">
        <f t="shared" ca="1" si="30"/>
        <v>2</v>
      </c>
      <c r="K775" s="786"/>
    </row>
    <row r="776" spans="1:11" x14ac:dyDescent="0.3">
      <c r="A776" s="800">
        <v>759</v>
      </c>
      <c r="B776" s="571">
        <f t="shared" ca="1" si="29"/>
        <v>49.412078146917324</v>
      </c>
      <c r="C776" s="801">
        <f t="shared" ca="1" si="30"/>
        <v>3</v>
      </c>
      <c r="K776" s="786"/>
    </row>
    <row r="777" spans="1:11" x14ac:dyDescent="0.3">
      <c r="A777" s="800">
        <v>760</v>
      </c>
      <c r="B777" s="571">
        <f t="shared" ca="1" si="29"/>
        <v>97.027330576407763</v>
      </c>
      <c r="C777" s="801">
        <f t="shared" ca="1" si="30"/>
        <v>5</v>
      </c>
      <c r="K777" s="786"/>
    </row>
    <row r="778" spans="1:11" x14ac:dyDescent="0.3">
      <c r="A778" s="800">
        <v>761</v>
      </c>
      <c r="B778" s="571">
        <f t="shared" ca="1" si="29"/>
        <v>11.710187656104287</v>
      </c>
      <c r="C778" s="801">
        <f t="shared" ca="1" si="30"/>
        <v>1</v>
      </c>
      <c r="K778" s="786"/>
    </row>
    <row r="779" spans="1:11" x14ac:dyDescent="0.3">
      <c r="A779" s="800">
        <v>762</v>
      </c>
      <c r="B779" s="571">
        <f t="shared" ca="1" si="29"/>
        <v>65.38062445126937</v>
      </c>
      <c r="C779" s="801">
        <f t="shared" ca="1" si="30"/>
        <v>4</v>
      </c>
      <c r="K779" s="786"/>
    </row>
    <row r="780" spans="1:11" x14ac:dyDescent="0.3">
      <c r="A780" s="800">
        <v>763</v>
      </c>
      <c r="B780" s="571">
        <f t="shared" ca="1" si="29"/>
        <v>17.798424750190168</v>
      </c>
      <c r="C780" s="801">
        <f t="shared" ca="1" si="30"/>
        <v>2</v>
      </c>
      <c r="K780" s="786"/>
    </row>
    <row r="781" spans="1:11" x14ac:dyDescent="0.3">
      <c r="A781" s="800">
        <v>764</v>
      </c>
      <c r="B781" s="571">
        <f t="shared" ca="1" si="29"/>
        <v>9.6942312909348853</v>
      </c>
      <c r="C781" s="801">
        <f t="shared" ca="1" si="30"/>
        <v>1</v>
      </c>
      <c r="K781" s="786"/>
    </row>
    <row r="782" spans="1:11" x14ac:dyDescent="0.3">
      <c r="A782" s="800">
        <v>765</v>
      </c>
      <c r="B782" s="571">
        <f t="shared" ca="1" si="29"/>
        <v>40.687462881936518</v>
      </c>
      <c r="C782" s="801">
        <f t="shared" ca="1" si="30"/>
        <v>3</v>
      </c>
      <c r="K782" s="786"/>
    </row>
    <row r="783" spans="1:11" x14ac:dyDescent="0.3">
      <c r="A783" s="800">
        <v>766</v>
      </c>
      <c r="B783" s="571">
        <f t="shared" ca="1" si="29"/>
        <v>60.572826662028056</v>
      </c>
      <c r="C783" s="801">
        <f t="shared" ca="1" si="30"/>
        <v>3</v>
      </c>
      <c r="K783" s="786"/>
    </row>
    <row r="784" spans="1:11" x14ac:dyDescent="0.3">
      <c r="A784" s="800">
        <v>767</v>
      </c>
      <c r="B784" s="571">
        <f t="shared" ca="1" si="29"/>
        <v>5.0949332544407033</v>
      </c>
      <c r="C784" s="801">
        <f t="shared" ca="1" si="30"/>
        <v>1</v>
      </c>
      <c r="K784" s="786"/>
    </row>
    <row r="785" spans="1:11" x14ac:dyDescent="0.3">
      <c r="A785" s="800">
        <v>768</v>
      </c>
      <c r="B785" s="571">
        <f t="shared" ca="1" si="29"/>
        <v>97.321185029201516</v>
      </c>
      <c r="C785" s="801">
        <f t="shared" ca="1" si="30"/>
        <v>5</v>
      </c>
      <c r="K785" s="786"/>
    </row>
    <row r="786" spans="1:11" x14ac:dyDescent="0.3">
      <c r="A786" s="800">
        <v>769</v>
      </c>
      <c r="B786" s="571">
        <f t="shared" ca="1" si="29"/>
        <v>86.787506826281927</v>
      </c>
      <c r="C786" s="801">
        <f t="shared" ca="1" si="30"/>
        <v>5</v>
      </c>
      <c r="K786" s="786"/>
    </row>
    <row r="787" spans="1:11" x14ac:dyDescent="0.3">
      <c r="A787" s="800">
        <v>770</v>
      </c>
      <c r="B787" s="571">
        <f t="shared" ref="B787:B850" ca="1" si="31">100*RAND()</f>
        <v>70.036124152930341</v>
      </c>
      <c r="C787" s="801">
        <f t="shared" ref="C787:C850" ca="1" si="32">VLOOKUP(B787,$A$8:$C$13,3)</f>
        <v>4</v>
      </c>
      <c r="K787" s="786"/>
    </row>
    <row r="788" spans="1:11" x14ac:dyDescent="0.3">
      <c r="A788" s="800">
        <v>771</v>
      </c>
      <c r="B788" s="571">
        <f t="shared" ca="1" si="31"/>
        <v>73.514826733919875</v>
      </c>
      <c r="C788" s="801">
        <f t="shared" ca="1" si="32"/>
        <v>4</v>
      </c>
      <c r="K788" s="786"/>
    </row>
    <row r="789" spans="1:11" x14ac:dyDescent="0.3">
      <c r="A789" s="800">
        <v>772</v>
      </c>
      <c r="B789" s="571">
        <f t="shared" ca="1" si="31"/>
        <v>11.932726468163146</v>
      </c>
      <c r="C789" s="801">
        <f t="shared" ca="1" si="32"/>
        <v>1</v>
      </c>
      <c r="K789" s="786"/>
    </row>
    <row r="790" spans="1:11" x14ac:dyDescent="0.3">
      <c r="A790" s="800">
        <v>773</v>
      </c>
      <c r="B790" s="571">
        <f t="shared" ca="1" si="31"/>
        <v>54.419501167442185</v>
      </c>
      <c r="C790" s="801">
        <f t="shared" ca="1" si="32"/>
        <v>3</v>
      </c>
      <c r="K790" s="786"/>
    </row>
    <row r="791" spans="1:11" x14ac:dyDescent="0.3">
      <c r="A791" s="800">
        <v>774</v>
      </c>
      <c r="B791" s="571">
        <f t="shared" ca="1" si="31"/>
        <v>92.624875170075271</v>
      </c>
      <c r="C791" s="801">
        <f t="shared" ca="1" si="32"/>
        <v>5</v>
      </c>
      <c r="K791" s="786"/>
    </row>
    <row r="792" spans="1:11" x14ac:dyDescent="0.3">
      <c r="A792" s="800">
        <v>775</v>
      </c>
      <c r="B792" s="571">
        <f t="shared" ca="1" si="31"/>
        <v>7.4500592281978362</v>
      </c>
      <c r="C792" s="801">
        <f t="shared" ca="1" si="32"/>
        <v>1</v>
      </c>
      <c r="K792" s="786"/>
    </row>
    <row r="793" spans="1:11" x14ac:dyDescent="0.3">
      <c r="A793" s="800">
        <v>776</v>
      </c>
      <c r="B793" s="571">
        <f t="shared" ca="1" si="31"/>
        <v>85.73416959405796</v>
      </c>
      <c r="C793" s="801">
        <f t="shared" ca="1" si="32"/>
        <v>5</v>
      </c>
      <c r="K793" s="786"/>
    </row>
    <row r="794" spans="1:11" x14ac:dyDescent="0.3">
      <c r="A794" s="800">
        <v>777</v>
      </c>
      <c r="B794" s="571">
        <f t="shared" ca="1" si="31"/>
        <v>37.644645906666874</v>
      </c>
      <c r="C794" s="801">
        <f t="shared" ca="1" si="32"/>
        <v>3</v>
      </c>
      <c r="K794" s="786"/>
    </row>
    <row r="795" spans="1:11" x14ac:dyDescent="0.3">
      <c r="A795" s="800">
        <v>778</v>
      </c>
      <c r="B795" s="571">
        <f t="shared" ca="1" si="31"/>
        <v>9.3845074794394634</v>
      </c>
      <c r="C795" s="801">
        <f t="shared" ca="1" si="32"/>
        <v>1</v>
      </c>
      <c r="K795" s="786"/>
    </row>
    <row r="796" spans="1:11" x14ac:dyDescent="0.3">
      <c r="A796" s="800">
        <v>779</v>
      </c>
      <c r="B796" s="571">
        <f t="shared" ca="1" si="31"/>
        <v>75.515706060531144</v>
      </c>
      <c r="C796" s="801">
        <f t="shared" ca="1" si="32"/>
        <v>4</v>
      </c>
      <c r="K796" s="786"/>
    </row>
    <row r="797" spans="1:11" x14ac:dyDescent="0.3">
      <c r="A797" s="800">
        <v>780</v>
      </c>
      <c r="B797" s="571">
        <f t="shared" ca="1" si="31"/>
        <v>46.245435096767274</v>
      </c>
      <c r="C797" s="801">
        <f t="shared" ca="1" si="32"/>
        <v>3</v>
      </c>
      <c r="K797" s="786"/>
    </row>
    <row r="798" spans="1:11" x14ac:dyDescent="0.3">
      <c r="A798" s="800">
        <v>781</v>
      </c>
      <c r="B798" s="571">
        <f t="shared" ca="1" si="31"/>
        <v>6.2471771923934716</v>
      </c>
      <c r="C798" s="801">
        <f t="shared" ca="1" si="32"/>
        <v>1</v>
      </c>
      <c r="K798" s="786"/>
    </row>
    <row r="799" spans="1:11" x14ac:dyDescent="0.3">
      <c r="A799" s="800">
        <v>782</v>
      </c>
      <c r="B799" s="571">
        <f t="shared" ca="1" si="31"/>
        <v>66.514504596050443</v>
      </c>
      <c r="C799" s="801">
        <f t="shared" ca="1" si="32"/>
        <v>4</v>
      </c>
      <c r="K799" s="786"/>
    </row>
    <row r="800" spans="1:11" x14ac:dyDescent="0.3">
      <c r="A800" s="800">
        <v>783</v>
      </c>
      <c r="B800" s="571">
        <f t="shared" ca="1" si="31"/>
        <v>92.54941855034572</v>
      </c>
      <c r="C800" s="801">
        <f t="shared" ca="1" si="32"/>
        <v>5</v>
      </c>
      <c r="K800" s="786"/>
    </row>
    <row r="801" spans="1:11" x14ac:dyDescent="0.3">
      <c r="A801" s="800">
        <v>784</v>
      </c>
      <c r="B801" s="571">
        <f t="shared" ca="1" si="31"/>
        <v>81.664782792382098</v>
      </c>
      <c r="C801" s="801">
        <f t="shared" ca="1" si="32"/>
        <v>4</v>
      </c>
      <c r="K801" s="786"/>
    </row>
    <row r="802" spans="1:11" x14ac:dyDescent="0.3">
      <c r="A802" s="800">
        <v>785</v>
      </c>
      <c r="B802" s="571">
        <f t="shared" ca="1" si="31"/>
        <v>70.473409275248358</v>
      </c>
      <c r="C802" s="801">
        <f t="shared" ca="1" si="32"/>
        <v>4</v>
      </c>
      <c r="K802" s="786"/>
    </row>
    <row r="803" spans="1:11" x14ac:dyDescent="0.3">
      <c r="A803" s="800">
        <v>786</v>
      </c>
      <c r="B803" s="571">
        <f t="shared" ca="1" si="31"/>
        <v>5.5100876245324777</v>
      </c>
      <c r="C803" s="801">
        <f t="shared" ca="1" si="32"/>
        <v>1</v>
      </c>
      <c r="K803" s="786"/>
    </row>
    <row r="804" spans="1:11" x14ac:dyDescent="0.3">
      <c r="A804" s="800">
        <v>787</v>
      </c>
      <c r="B804" s="571">
        <f t="shared" ca="1" si="31"/>
        <v>95.564070936442363</v>
      </c>
      <c r="C804" s="801">
        <f t="shared" ca="1" si="32"/>
        <v>5</v>
      </c>
      <c r="K804" s="786"/>
    </row>
    <row r="805" spans="1:11" x14ac:dyDescent="0.3">
      <c r="A805" s="800">
        <v>788</v>
      </c>
      <c r="B805" s="571">
        <f t="shared" ca="1" si="31"/>
        <v>70.581250312956143</v>
      </c>
      <c r="C805" s="801">
        <f t="shared" ca="1" si="32"/>
        <v>4</v>
      </c>
      <c r="K805" s="786"/>
    </row>
    <row r="806" spans="1:11" x14ac:dyDescent="0.3">
      <c r="A806" s="800">
        <v>789</v>
      </c>
      <c r="B806" s="571">
        <f t="shared" ca="1" si="31"/>
        <v>34.180460594196319</v>
      </c>
      <c r="C806" s="801">
        <f t="shared" ca="1" si="32"/>
        <v>2</v>
      </c>
      <c r="K806" s="786"/>
    </row>
    <row r="807" spans="1:11" x14ac:dyDescent="0.3">
      <c r="A807" s="800">
        <v>790</v>
      </c>
      <c r="B807" s="571">
        <f t="shared" ca="1" si="31"/>
        <v>94.198390330244266</v>
      </c>
      <c r="C807" s="801">
        <f t="shared" ca="1" si="32"/>
        <v>5</v>
      </c>
      <c r="K807" s="786"/>
    </row>
    <row r="808" spans="1:11" x14ac:dyDescent="0.3">
      <c r="A808" s="800">
        <v>791</v>
      </c>
      <c r="B808" s="571">
        <f t="shared" ca="1" si="31"/>
        <v>62.577075264432565</v>
      </c>
      <c r="C808" s="801">
        <f t="shared" ca="1" si="32"/>
        <v>3</v>
      </c>
      <c r="K808" s="786"/>
    </row>
    <row r="809" spans="1:11" x14ac:dyDescent="0.3">
      <c r="A809" s="800">
        <v>792</v>
      </c>
      <c r="B809" s="571">
        <f t="shared" ca="1" si="31"/>
        <v>8.7307589338539984</v>
      </c>
      <c r="C809" s="801">
        <f t="shared" ca="1" si="32"/>
        <v>1</v>
      </c>
      <c r="K809" s="786"/>
    </row>
    <row r="810" spans="1:11" x14ac:dyDescent="0.3">
      <c r="A810" s="800">
        <v>793</v>
      </c>
      <c r="B810" s="571">
        <f t="shared" ca="1" si="31"/>
        <v>33.267006005604927</v>
      </c>
      <c r="C810" s="801">
        <f t="shared" ca="1" si="32"/>
        <v>2</v>
      </c>
      <c r="K810" s="786"/>
    </row>
    <row r="811" spans="1:11" x14ac:dyDescent="0.3">
      <c r="A811" s="800">
        <v>794</v>
      </c>
      <c r="B811" s="571">
        <f t="shared" ca="1" si="31"/>
        <v>39.909673747622541</v>
      </c>
      <c r="C811" s="801">
        <f t="shared" ca="1" si="32"/>
        <v>3</v>
      </c>
      <c r="K811" s="786"/>
    </row>
    <row r="812" spans="1:11" x14ac:dyDescent="0.3">
      <c r="A812" s="800">
        <v>795</v>
      </c>
      <c r="B812" s="571">
        <f t="shared" ca="1" si="31"/>
        <v>12.095396459646645</v>
      </c>
      <c r="C812" s="801">
        <f t="shared" ca="1" si="32"/>
        <v>1</v>
      </c>
      <c r="K812" s="786"/>
    </row>
    <row r="813" spans="1:11" x14ac:dyDescent="0.3">
      <c r="A813" s="800">
        <v>796</v>
      </c>
      <c r="B813" s="571">
        <f t="shared" ca="1" si="31"/>
        <v>20.617460356383344</v>
      </c>
      <c r="C813" s="801">
        <f t="shared" ca="1" si="32"/>
        <v>2</v>
      </c>
      <c r="K813" s="786"/>
    </row>
    <row r="814" spans="1:11" x14ac:dyDescent="0.3">
      <c r="A814" s="800">
        <v>797</v>
      </c>
      <c r="B814" s="571">
        <f t="shared" ca="1" si="31"/>
        <v>15.706823306474782</v>
      </c>
      <c r="C814" s="801">
        <f t="shared" ca="1" si="32"/>
        <v>2</v>
      </c>
      <c r="K814" s="786"/>
    </row>
    <row r="815" spans="1:11" x14ac:dyDescent="0.3">
      <c r="A815" s="800">
        <v>798</v>
      </c>
      <c r="B815" s="571">
        <f t="shared" ca="1" si="31"/>
        <v>92.112027630749381</v>
      </c>
      <c r="C815" s="801">
        <f t="shared" ca="1" si="32"/>
        <v>5</v>
      </c>
      <c r="K815" s="786"/>
    </row>
    <row r="816" spans="1:11" x14ac:dyDescent="0.3">
      <c r="A816" s="800">
        <v>799</v>
      </c>
      <c r="B816" s="571">
        <f t="shared" ca="1" si="31"/>
        <v>97.313500694511802</v>
      </c>
      <c r="C816" s="801">
        <f t="shared" ca="1" si="32"/>
        <v>5</v>
      </c>
      <c r="K816" s="786"/>
    </row>
    <row r="817" spans="1:11" x14ac:dyDescent="0.3">
      <c r="A817" s="800">
        <v>800</v>
      </c>
      <c r="B817" s="571">
        <f t="shared" ca="1" si="31"/>
        <v>50.515784742247135</v>
      </c>
      <c r="C817" s="801">
        <f t="shared" ca="1" si="32"/>
        <v>3</v>
      </c>
      <c r="K817" s="786"/>
    </row>
    <row r="818" spans="1:11" x14ac:dyDescent="0.3">
      <c r="A818" s="800">
        <v>801</v>
      </c>
      <c r="B818" s="571">
        <f t="shared" ca="1" si="31"/>
        <v>87.955801392608578</v>
      </c>
      <c r="C818" s="801">
        <f t="shared" ca="1" si="32"/>
        <v>5</v>
      </c>
      <c r="K818" s="786"/>
    </row>
    <row r="819" spans="1:11" x14ac:dyDescent="0.3">
      <c r="A819" s="800">
        <v>802</v>
      </c>
      <c r="B819" s="571">
        <f t="shared" ca="1" si="31"/>
        <v>42.571160901503745</v>
      </c>
      <c r="C819" s="801">
        <f t="shared" ca="1" si="32"/>
        <v>3</v>
      </c>
      <c r="K819" s="786"/>
    </row>
    <row r="820" spans="1:11" x14ac:dyDescent="0.3">
      <c r="A820" s="800">
        <v>803</v>
      </c>
      <c r="B820" s="571">
        <f t="shared" ca="1" si="31"/>
        <v>66.472963142642612</v>
      </c>
      <c r="C820" s="801">
        <f t="shared" ca="1" si="32"/>
        <v>4</v>
      </c>
      <c r="K820" s="786"/>
    </row>
    <row r="821" spans="1:11" x14ac:dyDescent="0.3">
      <c r="A821" s="800">
        <v>804</v>
      </c>
      <c r="B821" s="571">
        <f t="shared" ca="1" si="31"/>
        <v>77.884144251338512</v>
      </c>
      <c r="C821" s="801">
        <f t="shared" ca="1" si="32"/>
        <v>4</v>
      </c>
      <c r="K821" s="786"/>
    </row>
    <row r="822" spans="1:11" x14ac:dyDescent="0.3">
      <c r="A822" s="800">
        <v>805</v>
      </c>
      <c r="B822" s="571">
        <f t="shared" ca="1" si="31"/>
        <v>21.071373557919415</v>
      </c>
      <c r="C822" s="801">
        <f t="shared" ca="1" si="32"/>
        <v>2</v>
      </c>
      <c r="K822" s="786"/>
    </row>
    <row r="823" spans="1:11" x14ac:dyDescent="0.3">
      <c r="A823" s="800">
        <v>806</v>
      </c>
      <c r="B823" s="571">
        <f t="shared" ca="1" si="31"/>
        <v>38.115132228737281</v>
      </c>
      <c r="C823" s="801">
        <f t="shared" ca="1" si="32"/>
        <v>3</v>
      </c>
      <c r="K823" s="786"/>
    </row>
    <row r="824" spans="1:11" x14ac:dyDescent="0.3">
      <c r="A824" s="800">
        <v>807</v>
      </c>
      <c r="B824" s="571">
        <f t="shared" ca="1" si="31"/>
        <v>85.699149318628145</v>
      </c>
      <c r="C824" s="801">
        <f t="shared" ca="1" si="32"/>
        <v>5</v>
      </c>
      <c r="K824" s="786"/>
    </row>
    <row r="825" spans="1:11" x14ac:dyDescent="0.3">
      <c r="A825" s="800">
        <v>808</v>
      </c>
      <c r="B825" s="571">
        <f t="shared" ca="1" si="31"/>
        <v>46.042187708132957</v>
      </c>
      <c r="C825" s="801">
        <f t="shared" ca="1" si="32"/>
        <v>3</v>
      </c>
      <c r="K825" s="786"/>
    </row>
    <row r="826" spans="1:11" x14ac:dyDescent="0.3">
      <c r="A826" s="800">
        <v>809</v>
      </c>
      <c r="B826" s="571">
        <f t="shared" ca="1" si="31"/>
        <v>86.91880109996788</v>
      </c>
      <c r="C826" s="801">
        <f t="shared" ca="1" si="32"/>
        <v>5</v>
      </c>
      <c r="K826" s="786"/>
    </row>
    <row r="827" spans="1:11" x14ac:dyDescent="0.3">
      <c r="A827" s="800">
        <v>810</v>
      </c>
      <c r="B827" s="571">
        <f t="shared" ca="1" si="31"/>
        <v>81.566902896380839</v>
      </c>
      <c r="C827" s="801">
        <f t="shared" ca="1" si="32"/>
        <v>4</v>
      </c>
      <c r="K827" s="786"/>
    </row>
    <row r="828" spans="1:11" x14ac:dyDescent="0.3">
      <c r="A828" s="800">
        <v>811</v>
      </c>
      <c r="B828" s="571">
        <f t="shared" ca="1" si="31"/>
        <v>8.1221531021636864</v>
      </c>
      <c r="C828" s="801">
        <f t="shared" ca="1" si="32"/>
        <v>1</v>
      </c>
      <c r="K828" s="786"/>
    </row>
    <row r="829" spans="1:11" x14ac:dyDescent="0.3">
      <c r="A829" s="800">
        <v>812</v>
      </c>
      <c r="B829" s="571">
        <f t="shared" ca="1" si="31"/>
        <v>47.288312233283413</v>
      </c>
      <c r="C829" s="801">
        <f t="shared" ca="1" si="32"/>
        <v>3</v>
      </c>
      <c r="K829" s="786"/>
    </row>
    <row r="830" spans="1:11" x14ac:dyDescent="0.3">
      <c r="A830" s="800">
        <v>813</v>
      </c>
      <c r="B830" s="571">
        <f t="shared" ca="1" si="31"/>
        <v>64.617340219694526</v>
      </c>
      <c r="C830" s="801">
        <f t="shared" ca="1" si="32"/>
        <v>3</v>
      </c>
      <c r="K830" s="786"/>
    </row>
    <row r="831" spans="1:11" x14ac:dyDescent="0.3">
      <c r="A831" s="800">
        <v>814</v>
      </c>
      <c r="B831" s="571">
        <f t="shared" ca="1" si="31"/>
        <v>6.4380373624829961</v>
      </c>
      <c r="C831" s="801">
        <f t="shared" ca="1" si="32"/>
        <v>1</v>
      </c>
      <c r="K831" s="786"/>
    </row>
    <row r="832" spans="1:11" x14ac:dyDescent="0.3">
      <c r="A832" s="800">
        <v>815</v>
      </c>
      <c r="B832" s="571">
        <f t="shared" ca="1" si="31"/>
        <v>77.93434050319371</v>
      </c>
      <c r="C832" s="801">
        <f t="shared" ca="1" si="32"/>
        <v>4</v>
      </c>
      <c r="K832" s="786"/>
    </row>
    <row r="833" spans="1:11" x14ac:dyDescent="0.3">
      <c r="A833" s="800">
        <v>816</v>
      </c>
      <c r="B833" s="571">
        <f t="shared" ca="1" si="31"/>
        <v>61.947991526918855</v>
      </c>
      <c r="C833" s="801">
        <f t="shared" ca="1" si="32"/>
        <v>3</v>
      </c>
      <c r="K833" s="786"/>
    </row>
    <row r="834" spans="1:11" x14ac:dyDescent="0.3">
      <c r="A834" s="800">
        <v>817</v>
      </c>
      <c r="B834" s="571">
        <f t="shared" ca="1" si="31"/>
        <v>11.118557985242838</v>
      </c>
      <c r="C834" s="801">
        <f t="shared" ca="1" si="32"/>
        <v>1</v>
      </c>
      <c r="K834" s="786"/>
    </row>
    <row r="835" spans="1:11" x14ac:dyDescent="0.3">
      <c r="A835" s="800">
        <v>818</v>
      </c>
      <c r="B835" s="571">
        <f t="shared" ca="1" si="31"/>
        <v>42.364020748906064</v>
      </c>
      <c r="C835" s="801">
        <f t="shared" ca="1" si="32"/>
        <v>3</v>
      </c>
      <c r="K835" s="786"/>
    </row>
    <row r="836" spans="1:11" x14ac:dyDescent="0.3">
      <c r="A836" s="800">
        <v>819</v>
      </c>
      <c r="B836" s="571">
        <f t="shared" ca="1" si="31"/>
        <v>72.158776627259229</v>
      </c>
      <c r="C836" s="801">
        <f t="shared" ca="1" si="32"/>
        <v>4</v>
      </c>
      <c r="K836" s="786"/>
    </row>
    <row r="837" spans="1:11" x14ac:dyDescent="0.3">
      <c r="A837" s="800">
        <v>820</v>
      </c>
      <c r="B837" s="571">
        <f t="shared" ca="1" si="31"/>
        <v>47.965785767310379</v>
      </c>
      <c r="C837" s="801">
        <f t="shared" ca="1" si="32"/>
        <v>3</v>
      </c>
      <c r="K837" s="786"/>
    </row>
    <row r="838" spans="1:11" x14ac:dyDescent="0.3">
      <c r="A838" s="800">
        <v>821</v>
      </c>
      <c r="B838" s="571">
        <f t="shared" ca="1" si="31"/>
        <v>86.73931917784445</v>
      </c>
      <c r="C838" s="801">
        <f t="shared" ca="1" si="32"/>
        <v>5</v>
      </c>
      <c r="K838" s="786"/>
    </row>
    <row r="839" spans="1:11" x14ac:dyDescent="0.3">
      <c r="A839" s="800">
        <v>822</v>
      </c>
      <c r="B839" s="571">
        <f t="shared" ca="1" si="31"/>
        <v>30.800850927326273</v>
      </c>
      <c r="C839" s="801">
        <f t="shared" ca="1" si="32"/>
        <v>2</v>
      </c>
      <c r="K839" s="786"/>
    </row>
    <row r="840" spans="1:11" x14ac:dyDescent="0.3">
      <c r="A840" s="800">
        <v>823</v>
      </c>
      <c r="B840" s="571">
        <f t="shared" ca="1" si="31"/>
        <v>4.2092186438306918</v>
      </c>
      <c r="C840" s="801">
        <f t="shared" ca="1" si="32"/>
        <v>0</v>
      </c>
      <c r="K840" s="786"/>
    </row>
    <row r="841" spans="1:11" x14ac:dyDescent="0.3">
      <c r="A841" s="800">
        <v>824</v>
      </c>
      <c r="B841" s="571">
        <f t="shared" ca="1" si="31"/>
        <v>61.542741185427239</v>
      </c>
      <c r="C841" s="801">
        <f t="shared" ca="1" si="32"/>
        <v>3</v>
      </c>
      <c r="K841" s="786"/>
    </row>
    <row r="842" spans="1:11" x14ac:dyDescent="0.3">
      <c r="A842" s="800">
        <v>825</v>
      </c>
      <c r="B842" s="571">
        <f t="shared" ca="1" si="31"/>
        <v>54.723834885288191</v>
      </c>
      <c r="C842" s="801">
        <f t="shared" ca="1" si="32"/>
        <v>3</v>
      </c>
      <c r="K842" s="786"/>
    </row>
    <row r="843" spans="1:11" x14ac:dyDescent="0.3">
      <c r="A843" s="800">
        <v>826</v>
      </c>
      <c r="B843" s="571">
        <f t="shared" ca="1" si="31"/>
        <v>72.503628021422088</v>
      </c>
      <c r="C843" s="801">
        <f t="shared" ca="1" si="32"/>
        <v>4</v>
      </c>
      <c r="K843" s="786"/>
    </row>
    <row r="844" spans="1:11" x14ac:dyDescent="0.3">
      <c r="A844" s="800">
        <v>827</v>
      </c>
      <c r="B844" s="571">
        <f t="shared" ca="1" si="31"/>
        <v>79.942924094042439</v>
      </c>
      <c r="C844" s="801">
        <f t="shared" ca="1" si="32"/>
        <v>4</v>
      </c>
      <c r="K844" s="786"/>
    </row>
    <row r="845" spans="1:11" x14ac:dyDescent="0.3">
      <c r="A845" s="800">
        <v>828</v>
      </c>
      <c r="B845" s="571">
        <f t="shared" ca="1" si="31"/>
        <v>21.960739513089202</v>
      </c>
      <c r="C845" s="801">
        <f t="shared" ca="1" si="32"/>
        <v>2</v>
      </c>
      <c r="K845" s="786"/>
    </row>
    <row r="846" spans="1:11" x14ac:dyDescent="0.3">
      <c r="A846" s="800">
        <v>829</v>
      </c>
      <c r="B846" s="571">
        <f t="shared" ca="1" si="31"/>
        <v>46.267644077613078</v>
      </c>
      <c r="C846" s="801">
        <f t="shared" ca="1" si="32"/>
        <v>3</v>
      </c>
      <c r="K846" s="786"/>
    </row>
    <row r="847" spans="1:11" x14ac:dyDescent="0.3">
      <c r="A847" s="800">
        <v>830</v>
      </c>
      <c r="B847" s="571">
        <f t="shared" ca="1" si="31"/>
        <v>97.281612372676463</v>
      </c>
      <c r="C847" s="801">
        <f t="shared" ca="1" si="32"/>
        <v>5</v>
      </c>
      <c r="K847" s="786"/>
    </row>
    <row r="848" spans="1:11" x14ac:dyDescent="0.3">
      <c r="A848" s="800">
        <v>831</v>
      </c>
      <c r="B848" s="571">
        <f t="shared" ca="1" si="31"/>
        <v>73.916040379944704</v>
      </c>
      <c r="C848" s="801">
        <f t="shared" ca="1" si="32"/>
        <v>4</v>
      </c>
      <c r="K848" s="786"/>
    </row>
    <row r="849" spans="1:11" x14ac:dyDescent="0.3">
      <c r="A849" s="800">
        <v>832</v>
      </c>
      <c r="B849" s="571">
        <f t="shared" ca="1" si="31"/>
        <v>22.489182295210806</v>
      </c>
      <c r="C849" s="801">
        <f t="shared" ca="1" si="32"/>
        <v>2</v>
      </c>
      <c r="K849" s="786"/>
    </row>
    <row r="850" spans="1:11" x14ac:dyDescent="0.3">
      <c r="A850" s="800">
        <v>833</v>
      </c>
      <c r="B850" s="571">
        <f t="shared" ca="1" si="31"/>
        <v>46.957531451943034</v>
      </c>
      <c r="C850" s="801">
        <f t="shared" ca="1" si="32"/>
        <v>3</v>
      </c>
      <c r="K850" s="786"/>
    </row>
    <row r="851" spans="1:11" x14ac:dyDescent="0.3">
      <c r="A851" s="800">
        <v>834</v>
      </c>
      <c r="B851" s="571">
        <f t="shared" ref="B851:B914" ca="1" si="33">100*RAND()</f>
        <v>7.3923958452916665</v>
      </c>
      <c r="C851" s="801">
        <f t="shared" ref="C851:C914" ca="1" si="34">VLOOKUP(B851,$A$8:$C$13,3)</f>
        <v>1</v>
      </c>
      <c r="K851" s="786"/>
    </row>
    <row r="852" spans="1:11" x14ac:dyDescent="0.3">
      <c r="A852" s="800">
        <v>835</v>
      </c>
      <c r="B852" s="571">
        <f t="shared" ca="1" si="33"/>
        <v>2.1318944662961914</v>
      </c>
      <c r="C852" s="801">
        <f t="shared" ca="1" si="34"/>
        <v>0</v>
      </c>
      <c r="K852" s="786"/>
    </row>
    <row r="853" spans="1:11" x14ac:dyDescent="0.3">
      <c r="A853" s="800">
        <v>836</v>
      </c>
      <c r="B853" s="571">
        <f t="shared" ca="1" si="33"/>
        <v>98.906299303109577</v>
      </c>
      <c r="C853" s="801">
        <f t="shared" ca="1" si="34"/>
        <v>5</v>
      </c>
      <c r="K853" s="786"/>
    </row>
    <row r="854" spans="1:11" x14ac:dyDescent="0.3">
      <c r="A854" s="800">
        <v>837</v>
      </c>
      <c r="B854" s="571">
        <f t="shared" ca="1" si="33"/>
        <v>33.808207644889286</v>
      </c>
      <c r="C854" s="801">
        <f t="shared" ca="1" si="34"/>
        <v>2</v>
      </c>
      <c r="K854" s="786"/>
    </row>
    <row r="855" spans="1:11" x14ac:dyDescent="0.3">
      <c r="A855" s="800">
        <v>838</v>
      </c>
      <c r="B855" s="571">
        <f t="shared" ca="1" si="33"/>
        <v>95.194852505646736</v>
      </c>
      <c r="C855" s="801">
        <f t="shared" ca="1" si="34"/>
        <v>5</v>
      </c>
      <c r="K855" s="786"/>
    </row>
    <row r="856" spans="1:11" x14ac:dyDescent="0.3">
      <c r="A856" s="800">
        <v>839</v>
      </c>
      <c r="B856" s="571">
        <f t="shared" ca="1" si="33"/>
        <v>63.125531724440187</v>
      </c>
      <c r="C856" s="801">
        <f t="shared" ca="1" si="34"/>
        <v>3</v>
      </c>
      <c r="K856" s="786"/>
    </row>
    <row r="857" spans="1:11" x14ac:dyDescent="0.3">
      <c r="A857" s="800">
        <v>840</v>
      </c>
      <c r="B857" s="571">
        <f t="shared" ca="1" si="33"/>
        <v>21.221980519830296</v>
      </c>
      <c r="C857" s="801">
        <f t="shared" ca="1" si="34"/>
        <v>2</v>
      </c>
      <c r="K857" s="786"/>
    </row>
    <row r="858" spans="1:11" x14ac:dyDescent="0.3">
      <c r="A858" s="800">
        <v>841</v>
      </c>
      <c r="B858" s="571">
        <f t="shared" ca="1" si="33"/>
        <v>67.084002983432185</v>
      </c>
      <c r="C858" s="801">
        <f t="shared" ca="1" si="34"/>
        <v>4</v>
      </c>
      <c r="K858" s="786"/>
    </row>
    <row r="859" spans="1:11" x14ac:dyDescent="0.3">
      <c r="A859" s="800">
        <v>842</v>
      </c>
      <c r="B859" s="571">
        <f t="shared" ca="1" si="33"/>
        <v>12.343767470610889</v>
      </c>
      <c r="C859" s="801">
        <f t="shared" ca="1" si="34"/>
        <v>1</v>
      </c>
      <c r="K859" s="786"/>
    </row>
    <row r="860" spans="1:11" x14ac:dyDescent="0.3">
      <c r="A860" s="800">
        <v>843</v>
      </c>
      <c r="B860" s="571">
        <f t="shared" ca="1" si="33"/>
        <v>93.906819148783597</v>
      </c>
      <c r="C860" s="801">
        <f t="shared" ca="1" si="34"/>
        <v>5</v>
      </c>
      <c r="K860" s="786"/>
    </row>
    <row r="861" spans="1:11" x14ac:dyDescent="0.3">
      <c r="A861" s="800">
        <v>844</v>
      </c>
      <c r="B861" s="571">
        <f t="shared" ca="1" si="33"/>
        <v>74.744967121779368</v>
      </c>
      <c r="C861" s="801">
        <f t="shared" ca="1" si="34"/>
        <v>4</v>
      </c>
      <c r="K861" s="786"/>
    </row>
    <row r="862" spans="1:11" x14ac:dyDescent="0.3">
      <c r="A862" s="800">
        <v>845</v>
      </c>
      <c r="B862" s="571">
        <f t="shared" ca="1" si="33"/>
        <v>74.753040021793993</v>
      </c>
      <c r="C862" s="801">
        <f t="shared" ca="1" si="34"/>
        <v>4</v>
      </c>
      <c r="K862" s="786"/>
    </row>
    <row r="863" spans="1:11" x14ac:dyDescent="0.3">
      <c r="A863" s="800">
        <v>846</v>
      </c>
      <c r="B863" s="571">
        <f t="shared" ca="1" si="33"/>
        <v>22.728116591880067</v>
      </c>
      <c r="C863" s="801">
        <f t="shared" ca="1" si="34"/>
        <v>2</v>
      </c>
      <c r="K863" s="786"/>
    </row>
    <row r="864" spans="1:11" x14ac:dyDescent="0.3">
      <c r="A864" s="800">
        <v>847</v>
      </c>
      <c r="B864" s="571">
        <f t="shared" ca="1" si="33"/>
        <v>34.44050633790652</v>
      </c>
      <c r="C864" s="801">
        <f t="shared" ca="1" si="34"/>
        <v>2</v>
      </c>
      <c r="K864" s="786"/>
    </row>
    <row r="865" spans="1:11" x14ac:dyDescent="0.3">
      <c r="A865" s="800">
        <v>848</v>
      </c>
      <c r="B865" s="571">
        <f t="shared" ca="1" si="33"/>
        <v>44.99795179984919</v>
      </c>
      <c r="C865" s="801">
        <f t="shared" ca="1" si="34"/>
        <v>3</v>
      </c>
      <c r="K865" s="786"/>
    </row>
    <row r="866" spans="1:11" x14ac:dyDescent="0.3">
      <c r="A866" s="800">
        <v>849</v>
      </c>
      <c r="B866" s="571">
        <f t="shared" ca="1" si="33"/>
        <v>19.087715392463377</v>
      </c>
      <c r="C866" s="801">
        <f t="shared" ca="1" si="34"/>
        <v>2</v>
      </c>
      <c r="K866" s="786"/>
    </row>
    <row r="867" spans="1:11" x14ac:dyDescent="0.3">
      <c r="A867" s="800">
        <v>850</v>
      </c>
      <c r="B867" s="571">
        <f t="shared" ca="1" si="33"/>
        <v>58.096019631772201</v>
      </c>
      <c r="C867" s="801">
        <f t="shared" ca="1" si="34"/>
        <v>3</v>
      </c>
      <c r="K867" s="786"/>
    </row>
    <row r="868" spans="1:11" x14ac:dyDescent="0.3">
      <c r="A868" s="800">
        <v>851</v>
      </c>
      <c r="B868" s="571">
        <f t="shared" ca="1" si="33"/>
        <v>99.526375688715689</v>
      </c>
      <c r="C868" s="801">
        <f t="shared" ca="1" si="34"/>
        <v>5</v>
      </c>
      <c r="K868" s="786"/>
    </row>
    <row r="869" spans="1:11" x14ac:dyDescent="0.3">
      <c r="A869" s="800">
        <v>852</v>
      </c>
      <c r="B869" s="571">
        <f t="shared" ca="1" si="33"/>
        <v>25.812758896837106</v>
      </c>
      <c r="C869" s="801">
        <f t="shared" ca="1" si="34"/>
        <v>2</v>
      </c>
      <c r="K869" s="786"/>
    </row>
    <row r="870" spans="1:11" x14ac:dyDescent="0.3">
      <c r="A870" s="800">
        <v>853</v>
      </c>
      <c r="B870" s="571">
        <f t="shared" ca="1" si="33"/>
        <v>24.735174075060186</v>
      </c>
      <c r="C870" s="801">
        <f t="shared" ca="1" si="34"/>
        <v>2</v>
      </c>
      <c r="K870" s="786"/>
    </row>
    <row r="871" spans="1:11" x14ac:dyDescent="0.3">
      <c r="A871" s="800">
        <v>854</v>
      </c>
      <c r="B871" s="571">
        <f t="shared" ca="1" si="33"/>
        <v>92.615072631609934</v>
      </c>
      <c r="C871" s="801">
        <f t="shared" ca="1" si="34"/>
        <v>5</v>
      </c>
      <c r="K871" s="786"/>
    </row>
    <row r="872" spans="1:11" x14ac:dyDescent="0.3">
      <c r="A872" s="800">
        <v>855</v>
      </c>
      <c r="B872" s="571">
        <f t="shared" ca="1" si="33"/>
        <v>40.842847735231999</v>
      </c>
      <c r="C872" s="801">
        <f t="shared" ca="1" si="34"/>
        <v>3</v>
      </c>
      <c r="K872" s="786"/>
    </row>
    <row r="873" spans="1:11" x14ac:dyDescent="0.3">
      <c r="A873" s="800">
        <v>856</v>
      </c>
      <c r="B873" s="571">
        <f t="shared" ca="1" si="33"/>
        <v>76.88299365385879</v>
      </c>
      <c r="C873" s="801">
        <f t="shared" ca="1" si="34"/>
        <v>4</v>
      </c>
      <c r="K873" s="786"/>
    </row>
    <row r="874" spans="1:11" x14ac:dyDescent="0.3">
      <c r="A874" s="800">
        <v>857</v>
      </c>
      <c r="B874" s="571">
        <f t="shared" ca="1" si="33"/>
        <v>21.731236522720099</v>
      </c>
      <c r="C874" s="801">
        <f t="shared" ca="1" si="34"/>
        <v>2</v>
      </c>
      <c r="K874" s="786"/>
    </row>
    <row r="875" spans="1:11" x14ac:dyDescent="0.3">
      <c r="A875" s="800">
        <v>858</v>
      </c>
      <c r="B875" s="571">
        <f t="shared" ca="1" si="33"/>
        <v>94.317059494997352</v>
      </c>
      <c r="C875" s="801">
        <f t="shared" ca="1" si="34"/>
        <v>5</v>
      </c>
      <c r="K875" s="786"/>
    </row>
    <row r="876" spans="1:11" x14ac:dyDescent="0.3">
      <c r="A876" s="800">
        <v>859</v>
      </c>
      <c r="B876" s="571">
        <f t="shared" ca="1" si="33"/>
        <v>44.840990618834141</v>
      </c>
      <c r="C876" s="801">
        <f t="shared" ca="1" si="34"/>
        <v>3</v>
      </c>
      <c r="K876" s="786"/>
    </row>
    <row r="877" spans="1:11" x14ac:dyDescent="0.3">
      <c r="A877" s="800">
        <v>860</v>
      </c>
      <c r="B877" s="571">
        <f t="shared" ca="1" si="33"/>
        <v>45.161643971462709</v>
      </c>
      <c r="C877" s="801">
        <f t="shared" ca="1" si="34"/>
        <v>3</v>
      </c>
      <c r="K877" s="786"/>
    </row>
    <row r="878" spans="1:11" x14ac:dyDescent="0.3">
      <c r="A878" s="800">
        <v>861</v>
      </c>
      <c r="B878" s="571">
        <f t="shared" ca="1" si="33"/>
        <v>15.768270580306588</v>
      </c>
      <c r="C878" s="801">
        <f t="shared" ca="1" si="34"/>
        <v>2</v>
      </c>
      <c r="K878" s="786"/>
    </row>
    <row r="879" spans="1:11" x14ac:dyDescent="0.3">
      <c r="A879" s="800">
        <v>862</v>
      </c>
      <c r="B879" s="571">
        <f t="shared" ca="1" si="33"/>
        <v>70.385134576018871</v>
      </c>
      <c r="C879" s="801">
        <f t="shared" ca="1" si="34"/>
        <v>4</v>
      </c>
      <c r="K879" s="786"/>
    </row>
    <row r="880" spans="1:11" x14ac:dyDescent="0.3">
      <c r="A880" s="800">
        <v>863</v>
      </c>
      <c r="B880" s="571">
        <f t="shared" ca="1" si="33"/>
        <v>68.56011628555126</v>
      </c>
      <c r="C880" s="801">
        <f t="shared" ca="1" si="34"/>
        <v>4</v>
      </c>
      <c r="K880" s="786"/>
    </row>
    <row r="881" spans="1:11" x14ac:dyDescent="0.3">
      <c r="A881" s="800">
        <v>864</v>
      </c>
      <c r="B881" s="571">
        <f t="shared" ca="1" si="33"/>
        <v>85.734009628173553</v>
      </c>
      <c r="C881" s="801">
        <f t="shared" ca="1" si="34"/>
        <v>5</v>
      </c>
      <c r="K881" s="786"/>
    </row>
    <row r="882" spans="1:11" x14ac:dyDescent="0.3">
      <c r="A882" s="800">
        <v>865</v>
      </c>
      <c r="B882" s="571">
        <f t="shared" ca="1" si="33"/>
        <v>73.930695119913238</v>
      </c>
      <c r="C882" s="801">
        <f t="shared" ca="1" si="34"/>
        <v>4</v>
      </c>
      <c r="K882" s="786"/>
    </row>
    <row r="883" spans="1:11" x14ac:dyDescent="0.3">
      <c r="A883" s="800">
        <v>866</v>
      </c>
      <c r="B883" s="571">
        <f t="shared" ca="1" si="33"/>
        <v>74.361964136514274</v>
      </c>
      <c r="C883" s="801">
        <f t="shared" ca="1" si="34"/>
        <v>4</v>
      </c>
      <c r="K883" s="786"/>
    </row>
    <row r="884" spans="1:11" x14ac:dyDescent="0.3">
      <c r="A884" s="800">
        <v>867</v>
      </c>
      <c r="B884" s="571">
        <f t="shared" ca="1" si="33"/>
        <v>83.961599018340721</v>
      </c>
      <c r="C884" s="801">
        <f t="shared" ca="1" si="34"/>
        <v>4</v>
      </c>
      <c r="K884" s="786"/>
    </row>
    <row r="885" spans="1:11" x14ac:dyDescent="0.3">
      <c r="A885" s="800">
        <v>868</v>
      </c>
      <c r="B885" s="571">
        <f t="shared" ca="1" si="33"/>
        <v>32.612153920312458</v>
      </c>
      <c r="C885" s="801">
        <f t="shared" ca="1" si="34"/>
        <v>2</v>
      </c>
      <c r="K885" s="786"/>
    </row>
    <row r="886" spans="1:11" x14ac:dyDescent="0.3">
      <c r="A886" s="800">
        <v>869</v>
      </c>
      <c r="B886" s="571">
        <f t="shared" ca="1" si="33"/>
        <v>73.112606201468594</v>
      </c>
      <c r="C886" s="801">
        <f t="shared" ca="1" si="34"/>
        <v>4</v>
      </c>
      <c r="K886" s="786"/>
    </row>
    <row r="887" spans="1:11" x14ac:dyDescent="0.3">
      <c r="A887" s="800">
        <v>870</v>
      </c>
      <c r="B887" s="571">
        <f t="shared" ca="1" si="33"/>
        <v>61.527087046402585</v>
      </c>
      <c r="C887" s="801">
        <f t="shared" ca="1" si="34"/>
        <v>3</v>
      </c>
      <c r="K887" s="786"/>
    </row>
    <row r="888" spans="1:11" x14ac:dyDescent="0.3">
      <c r="A888" s="800">
        <v>871</v>
      </c>
      <c r="B888" s="571">
        <f t="shared" ca="1" si="33"/>
        <v>92.760174111843796</v>
      </c>
      <c r="C888" s="801">
        <f t="shared" ca="1" si="34"/>
        <v>5</v>
      </c>
      <c r="K888" s="786"/>
    </row>
    <row r="889" spans="1:11" x14ac:dyDescent="0.3">
      <c r="A889" s="800">
        <v>872</v>
      </c>
      <c r="B889" s="571">
        <f t="shared" ca="1" si="33"/>
        <v>59.808382519015169</v>
      </c>
      <c r="C889" s="801">
        <f t="shared" ca="1" si="34"/>
        <v>3</v>
      </c>
      <c r="K889" s="786"/>
    </row>
    <row r="890" spans="1:11" x14ac:dyDescent="0.3">
      <c r="A890" s="800">
        <v>873</v>
      </c>
      <c r="B890" s="571">
        <f t="shared" ca="1" si="33"/>
        <v>87.536593250929187</v>
      </c>
      <c r="C890" s="801">
        <f t="shared" ca="1" si="34"/>
        <v>5</v>
      </c>
      <c r="K890" s="786"/>
    </row>
    <row r="891" spans="1:11" x14ac:dyDescent="0.3">
      <c r="A891" s="800">
        <v>874</v>
      </c>
      <c r="B891" s="571">
        <f t="shared" ca="1" si="33"/>
        <v>3.6724025350770684</v>
      </c>
      <c r="C891" s="801">
        <f t="shared" ca="1" si="34"/>
        <v>0</v>
      </c>
      <c r="K891" s="786"/>
    </row>
    <row r="892" spans="1:11" x14ac:dyDescent="0.3">
      <c r="A892" s="800">
        <v>875</v>
      </c>
      <c r="B892" s="571">
        <f t="shared" ca="1" si="33"/>
        <v>82.228058781619822</v>
      </c>
      <c r="C892" s="801">
        <f t="shared" ca="1" si="34"/>
        <v>4</v>
      </c>
      <c r="K892" s="786"/>
    </row>
    <row r="893" spans="1:11" x14ac:dyDescent="0.3">
      <c r="A893" s="800">
        <v>876</v>
      </c>
      <c r="B893" s="571">
        <f t="shared" ca="1" si="33"/>
        <v>22.029476570153506</v>
      </c>
      <c r="C893" s="801">
        <f t="shared" ca="1" si="34"/>
        <v>2</v>
      </c>
      <c r="K893" s="786"/>
    </row>
    <row r="894" spans="1:11" x14ac:dyDescent="0.3">
      <c r="A894" s="800">
        <v>877</v>
      </c>
      <c r="B894" s="571">
        <f t="shared" ca="1" si="33"/>
        <v>84.754127684186315</v>
      </c>
      <c r="C894" s="801">
        <f t="shared" ca="1" si="34"/>
        <v>4</v>
      </c>
      <c r="K894" s="786"/>
    </row>
    <row r="895" spans="1:11" x14ac:dyDescent="0.3">
      <c r="A895" s="800">
        <v>878</v>
      </c>
      <c r="B895" s="571">
        <f t="shared" ca="1" si="33"/>
        <v>75.529442089908954</v>
      </c>
      <c r="C895" s="801">
        <f t="shared" ca="1" si="34"/>
        <v>4</v>
      </c>
      <c r="K895" s="786"/>
    </row>
    <row r="896" spans="1:11" x14ac:dyDescent="0.3">
      <c r="A896" s="800">
        <v>879</v>
      </c>
      <c r="B896" s="571">
        <f t="shared" ca="1" si="33"/>
        <v>28.445356267153599</v>
      </c>
      <c r="C896" s="801">
        <f t="shared" ca="1" si="34"/>
        <v>2</v>
      </c>
      <c r="K896" s="786"/>
    </row>
    <row r="897" spans="1:11" x14ac:dyDescent="0.3">
      <c r="A897" s="800">
        <v>880</v>
      </c>
      <c r="B897" s="571">
        <f t="shared" ca="1" si="33"/>
        <v>55.234410033226908</v>
      </c>
      <c r="C897" s="801">
        <f t="shared" ca="1" si="34"/>
        <v>3</v>
      </c>
      <c r="K897" s="786"/>
    </row>
    <row r="898" spans="1:11" x14ac:dyDescent="0.3">
      <c r="A898" s="800">
        <v>881</v>
      </c>
      <c r="B898" s="571">
        <f t="shared" ca="1" si="33"/>
        <v>98.403831899379725</v>
      </c>
      <c r="C898" s="801">
        <f t="shared" ca="1" si="34"/>
        <v>5</v>
      </c>
      <c r="K898" s="786"/>
    </row>
    <row r="899" spans="1:11" x14ac:dyDescent="0.3">
      <c r="A899" s="800">
        <v>882</v>
      </c>
      <c r="B899" s="571">
        <f t="shared" ca="1" si="33"/>
        <v>67.928000682639933</v>
      </c>
      <c r="C899" s="801">
        <f t="shared" ca="1" si="34"/>
        <v>4</v>
      </c>
      <c r="K899" s="786"/>
    </row>
    <row r="900" spans="1:11" x14ac:dyDescent="0.3">
      <c r="A900" s="800">
        <v>883</v>
      </c>
      <c r="B900" s="571">
        <f t="shared" ca="1" si="33"/>
        <v>83.032553353823502</v>
      </c>
      <c r="C900" s="801">
        <f t="shared" ca="1" si="34"/>
        <v>4</v>
      </c>
      <c r="K900" s="786"/>
    </row>
    <row r="901" spans="1:11" x14ac:dyDescent="0.3">
      <c r="A901" s="800">
        <v>884</v>
      </c>
      <c r="B901" s="571">
        <f t="shared" ca="1" si="33"/>
        <v>83.844040800285185</v>
      </c>
      <c r="C901" s="801">
        <f t="shared" ca="1" si="34"/>
        <v>4</v>
      </c>
      <c r="K901" s="786"/>
    </row>
    <row r="902" spans="1:11" x14ac:dyDescent="0.3">
      <c r="A902" s="800">
        <v>885</v>
      </c>
      <c r="B902" s="571">
        <f t="shared" ca="1" si="33"/>
        <v>2.0248172231322692</v>
      </c>
      <c r="C902" s="801">
        <f t="shared" ca="1" si="34"/>
        <v>0</v>
      </c>
      <c r="K902" s="786"/>
    </row>
    <row r="903" spans="1:11" x14ac:dyDescent="0.3">
      <c r="A903" s="800">
        <v>886</v>
      </c>
      <c r="B903" s="571">
        <f t="shared" ca="1" si="33"/>
        <v>78.051055356830616</v>
      </c>
      <c r="C903" s="801">
        <f t="shared" ca="1" si="34"/>
        <v>4</v>
      </c>
      <c r="K903" s="786"/>
    </row>
    <row r="904" spans="1:11" x14ac:dyDescent="0.3">
      <c r="A904" s="800">
        <v>887</v>
      </c>
      <c r="B904" s="571">
        <f t="shared" ca="1" si="33"/>
        <v>15.936781362941188</v>
      </c>
      <c r="C904" s="801">
        <f t="shared" ca="1" si="34"/>
        <v>2</v>
      </c>
      <c r="K904" s="786"/>
    </row>
    <row r="905" spans="1:11" x14ac:dyDescent="0.3">
      <c r="A905" s="800">
        <v>888</v>
      </c>
      <c r="B905" s="571">
        <f t="shared" ca="1" si="33"/>
        <v>49.554988022668844</v>
      </c>
      <c r="C905" s="801">
        <f t="shared" ca="1" si="34"/>
        <v>3</v>
      </c>
      <c r="K905" s="786"/>
    </row>
    <row r="906" spans="1:11" x14ac:dyDescent="0.3">
      <c r="A906" s="800">
        <v>889</v>
      </c>
      <c r="B906" s="571">
        <f t="shared" ca="1" si="33"/>
        <v>45.505228753761152</v>
      </c>
      <c r="C906" s="801">
        <f t="shared" ca="1" si="34"/>
        <v>3</v>
      </c>
      <c r="K906" s="786"/>
    </row>
    <row r="907" spans="1:11" x14ac:dyDescent="0.3">
      <c r="A907" s="800">
        <v>890</v>
      </c>
      <c r="B907" s="571">
        <f t="shared" ca="1" si="33"/>
        <v>56.118330340370179</v>
      </c>
      <c r="C907" s="801">
        <f t="shared" ca="1" si="34"/>
        <v>3</v>
      </c>
      <c r="K907" s="786"/>
    </row>
    <row r="908" spans="1:11" x14ac:dyDescent="0.3">
      <c r="A908" s="800">
        <v>891</v>
      </c>
      <c r="B908" s="571">
        <f t="shared" ca="1" si="33"/>
        <v>44.507175309316651</v>
      </c>
      <c r="C908" s="801">
        <f t="shared" ca="1" si="34"/>
        <v>3</v>
      </c>
      <c r="K908" s="786"/>
    </row>
    <row r="909" spans="1:11" x14ac:dyDescent="0.3">
      <c r="A909" s="800">
        <v>892</v>
      </c>
      <c r="B909" s="571">
        <f t="shared" ca="1" si="33"/>
        <v>87.280571607373219</v>
      </c>
      <c r="C909" s="801">
        <f t="shared" ca="1" si="34"/>
        <v>5</v>
      </c>
      <c r="K909" s="786"/>
    </row>
    <row r="910" spans="1:11" x14ac:dyDescent="0.3">
      <c r="A910" s="800">
        <v>893</v>
      </c>
      <c r="B910" s="571">
        <f t="shared" ca="1" si="33"/>
        <v>50.728792511141037</v>
      </c>
      <c r="C910" s="801">
        <f t="shared" ca="1" si="34"/>
        <v>3</v>
      </c>
      <c r="K910" s="786"/>
    </row>
    <row r="911" spans="1:11" x14ac:dyDescent="0.3">
      <c r="A911" s="800">
        <v>894</v>
      </c>
      <c r="B911" s="571">
        <f t="shared" ca="1" si="33"/>
        <v>60.713629697870317</v>
      </c>
      <c r="C911" s="801">
        <f t="shared" ca="1" si="34"/>
        <v>3</v>
      </c>
      <c r="K911" s="786"/>
    </row>
    <row r="912" spans="1:11" x14ac:dyDescent="0.3">
      <c r="A912" s="800">
        <v>895</v>
      </c>
      <c r="B912" s="571">
        <f t="shared" ca="1" si="33"/>
        <v>6.3892860000506531</v>
      </c>
      <c r="C912" s="801">
        <f t="shared" ca="1" si="34"/>
        <v>1</v>
      </c>
      <c r="K912" s="786"/>
    </row>
    <row r="913" spans="1:11" x14ac:dyDescent="0.3">
      <c r="A913" s="800">
        <v>896</v>
      </c>
      <c r="B913" s="571">
        <f t="shared" ca="1" si="33"/>
        <v>78.681879801603543</v>
      </c>
      <c r="C913" s="801">
        <f t="shared" ca="1" si="34"/>
        <v>4</v>
      </c>
      <c r="K913" s="786"/>
    </row>
    <row r="914" spans="1:11" x14ac:dyDescent="0.3">
      <c r="A914" s="800">
        <v>897</v>
      </c>
      <c r="B914" s="571">
        <f t="shared" ca="1" si="33"/>
        <v>21.132657925706233</v>
      </c>
      <c r="C914" s="801">
        <f t="shared" ca="1" si="34"/>
        <v>2</v>
      </c>
      <c r="K914" s="786"/>
    </row>
    <row r="915" spans="1:11" x14ac:dyDescent="0.3">
      <c r="A915" s="800">
        <v>898</v>
      </c>
      <c r="B915" s="571">
        <f t="shared" ref="B915:B978" ca="1" si="35">100*RAND()</f>
        <v>2.3426223205007757</v>
      </c>
      <c r="C915" s="801">
        <f t="shared" ref="C915:C978" ca="1" si="36">VLOOKUP(B915,$A$8:$C$13,3)</f>
        <v>0</v>
      </c>
      <c r="K915" s="786"/>
    </row>
    <row r="916" spans="1:11" x14ac:dyDescent="0.3">
      <c r="A916" s="800">
        <v>899</v>
      </c>
      <c r="B916" s="571">
        <f t="shared" ca="1" si="35"/>
        <v>44.753102395343888</v>
      </c>
      <c r="C916" s="801">
        <f t="shared" ca="1" si="36"/>
        <v>3</v>
      </c>
      <c r="K916" s="786"/>
    </row>
    <row r="917" spans="1:11" x14ac:dyDescent="0.3">
      <c r="A917" s="800">
        <v>900</v>
      </c>
      <c r="B917" s="571">
        <f t="shared" ca="1" si="35"/>
        <v>96.977355431397285</v>
      </c>
      <c r="C917" s="801">
        <f t="shared" ca="1" si="36"/>
        <v>5</v>
      </c>
      <c r="K917" s="786"/>
    </row>
    <row r="918" spans="1:11" x14ac:dyDescent="0.3">
      <c r="A918" s="800">
        <v>901</v>
      </c>
      <c r="B918" s="571">
        <f t="shared" ca="1" si="35"/>
        <v>20.899593246825098</v>
      </c>
      <c r="C918" s="801">
        <f t="shared" ca="1" si="36"/>
        <v>2</v>
      </c>
      <c r="K918" s="786"/>
    </row>
    <row r="919" spans="1:11" x14ac:dyDescent="0.3">
      <c r="A919" s="800">
        <v>902</v>
      </c>
      <c r="B919" s="571">
        <f t="shared" ca="1" si="35"/>
        <v>16.919505164051841</v>
      </c>
      <c r="C919" s="801">
        <f t="shared" ca="1" si="36"/>
        <v>2</v>
      </c>
      <c r="K919" s="786"/>
    </row>
    <row r="920" spans="1:11" x14ac:dyDescent="0.3">
      <c r="A920" s="800">
        <v>903</v>
      </c>
      <c r="B920" s="571">
        <f t="shared" ca="1" si="35"/>
        <v>55.902494333717655</v>
      </c>
      <c r="C920" s="801">
        <f t="shared" ca="1" si="36"/>
        <v>3</v>
      </c>
      <c r="K920" s="786"/>
    </row>
    <row r="921" spans="1:11" x14ac:dyDescent="0.3">
      <c r="A921" s="800">
        <v>904</v>
      </c>
      <c r="B921" s="571">
        <f t="shared" ca="1" si="35"/>
        <v>84.884662522152226</v>
      </c>
      <c r="C921" s="801">
        <f t="shared" ca="1" si="36"/>
        <v>4</v>
      </c>
      <c r="K921" s="786"/>
    </row>
    <row r="922" spans="1:11" x14ac:dyDescent="0.3">
      <c r="A922" s="800">
        <v>905</v>
      </c>
      <c r="B922" s="571">
        <f t="shared" ca="1" si="35"/>
        <v>52.660812234991006</v>
      </c>
      <c r="C922" s="801">
        <f t="shared" ca="1" si="36"/>
        <v>3</v>
      </c>
      <c r="K922" s="786"/>
    </row>
    <row r="923" spans="1:11" x14ac:dyDescent="0.3">
      <c r="A923" s="800">
        <v>906</v>
      </c>
      <c r="B923" s="571">
        <f t="shared" ca="1" si="35"/>
        <v>68.571973996833847</v>
      </c>
      <c r="C923" s="801">
        <f t="shared" ca="1" si="36"/>
        <v>4</v>
      </c>
      <c r="K923" s="786"/>
    </row>
    <row r="924" spans="1:11" x14ac:dyDescent="0.3">
      <c r="A924" s="800">
        <v>907</v>
      </c>
      <c r="B924" s="571">
        <f t="shared" ca="1" si="35"/>
        <v>13.589580265820977</v>
      </c>
      <c r="C924" s="801">
        <f t="shared" ca="1" si="36"/>
        <v>1</v>
      </c>
      <c r="K924" s="786"/>
    </row>
    <row r="925" spans="1:11" x14ac:dyDescent="0.3">
      <c r="A925" s="800">
        <v>908</v>
      </c>
      <c r="B925" s="571">
        <f t="shared" ca="1" si="35"/>
        <v>14.365417951958603</v>
      </c>
      <c r="C925" s="801">
        <f t="shared" ca="1" si="36"/>
        <v>1</v>
      </c>
      <c r="K925" s="786"/>
    </row>
    <row r="926" spans="1:11" x14ac:dyDescent="0.3">
      <c r="A926" s="800">
        <v>909</v>
      </c>
      <c r="B926" s="571">
        <f t="shared" ca="1" si="35"/>
        <v>8.0781112267493071</v>
      </c>
      <c r="C926" s="801">
        <f t="shared" ca="1" si="36"/>
        <v>1</v>
      </c>
      <c r="K926" s="786"/>
    </row>
    <row r="927" spans="1:11" x14ac:dyDescent="0.3">
      <c r="A927" s="800">
        <v>910</v>
      </c>
      <c r="B927" s="571">
        <f t="shared" ca="1" si="35"/>
        <v>39.540909497797557</v>
      </c>
      <c r="C927" s="801">
        <f t="shared" ca="1" si="36"/>
        <v>3</v>
      </c>
      <c r="K927" s="786"/>
    </row>
    <row r="928" spans="1:11" x14ac:dyDescent="0.3">
      <c r="A928" s="800">
        <v>911</v>
      </c>
      <c r="B928" s="571">
        <f t="shared" ca="1" si="35"/>
        <v>79.243894294844424</v>
      </c>
      <c r="C928" s="801">
        <f t="shared" ca="1" si="36"/>
        <v>4</v>
      </c>
      <c r="K928" s="786"/>
    </row>
    <row r="929" spans="1:11" x14ac:dyDescent="0.3">
      <c r="A929" s="800">
        <v>912</v>
      </c>
      <c r="B929" s="571">
        <f t="shared" ca="1" si="35"/>
        <v>0.26197259054862032</v>
      </c>
      <c r="C929" s="801">
        <f t="shared" ca="1" si="36"/>
        <v>0</v>
      </c>
      <c r="K929" s="786"/>
    </row>
    <row r="930" spans="1:11" x14ac:dyDescent="0.3">
      <c r="A930" s="800">
        <v>913</v>
      </c>
      <c r="B930" s="571">
        <f t="shared" ca="1" si="35"/>
        <v>53.73178452219679</v>
      </c>
      <c r="C930" s="801">
        <f t="shared" ca="1" si="36"/>
        <v>3</v>
      </c>
      <c r="K930" s="786"/>
    </row>
    <row r="931" spans="1:11" x14ac:dyDescent="0.3">
      <c r="A931" s="800">
        <v>914</v>
      </c>
      <c r="B931" s="571">
        <f t="shared" ca="1" si="35"/>
        <v>40.237073573444817</v>
      </c>
      <c r="C931" s="801">
        <f t="shared" ca="1" si="36"/>
        <v>3</v>
      </c>
      <c r="K931" s="786"/>
    </row>
    <row r="932" spans="1:11" x14ac:dyDescent="0.3">
      <c r="A932" s="800">
        <v>915</v>
      </c>
      <c r="B932" s="571">
        <f t="shared" ca="1" si="35"/>
        <v>54.486029035865776</v>
      </c>
      <c r="C932" s="801">
        <f t="shared" ca="1" si="36"/>
        <v>3</v>
      </c>
      <c r="K932" s="786"/>
    </row>
    <row r="933" spans="1:11" x14ac:dyDescent="0.3">
      <c r="A933" s="800">
        <v>916</v>
      </c>
      <c r="B933" s="571">
        <f t="shared" ca="1" si="35"/>
        <v>65.828251860369974</v>
      </c>
      <c r="C933" s="801">
        <f t="shared" ca="1" si="36"/>
        <v>4</v>
      </c>
      <c r="K933" s="786"/>
    </row>
    <row r="934" spans="1:11" x14ac:dyDescent="0.3">
      <c r="A934" s="800">
        <v>917</v>
      </c>
      <c r="B934" s="571">
        <f t="shared" ca="1" si="35"/>
        <v>52.855083946491767</v>
      </c>
      <c r="C934" s="801">
        <f t="shared" ca="1" si="36"/>
        <v>3</v>
      </c>
      <c r="K934" s="786"/>
    </row>
    <row r="935" spans="1:11" x14ac:dyDescent="0.3">
      <c r="A935" s="800">
        <v>918</v>
      </c>
      <c r="B935" s="571">
        <f t="shared" ca="1" si="35"/>
        <v>19.191474394474163</v>
      </c>
      <c r="C935" s="801">
        <f t="shared" ca="1" si="36"/>
        <v>2</v>
      </c>
      <c r="K935" s="786"/>
    </row>
    <row r="936" spans="1:11" x14ac:dyDescent="0.3">
      <c r="A936" s="800">
        <v>919</v>
      </c>
      <c r="B936" s="571">
        <f t="shared" ca="1" si="35"/>
        <v>79.029420613846753</v>
      </c>
      <c r="C936" s="801">
        <f t="shared" ca="1" si="36"/>
        <v>4</v>
      </c>
      <c r="K936" s="786"/>
    </row>
    <row r="937" spans="1:11" x14ac:dyDescent="0.3">
      <c r="A937" s="800">
        <v>920</v>
      </c>
      <c r="B937" s="571">
        <f t="shared" ca="1" si="35"/>
        <v>85.07310231627838</v>
      </c>
      <c r="C937" s="801">
        <f t="shared" ca="1" si="36"/>
        <v>5</v>
      </c>
      <c r="K937" s="786"/>
    </row>
    <row r="938" spans="1:11" x14ac:dyDescent="0.3">
      <c r="A938" s="800">
        <v>921</v>
      </c>
      <c r="B938" s="571">
        <f t="shared" ca="1" si="35"/>
        <v>1.8404396116792565</v>
      </c>
      <c r="C938" s="801">
        <f t="shared" ca="1" si="36"/>
        <v>0</v>
      </c>
      <c r="K938" s="786"/>
    </row>
    <row r="939" spans="1:11" x14ac:dyDescent="0.3">
      <c r="A939" s="800">
        <v>922</v>
      </c>
      <c r="B939" s="571">
        <f t="shared" ca="1" si="35"/>
        <v>10.442701753086403</v>
      </c>
      <c r="C939" s="801">
        <f t="shared" ca="1" si="36"/>
        <v>1</v>
      </c>
      <c r="K939" s="786"/>
    </row>
    <row r="940" spans="1:11" x14ac:dyDescent="0.3">
      <c r="A940" s="800">
        <v>923</v>
      </c>
      <c r="B940" s="571">
        <f t="shared" ca="1" si="35"/>
        <v>32.109281211841143</v>
      </c>
      <c r="C940" s="801">
        <f t="shared" ca="1" si="36"/>
        <v>2</v>
      </c>
      <c r="K940" s="786"/>
    </row>
    <row r="941" spans="1:11" x14ac:dyDescent="0.3">
      <c r="A941" s="800">
        <v>924</v>
      </c>
      <c r="B941" s="571">
        <f t="shared" ca="1" si="35"/>
        <v>7.3134062847543424</v>
      </c>
      <c r="C941" s="801">
        <f t="shared" ca="1" si="36"/>
        <v>1</v>
      </c>
      <c r="K941" s="786"/>
    </row>
    <row r="942" spans="1:11" x14ac:dyDescent="0.3">
      <c r="A942" s="800">
        <v>925</v>
      </c>
      <c r="B942" s="571">
        <f t="shared" ca="1" si="35"/>
        <v>16.427587705923752</v>
      </c>
      <c r="C942" s="801">
        <f t="shared" ca="1" si="36"/>
        <v>2</v>
      </c>
      <c r="K942" s="786"/>
    </row>
    <row r="943" spans="1:11" x14ac:dyDescent="0.3">
      <c r="A943" s="800">
        <v>926</v>
      </c>
      <c r="B943" s="571">
        <f t="shared" ca="1" si="35"/>
        <v>48.443139949233114</v>
      </c>
      <c r="C943" s="801">
        <f t="shared" ca="1" si="36"/>
        <v>3</v>
      </c>
      <c r="K943" s="786"/>
    </row>
    <row r="944" spans="1:11" x14ac:dyDescent="0.3">
      <c r="A944" s="800">
        <v>927</v>
      </c>
      <c r="B944" s="571">
        <f t="shared" ca="1" si="35"/>
        <v>51.631258017622237</v>
      </c>
      <c r="C944" s="801">
        <f t="shared" ca="1" si="36"/>
        <v>3</v>
      </c>
      <c r="K944" s="786"/>
    </row>
    <row r="945" spans="1:11" x14ac:dyDescent="0.3">
      <c r="A945" s="800">
        <v>928</v>
      </c>
      <c r="B945" s="571">
        <f t="shared" ca="1" si="35"/>
        <v>0.48019553942473259</v>
      </c>
      <c r="C945" s="801">
        <f t="shared" ca="1" si="36"/>
        <v>0</v>
      </c>
      <c r="K945" s="786"/>
    </row>
    <row r="946" spans="1:11" x14ac:dyDescent="0.3">
      <c r="A946" s="800">
        <v>929</v>
      </c>
      <c r="B946" s="571">
        <f t="shared" ca="1" si="35"/>
        <v>87.286506586667386</v>
      </c>
      <c r="C946" s="801">
        <f t="shared" ca="1" si="36"/>
        <v>5</v>
      </c>
      <c r="K946" s="786"/>
    </row>
    <row r="947" spans="1:11" x14ac:dyDescent="0.3">
      <c r="A947" s="800">
        <v>930</v>
      </c>
      <c r="B947" s="571">
        <f t="shared" ca="1" si="35"/>
        <v>37.412573619697568</v>
      </c>
      <c r="C947" s="801">
        <f t="shared" ca="1" si="36"/>
        <v>3</v>
      </c>
      <c r="K947" s="786"/>
    </row>
    <row r="948" spans="1:11" x14ac:dyDescent="0.3">
      <c r="A948" s="800">
        <v>931</v>
      </c>
      <c r="B948" s="571">
        <f t="shared" ca="1" si="35"/>
        <v>68.012523273972889</v>
      </c>
      <c r="C948" s="801">
        <f t="shared" ca="1" si="36"/>
        <v>4</v>
      </c>
      <c r="K948" s="786"/>
    </row>
    <row r="949" spans="1:11" x14ac:dyDescent="0.3">
      <c r="A949" s="800">
        <v>932</v>
      </c>
      <c r="B949" s="571">
        <f t="shared" ca="1" si="35"/>
        <v>99.331123382353709</v>
      </c>
      <c r="C949" s="801">
        <f t="shared" ca="1" si="36"/>
        <v>5</v>
      </c>
      <c r="K949" s="786"/>
    </row>
    <row r="950" spans="1:11" x14ac:dyDescent="0.3">
      <c r="A950" s="800">
        <v>933</v>
      </c>
      <c r="B950" s="571">
        <f t="shared" ca="1" si="35"/>
        <v>1.3429891083762691</v>
      </c>
      <c r="C950" s="801">
        <f t="shared" ca="1" si="36"/>
        <v>0</v>
      </c>
      <c r="K950" s="786"/>
    </row>
    <row r="951" spans="1:11" x14ac:dyDescent="0.3">
      <c r="A951" s="800">
        <v>934</v>
      </c>
      <c r="B951" s="571">
        <f t="shared" ca="1" si="35"/>
        <v>28.941643680571016</v>
      </c>
      <c r="C951" s="801">
        <f t="shared" ca="1" si="36"/>
        <v>2</v>
      </c>
      <c r="K951" s="786"/>
    </row>
    <row r="952" spans="1:11" x14ac:dyDescent="0.3">
      <c r="A952" s="800">
        <v>935</v>
      </c>
      <c r="B952" s="571">
        <f t="shared" ca="1" si="35"/>
        <v>62.635826379819108</v>
      </c>
      <c r="C952" s="801">
        <f t="shared" ca="1" si="36"/>
        <v>3</v>
      </c>
      <c r="K952" s="786"/>
    </row>
    <row r="953" spans="1:11" x14ac:dyDescent="0.3">
      <c r="A953" s="800">
        <v>936</v>
      </c>
      <c r="B953" s="571">
        <f t="shared" ca="1" si="35"/>
        <v>53.270485113475054</v>
      </c>
      <c r="C953" s="801">
        <f t="shared" ca="1" si="36"/>
        <v>3</v>
      </c>
      <c r="K953" s="786"/>
    </row>
    <row r="954" spans="1:11" x14ac:dyDescent="0.3">
      <c r="A954" s="800">
        <v>937</v>
      </c>
      <c r="B954" s="571">
        <f t="shared" ca="1" si="35"/>
        <v>37.988155268597858</v>
      </c>
      <c r="C954" s="801">
        <f t="shared" ca="1" si="36"/>
        <v>3</v>
      </c>
      <c r="K954" s="786"/>
    </row>
    <row r="955" spans="1:11" x14ac:dyDescent="0.3">
      <c r="A955" s="800">
        <v>938</v>
      </c>
      <c r="B955" s="571">
        <f t="shared" ca="1" si="35"/>
        <v>33.069662901686556</v>
      </c>
      <c r="C955" s="801">
        <f t="shared" ca="1" si="36"/>
        <v>2</v>
      </c>
      <c r="K955" s="786"/>
    </row>
    <row r="956" spans="1:11" x14ac:dyDescent="0.3">
      <c r="A956" s="800">
        <v>939</v>
      </c>
      <c r="B956" s="571">
        <f t="shared" ca="1" si="35"/>
        <v>25.434575604345987</v>
      </c>
      <c r="C956" s="801">
        <f t="shared" ca="1" si="36"/>
        <v>2</v>
      </c>
      <c r="K956" s="786"/>
    </row>
    <row r="957" spans="1:11" x14ac:dyDescent="0.3">
      <c r="A957" s="800">
        <v>940</v>
      </c>
      <c r="B957" s="571">
        <f t="shared" ca="1" si="35"/>
        <v>4.8380849872819205</v>
      </c>
      <c r="C957" s="801">
        <f t="shared" ca="1" si="36"/>
        <v>0</v>
      </c>
      <c r="K957" s="786"/>
    </row>
    <row r="958" spans="1:11" x14ac:dyDescent="0.3">
      <c r="A958" s="800">
        <v>941</v>
      </c>
      <c r="B958" s="571">
        <f t="shared" ca="1" si="35"/>
        <v>75.46921587742132</v>
      </c>
      <c r="C958" s="801">
        <f t="shared" ca="1" si="36"/>
        <v>4</v>
      </c>
      <c r="K958" s="786"/>
    </row>
    <row r="959" spans="1:11" x14ac:dyDescent="0.3">
      <c r="A959" s="800">
        <v>942</v>
      </c>
      <c r="B959" s="571">
        <f t="shared" ca="1" si="35"/>
        <v>53.503780743734573</v>
      </c>
      <c r="C959" s="801">
        <f t="shared" ca="1" si="36"/>
        <v>3</v>
      </c>
      <c r="K959" s="786"/>
    </row>
    <row r="960" spans="1:11" x14ac:dyDescent="0.3">
      <c r="A960" s="800">
        <v>943</v>
      </c>
      <c r="B960" s="571">
        <f t="shared" ca="1" si="35"/>
        <v>7.584416425968854</v>
      </c>
      <c r="C960" s="801">
        <f t="shared" ca="1" si="36"/>
        <v>1</v>
      </c>
      <c r="K960" s="786"/>
    </row>
    <row r="961" spans="1:11" x14ac:dyDescent="0.3">
      <c r="A961" s="800">
        <v>944</v>
      </c>
      <c r="B961" s="571">
        <f t="shared" ca="1" si="35"/>
        <v>36.956472658477701</v>
      </c>
      <c r="C961" s="801">
        <f t="shared" ca="1" si="36"/>
        <v>3</v>
      </c>
      <c r="K961" s="786"/>
    </row>
    <row r="962" spans="1:11" x14ac:dyDescent="0.3">
      <c r="A962" s="800">
        <v>945</v>
      </c>
      <c r="B962" s="571">
        <f t="shared" ca="1" si="35"/>
        <v>34.293422651584962</v>
      </c>
      <c r="C962" s="801">
        <f t="shared" ca="1" si="36"/>
        <v>2</v>
      </c>
      <c r="K962" s="786"/>
    </row>
    <row r="963" spans="1:11" x14ac:dyDescent="0.3">
      <c r="A963" s="800">
        <v>946</v>
      </c>
      <c r="B963" s="571">
        <f t="shared" ca="1" si="35"/>
        <v>44.805069561589882</v>
      </c>
      <c r="C963" s="801">
        <f t="shared" ca="1" si="36"/>
        <v>3</v>
      </c>
      <c r="K963" s="786"/>
    </row>
    <row r="964" spans="1:11" x14ac:dyDescent="0.3">
      <c r="A964" s="800">
        <v>947</v>
      </c>
      <c r="B964" s="571">
        <f t="shared" ca="1" si="35"/>
        <v>49.363699450127498</v>
      </c>
      <c r="C964" s="801">
        <f t="shared" ca="1" si="36"/>
        <v>3</v>
      </c>
      <c r="K964" s="786"/>
    </row>
    <row r="965" spans="1:11" x14ac:dyDescent="0.3">
      <c r="A965" s="800">
        <v>948</v>
      </c>
      <c r="B965" s="571">
        <f t="shared" ca="1" si="35"/>
        <v>31.504597127600896</v>
      </c>
      <c r="C965" s="801">
        <f t="shared" ca="1" si="36"/>
        <v>2</v>
      </c>
      <c r="K965" s="786"/>
    </row>
    <row r="966" spans="1:11" x14ac:dyDescent="0.3">
      <c r="A966" s="800">
        <v>949</v>
      </c>
      <c r="B966" s="571">
        <f t="shared" ca="1" si="35"/>
        <v>26.311847678857671</v>
      </c>
      <c r="C966" s="801">
        <f t="shared" ca="1" si="36"/>
        <v>2</v>
      </c>
      <c r="K966" s="786"/>
    </row>
    <row r="967" spans="1:11" x14ac:dyDescent="0.3">
      <c r="A967" s="800">
        <v>950</v>
      </c>
      <c r="B967" s="571">
        <f t="shared" ca="1" si="35"/>
        <v>36.76254929951228</v>
      </c>
      <c r="C967" s="801">
        <f t="shared" ca="1" si="36"/>
        <v>3</v>
      </c>
      <c r="K967" s="786"/>
    </row>
    <row r="968" spans="1:11" x14ac:dyDescent="0.3">
      <c r="A968" s="800">
        <v>951</v>
      </c>
      <c r="B968" s="571">
        <f t="shared" ca="1" si="35"/>
        <v>38.926309118571453</v>
      </c>
      <c r="C968" s="801">
        <f t="shared" ca="1" si="36"/>
        <v>3</v>
      </c>
      <c r="K968" s="786"/>
    </row>
    <row r="969" spans="1:11" x14ac:dyDescent="0.3">
      <c r="A969" s="800">
        <v>952</v>
      </c>
      <c r="B969" s="571">
        <f t="shared" ca="1" si="35"/>
        <v>87.8225218416746</v>
      </c>
      <c r="C969" s="801">
        <f t="shared" ca="1" si="36"/>
        <v>5</v>
      </c>
      <c r="K969" s="786"/>
    </row>
    <row r="970" spans="1:11" x14ac:dyDescent="0.3">
      <c r="A970" s="800">
        <v>953</v>
      </c>
      <c r="B970" s="571">
        <f t="shared" ca="1" si="35"/>
        <v>19.364145978127901</v>
      </c>
      <c r="C970" s="801">
        <f t="shared" ca="1" si="36"/>
        <v>2</v>
      </c>
      <c r="K970" s="786"/>
    </row>
    <row r="971" spans="1:11" x14ac:dyDescent="0.3">
      <c r="A971" s="800">
        <v>954</v>
      </c>
      <c r="B971" s="571">
        <f t="shared" ca="1" si="35"/>
        <v>11.026391449481787</v>
      </c>
      <c r="C971" s="801">
        <f t="shared" ca="1" si="36"/>
        <v>1</v>
      </c>
      <c r="K971" s="786"/>
    </row>
    <row r="972" spans="1:11" x14ac:dyDescent="0.3">
      <c r="A972" s="800">
        <v>955</v>
      </c>
      <c r="B972" s="571">
        <f t="shared" ca="1" si="35"/>
        <v>90.506708722582289</v>
      </c>
      <c r="C972" s="801">
        <f t="shared" ca="1" si="36"/>
        <v>5</v>
      </c>
      <c r="K972" s="786"/>
    </row>
    <row r="973" spans="1:11" x14ac:dyDescent="0.3">
      <c r="A973" s="800">
        <v>956</v>
      </c>
      <c r="B973" s="571">
        <f t="shared" ca="1" si="35"/>
        <v>97.453965350256496</v>
      </c>
      <c r="C973" s="801">
        <f t="shared" ca="1" si="36"/>
        <v>5</v>
      </c>
      <c r="K973" s="786"/>
    </row>
    <row r="974" spans="1:11" x14ac:dyDescent="0.3">
      <c r="A974" s="800">
        <v>957</v>
      </c>
      <c r="B974" s="571">
        <f t="shared" ca="1" si="35"/>
        <v>52.757401949800666</v>
      </c>
      <c r="C974" s="801">
        <f t="shared" ca="1" si="36"/>
        <v>3</v>
      </c>
      <c r="K974" s="786"/>
    </row>
    <row r="975" spans="1:11" x14ac:dyDescent="0.3">
      <c r="A975" s="800">
        <v>958</v>
      </c>
      <c r="B975" s="571">
        <f t="shared" ca="1" si="35"/>
        <v>38.593032793489556</v>
      </c>
      <c r="C975" s="801">
        <f t="shared" ca="1" si="36"/>
        <v>3</v>
      </c>
      <c r="K975" s="786"/>
    </row>
    <row r="976" spans="1:11" x14ac:dyDescent="0.3">
      <c r="A976" s="800">
        <v>959</v>
      </c>
      <c r="B976" s="571">
        <f t="shared" ca="1" si="35"/>
        <v>78.603053427588364</v>
      </c>
      <c r="C976" s="801">
        <f t="shared" ca="1" si="36"/>
        <v>4</v>
      </c>
      <c r="K976" s="786"/>
    </row>
    <row r="977" spans="1:11" x14ac:dyDescent="0.3">
      <c r="A977" s="800">
        <v>960</v>
      </c>
      <c r="B977" s="571">
        <f t="shared" ca="1" si="35"/>
        <v>71.385181006634255</v>
      </c>
      <c r="C977" s="801">
        <f t="shared" ca="1" si="36"/>
        <v>4</v>
      </c>
      <c r="K977" s="786"/>
    </row>
    <row r="978" spans="1:11" x14ac:dyDescent="0.3">
      <c r="A978" s="800">
        <v>961</v>
      </c>
      <c r="B978" s="571">
        <f t="shared" ca="1" si="35"/>
        <v>71.148141887986014</v>
      </c>
      <c r="C978" s="801">
        <f t="shared" ca="1" si="36"/>
        <v>4</v>
      </c>
      <c r="K978" s="786"/>
    </row>
    <row r="979" spans="1:11" x14ac:dyDescent="0.3">
      <c r="A979" s="800">
        <v>962</v>
      </c>
      <c r="B979" s="571">
        <f t="shared" ref="B979:B1017" ca="1" si="37">100*RAND()</f>
        <v>38.029371180615591</v>
      </c>
      <c r="C979" s="801">
        <f t="shared" ref="C979:C1017" ca="1" si="38">VLOOKUP(B979,$A$8:$C$13,3)</f>
        <v>3</v>
      </c>
      <c r="K979" s="786"/>
    </row>
    <row r="980" spans="1:11" x14ac:dyDescent="0.3">
      <c r="A980" s="800">
        <v>963</v>
      </c>
      <c r="B980" s="571">
        <f t="shared" ca="1" si="37"/>
        <v>78.547888902295867</v>
      </c>
      <c r="C980" s="801">
        <f t="shared" ca="1" si="38"/>
        <v>4</v>
      </c>
      <c r="K980" s="786"/>
    </row>
    <row r="981" spans="1:11" x14ac:dyDescent="0.3">
      <c r="A981" s="800">
        <v>964</v>
      </c>
      <c r="B981" s="571">
        <f t="shared" ca="1" si="37"/>
        <v>4.2752533515113207</v>
      </c>
      <c r="C981" s="801">
        <f t="shared" ca="1" si="38"/>
        <v>0</v>
      </c>
      <c r="K981" s="786"/>
    </row>
    <row r="982" spans="1:11" x14ac:dyDescent="0.3">
      <c r="A982" s="800">
        <v>965</v>
      </c>
      <c r="B982" s="571">
        <f t="shared" ca="1" si="37"/>
        <v>18.876378252513327</v>
      </c>
      <c r="C982" s="801">
        <f t="shared" ca="1" si="38"/>
        <v>2</v>
      </c>
      <c r="K982" s="786"/>
    </row>
    <row r="983" spans="1:11" x14ac:dyDescent="0.3">
      <c r="A983" s="800">
        <v>966</v>
      </c>
      <c r="B983" s="571">
        <f t="shared" ca="1" si="37"/>
        <v>90.781053963531065</v>
      </c>
      <c r="C983" s="801">
        <f t="shared" ca="1" si="38"/>
        <v>5</v>
      </c>
      <c r="K983" s="786"/>
    </row>
    <row r="984" spans="1:11" x14ac:dyDescent="0.3">
      <c r="A984" s="800">
        <v>967</v>
      </c>
      <c r="B984" s="571">
        <f t="shared" ca="1" si="37"/>
        <v>96.933537326602348</v>
      </c>
      <c r="C984" s="801">
        <f t="shared" ca="1" si="38"/>
        <v>5</v>
      </c>
      <c r="K984" s="786"/>
    </row>
    <row r="985" spans="1:11" x14ac:dyDescent="0.3">
      <c r="A985" s="800">
        <v>968</v>
      </c>
      <c r="B985" s="571">
        <f t="shared" ca="1" si="37"/>
        <v>10.742116508172328</v>
      </c>
      <c r="C985" s="801">
        <f t="shared" ca="1" si="38"/>
        <v>1</v>
      </c>
      <c r="K985" s="786"/>
    </row>
    <row r="986" spans="1:11" x14ac:dyDescent="0.3">
      <c r="A986" s="800">
        <v>969</v>
      </c>
      <c r="B986" s="571">
        <f t="shared" ca="1" si="37"/>
        <v>23.700809176512916</v>
      </c>
      <c r="C986" s="801">
        <f t="shared" ca="1" si="38"/>
        <v>2</v>
      </c>
      <c r="K986" s="786"/>
    </row>
    <row r="987" spans="1:11" x14ac:dyDescent="0.3">
      <c r="A987" s="800">
        <v>970</v>
      </c>
      <c r="B987" s="571">
        <f t="shared" ca="1" si="37"/>
        <v>40.871132110802044</v>
      </c>
      <c r="C987" s="801">
        <f t="shared" ca="1" si="38"/>
        <v>3</v>
      </c>
      <c r="K987" s="786"/>
    </row>
    <row r="988" spans="1:11" x14ac:dyDescent="0.3">
      <c r="A988" s="800">
        <v>971</v>
      </c>
      <c r="B988" s="571">
        <f t="shared" ca="1" si="37"/>
        <v>23.102427381496582</v>
      </c>
      <c r="C988" s="801">
        <f t="shared" ca="1" si="38"/>
        <v>2</v>
      </c>
      <c r="K988" s="786"/>
    </row>
    <row r="989" spans="1:11" x14ac:dyDescent="0.3">
      <c r="A989" s="800">
        <v>972</v>
      </c>
      <c r="B989" s="571">
        <f t="shared" ca="1" si="37"/>
        <v>38.729642944419929</v>
      </c>
      <c r="C989" s="801">
        <f t="shared" ca="1" si="38"/>
        <v>3</v>
      </c>
      <c r="K989" s="786"/>
    </row>
    <row r="990" spans="1:11" x14ac:dyDescent="0.3">
      <c r="A990" s="800">
        <v>973</v>
      </c>
      <c r="B990" s="571">
        <f t="shared" ca="1" si="37"/>
        <v>4.1467871955233493</v>
      </c>
      <c r="C990" s="801">
        <f t="shared" ca="1" si="38"/>
        <v>0</v>
      </c>
      <c r="K990" s="786"/>
    </row>
    <row r="991" spans="1:11" x14ac:dyDescent="0.3">
      <c r="A991" s="800">
        <v>974</v>
      </c>
      <c r="B991" s="571">
        <f t="shared" ca="1" si="37"/>
        <v>0.6573667732712285</v>
      </c>
      <c r="C991" s="801">
        <f t="shared" ca="1" si="38"/>
        <v>0</v>
      </c>
      <c r="K991" s="786"/>
    </row>
    <row r="992" spans="1:11" x14ac:dyDescent="0.3">
      <c r="A992" s="800">
        <v>975</v>
      </c>
      <c r="B992" s="571">
        <f t="shared" ca="1" si="37"/>
        <v>93.248338276701134</v>
      </c>
      <c r="C992" s="801">
        <f t="shared" ca="1" si="38"/>
        <v>5</v>
      </c>
      <c r="K992" s="786"/>
    </row>
    <row r="993" spans="1:11" x14ac:dyDescent="0.3">
      <c r="A993" s="800">
        <v>976</v>
      </c>
      <c r="B993" s="571">
        <f t="shared" ca="1" si="37"/>
        <v>55.963247028631791</v>
      </c>
      <c r="C993" s="801">
        <f t="shared" ca="1" si="38"/>
        <v>3</v>
      </c>
      <c r="K993" s="786"/>
    </row>
    <row r="994" spans="1:11" x14ac:dyDescent="0.3">
      <c r="A994" s="800">
        <v>977</v>
      </c>
      <c r="B994" s="571">
        <f t="shared" ca="1" si="37"/>
        <v>2.2840372281836552</v>
      </c>
      <c r="C994" s="801">
        <f t="shared" ca="1" si="38"/>
        <v>0</v>
      </c>
      <c r="K994" s="786"/>
    </row>
    <row r="995" spans="1:11" x14ac:dyDescent="0.3">
      <c r="A995" s="800">
        <v>978</v>
      </c>
      <c r="B995" s="571">
        <f t="shared" ca="1" si="37"/>
        <v>9.5901195003285533</v>
      </c>
      <c r="C995" s="801">
        <f t="shared" ca="1" si="38"/>
        <v>1</v>
      </c>
      <c r="K995" s="786"/>
    </row>
    <row r="996" spans="1:11" x14ac:dyDescent="0.3">
      <c r="A996" s="800">
        <v>979</v>
      </c>
      <c r="B996" s="571">
        <f t="shared" ca="1" si="37"/>
        <v>39.609708648313649</v>
      </c>
      <c r="C996" s="801">
        <f t="shared" ca="1" si="38"/>
        <v>3</v>
      </c>
      <c r="K996" s="786"/>
    </row>
    <row r="997" spans="1:11" x14ac:dyDescent="0.3">
      <c r="A997" s="800">
        <v>980</v>
      </c>
      <c r="B997" s="571">
        <f t="shared" ca="1" si="37"/>
        <v>92.047937879950211</v>
      </c>
      <c r="C997" s="801">
        <f t="shared" ca="1" si="38"/>
        <v>5</v>
      </c>
      <c r="K997" s="786"/>
    </row>
    <row r="998" spans="1:11" x14ac:dyDescent="0.3">
      <c r="A998" s="800">
        <v>981</v>
      </c>
      <c r="B998" s="571">
        <f t="shared" ca="1" si="37"/>
        <v>64.427309314146342</v>
      </c>
      <c r="C998" s="801">
        <f t="shared" ca="1" si="38"/>
        <v>3</v>
      </c>
      <c r="K998" s="786"/>
    </row>
    <row r="999" spans="1:11" x14ac:dyDescent="0.3">
      <c r="A999" s="800">
        <v>982</v>
      </c>
      <c r="B999" s="571">
        <f t="shared" ca="1" si="37"/>
        <v>15.664037133762687</v>
      </c>
      <c r="C999" s="801">
        <f t="shared" ca="1" si="38"/>
        <v>2</v>
      </c>
      <c r="K999" s="786"/>
    </row>
    <row r="1000" spans="1:11" x14ac:dyDescent="0.3">
      <c r="A1000" s="800">
        <v>983</v>
      </c>
      <c r="B1000" s="571">
        <f t="shared" ca="1" si="37"/>
        <v>75.756616225600425</v>
      </c>
      <c r="C1000" s="801">
        <f t="shared" ca="1" si="38"/>
        <v>4</v>
      </c>
      <c r="K1000" s="786"/>
    </row>
    <row r="1001" spans="1:11" x14ac:dyDescent="0.3">
      <c r="A1001" s="800">
        <v>984</v>
      </c>
      <c r="B1001" s="571">
        <f t="shared" ca="1" si="37"/>
        <v>41.619653324937303</v>
      </c>
      <c r="C1001" s="801">
        <f t="shared" ca="1" si="38"/>
        <v>3</v>
      </c>
      <c r="K1001" s="786"/>
    </row>
    <row r="1002" spans="1:11" x14ac:dyDescent="0.3">
      <c r="A1002" s="800">
        <v>985</v>
      </c>
      <c r="B1002" s="571">
        <f t="shared" ca="1" si="37"/>
        <v>61.846606203506717</v>
      </c>
      <c r="C1002" s="801">
        <f t="shared" ca="1" si="38"/>
        <v>3</v>
      </c>
      <c r="K1002" s="786"/>
    </row>
    <row r="1003" spans="1:11" x14ac:dyDescent="0.3">
      <c r="A1003" s="800">
        <v>986</v>
      </c>
      <c r="B1003" s="571">
        <f t="shared" ca="1" si="37"/>
        <v>78.678531430181636</v>
      </c>
      <c r="C1003" s="801">
        <f t="shared" ca="1" si="38"/>
        <v>4</v>
      </c>
      <c r="K1003" s="786"/>
    </row>
    <row r="1004" spans="1:11" x14ac:dyDescent="0.3">
      <c r="A1004" s="800">
        <v>987</v>
      </c>
      <c r="B1004" s="571">
        <f t="shared" ca="1" si="37"/>
        <v>25.971298059947934</v>
      </c>
      <c r="C1004" s="801">
        <f t="shared" ca="1" si="38"/>
        <v>2</v>
      </c>
      <c r="K1004" s="786"/>
    </row>
    <row r="1005" spans="1:11" x14ac:dyDescent="0.3">
      <c r="A1005" s="800">
        <v>988</v>
      </c>
      <c r="B1005" s="571">
        <f t="shared" ca="1" si="37"/>
        <v>32.26766891989876</v>
      </c>
      <c r="C1005" s="801">
        <f t="shared" ca="1" si="38"/>
        <v>2</v>
      </c>
      <c r="K1005" s="786"/>
    </row>
    <row r="1006" spans="1:11" x14ac:dyDescent="0.3">
      <c r="A1006" s="800">
        <v>989</v>
      </c>
      <c r="B1006" s="571">
        <f t="shared" ca="1" si="37"/>
        <v>1.9356833361225845</v>
      </c>
      <c r="C1006" s="801">
        <f t="shared" ca="1" si="38"/>
        <v>0</v>
      </c>
      <c r="K1006" s="786"/>
    </row>
    <row r="1007" spans="1:11" x14ac:dyDescent="0.3">
      <c r="A1007" s="800">
        <v>990</v>
      </c>
      <c r="B1007" s="571">
        <f t="shared" ca="1" si="37"/>
        <v>75.574879437588677</v>
      </c>
      <c r="C1007" s="801">
        <f t="shared" ca="1" si="38"/>
        <v>4</v>
      </c>
      <c r="K1007" s="786"/>
    </row>
    <row r="1008" spans="1:11" x14ac:dyDescent="0.3">
      <c r="A1008" s="800">
        <v>991</v>
      </c>
      <c r="B1008" s="571">
        <f t="shared" ca="1" si="37"/>
        <v>82.983226664976016</v>
      </c>
      <c r="C1008" s="801">
        <f t="shared" ca="1" si="38"/>
        <v>4</v>
      </c>
      <c r="K1008" s="786"/>
    </row>
    <row r="1009" spans="1:11" x14ac:dyDescent="0.3">
      <c r="A1009" s="800">
        <v>992</v>
      </c>
      <c r="B1009" s="571">
        <f t="shared" ca="1" si="37"/>
        <v>25.768180746507753</v>
      </c>
      <c r="C1009" s="801">
        <f t="shared" ca="1" si="38"/>
        <v>2</v>
      </c>
      <c r="K1009" s="786"/>
    </row>
    <row r="1010" spans="1:11" x14ac:dyDescent="0.3">
      <c r="A1010" s="800">
        <v>993</v>
      </c>
      <c r="B1010" s="571">
        <f t="shared" ca="1" si="37"/>
        <v>13.895183274816315</v>
      </c>
      <c r="C1010" s="801">
        <f t="shared" ca="1" si="38"/>
        <v>1</v>
      </c>
      <c r="K1010" s="786"/>
    </row>
    <row r="1011" spans="1:11" x14ac:dyDescent="0.3">
      <c r="A1011" s="800">
        <v>994</v>
      </c>
      <c r="B1011" s="571">
        <f t="shared" ca="1" si="37"/>
        <v>33.260290080357045</v>
      </c>
      <c r="C1011" s="801">
        <f t="shared" ca="1" si="38"/>
        <v>2</v>
      </c>
      <c r="K1011" s="786"/>
    </row>
    <row r="1012" spans="1:11" x14ac:dyDescent="0.3">
      <c r="A1012" s="800">
        <v>995</v>
      </c>
      <c r="B1012" s="571">
        <f t="shared" ca="1" si="37"/>
        <v>45.072519803972334</v>
      </c>
      <c r="C1012" s="801">
        <f t="shared" ca="1" si="38"/>
        <v>3</v>
      </c>
      <c r="K1012" s="786"/>
    </row>
    <row r="1013" spans="1:11" x14ac:dyDescent="0.3">
      <c r="A1013" s="800">
        <v>996</v>
      </c>
      <c r="B1013" s="571">
        <f t="shared" ca="1" si="37"/>
        <v>25.863299833711352</v>
      </c>
      <c r="C1013" s="801">
        <f t="shared" ca="1" si="38"/>
        <v>2</v>
      </c>
      <c r="K1013" s="786"/>
    </row>
    <row r="1014" spans="1:11" x14ac:dyDescent="0.3">
      <c r="A1014" s="800">
        <v>997</v>
      </c>
      <c r="B1014" s="571">
        <f t="shared" ca="1" si="37"/>
        <v>34.703638448164462</v>
      </c>
      <c r="C1014" s="801">
        <f t="shared" ca="1" si="38"/>
        <v>2</v>
      </c>
      <c r="K1014" s="786"/>
    </row>
    <row r="1015" spans="1:11" x14ac:dyDescent="0.3">
      <c r="A1015" s="800">
        <v>998</v>
      </c>
      <c r="B1015" s="571">
        <f t="shared" ca="1" si="37"/>
        <v>0.48175990541213798</v>
      </c>
      <c r="C1015" s="801">
        <f t="shared" ca="1" si="38"/>
        <v>0</v>
      </c>
      <c r="K1015" s="786"/>
    </row>
    <row r="1016" spans="1:11" x14ac:dyDescent="0.3">
      <c r="A1016" s="800">
        <v>999</v>
      </c>
      <c r="B1016" s="571">
        <f t="shared" ca="1" si="37"/>
        <v>38.595597369345114</v>
      </c>
      <c r="C1016" s="801">
        <f t="shared" ca="1" si="38"/>
        <v>3</v>
      </c>
      <c r="K1016" s="786"/>
    </row>
    <row r="1017" spans="1:11" ht="13.5" thickBot="1" x14ac:dyDescent="0.35">
      <c r="A1017" s="802">
        <v>1000</v>
      </c>
      <c r="B1017" s="803">
        <f t="shared" ca="1" si="37"/>
        <v>16.388773204404238</v>
      </c>
      <c r="C1017" s="804">
        <f t="shared" ca="1" si="38"/>
        <v>2</v>
      </c>
    </row>
  </sheetData>
  <pageMargins left="0.75" right="0.75" top="1" bottom="1" header="0.5" footer="0.5"/>
  <headerFooter alignWithMargins="0"/>
  <drawing r:id="rId1"/>
  <legacy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37"/>
  <dimension ref="A1:E203"/>
  <sheetViews>
    <sheetView workbookViewId="0"/>
  </sheetViews>
  <sheetFormatPr defaultRowHeight="12.5" x14ac:dyDescent="0.25"/>
  <cols>
    <col min="1" max="1" width="23" customWidth="1"/>
    <col min="4" max="4" width="10.7265625" bestFit="1" customWidth="1"/>
    <col min="5" max="5" width="10.36328125" bestFit="1" customWidth="1"/>
  </cols>
  <sheetData>
    <row r="1" spans="1:5" ht="13" x14ac:dyDescent="0.3">
      <c r="A1" s="4" t="s">
        <v>264</v>
      </c>
      <c r="D1" s="114" t="s">
        <v>428</v>
      </c>
    </row>
    <row r="2" spans="1:5" x14ac:dyDescent="0.25">
      <c r="D2" s="114"/>
    </row>
    <row r="3" spans="1:5" x14ac:dyDescent="0.25">
      <c r="A3" t="s">
        <v>178</v>
      </c>
      <c r="C3" t="s">
        <v>48</v>
      </c>
      <c r="D3" t="s">
        <v>265</v>
      </c>
      <c r="E3" t="s">
        <v>175</v>
      </c>
    </row>
    <row r="4" spans="1:5" x14ac:dyDescent="0.25">
      <c r="A4">
        <f ca="1">NORMINV(RAND(),40,5)</f>
        <v>34.775843002138835</v>
      </c>
      <c r="C4">
        <v>26</v>
      </c>
      <c r="D4">
        <f t="array" aca="1" ref="D4:D19" ca="1">FREQUENCY(A4:A203,C4:C19)</f>
        <v>0</v>
      </c>
      <c r="E4" s="50">
        <f ca="1">D4/$D$20</f>
        <v>0</v>
      </c>
    </row>
    <row r="5" spans="1:5" x14ac:dyDescent="0.25">
      <c r="A5">
        <f t="shared" ref="A5:A67" ca="1" si="0">NORMINV(RAND(),40,5)</f>
        <v>43.158652222527678</v>
      </c>
      <c r="C5">
        <v>28</v>
      </c>
      <c r="D5">
        <f ca="1"/>
        <v>0</v>
      </c>
      <c r="E5" s="50">
        <f t="shared" ref="E5:E19" ca="1" si="1">D5/$D$20</f>
        <v>0</v>
      </c>
    </row>
    <row r="6" spans="1:5" x14ac:dyDescent="0.25">
      <c r="A6">
        <f ca="1">NORMINV(RAND(),40,5)</f>
        <v>40.940309375858916</v>
      </c>
      <c r="C6">
        <v>30</v>
      </c>
      <c r="D6">
        <f ca="1"/>
        <v>2</v>
      </c>
      <c r="E6" s="50">
        <f t="shared" ca="1" si="1"/>
        <v>0.01</v>
      </c>
    </row>
    <row r="7" spans="1:5" x14ac:dyDescent="0.25">
      <c r="A7">
        <f t="shared" ca="1" si="0"/>
        <v>38.40725496724518</v>
      </c>
      <c r="C7">
        <v>32</v>
      </c>
      <c r="D7">
        <f ca="1"/>
        <v>5</v>
      </c>
      <c r="E7" s="50">
        <f t="shared" ca="1" si="1"/>
        <v>2.5000000000000001E-2</v>
      </c>
    </row>
    <row r="8" spans="1:5" x14ac:dyDescent="0.25">
      <c r="A8">
        <f t="shared" ca="1" si="0"/>
        <v>43.490813079302541</v>
      </c>
      <c r="C8">
        <v>34</v>
      </c>
      <c r="D8">
        <f ca="1"/>
        <v>13</v>
      </c>
      <c r="E8" s="50">
        <f t="shared" ca="1" si="1"/>
        <v>6.5000000000000002E-2</v>
      </c>
    </row>
    <row r="9" spans="1:5" x14ac:dyDescent="0.25">
      <c r="A9">
        <f t="shared" ca="1" si="0"/>
        <v>43.075837384591537</v>
      </c>
      <c r="C9">
        <v>36</v>
      </c>
      <c r="D9">
        <f ca="1"/>
        <v>19</v>
      </c>
      <c r="E9" s="50">
        <f t="shared" ca="1" si="1"/>
        <v>9.5000000000000001E-2</v>
      </c>
    </row>
    <row r="10" spans="1:5" x14ac:dyDescent="0.25">
      <c r="A10">
        <f t="shared" ca="1" si="0"/>
        <v>48.204511719692924</v>
      </c>
      <c r="C10">
        <v>38</v>
      </c>
      <c r="D10">
        <f ca="1"/>
        <v>15</v>
      </c>
      <c r="E10" s="50">
        <f t="shared" ca="1" si="1"/>
        <v>7.4999999999999997E-2</v>
      </c>
    </row>
    <row r="11" spans="1:5" x14ac:dyDescent="0.25">
      <c r="A11">
        <f t="shared" ca="1" si="0"/>
        <v>38.649921394713864</v>
      </c>
      <c r="C11">
        <v>40</v>
      </c>
      <c r="D11">
        <f ca="1"/>
        <v>33</v>
      </c>
      <c r="E11" s="50">
        <f t="shared" ca="1" si="1"/>
        <v>0.16500000000000001</v>
      </c>
    </row>
    <row r="12" spans="1:5" x14ac:dyDescent="0.25">
      <c r="A12">
        <f t="shared" ca="1" si="0"/>
        <v>31.163178239711929</v>
      </c>
      <c r="C12">
        <v>42</v>
      </c>
      <c r="D12">
        <f ca="1"/>
        <v>38</v>
      </c>
      <c r="E12" s="50">
        <f t="shared" ca="1" si="1"/>
        <v>0.19</v>
      </c>
    </row>
    <row r="13" spans="1:5" x14ac:dyDescent="0.25">
      <c r="A13">
        <f t="shared" ca="1" si="0"/>
        <v>40.043627228454667</v>
      </c>
      <c r="C13">
        <v>44</v>
      </c>
      <c r="D13">
        <f ca="1"/>
        <v>32</v>
      </c>
      <c r="E13" s="50">
        <f t="shared" ca="1" si="1"/>
        <v>0.16</v>
      </c>
    </row>
    <row r="14" spans="1:5" x14ac:dyDescent="0.25">
      <c r="A14">
        <f t="shared" ca="1" si="0"/>
        <v>37.103728754988985</v>
      </c>
      <c r="C14">
        <v>46</v>
      </c>
      <c r="D14">
        <f ca="1"/>
        <v>19</v>
      </c>
      <c r="E14" s="50">
        <f t="shared" ca="1" si="1"/>
        <v>9.5000000000000001E-2</v>
      </c>
    </row>
    <row r="15" spans="1:5" x14ac:dyDescent="0.25">
      <c r="A15">
        <f t="shared" ca="1" si="0"/>
        <v>38.70870322210704</v>
      </c>
      <c r="C15">
        <v>48</v>
      </c>
      <c r="D15">
        <f ca="1"/>
        <v>14</v>
      </c>
      <c r="E15" s="50">
        <f t="shared" ca="1" si="1"/>
        <v>7.0000000000000007E-2</v>
      </c>
    </row>
    <row r="16" spans="1:5" x14ac:dyDescent="0.25">
      <c r="A16">
        <f t="shared" ca="1" si="0"/>
        <v>31.861772033326865</v>
      </c>
      <c r="C16">
        <v>50</v>
      </c>
      <c r="D16">
        <f ca="1"/>
        <v>8</v>
      </c>
      <c r="E16" s="50">
        <f t="shared" ca="1" si="1"/>
        <v>0.04</v>
      </c>
    </row>
    <row r="17" spans="1:5" x14ac:dyDescent="0.25">
      <c r="A17">
        <f t="shared" ca="1" si="0"/>
        <v>39.88572913586799</v>
      </c>
      <c r="C17">
        <v>52</v>
      </c>
      <c r="D17">
        <f ca="1"/>
        <v>1</v>
      </c>
      <c r="E17" s="50">
        <f t="shared" ca="1" si="1"/>
        <v>5.0000000000000001E-3</v>
      </c>
    </row>
    <row r="18" spans="1:5" x14ac:dyDescent="0.25">
      <c r="A18">
        <f t="shared" ca="1" si="0"/>
        <v>38.791467115180488</v>
      </c>
      <c r="C18">
        <v>54</v>
      </c>
      <c r="D18">
        <f ca="1"/>
        <v>0</v>
      </c>
      <c r="E18" s="50">
        <f t="shared" ca="1" si="1"/>
        <v>0</v>
      </c>
    </row>
    <row r="19" spans="1:5" ht="13" thickBot="1" x14ac:dyDescent="0.3">
      <c r="A19">
        <f t="shared" ca="1" si="0"/>
        <v>41.153907264461701</v>
      </c>
      <c r="C19" s="18">
        <v>56</v>
      </c>
      <c r="D19" s="18">
        <f ca="1"/>
        <v>1</v>
      </c>
      <c r="E19" s="50">
        <f t="shared" ca="1" si="1"/>
        <v>5.0000000000000001E-3</v>
      </c>
    </row>
    <row r="20" spans="1:5" ht="13" thickTop="1" x14ac:dyDescent="0.25">
      <c r="A20">
        <f t="shared" ca="1" si="0"/>
        <v>43.018779598551944</v>
      </c>
      <c r="D20">
        <f ca="1">SUM(D3:D19)</f>
        <v>200</v>
      </c>
    </row>
    <row r="21" spans="1:5" x14ac:dyDescent="0.25">
      <c r="A21">
        <f t="shared" ca="1" si="0"/>
        <v>40.150875185003983</v>
      </c>
    </row>
    <row r="22" spans="1:5" x14ac:dyDescent="0.25">
      <c r="A22">
        <f t="shared" ca="1" si="0"/>
        <v>42.162067963209509</v>
      </c>
    </row>
    <row r="23" spans="1:5" x14ac:dyDescent="0.25">
      <c r="A23">
        <f t="shared" ca="1" si="0"/>
        <v>42.349093679593985</v>
      </c>
    </row>
    <row r="24" spans="1:5" x14ac:dyDescent="0.25">
      <c r="A24">
        <f t="shared" ca="1" si="0"/>
        <v>29.362902241547587</v>
      </c>
    </row>
    <row r="25" spans="1:5" x14ac:dyDescent="0.25">
      <c r="A25">
        <f t="shared" ca="1" si="0"/>
        <v>32.643591886625948</v>
      </c>
    </row>
    <row r="26" spans="1:5" x14ac:dyDescent="0.25">
      <c r="A26">
        <f t="shared" ca="1" si="0"/>
        <v>41.218130140265124</v>
      </c>
    </row>
    <row r="27" spans="1:5" x14ac:dyDescent="0.25">
      <c r="A27">
        <f t="shared" ca="1" si="0"/>
        <v>41.962792934382755</v>
      </c>
    </row>
    <row r="28" spans="1:5" x14ac:dyDescent="0.25">
      <c r="A28">
        <f t="shared" ca="1" si="0"/>
        <v>32.583657063247685</v>
      </c>
    </row>
    <row r="29" spans="1:5" x14ac:dyDescent="0.25">
      <c r="A29">
        <f t="shared" ca="1" si="0"/>
        <v>39.77391496940654</v>
      </c>
    </row>
    <row r="30" spans="1:5" x14ac:dyDescent="0.25">
      <c r="A30">
        <f t="shared" ca="1" si="0"/>
        <v>35.25751338810062</v>
      </c>
    </row>
    <row r="31" spans="1:5" x14ac:dyDescent="0.25">
      <c r="A31">
        <f t="shared" ca="1" si="0"/>
        <v>37.615889464663013</v>
      </c>
    </row>
    <row r="32" spans="1:5" x14ac:dyDescent="0.25">
      <c r="A32">
        <f t="shared" ca="1" si="0"/>
        <v>35.386859908099538</v>
      </c>
    </row>
    <row r="33" spans="1:1" x14ac:dyDescent="0.25">
      <c r="A33">
        <f t="shared" ca="1" si="0"/>
        <v>41.687996361384293</v>
      </c>
    </row>
    <row r="34" spans="1:1" x14ac:dyDescent="0.25">
      <c r="A34">
        <f t="shared" ca="1" si="0"/>
        <v>42.128924416274401</v>
      </c>
    </row>
    <row r="35" spans="1:1" x14ac:dyDescent="0.25">
      <c r="A35">
        <f t="shared" ca="1" si="0"/>
        <v>40.532474309371686</v>
      </c>
    </row>
    <row r="36" spans="1:1" x14ac:dyDescent="0.25">
      <c r="A36">
        <f t="shared" ca="1" si="0"/>
        <v>40.513414091262888</v>
      </c>
    </row>
    <row r="37" spans="1:1" x14ac:dyDescent="0.25">
      <c r="A37">
        <f t="shared" ca="1" si="0"/>
        <v>39.471965905462945</v>
      </c>
    </row>
    <row r="38" spans="1:1" x14ac:dyDescent="0.25">
      <c r="A38">
        <f t="shared" ca="1" si="0"/>
        <v>35.647505625006431</v>
      </c>
    </row>
    <row r="39" spans="1:1" x14ac:dyDescent="0.25">
      <c r="A39">
        <f t="shared" ca="1" si="0"/>
        <v>36.939146762222286</v>
      </c>
    </row>
    <row r="40" spans="1:1" x14ac:dyDescent="0.25">
      <c r="A40">
        <f t="shared" ca="1" si="0"/>
        <v>49.790862273211516</v>
      </c>
    </row>
    <row r="41" spans="1:1" x14ac:dyDescent="0.25">
      <c r="A41">
        <f t="shared" ca="1" si="0"/>
        <v>41.283628510783728</v>
      </c>
    </row>
    <row r="42" spans="1:1" x14ac:dyDescent="0.25">
      <c r="A42">
        <f t="shared" ca="1" si="0"/>
        <v>40.280387833800724</v>
      </c>
    </row>
    <row r="43" spans="1:1" x14ac:dyDescent="0.25">
      <c r="A43">
        <f t="shared" ca="1" si="0"/>
        <v>42.044418305305129</v>
      </c>
    </row>
    <row r="44" spans="1:1" x14ac:dyDescent="0.25">
      <c r="A44">
        <f t="shared" ca="1" si="0"/>
        <v>38.181521676259571</v>
      </c>
    </row>
    <row r="45" spans="1:1" x14ac:dyDescent="0.25">
      <c r="A45">
        <f t="shared" ca="1" si="0"/>
        <v>41.324735582497105</v>
      </c>
    </row>
    <row r="46" spans="1:1" x14ac:dyDescent="0.25">
      <c r="A46">
        <f t="shared" ca="1" si="0"/>
        <v>31.378226234504776</v>
      </c>
    </row>
    <row r="47" spans="1:1" x14ac:dyDescent="0.25">
      <c r="A47">
        <f t="shared" ca="1" si="0"/>
        <v>33.439144502030771</v>
      </c>
    </row>
    <row r="48" spans="1:1" x14ac:dyDescent="0.25">
      <c r="A48">
        <f t="shared" ca="1" si="0"/>
        <v>38.999155504119202</v>
      </c>
    </row>
    <row r="49" spans="1:1" x14ac:dyDescent="0.25">
      <c r="A49">
        <f t="shared" ca="1" si="0"/>
        <v>40.61896522317916</v>
      </c>
    </row>
    <row r="50" spans="1:1" x14ac:dyDescent="0.25">
      <c r="A50">
        <f t="shared" ca="1" si="0"/>
        <v>42.409577489963851</v>
      </c>
    </row>
    <row r="51" spans="1:1" x14ac:dyDescent="0.25">
      <c r="A51">
        <f t="shared" ca="1" si="0"/>
        <v>46.733610840820695</v>
      </c>
    </row>
    <row r="52" spans="1:1" x14ac:dyDescent="0.25">
      <c r="A52">
        <f t="shared" ca="1" si="0"/>
        <v>45.788498490484855</v>
      </c>
    </row>
    <row r="53" spans="1:1" x14ac:dyDescent="0.25">
      <c r="A53">
        <f t="shared" ca="1" si="0"/>
        <v>42.175376510261039</v>
      </c>
    </row>
    <row r="54" spans="1:1" x14ac:dyDescent="0.25">
      <c r="A54">
        <f t="shared" ca="1" si="0"/>
        <v>40.397756975971177</v>
      </c>
    </row>
    <row r="55" spans="1:1" x14ac:dyDescent="0.25">
      <c r="A55">
        <f t="shared" ca="1" si="0"/>
        <v>38.885291804087231</v>
      </c>
    </row>
    <row r="56" spans="1:1" x14ac:dyDescent="0.25">
      <c r="A56">
        <f t="shared" ca="1" si="0"/>
        <v>36.548205681042923</v>
      </c>
    </row>
    <row r="57" spans="1:1" x14ac:dyDescent="0.25">
      <c r="A57">
        <f t="shared" ca="1" si="0"/>
        <v>47.280079750971439</v>
      </c>
    </row>
    <row r="58" spans="1:1" x14ac:dyDescent="0.25">
      <c r="A58">
        <f t="shared" ca="1" si="0"/>
        <v>48.972412009867369</v>
      </c>
    </row>
    <row r="59" spans="1:1" x14ac:dyDescent="0.25">
      <c r="A59">
        <f t="shared" ca="1" si="0"/>
        <v>48.835085716930237</v>
      </c>
    </row>
    <row r="60" spans="1:1" x14ac:dyDescent="0.25">
      <c r="A60">
        <f t="shared" ca="1" si="0"/>
        <v>46.759340950334597</v>
      </c>
    </row>
    <row r="61" spans="1:1" x14ac:dyDescent="0.25">
      <c r="A61">
        <f t="shared" ca="1" si="0"/>
        <v>37.618757056759776</v>
      </c>
    </row>
    <row r="62" spans="1:1" x14ac:dyDescent="0.25">
      <c r="A62">
        <f t="shared" ca="1" si="0"/>
        <v>35.55800375472451</v>
      </c>
    </row>
    <row r="63" spans="1:1" x14ac:dyDescent="0.25">
      <c r="A63">
        <f t="shared" ca="1" si="0"/>
        <v>38.682024747006309</v>
      </c>
    </row>
    <row r="64" spans="1:1" x14ac:dyDescent="0.25">
      <c r="A64">
        <f t="shared" ca="1" si="0"/>
        <v>46.769786084756845</v>
      </c>
    </row>
    <row r="65" spans="1:1" x14ac:dyDescent="0.25">
      <c r="A65">
        <f t="shared" ca="1" si="0"/>
        <v>39.544824953367502</v>
      </c>
    </row>
    <row r="66" spans="1:1" x14ac:dyDescent="0.25">
      <c r="A66">
        <f t="shared" ca="1" si="0"/>
        <v>42.683187593818417</v>
      </c>
    </row>
    <row r="67" spans="1:1" x14ac:dyDescent="0.25">
      <c r="A67">
        <f t="shared" ca="1" si="0"/>
        <v>45.334180648061462</v>
      </c>
    </row>
    <row r="68" spans="1:1" x14ac:dyDescent="0.25">
      <c r="A68">
        <f t="shared" ref="A68:A131" ca="1" si="2">NORMINV(RAND(),40,5)</f>
        <v>33.651251522171236</v>
      </c>
    </row>
    <row r="69" spans="1:1" x14ac:dyDescent="0.25">
      <c r="A69">
        <f t="shared" ca="1" si="2"/>
        <v>35.464438283995449</v>
      </c>
    </row>
    <row r="70" spans="1:1" x14ac:dyDescent="0.25">
      <c r="A70">
        <f t="shared" ca="1" si="2"/>
        <v>39.091577704608532</v>
      </c>
    </row>
    <row r="71" spans="1:1" x14ac:dyDescent="0.25">
      <c r="A71">
        <f t="shared" ca="1" si="2"/>
        <v>42.235599685003926</v>
      </c>
    </row>
    <row r="72" spans="1:1" x14ac:dyDescent="0.25">
      <c r="A72">
        <f t="shared" ca="1" si="2"/>
        <v>40.484780400905585</v>
      </c>
    </row>
    <row r="73" spans="1:1" x14ac:dyDescent="0.25">
      <c r="A73">
        <f t="shared" ca="1" si="2"/>
        <v>46.032312809384138</v>
      </c>
    </row>
    <row r="74" spans="1:1" x14ac:dyDescent="0.25">
      <c r="A74">
        <f t="shared" ca="1" si="2"/>
        <v>39.275468540011012</v>
      </c>
    </row>
    <row r="75" spans="1:1" x14ac:dyDescent="0.25">
      <c r="A75">
        <f t="shared" ca="1" si="2"/>
        <v>44.798991551235368</v>
      </c>
    </row>
    <row r="76" spans="1:1" x14ac:dyDescent="0.25">
      <c r="A76">
        <f t="shared" ca="1" si="2"/>
        <v>43.155944864899844</v>
      </c>
    </row>
    <row r="77" spans="1:1" x14ac:dyDescent="0.25">
      <c r="A77">
        <f t="shared" ca="1" si="2"/>
        <v>40.528301662616066</v>
      </c>
    </row>
    <row r="78" spans="1:1" x14ac:dyDescent="0.25">
      <c r="A78">
        <f t="shared" ca="1" si="2"/>
        <v>39.8237307532372</v>
      </c>
    </row>
    <row r="79" spans="1:1" x14ac:dyDescent="0.25">
      <c r="A79">
        <f t="shared" ca="1" si="2"/>
        <v>44.136934847703785</v>
      </c>
    </row>
    <row r="80" spans="1:1" x14ac:dyDescent="0.25">
      <c r="A80">
        <f t="shared" ca="1" si="2"/>
        <v>47.978544219549882</v>
      </c>
    </row>
    <row r="81" spans="1:1" x14ac:dyDescent="0.25">
      <c r="A81">
        <f t="shared" ca="1" si="2"/>
        <v>33.873749924991522</v>
      </c>
    </row>
    <row r="82" spans="1:1" x14ac:dyDescent="0.25">
      <c r="A82">
        <f t="shared" ca="1" si="2"/>
        <v>41.211815329276568</v>
      </c>
    </row>
    <row r="83" spans="1:1" x14ac:dyDescent="0.25">
      <c r="A83">
        <f t="shared" ca="1" si="2"/>
        <v>36.977431310788177</v>
      </c>
    </row>
    <row r="84" spans="1:1" x14ac:dyDescent="0.25">
      <c r="A84">
        <f t="shared" ca="1" si="2"/>
        <v>38.464423874045394</v>
      </c>
    </row>
    <row r="85" spans="1:1" x14ac:dyDescent="0.25">
      <c r="A85">
        <f t="shared" ca="1" si="2"/>
        <v>41.966386482531853</v>
      </c>
    </row>
    <row r="86" spans="1:1" x14ac:dyDescent="0.25">
      <c r="A86">
        <f t="shared" ca="1" si="2"/>
        <v>48.534436063158765</v>
      </c>
    </row>
    <row r="87" spans="1:1" x14ac:dyDescent="0.25">
      <c r="A87">
        <f t="shared" ca="1" si="2"/>
        <v>37.385920503528162</v>
      </c>
    </row>
    <row r="88" spans="1:1" x14ac:dyDescent="0.25">
      <c r="A88">
        <f t="shared" ca="1" si="2"/>
        <v>35.301688988964081</v>
      </c>
    </row>
    <row r="89" spans="1:1" x14ac:dyDescent="0.25">
      <c r="A89">
        <f t="shared" ca="1" si="2"/>
        <v>42.677137571266826</v>
      </c>
    </row>
    <row r="90" spans="1:1" x14ac:dyDescent="0.25">
      <c r="A90">
        <f t="shared" ca="1" si="2"/>
        <v>46.84104220973272</v>
      </c>
    </row>
    <row r="91" spans="1:1" x14ac:dyDescent="0.25">
      <c r="A91">
        <f t="shared" ca="1" si="2"/>
        <v>31.395275668996252</v>
      </c>
    </row>
    <row r="92" spans="1:1" x14ac:dyDescent="0.25">
      <c r="A92">
        <f t="shared" ca="1" si="2"/>
        <v>39.771162448058263</v>
      </c>
    </row>
    <row r="93" spans="1:1" x14ac:dyDescent="0.25">
      <c r="A93">
        <f t="shared" ca="1" si="2"/>
        <v>40.806326323250723</v>
      </c>
    </row>
    <row r="94" spans="1:1" x14ac:dyDescent="0.25">
      <c r="A94">
        <f t="shared" ca="1" si="2"/>
        <v>36.476817651245533</v>
      </c>
    </row>
    <row r="95" spans="1:1" x14ac:dyDescent="0.25">
      <c r="A95">
        <f t="shared" ca="1" si="2"/>
        <v>41.295683273306153</v>
      </c>
    </row>
    <row r="96" spans="1:1" x14ac:dyDescent="0.25">
      <c r="A96">
        <f t="shared" ca="1" si="2"/>
        <v>40.99442729196344</v>
      </c>
    </row>
    <row r="97" spans="1:1" x14ac:dyDescent="0.25">
      <c r="A97">
        <f t="shared" ca="1" si="2"/>
        <v>44.566236833576511</v>
      </c>
    </row>
    <row r="98" spans="1:1" x14ac:dyDescent="0.25">
      <c r="A98">
        <f t="shared" ca="1" si="2"/>
        <v>40.384143916176086</v>
      </c>
    </row>
    <row r="99" spans="1:1" x14ac:dyDescent="0.25">
      <c r="A99">
        <f t="shared" ca="1" si="2"/>
        <v>41.693463498789001</v>
      </c>
    </row>
    <row r="100" spans="1:1" x14ac:dyDescent="0.25">
      <c r="A100">
        <f t="shared" ca="1" si="2"/>
        <v>43.073340712198444</v>
      </c>
    </row>
    <row r="101" spans="1:1" x14ac:dyDescent="0.25">
      <c r="A101">
        <f t="shared" ca="1" si="2"/>
        <v>41.012386519370772</v>
      </c>
    </row>
    <row r="102" spans="1:1" x14ac:dyDescent="0.25">
      <c r="A102">
        <f t="shared" ca="1" si="2"/>
        <v>42.229777897921281</v>
      </c>
    </row>
    <row r="103" spans="1:1" x14ac:dyDescent="0.25">
      <c r="A103">
        <f t="shared" ca="1" si="2"/>
        <v>45.975402285970077</v>
      </c>
    </row>
    <row r="104" spans="1:1" x14ac:dyDescent="0.25">
      <c r="A104">
        <f t="shared" ca="1" si="2"/>
        <v>44.657789519387563</v>
      </c>
    </row>
    <row r="105" spans="1:1" x14ac:dyDescent="0.25">
      <c r="A105">
        <f t="shared" ca="1" si="2"/>
        <v>37.594183898382184</v>
      </c>
    </row>
    <row r="106" spans="1:1" x14ac:dyDescent="0.25">
      <c r="A106">
        <f t="shared" ca="1" si="2"/>
        <v>39.610708945408412</v>
      </c>
    </row>
    <row r="107" spans="1:1" x14ac:dyDescent="0.25">
      <c r="A107">
        <f t="shared" ca="1" si="2"/>
        <v>43.819475506933308</v>
      </c>
    </row>
    <row r="108" spans="1:1" x14ac:dyDescent="0.25">
      <c r="A108">
        <f t="shared" ca="1" si="2"/>
        <v>44.490909047627568</v>
      </c>
    </row>
    <row r="109" spans="1:1" x14ac:dyDescent="0.25">
      <c r="A109">
        <f t="shared" ca="1" si="2"/>
        <v>47.156132771633835</v>
      </c>
    </row>
    <row r="110" spans="1:1" x14ac:dyDescent="0.25">
      <c r="A110">
        <f t="shared" ca="1" si="2"/>
        <v>54.830998275312581</v>
      </c>
    </row>
    <row r="111" spans="1:1" x14ac:dyDescent="0.25">
      <c r="A111">
        <f t="shared" ca="1" si="2"/>
        <v>40.334227069735626</v>
      </c>
    </row>
    <row r="112" spans="1:1" x14ac:dyDescent="0.25">
      <c r="A112">
        <f t="shared" ca="1" si="2"/>
        <v>41.341496638197299</v>
      </c>
    </row>
    <row r="113" spans="1:1" x14ac:dyDescent="0.25">
      <c r="A113">
        <f t="shared" ca="1" si="2"/>
        <v>30.445215205004576</v>
      </c>
    </row>
    <row r="114" spans="1:1" x14ac:dyDescent="0.25">
      <c r="A114">
        <f t="shared" ca="1" si="2"/>
        <v>42.827619886769654</v>
      </c>
    </row>
    <row r="115" spans="1:1" x14ac:dyDescent="0.25">
      <c r="A115">
        <f t="shared" ca="1" si="2"/>
        <v>35.937925448193674</v>
      </c>
    </row>
    <row r="116" spans="1:1" x14ac:dyDescent="0.25">
      <c r="A116">
        <f t="shared" ca="1" si="2"/>
        <v>37.235074146753917</v>
      </c>
    </row>
    <row r="117" spans="1:1" x14ac:dyDescent="0.25">
      <c r="A117">
        <f t="shared" ca="1" si="2"/>
        <v>44.735808545900404</v>
      </c>
    </row>
    <row r="118" spans="1:1" x14ac:dyDescent="0.25">
      <c r="A118">
        <f t="shared" ca="1" si="2"/>
        <v>36.592869660467095</v>
      </c>
    </row>
    <row r="119" spans="1:1" x14ac:dyDescent="0.25">
      <c r="A119">
        <f t="shared" ca="1" si="2"/>
        <v>33.590316788096054</v>
      </c>
    </row>
    <row r="120" spans="1:1" x14ac:dyDescent="0.25">
      <c r="A120">
        <f t="shared" ca="1" si="2"/>
        <v>44.127676964564699</v>
      </c>
    </row>
    <row r="121" spans="1:1" x14ac:dyDescent="0.25">
      <c r="A121">
        <f t="shared" ca="1" si="2"/>
        <v>40.763957552218507</v>
      </c>
    </row>
    <row r="122" spans="1:1" x14ac:dyDescent="0.25">
      <c r="A122">
        <f t="shared" ca="1" si="2"/>
        <v>43.331126725194189</v>
      </c>
    </row>
    <row r="123" spans="1:1" x14ac:dyDescent="0.25">
      <c r="A123">
        <f t="shared" ca="1" si="2"/>
        <v>40.875591578311742</v>
      </c>
    </row>
    <row r="124" spans="1:1" x14ac:dyDescent="0.25">
      <c r="A124">
        <f t="shared" ca="1" si="2"/>
        <v>48.26876191919024</v>
      </c>
    </row>
    <row r="125" spans="1:1" x14ac:dyDescent="0.25">
      <c r="A125">
        <f t="shared" ca="1" si="2"/>
        <v>38.716426971985136</v>
      </c>
    </row>
    <row r="126" spans="1:1" x14ac:dyDescent="0.25">
      <c r="A126">
        <f t="shared" ca="1" si="2"/>
        <v>41.234018798298543</v>
      </c>
    </row>
    <row r="127" spans="1:1" x14ac:dyDescent="0.25">
      <c r="A127">
        <f t="shared" ca="1" si="2"/>
        <v>35.002609968921881</v>
      </c>
    </row>
    <row r="128" spans="1:1" x14ac:dyDescent="0.25">
      <c r="A128">
        <f t="shared" ca="1" si="2"/>
        <v>34.717970887745658</v>
      </c>
    </row>
    <row r="129" spans="1:1" x14ac:dyDescent="0.25">
      <c r="A129">
        <f t="shared" ca="1" si="2"/>
        <v>42.693033307376133</v>
      </c>
    </row>
    <row r="130" spans="1:1" x14ac:dyDescent="0.25">
      <c r="A130">
        <f t="shared" ca="1" si="2"/>
        <v>38.543687154123219</v>
      </c>
    </row>
    <row r="131" spans="1:1" x14ac:dyDescent="0.25">
      <c r="A131">
        <f t="shared" ca="1" si="2"/>
        <v>43.346533586915086</v>
      </c>
    </row>
    <row r="132" spans="1:1" x14ac:dyDescent="0.25">
      <c r="A132">
        <f t="shared" ref="A132:A195" ca="1" si="3">NORMINV(RAND(),40,5)</f>
        <v>44.537273892001231</v>
      </c>
    </row>
    <row r="133" spans="1:1" x14ac:dyDescent="0.25">
      <c r="A133">
        <f t="shared" ca="1" si="3"/>
        <v>36.527718926928415</v>
      </c>
    </row>
    <row r="134" spans="1:1" x14ac:dyDescent="0.25">
      <c r="A134">
        <f t="shared" ca="1" si="3"/>
        <v>45.501013510630074</v>
      </c>
    </row>
    <row r="135" spans="1:1" x14ac:dyDescent="0.25">
      <c r="A135">
        <f t="shared" ca="1" si="3"/>
        <v>45.419538339375059</v>
      </c>
    </row>
    <row r="136" spans="1:1" x14ac:dyDescent="0.25">
      <c r="A136">
        <f t="shared" ca="1" si="3"/>
        <v>40.135701696505357</v>
      </c>
    </row>
    <row r="137" spans="1:1" x14ac:dyDescent="0.25">
      <c r="A137">
        <f t="shared" ca="1" si="3"/>
        <v>42.438252451341185</v>
      </c>
    </row>
    <row r="138" spans="1:1" x14ac:dyDescent="0.25">
      <c r="A138">
        <f t="shared" ca="1" si="3"/>
        <v>41.830640297597625</v>
      </c>
    </row>
    <row r="139" spans="1:1" x14ac:dyDescent="0.25">
      <c r="A139">
        <f t="shared" ca="1" si="3"/>
        <v>34.732053100303567</v>
      </c>
    </row>
    <row r="140" spans="1:1" x14ac:dyDescent="0.25">
      <c r="A140">
        <f t="shared" ca="1" si="3"/>
        <v>43.979607261187496</v>
      </c>
    </row>
    <row r="141" spans="1:1" x14ac:dyDescent="0.25">
      <c r="A141">
        <f t="shared" ca="1" si="3"/>
        <v>46.91409836736819</v>
      </c>
    </row>
    <row r="142" spans="1:1" x14ac:dyDescent="0.25">
      <c r="A142">
        <f t="shared" ca="1" si="3"/>
        <v>45.687451938511309</v>
      </c>
    </row>
    <row r="143" spans="1:1" x14ac:dyDescent="0.25">
      <c r="A143">
        <f t="shared" ca="1" si="3"/>
        <v>46.242971892275321</v>
      </c>
    </row>
    <row r="144" spans="1:1" x14ac:dyDescent="0.25">
      <c r="A144">
        <f t="shared" ca="1" si="3"/>
        <v>36.194768294532082</v>
      </c>
    </row>
    <row r="145" spans="1:1" x14ac:dyDescent="0.25">
      <c r="A145">
        <f t="shared" ca="1" si="3"/>
        <v>39.4940880235688</v>
      </c>
    </row>
    <row r="146" spans="1:1" x14ac:dyDescent="0.25">
      <c r="A146">
        <f t="shared" ca="1" si="3"/>
        <v>44.772196006505588</v>
      </c>
    </row>
    <row r="147" spans="1:1" x14ac:dyDescent="0.25">
      <c r="A147">
        <f t="shared" ca="1" si="3"/>
        <v>36.801907913105708</v>
      </c>
    </row>
    <row r="148" spans="1:1" x14ac:dyDescent="0.25">
      <c r="A148">
        <f t="shared" ca="1" si="3"/>
        <v>38.427606399095964</v>
      </c>
    </row>
    <row r="149" spans="1:1" x14ac:dyDescent="0.25">
      <c r="A149">
        <f t="shared" ca="1" si="3"/>
        <v>39.443428864500937</v>
      </c>
    </row>
    <row r="150" spans="1:1" x14ac:dyDescent="0.25">
      <c r="A150">
        <f t="shared" ca="1" si="3"/>
        <v>39.884266043420311</v>
      </c>
    </row>
    <row r="151" spans="1:1" x14ac:dyDescent="0.25">
      <c r="A151">
        <f t="shared" ca="1" si="3"/>
        <v>41.427334658053269</v>
      </c>
    </row>
    <row r="152" spans="1:1" x14ac:dyDescent="0.25">
      <c r="A152">
        <f t="shared" ca="1" si="3"/>
        <v>38.750880129430854</v>
      </c>
    </row>
    <row r="153" spans="1:1" x14ac:dyDescent="0.25">
      <c r="A153">
        <f t="shared" ca="1" si="3"/>
        <v>34.625888503014714</v>
      </c>
    </row>
    <row r="154" spans="1:1" x14ac:dyDescent="0.25">
      <c r="A154">
        <f t="shared" ca="1" si="3"/>
        <v>42.008523115924838</v>
      </c>
    </row>
    <row r="155" spans="1:1" x14ac:dyDescent="0.25">
      <c r="A155">
        <f t="shared" ca="1" si="3"/>
        <v>41.804621160825214</v>
      </c>
    </row>
    <row r="156" spans="1:1" x14ac:dyDescent="0.25">
      <c r="A156">
        <f t="shared" ca="1" si="3"/>
        <v>43.195761179464839</v>
      </c>
    </row>
    <row r="157" spans="1:1" x14ac:dyDescent="0.25">
      <c r="A157">
        <f t="shared" ca="1" si="3"/>
        <v>37.742655998312571</v>
      </c>
    </row>
    <row r="158" spans="1:1" x14ac:dyDescent="0.25">
      <c r="A158">
        <f t="shared" ca="1" si="3"/>
        <v>35.835769602292302</v>
      </c>
    </row>
    <row r="159" spans="1:1" x14ac:dyDescent="0.25">
      <c r="A159">
        <f t="shared" ca="1" si="3"/>
        <v>34.092932233205353</v>
      </c>
    </row>
    <row r="160" spans="1:1" x14ac:dyDescent="0.25">
      <c r="A160">
        <f t="shared" ca="1" si="3"/>
        <v>44.81580854148492</v>
      </c>
    </row>
    <row r="161" spans="1:1" x14ac:dyDescent="0.25">
      <c r="A161">
        <f t="shared" ca="1" si="3"/>
        <v>43.300014671277154</v>
      </c>
    </row>
    <row r="162" spans="1:1" x14ac:dyDescent="0.25">
      <c r="A162">
        <f t="shared" ca="1" si="3"/>
        <v>40.683988215420825</v>
      </c>
    </row>
    <row r="163" spans="1:1" x14ac:dyDescent="0.25">
      <c r="A163">
        <f t="shared" ca="1" si="3"/>
        <v>43.947104544599831</v>
      </c>
    </row>
    <row r="164" spans="1:1" x14ac:dyDescent="0.25">
      <c r="A164">
        <f t="shared" ca="1" si="3"/>
        <v>42.553441692169059</v>
      </c>
    </row>
    <row r="165" spans="1:1" x14ac:dyDescent="0.25">
      <c r="A165">
        <f t="shared" ca="1" si="3"/>
        <v>43.932224179016856</v>
      </c>
    </row>
    <row r="166" spans="1:1" x14ac:dyDescent="0.25">
      <c r="A166">
        <f t="shared" ca="1" si="3"/>
        <v>38.146725897905149</v>
      </c>
    </row>
    <row r="167" spans="1:1" x14ac:dyDescent="0.25">
      <c r="A167">
        <f t="shared" ca="1" si="3"/>
        <v>38.856572444437724</v>
      </c>
    </row>
    <row r="168" spans="1:1" x14ac:dyDescent="0.25">
      <c r="A168">
        <f t="shared" ca="1" si="3"/>
        <v>46.007669136559976</v>
      </c>
    </row>
    <row r="169" spans="1:1" x14ac:dyDescent="0.25">
      <c r="A169">
        <f t="shared" ca="1" si="3"/>
        <v>35.034489858829772</v>
      </c>
    </row>
    <row r="170" spans="1:1" x14ac:dyDescent="0.25">
      <c r="A170">
        <f t="shared" ca="1" si="3"/>
        <v>38.485793050734124</v>
      </c>
    </row>
    <row r="171" spans="1:1" x14ac:dyDescent="0.25">
      <c r="A171">
        <f t="shared" ca="1" si="3"/>
        <v>44.231280470070793</v>
      </c>
    </row>
    <row r="172" spans="1:1" x14ac:dyDescent="0.25">
      <c r="A172">
        <f t="shared" ca="1" si="3"/>
        <v>49.420826670625146</v>
      </c>
    </row>
    <row r="173" spans="1:1" x14ac:dyDescent="0.25">
      <c r="A173">
        <f t="shared" ca="1" si="3"/>
        <v>39.808562070072625</v>
      </c>
    </row>
    <row r="174" spans="1:1" x14ac:dyDescent="0.25">
      <c r="A174">
        <f t="shared" ca="1" si="3"/>
        <v>35.485377388006377</v>
      </c>
    </row>
    <row r="175" spans="1:1" x14ac:dyDescent="0.25">
      <c r="A175">
        <f t="shared" ca="1" si="3"/>
        <v>34.4048055282882</v>
      </c>
    </row>
    <row r="176" spans="1:1" x14ac:dyDescent="0.25">
      <c r="A176">
        <f t="shared" ca="1" si="3"/>
        <v>41.717170105886368</v>
      </c>
    </row>
    <row r="177" spans="1:1" x14ac:dyDescent="0.25">
      <c r="A177">
        <f t="shared" ca="1" si="3"/>
        <v>45.196683297045134</v>
      </c>
    </row>
    <row r="178" spans="1:1" x14ac:dyDescent="0.25">
      <c r="A178">
        <f t="shared" ca="1" si="3"/>
        <v>39.286432858888759</v>
      </c>
    </row>
    <row r="179" spans="1:1" x14ac:dyDescent="0.25">
      <c r="A179">
        <f t="shared" ca="1" si="3"/>
        <v>46.650584125139922</v>
      </c>
    </row>
    <row r="180" spans="1:1" x14ac:dyDescent="0.25">
      <c r="A180">
        <f t="shared" ca="1" si="3"/>
        <v>40.790517469740273</v>
      </c>
    </row>
    <row r="181" spans="1:1" x14ac:dyDescent="0.25">
      <c r="A181">
        <f t="shared" ca="1" si="3"/>
        <v>46.869328491864408</v>
      </c>
    </row>
    <row r="182" spans="1:1" x14ac:dyDescent="0.25">
      <c r="A182">
        <f t="shared" ca="1" si="3"/>
        <v>32.674160514561308</v>
      </c>
    </row>
    <row r="183" spans="1:1" x14ac:dyDescent="0.25">
      <c r="A183">
        <f t="shared" ca="1" si="3"/>
        <v>41.273604220284952</v>
      </c>
    </row>
    <row r="184" spans="1:1" x14ac:dyDescent="0.25">
      <c r="A184">
        <f t="shared" ca="1" si="3"/>
        <v>50.536614069235746</v>
      </c>
    </row>
    <row r="185" spans="1:1" x14ac:dyDescent="0.25">
      <c r="A185">
        <f t="shared" ca="1" si="3"/>
        <v>44.036690624273596</v>
      </c>
    </row>
    <row r="186" spans="1:1" x14ac:dyDescent="0.25">
      <c r="A186">
        <f t="shared" ca="1" si="3"/>
        <v>32.780197273558485</v>
      </c>
    </row>
    <row r="187" spans="1:1" x14ac:dyDescent="0.25">
      <c r="A187">
        <f t="shared" ca="1" si="3"/>
        <v>33.564189885564446</v>
      </c>
    </row>
    <row r="188" spans="1:1" x14ac:dyDescent="0.25">
      <c r="A188">
        <f t="shared" ca="1" si="3"/>
        <v>32.688433922896067</v>
      </c>
    </row>
    <row r="189" spans="1:1" x14ac:dyDescent="0.25">
      <c r="A189">
        <f t="shared" ca="1" si="3"/>
        <v>42.002297012926874</v>
      </c>
    </row>
    <row r="190" spans="1:1" x14ac:dyDescent="0.25">
      <c r="A190">
        <f t="shared" ca="1" si="3"/>
        <v>39.645677550207353</v>
      </c>
    </row>
    <row r="191" spans="1:1" x14ac:dyDescent="0.25">
      <c r="A191">
        <f t="shared" ca="1" si="3"/>
        <v>39.748681121816503</v>
      </c>
    </row>
    <row r="192" spans="1:1" x14ac:dyDescent="0.25">
      <c r="A192">
        <f t="shared" ca="1" si="3"/>
        <v>42.308945575069799</v>
      </c>
    </row>
    <row r="193" spans="1:1" x14ac:dyDescent="0.25">
      <c r="A193">
        <f t="shared" ca="1" si="3"/>
        <v>43.995985785370898</v>
      </c>
    </row>
    <row r="194" spans="1:1" x14ac:dyDescent="0.25">
      <c r="A194">
        <f t="shared" ca="1" si="3"/>
        <v>49.111636781769356</v>
      </c>
    </row>
    <row r="195" spans="1:1" x14ac:dyDescent="0.25">
      <c r="A195">
        <f t="shared" ca="1" si="3"/>
        <v>35.645894154418301</v>
      </c>
    </row>
    <row r="196" spans="1:1" x14ac:dyDescent="0.25">
      <c r="A196">
        <f t="shared" ref="A196:A202" ca="1" si="4">NORMINV(RAND(),40,5)</f>
        <v>35.506106439055685</v>
      </c>
    </row>
    <row r="197" spans="1:1" x14ac:dyDescent="0.25">
      <c r="A197">
        <f t="shared" ca="1" si="4"/>
        <v>29.024154114004094</v>
      </c>
    </row>
    <row r="198" spans="1:1" x14ac:dyDescent="0.25">
      <c r="A198">
        <f t="shared" ca="1" si="4"/>
        <v>33.78788369321861</v>
      </c>
    </row>
    <row r="199" spans="1:1" x14ac:dyDescent="0.25">
      <c r="A199">
        <f t="shared" ca="1" si="4"/>
        <v>46.221492593845696</v>
      </c>
    </row>
    <row r="200" spans="1:1" x14ac:dyDescent="0.25">
      <c r="A200">
        <f t="shared" ca="1" si="4"/>
        <v>38.297019420947912</v>
      </c>
    </row>
    <row r="201" spans="1:1" x14ac:dyDescent="0.25">
      <c r="A201">
        <f t="shared" ca="1" si="4"/>
        <v>33.847258247881236</v>
      </c>
    </row>
    <row r="202" spans="1:1" x14ac:dyDescent="0.25">
      <c r="A202">
        <f t="shared" ca="1" si="4"/>
        <v>32.235149839582121</v>
      </c>
    </row>
    <row r="203" spans="1:1" x14ac:dyDescent="0.25">
      <c r="A203">
        <f ca="1">NORMINV(RAND(),40,5)</f>
        <v>40.552384743674985</v>
      </c>
    </row>
  </sheetData>
  <phoneticPr fontId="0" type="noConversion"/>
  <pageMargins left="0.75" right="0.75" top="1" bottom="1" header="0.5" footer="0.5"/>
  <pageSetup orientation="portrait" horizontalDpi="300" verticalDpi="300" r:id="rId1"/>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25"/>
  <dimension ref="A1:N218"/>
  <sheetViews>
    <sheetView workbookViewId="0"/>
  </sheetViews>
  <sheetFormatPr defaultColWidth="9.08984375" defaultRowHeight="14.5" x14ac:dyDescent="0.35"/>
  <cols>
    <col min="1" max="1" width="15.6328125" style="434" bestFit="1" customWidth="1"/>
    <col min="2" max="2" width="15.08984375" style="434" bestFit="1" customWidth="1"/>
    <col min="3" max="3" width="9.08984375" style="434"/>
    <col min="4" max="4" width="9.7265625" style="434" customWidth="1"/>
    <col min="5" max="5" width="4.26953125" style="434" customWidth="1"/>
    <col min="6" max="7" width="10.7265625" style="434" customWidth="1"/>
    <col min="8" max="8" width="10" style="434" customWidth="1"/>
    <col min="9" max="9" width="4.26953125" style="434" customWidth="1"/>
    <col min="10" max="10" width="8.36328125" style="434" customWidth="1"/>
    <col min="11" max="11" width="16.7265625" style="434" bestFit="1" customWidth="1"/>
    <col min="12" max="12" width="11.6328125" style="434" customWidth="1"/>
    <col min="13" max="13" width="13.6328125" style="434" customWidth="1"/>
    <col min="14" max="16384" width="9.08984375" style="434"/>
  </cols>
  <sheetData>
    <row r="1" spans="1:14" ht="18" x14ac:dyDescent="0.4">
      <c r="A1" s="233" t="s">
        <v>856</v>
      </c>
      <c r="B1" s="234"/>
      <c r="C1" s="234"/>
      <c r="D1" s="234"/>
      <c r="E1" s="234"/>
      <c r="F1" s="234"/>
      <c r="G1" s="234"/>
      <c r="H1" s="234"/>
      <c r="I1" s="234"/>
      <c r="J1" s="234"/>
      <c r="K1" s="234"/>
      <c r="L1" s="234"/>
      <c r="M1" s="234"/>
      <c r="N1" s="234"/>
    </row>
    <row r="2" spans="1:14" x14ac:dyDescent="0.35">
      <c r="A2" s="234"/>
      <c r="B2" s="234"/>
      <c r="C2" s="234"/>
      <c r="D2" s="234"/>
      <c r="E2" s="234"/>
      <c r="F2" s="234"/>
      <c r="G2" s="234"/>
      <c r="H2" s="234"/>
      <c r="I2" s="234"/>
      <c r="J2" s="234"/>
      <c r="K2" s="234"/>
      <c r="L2" s="234"/>
      <c r="M2" s="234"/>
      <c r="N2" s="234"/>
    </row>
    <row r="3" spans="1:14" ht="15.5" x14ac:dyDescent="0.35">
      <c r="A3" s="450" t="s">
        <v>840</v>
      </c>
      <c r="B3" s="352"/>
      <c r="C3" s="352"/>
      <c r="D3" s="352"/>
      <c r="E3" s="352"/>
      <c r="F3" s="352"/>
      <c r="G3" s="352"/>
      <c r="H3" s="352"/>
      <c r="I3" s="234"/>
      <c r="J3" s="234"/>
      <c r="K3" s="234"/>
      <c r="L3" s="234"/>
      <c r="M3" s="234"/>
      <c r="N3" s="234"/>
    </row>
    <row r="4" spans="1:14" x14ac:dyDescent="0.35">
      <c r="A4" s="234"/>
      <c r="B4" s="234"/>
      <c r="C4" s="234"/>
      <c r="D4" s="234"/>
      <c r="E4" s="234"/>
      <c r="F4" s="234"/>
      <c r="G4" s="234"/>
      <c r="H4" s="234"/>
      <c r="I4" s="234"/>
      <c r="J4" s="234"/>
      <c r="K4" s="234"/>
      <c r="L4" s="234"/>
      <c r="M4" s="234"/>
      <c r="N4" s="234"/>
    </row>
    <row r="5" spans="1:14" x14ac:dyDescent="0.35">
      <c r="A5" s="234"/>
      <c r="B5" s="234"/>
      <c r="C5" s="234"/>
      <c r="D5" s="234"/>
      <c r="E5" s="234"/>
      <c r="F5" s="234"/>
      <c r="G5" s="234"/>
      <c r="H5" s="234"/>
      <c r="I5" s="234"/>
      <c r="J5" s="234"/>
      <c r="K5" s="234"/>
      <c r="L5" s="234"/>
      <c r="M5" s="234"/>
      <c r="N5" s="234"/>
    </row>
    <row r="6" spans="1:14" ht="15" thickBot="1" x14ac:dyDescent="0.4">
      <c r="A6" s="234"/>
      <c r="B6" s="432" t="s">
        <v>27</v>
      </c>
      <c r="C6" s="234"/>
      <c r="D6" s="234"/>
      <c r="E6" s="234"/>
      <c r="F6" s="432" t="s">
        <v>841</v>
      </c>
      <c r="G6" s="234"/>
      <c r="H6" s="234"/>
      <c r="I6" s="234"/>
      <c r="J6" s="432" t="s">
        <v>842</v>
      </c>
      <c r="K6" s="234"/>
      <c r="L6" s="234"/>
      <c r="M6" s="234"/>
      <c r="N6" s="234"/>
    </row>
    <row r="7" spans="1:14" ht="27" thickBot="1" x14ac:dyDescent="0.4">
      <c r="A7" s="447" t="s">
        <v>843</v>
      </c>
      <c r="B7" s="451" t="s">
        <v>844</v>
      </c>
      <c r="C7" s="452" t="s">
        <v>48</v>
      </c>
      <c r="D7" s="453" t="s">
        <v>174</v>
      </c>
      <c r="E7" s="234"/>
      <c r="F7" s="454" t="s">
        <v>42</v>
      </c>
      <c r="G7" s="455" t="s">
        <v>156</v>
      </c>
      <c r="H7" s="456" t="s">
        <v>845</v>
      </c>
      <c r="I7" s="433"/>
      <c r="J7" s="457" t="s">
        <v>48</v>
      </c>
      <c r="K7" s="458" t="s">
        <v>846</v>
      </c>
      <c r="L7" s="458" t="s">
        <v>175</v>
      </c>
      <c r="M7" s="459" t="s">
        <v>847</v>
      </c>
      <c r="N7" s="234"/>
    </row>
    <row r="8" spans="1:14" x14ac:dyDescent="0.35">
      <c r="A8" s="235">
        <v>0</v>
      </c>
      <c r="B8" s="451" t="s">
        <v>848</v>
      </c>
      <c r="C8" s="460">
        <v>0</v>
      </c>
      <c r="D8" s="461">
        <v>10</v>
      </c>
      <c r="E8" s="234"/>
      <c r="F8" s="462">
        <f t="shared" ref="F8:F13" si="0">D8/$D$14</f>
        <v>0.05</v>
      </c>
      <c r="G8" s="463">
        <f>F8</f>
        <v>0.05</v>
      </c>
      <c r="H8" s="464">
        <f t="shared" ref="H8:H13" si="1">C8*D8</f>
        <v>0</v>
      </c>
      <c r="I8" s="234"/>
      <c r="J8" s="465">
        <f t="shared" ref="J8:J13" si="2">C8</f>
        <v>0</v>
      </c>
      <c r="K8" s="466">
        <f t="array" aca="1" ref="K8:K13" ca="1">FREQUENCY($C$18:$C$217,$J$8:$J$14)</f>
        <v>17</v>
      </c>
      <c r="L8" s="466">
        <f t="shared" ref="L8:L13" ca="1" si="3">K8/$K$14</f>
        <v>8.5000000000000006E-2</v>
      </c>
      <c r="M8" s="468">
        <f t="shared" ref="M8:M13" ca="1" si="4">K8*J8</f>
        <v>0</v>
      </c>
      <c r="N8" s="234"/>
    </row>
    <row r="9" spans="1:14" x14ac:dyDescent="0.35">
      <c r="A9" s="235">
        <f>100*G8</f>
        <v>5</v>
      </c>
      <c r="B9" s="469" t="s">
        <v>849</v>
      </c>
      <c r="C9" s="236">
        <v>1</v>
      </c>
      <c r="D9" s="237">
        <v>20</v>
      </c>
      <c r="E9" s="234"/>
      <c r="F9" s="462">
        <f t="shared" si="0"/>
        <v>0.1</v>
      </c>
      <c r="G9" s="463">
        <f>F9+G8</f>
        <v>0.15000000000000002</v>
      </c>
      <c r="H9" s="464">
        <f t="shared" si="1"/>
        <v>20</v>
      </c>
      <c r="I9" s="234"/>
      <c r="J9" s="465">
        <f t="shared" si="2"/>
        <v>1</v>
      </c>
      <c r="K9" s="466">
        <f ca="1"/>
        <v>15</v>
      </c>
      <c r="L9" s="466">
        <f t="shared" ca="1" si="3"/>
        <v>7.4999999999999997E-2</v>
      </c>
      <c r="M9" s="468">
        <f t="shared" ca="1" si="4"/>
        <v>15</v>
      </c>
      <c r="N9" s="234"/>
    </row>
    <row r="10" spans="1:14" x14ac:dyDescent="0.35">
      <c r="A10" s="235">
        <f>100*G9</f>
        <v>15.000000000000002</v>
      </c>
      <c r="B10" s="469" t="s">
        <v>852</v>
      </c>
      <c r="C10" s="236">
        <v>2</v>
      </c>
      <c r="D10" s="237">
        <v>40</v>
      </c>
      <c r="E10" s="234"/>
      <c r="F10" s="462">
        <f t="shared" si="0"/>
        <v>0.2</v>
      </c>
      <c r="G10" s="463">
        <f>F10+G9</f>
        <v>0.35000000000000003</v>
      </c>
      <c r="H10" s="464">
        <f t="shared" si="1"/>
        <v>80</v>
      </c>
      <c r="I10" s="234"/>
      <c r="J10" s="465">
        <f t="shared" si="2"/>
        <v>2</v>
      </c>
      <c r="K10" s="466">
        <f ca="1"/>
        <v>45</v>
      </c>
      <c r="L10" s="466">
        <f t="shared" ca="1" si="3"/>
        <v>0.22500000000000001</v>
      </c>
      <c r="M10" s="468">
        <f t="shared" ca="1" si="4"/>
        <v>90</v>
      </c>
      <c r="N10" s="234"/>
    </row>
    <row r="11" spans="1:14" x14ac:dyDescent="0.35">
      <c r="A11" s="235">
        <f>100*G10</f>
        <v>35</v>
      </c>
      <c r="B11" s="469" t="s">
        <v>853</v>
      </c>
      <c r="C11" s="236">
        <v>3</v>
      </c>
      <c r="D11" s="237">
        <v>60</v>
      </c>
      <c r="E11" s="234"/>
      <c r="F11" s="462">
        <f t="shared" si="0"/>
        <v>0.3</v>
      </c>
      <c r="G11" s="463">
        <f>F11+G10</f>
        <v>0.65</v>
      </c>
      <c r="H11" s="464">
        <f t="shared" si="1"/>
        <v>180</v>
      </c>
      <c r="I11" s="234"/>
      <c r="J11" s="465">
        <f t="shared" si="2"/>
        <v>3</v>
      </c>
      <c r="K11" s="466">
        <f ca="1"/>
        <v>67</v>
      </c>
      <c r="L11" s="466">
        <f t="shared" ca="1" si="3"/>
        <v>0.33500000000000002</v>
      </c>
      <c r="M11" s="468">
        <f t="shared" ca="1" si="4"/>
        <v>201</v>
      </c>
      <c r="N11" s="234"/>
    </row>
    <row r="12" spans="1:14" x14ac:dyDescent="0.35">
      <c r="A12" s="235">
        <f>100*G11</f>
        <v>65</v>
      </c>
      <c r="B12" s="469" t="s">
        <v>854</v>
      </c>
      <c r="C12" s="236">
        <v>4</v>
      </c>
      <c r="D12" s="237">
        <v>40</v>
      </c>
      <c r="E12" s="234"/>
      <c r="F12" s="462">
        <f t="shared" si="0"/>
        <v>0.2</v>
      </c>
      <c r="G12" s="463">
        <f>F12+G11</f>
        <v>0.85000000000000009</v>
      </c>
      <c r="H12" s="464">
        <f t="shared" si="1"/>
        <v>160</v>
      </c>
      <c r="I12" s="234"/>
      <c r="J12" s="465">
        <f t="shared" si="2"/>
        <v>4</v>
      </c>
      <c r="K12" s="466">
        <f ca="1"/>
        <v>35</v>
      </c>
      <c r="L12" s="466">
        <f t="shared" ca="1" si="3"/>
        <v>0.17499999999999999</v>
      </c>
      <c r="M12" s="468">
        <f t="shared" ca="1" si="4"/>
        <v>140</v>
      </c>
      <c r="N12" s="234"/>
    </row>
    <row r="13" spans="1:14" ht="15" thickBot="1" x14ac:dyDescent="0.4">
      <c r="A13" s="235">
        <f>100*G12</f>
        <v>85.000000000000014</v>
      </c>
      <c r="B13" s="470" t="s">
        <v>855</v>
      </c>
      <c r="C13" s="238">
        <v>5</v>
      </c>
      <c r="D13" s="239">
        <v>30</v>
      </c>
      <c r="E13" s="234"/>
      <c r="F13" s="471">
        <f t="shared" si="0"/>
        <v>0.15</v>
      </c>
      <c r="G13" s="472">
        <f>F13+G12</f>
        <v>1</v>
      </c>
      <c r="H13" s="473">
        <f t="shared" si="1"/>
        <v>150</v>
      </c>
      <c r="I13" s="234"/>
      <c r="J13" s="474">
        <f t="shared" si="2"/>
        <v>5</v>
      </c>
      <c r="K13" s="467">
        <f ca="1"/>
        <v>21</v>
      </c>
      <c r="L13" s="467">
        <f t="shared" ca="1" si="3"/>
        <v>0.105</v>
      </c>
      <c r="M13" s="475">
        <f t="shared" ca="1" si="4"/>
        <v>105</v>
      </c>
      <c r="N13" s="234"/>
    </row>
    <row r="14" spans="1:14" x14ac:dyDescent="0.35">
      <c r="A14" s="234"/>
      <c r="B14" s="234" t="s">
        <v>57</v>
      </c>
      <c r="C14" s="234"/>
      <c r="D14" s="234">
        <f>SUM(D8:D13)</f>
        <v>200</v>
      </c>
      <c r="E14" s="234"/>
      <c r="F14" s="234"/>
      <c r="G14" s="432" t="s">
        <v>47</v>
      </c>
      <c r="H14" s="432"/>
      <c r="I14" s="234"/>
      <c r="J14" s="448" t="s">
        <v>111</v>
      </c>
      <c r="K14" s="448">
        <f ca="1">SUM(K8:K13)</f>
        <v>200</v>
      </c>
      <c r="L14" s="448">
        <v>1</v>
      </c>
      <c r="M14" s="448">
        <f ca="1">SUM(M8:M13)</f>
        <v>551</v>
      </c>
      <c r="N14" s="234"/>
    </row>
    <row r="15" spans="1:14" x14ac:dyDescent="0.35">
      <c r="A15" s="234"/>
      <c r="B15" s="234"/>
      <c r="C15" s="234"/>
      <c r="D15" s="234"/>
      <c r="E15" s="234"/>
      <c r="F15" s="234"/>
      <c r="G15" s="234"/>
      <c r="H15" s="234"/>
      <c r="I15" s="234"/>
      <c r="J15" s="432"/>
      <c r="K15" s="432"/>
      <c r="L15" s="448" t="s">
        <v>58</v>
      </c>
      <c r="M15" s="448">
        <f ca="1">M14/K14</f>
        <v>2.7549999999999999</v>
      </c>
      <c r="N15" s="234"/>
    </row>
    <row r="16" spans="1:14" ht="15" thickBot="1" x14ac:dyDescent="0.4">
      <c r="A16" s="432" t="s">
        <v>850</v>
      </c>
      <c r="B16" s="234"/>
      <c r="C16" s="234"/>
      <c r="D16" s="234"/>
      <c r="E16" s="234"/>
      <c r="F16" s="234"/>
      <c r="G16" s="234"/>
      <c r="H16" s="234"/>
      <c r="I16" s="234"/>
      <c r="J16" s="234"/>
      <c r="K16" s="234"/>
      <c r="L16" s="234"/>
      <c r="M16" s="234"/>
      <c r="N16" s="234"/>
    </row>
    <row r="17" spans="1:14" x14ac:dyDescent="0.35">
      <c r="A17" s="457" t="s">
        <v>851</v>
      </c>
      <c r="B17" s="476" t="s">
        <v>181</v>
      </c>
      <c r="C17" s="477" t="s">
        <v>48</v>
      </c>
      <c r="D17" s="234"/>
      <c r="E17" s="234"/>
      <c r="F17" s="234"/>
      <c r="G17" s="234"/>
      <c r="H17" s="234"/>
      <c r="I17" s="234"/>
      <c r="J17" s="234"/>
      <c r="K17" s="234"/>
      <c r="L17" s="234"/>
      <c r="M17" s="234"/>
      <c r="N17" s="234"/>
    </row>
    <row r="18" spans="1:14" x14ac:dyDescent="0.35">
      <c r="A18" s="465">
        <v>1</v>
      </c>
      <c r="B18" s="466">
        <f ca="1">100*RAND()</f>
        <v>75.432225125788847</v>
      </c>
      <c r="C18" s="468">
        <f ca="1">VLOOKUP(B18,$A$8:$C$13,3)</f>
        <v>4</v>
      </c>
      <c r="D18" s="234"/>
      <c r="E18" s="234"/>
      <c r="F18" s="234"/>
      <c r="G18" s="234"/>
      <c r="H18" s="234"/>
      <c r="I18" s="234"/>
      <c r="J18" s="234"/>
      <c r="K18" s="449"/>
      <c r="L18" s="234"/>
      <c r="M18" s="234"/>
      <c r="N18" s="234"/>
    </row>
    <row r="19" spans="1:14" x14ac:dyDescent="0.35">
      <c r="A19" s="465">
        <v>2</v>
      </c>
      <c r="B19" s="466">
        <f t="shared" ref="B19:B82" ca="1" si="5">100*RAND()</f>
        <v>99.902448058407487</v>
      </c>
      <c r="C19" s="468">
        <f t="shared" ref="C19:C82" ca="1" si="6">VLOOKUP(B19,$A$8:$C$13,3)</f>
        <v>5</v>
      </c>
      <c r="D19" s="234"/>
      <c r="E19" s="234"/>
      <c r="F19" s="234"/>
      <c r="G19" s="234"/>
      <c r="H19" s="234"/>
      <c r="I19" s="234"/>
      <c r="J19" s="234"/>
      <c r="K19" s="449"/>
      <c r="L19" s="234"/>
      <c r="M19" s="234"/>
      <c r="N19" s="234"/>
    </row>
    <row r="20" spans="1:14" x14ac:dyDescent="0.35">
      <c r="A20" s="465">
        <v>3</v>
      </c>
      <c r="B20" s="466">
        <f t="shared" ca="1" si="5"/>
        <v>94.758632465869056</v>
      </c>
      <c r="C20" s="468">
        <f t="shared" ca="1" si="6"/>
        <v>5</v>
      </c>
      <c r="D20" s="234"/>
      <c r="E20" s="234"/>
      <c r="F20" s="234"/>
      <c r="G20" s="234"/>
      <c r="H20" s="234"/>
      <c r="I20" s="234"/>
      <c r="J20" s="234"/>
      <c r="K20" s="449"/>
      <c r="L20" s="234"/>
      <c r="M20" s="234"/>
      <c r="N20" s="234"/>
    </row>
    <row r="21" spans="1:14" x14ac:dyDescent="0.35">
      <c r="A21" s="465">
        <v>4</v>
      </c>
      <c r="B21" s="466">
        <f t="shared" ca="1" si="5"/>
        <v>60.003167165381178</v>
      </c>
      <c r="C21" s="468">
        <f t="shared" ca="1" si="6"/>
        <v>3</v>
      </c>
      <c r="D21" s="234"/>
      <c r="E21" s="234"/>
      <c r="F21" s="234"/>
      <c r="G21" s="234"/>
      <c r="H21" s="234"/>
      <c r="I21" s="234"/>
      <c r="J21" s="234"/>
      <c r="K21" s="449"/>
      <c r="L21" s="234"/>
      <c r="M21" s="234"/>
      <c r="N21" s="234"/>
    </row>
    <row r="22" spans="1:14" x14ac:dyDescent="0.35">
      <c r="A22" s="465">
        <v>5</v>
      </c>
      <c r="B22" s="466">
        <f t="shared" ca="1" si="5"/>
        <v>41.684075894094732</v>
      </c>
      <c r="C22" s="468">
        <f t="shared" ca="1" si="6"/>
        <v>3</v>
      </c>
      <c r="D22" s="234"/>
      <c r="E22" s="234"/>
      <c r="F22" s="234"/>
      <c r="G22" s="234"/>
      <c r="H22" s="234"/>
      <c r="I22" s="234"/>
      <c r="J22" s="234"/>
      <c r="K22" s="449"/>
      <c r="L22" s="234"/>
      <c r="M22" s="234"/>
      <c r="N22" s="234"/>
    </row>
    <row r="23" spans="1:14" x14ac:dyDescent="0.35">
      <c r="A23" s="465">
        <v>6</v>
      </c>
      <c r="B23" s="466">
        <f t="shared" ca="1" si="5"/>
        <v>9.9311365941930347</v>
      </c>
      <c r="C23" s="468">
        <f t="shared" ca="1" si="6"/>
        <v>1</v>
      </c>
      <c r="D23" s="234"/>
      <c r="E23" s="234"/>
      <c r="F23" s="234"/>
      <c r="G23" s="234"/>
      <c r="H23" s="234"/>
      <c r="I23" s="234"/>
      <c r="J23" s="234"/>
      <c r="K23" s="449"/>
      <c r="L23" s="234"/>
      <c r="M23" s="234"/>
      <c r="N23" s="234"/>
    </row>
    <row r="24" spans="1:14" x14ac:dyDescent="0.35">
      <c r="A24" s="465">
        <v>7</v>
      </c>
      <c r="B24" s="466">
        <f t="shared" ca="1" si="5"/>
        <v>95.178676680672964</v>
      </c>
      <c r="C24" s="468">
        <f t="shared" ca="1" si="6"/>
        <v>5</v>
      </c>
      <c r="D24" s="234"/>
      <c r="E24" s="234"/>
      <c r="F24" s="234"/>
      <c r="G24" s="234"/>
      <c r="H24" s="234"/>
      <c r="I24" s="234"/>
      <c r="J24" s="234"/>
      <c r="K24" s="449"/>
      <c r="L24" s="234"/>
      <c r="M24" s="234"/>
      <c r="N24" s="234"/>
    </row>
    <row r="25" spans="1:14" x14ac:dyDescent="0.35">
      <c r="A25" s="465">
        <v>8</v>
      </c>
      <c r="B25" s="466">
        <f t="shared" ca="1" si="5"/>
        <v>51.715582644918612</v>
      </c>
      <c r="C25" s="468">
        <f t="shared" ca="1" si="6"/>
        <v>3</v>
      </c>
      <c r="D25" s="234"/>
      <c r="E25" s="234"/>
      <c r="F25" s="234"/>
      <c r="G25" s="234"/>
      <c r="H25" s="234"/>
      <c r="I25" s="234"/>
      <c r="J25" s="234"/>
      <c r="K25" s="449"/>
      <c r="L25" s="234"/>
      <c r="M25" s="234"/>
      <c r="N25" s="234"/>
    </row>
    <row r="26" spans="1:14" x14ac:dyDescent="0.35">
      <c r="A26" s="465">
        <v>9</v>
      </c>
      <c r="B26" s="466">
        <f t="shared" ca="1" si="5"/>
        <v>89.956728111212769</v>
      </c>
      <c r="C26" s="468">
        <f t="shared" ca="1" si="6"/>
        <v>5</v>
      </c>
      <c r="D26" s="234"/>
      <c r="E26" s="234"/>
      <c r="F26" s="234"/>
      <c r="G26" s="234"/>
      <c r="H26" s="234"/>
      <c r="I26" s="234"/>
      <c r="J26" s="234"/>
      <c r="K26" s="449"/>
      <c r="L26" s="234"/>
      <c r="M26" s="234"/>
      <c r="N26" s="234"/>
    </row>
    <row r="27" spans="1:14" x14ac:dyDescent="0.35">
      <c r="A27" s="465">
        <v>10</v>
      </c>
      <c r="B27" s="466">
        <f t="shared" ca="1" si="5"/>
        <v>46.987878060842533</v>
      </c>
      <c r="C27" s="468">
        <f t="shared" ca="1" si="6"/>
        <v>3</v>
      </c>
      <c r="D27" s="234"/>
      <c r="E27" s="234"/>
      <c r="F27" s="234"/>
      <c r="G27" s="234"/>
      <c r="H27" s="234"/>
      <c r="I27" s="234"/>
      <c r="J27" s="234"/>
      <c r="K27" s="449"/>
      <c r="L27" s="234"/>
      <c r="M27" s="234"/>
      <c r="N27" s="234"/>
    </row>
    <row r="28" spans="1:14" x14ac:dyDescent="0.35">
      <c r="A28" s="465">
        <v>11</v>
      </c>
      <c r="B28" s="466">
        <f t="shared" ca="1" si="5"/>
        <v>4.382449093486251</v>
      </c>
      <c r="C28" s="468">
        <f t="shared" ca="1" si="6"/>
        <v>0</v>
      </c>
      <c r="D28" s="234"/>
      <c r="E28" s="234"/>
      <c r="F28" s="234"/>
      <c r="G28" s="234"/>
      <c r="H28" s="234"/>
      <c r="I28" s="234"/>
      <c r="J28" s="234"/>
      <c r="K28" s="449"/>
      <c r="L28" s="234"/>
      <c r="M28" s="234"/>
      <c r="N28" s="234"/>
    </row>
    <row r="29" spans="1:14" x14ac:dyDescent="0.35">
      <c r="A29" s="465">
        <v>12</v>
      </c>
      <c r="B29" s="466">
        <f t="shared" ca="1" si="5"/>
        <v>64.201040198913404</v>
      </c>
      <c r="C29" s="468">
        <f t="shared" ca="1" si="6"/>
        <v>3</v>
      </c>
      <c r="D29" s="234"/>
      <c r="E29" s="234"/>
      <c r="F29" s="234"/>
      <c r="G29" s="234"/>
      <c r="H29" s="234"/>
      <c r="I29" s="234"/>
      <c r="J29" s="234"/>
      <c r="K29" s="449"/>
      <c r="L29" s="234"/>
      <c r="M29" s="234"/>
      <c r="N29" s="234"/>
    </row>
    <row r="30" spans="1:14" x14ac:dyDescent="0.35">
      <c r="A30" s="465">
        <v>13</v>
      </c>
      <c r="B30" s="466">
        <f t="shared" ca="1" si="5"/>
        <v>7.6209901499500905</v>
      </c>
      <c r="C30" s="468">
        <f t="shared" ca="1" si="6"/>
        <v>1</v>
      </c>
      <c r="D30" s="234"/>
      <c r="E30" s="234"/>
      <c r="F30" s="234"/>
      <c r="G30" s="234"/>
      <c r="H30" s="234"/>
      <c r="I30" s="234"/>
      <c r="J30" s="234"/>
      <c r="K30" s="449"/>
      <c r="L30" s="234"/>
      <c r="M30" s="234"/>
      <c r="N30" s="234"/>
    </row>
    <row r="31" spans="1:14" x14ac:dyDescent="0.35">
      <c r="A31" s="465">
        <v>14</v>
      </c>
      <c r="B31" s="466">
        <f t="shared" ca="1" si="5"/>
        <v>22.948288726032661</v>
      </c>
      <c r="C31" s="468">
        <f t="shared" ca="1" si="6"/>
        <v>2</v>
      </c>
      <c r="D31" s="234"/>
      <c r="E31" s="234"/>
      <c r="F31" s="234"/>
      <c r="G31" s="234"/>
      <c r="H31" s="234"/>
      <c r="I31" s="234"/>
      <c r="J31" s="234"/>
      <c r="K31" s="449"/>
      <c r="L31" s="234"/>
      <c r="M31" s="234"/>
      <c r="N31" s="234"/>
    </row>
    <row r="32" spans="1:14" x14ac:dyDescent="0.35">
      <c r="A32" s="465">
        <v>15</v>
      </c>
      <c r="B32" s="466">
        <f t="shared" ca="1" si="5"/>
        <v>80.736891862588962</v>
      </c>
      <c r="C32" s="468">
        <f t="shared" ca="1" si="6"/>
        <v>4</v>
      </c>
      <c r="D32" s="234"/>
      <c r="E32" s="234"/>
      <c r="F32" s="234"/>
      <c r="G32" s="234"/>
      <c r="H32" s="234"/>
      <c r="I32" s="234"/>
      <c r="J32" s="234"/>
      <c r="K32" s="449"/>
      <c r="L32" s="234"/>
      <c r="M32" s="234"/>
      <c r="N32" s="234"/>
    </row>
    <row r="33" spans="1:14" x14ac:dyDescent="0.35">
      <c r="A33" s="465">
        <v>16</v>
      </c>
      <c r="B33" s="466">
        <f t="shared" ca="1" si="5"/>
        <v>50.353058591718849</v>
      </c>
      <c r="C33" s="468">
        <f t="shared" ca="1" si="6"/>
        <v>3</v>
      </c>
      <c r="D33" s="234"/>
      <c r="E33" s="234"/>
      <c r="F33" s="234"/>
      <c r="G33" s="234"/>
      <c r="H33" s="234"/>
      <c r="I33" s="234"/>
      <c r="J33" s="234"/>
      <c r="K33" s="449"/>
      <c r="L33" s="234"/>
      <c r="M33" s="234"/>
      <c r="N33" s="234"/>
    </row>
    <row r="34" spans="1:14" x14ac:dyDescent="0.35">
      <c r="A34" s="465">
        <v>17</v>
      </c>
      <c r="B34" s="466">
        <f t="shared" ca="1" si="5"/>
        <v>40.45060956263606</v>
      </c>
      <c r="C34" s="468">
        <f t="shared" ca="1" si="6"/>
        <v>3</v>
      </c>
      <c r="D34" s="234"/>
      <c r="E34" s="234"/>
      <c r="F34" s="234"/>
      <c r="G34" s="234"/>
      <c r="H34" s="234"/>
      <c r="I34" s="234"/>
      <c r="J34" s="234"/>
      <c r="K34" s="449"/>
      <c r="L34" s="234"/>
      <c r="M34" s="234"/>
      <c r="N34" s="234"/>
    </row>
    <row r="35" spans="1:14" x14ac:dyDescent="0.35">
      <c r="A35" s="465">
        <v>18</v>
      </c>
      <c r="B35" s="466">
        <f t="shared" ca="1" si="5"/>
        <v>15.933083643030876</v>
      </c>
      <c r="C35" s="468">
        <f t="shared" ca="1" si="6"/>
        <v>2</v>
      </c>
      <c r="D35" s="234"/>
      <c r="E35" s="234"/>
      <c r="F35" s="234"/>
      <c r="G35" s="234"/>
      <c r="H35" s="234"/>
      <c r="I35" s="234"/>
      <c r="J35" s="234"/>
      <c r="K35" s="449"/>
      <c r="L35" s="234"/>
      <c r="M35" s="234"/>
      <c r="N35" s="234"/>
    </row>
    <row r="36" spans="1:14" x14ac:dyDescent="0.35">
      <c r="A36" s="465">
        <v>19</v>
      </c>
      <c r="B36" s="466">
        <f t="shared" ca="1" si="5"/>
        <v>44.774926889823753</v>
      </c>
      <c r="C36" s="468">
        <f t="shared" ca="1" si="6"/>
        <v>3</v>
      </c>
      <c r="D36" s="234"/>
      <c r="E36" s="234"/>
      <c r="F36" s="234"/>
      <c r="G36" s="234"/>
      <c r="H36" s="234"/>
      <c r="I36" s="234"/>
      <c r="J36" s="234"/>
      <c r="K36" s="449"/>
      <c r="L36" s="234"/>
      <c r="M36" s="234"/>
      <c r="N36" s="234"/>
    </row>
    <row r="37" spans="1:14" x14ac:dyDescent="0.35">
      <c r="A37" s="465">
        <v>20</v>
      </c>
      <c r="B37" s="466">
        <f t="shared" ca="1" si="5"/>
        <v>58.029692276732604</v>
      </c>
      <c r="C37" s="468">
        <f t="shared" ca="1" si="6"/>
        <v>3</v>
      </c>
      <c r="D37" s="234"/>
      <c r="E37" s="234"/>
      <c r="F37" s="234"/>
      <c r="G37" s="234"/>
      <c r="H37" s="234"/>
      <c r="I37" s="234"/>
      <c r="J37" s="234"/>
      <c r="K37" s="449"/>
      <c r="L37" s="234"/>
      <c r="M37" s="234"/>
      <c r="N37" s="234"/>
    </row>
    <row r="38" spans="1:14" x14ac:dyDescent="0.35">
      <c r="A38" s="465">
        <v>21</v>
      </c>
      <c r="B38" s="466">
        <f t="shared" ca="1" si="5"/>
        <v>1.3873904577024643</v>
      </c>
      <c r="C38" s="468">
        <f t="shared" ca="1" si="6"/>
        <v>0</v>
      </c>
      <c r="D38" s="234"/>
      <c r="E38" s="234"/>
      <c r="F38" s="234"/>
      <c r="G38" s="234"/>
      <c r="H38" s="234"/>
      <c r="I38" s="234"/>
      <c r="J38" s="234"/>
      <c r="K38" s="449"/>
      <c r="L38" s="234"/>
      <c r="M38" s="234"/>
      <c r="N38" s="234"/>
    </row>
    <row r="39" spans="1:14" x14ac:dyDescent="0.35">
      <c r="A39" s="465">
        <v>22</v>
      </c>
      <c r="B39" s="466">
        <f t="shared" ca="1" si="5"/>
        <v>3.2107394390345378</v>
      </c>
      <c r="C39" s="468">
        <f t="shared" ca="1" si="6"/>
        <v>0</v>
      </c>
      <c r="D39" s="234"/>
      <c r="E39" s="234"/>
      <c r="F39" s="234"/>
      <c r="G39" s="234"/>
      <c r="H39" s="234"/>
      <c r="I39" s="234"/>
      <c r="J39" s="234"/>
      <c r="K39" s="449"/>
      <c r="L39" s="234"/>
      <c r="M39" s="234"/>
      <c r="N39" s="234"/>
    </row>
    <row r="40" spans="1:14" x14ac:dyDescent="0.35">
      <c r="A40" s="465">
        <v>23</v>
      </c>
      <c r="B40" s="466">
        <f t="shared" ca="1" si="5"/>
        <v>7.5943565532704538</v>
      </c>
      <c r="C40" s="468">
        <f t="shared" ca="1" si="6"/>
        <v>1</v>
      </c>
      <c r="D40" s="234"/>
      <c r="E40" s="234"/>
      <c r="F40" s="234"/>
      <c r="G40" s="234"/>
      <c r="H40" s="234"/>
      <c r="I40" s="234"/>
      <c r="J40" s="234"/>
      <c r="K40" s="449"/>
      <c r="L40" s="234"/>
      <c r="M40" s="234"/>
      <c r="N40" s="234"/>
    </row>
    <row r="41" spans="1:14" x14ac:dyDescent="0.35">
      <c r="A41" s="465">
        <v>24</v>
      </c>
      <c r="B41" s="466">
        <f t="shared" ca="1" si="5"/>
        <v>15.718748279427874</v>
      </c>
      <c r="C41" s="468">
        <f t="shared" ca="1" si="6"/>
        <v>2</v>
      </c>
      <c r="D41" s="234"/>
      <c r="E41" s="234"/>
      <c r="F41" s="234"/>
      <c r="G41" s="234"/>
      <c r="H41" s="234"/>
      <c r="I41" s="234"/>
      <c r="J41" s="234"/>
      <c r="K41" s="449"/>
      <c r="L41" s="234"/>
      <c r="M41" s="234"/>
      <c r="N41" s="234"/>
    </row>
    <row r="42" spans="1:14" x14ac:dyDescent="0.35">
      <c r="A42" s="465">
        <v>25</v>
      </c>
      <c r="B42" s="466">
        <f t="shared" ca="1" si="5"/>
        <v>40.229856949486077</v>
      </c>
      <c r="C42" s="468">
        <f t="shared" ca="1" si="6"/>
        <v>3</v>
      </c>
      <c r="D42" s="234"/>
      <c r="E42" s="234"/>
      <c r="F42" s="234"/>
      <c r="G42" s="234"/>
      <c r="H42" s="234"/>
      <c r="I42" s="234"/>
      <c r="J42" s="234"/>
      <c r="K42" s="449"/>
      <c r="L42" s="234"/>
      <c r="M42" s="234"/>
      <c r="N42" s="234"/>
    </row>
    <row r="43" spans="1:14" x14ac:dyDescent="0.35">
      <c r="A43" s="465">
        <v>26</v>
      </c>
      <c r="B43" s="466">
        <f t="shared" ca="1" si="5"/>
        <v>75.436308734120871</v>
      </c>
      <c r="C43" s="468">
        <f t="shared" ca="1" si="6"/>
        <v>4</v>
      </c>
      <c r="D43" s="234"/>
      <c r="E43" s="234"/>
      <c r="F43" s="234"/>
      <c r="G43" s="234"/>
      <c r="H43" s="234"/>
      <c r="I43" s="234"/>
      <c r="J43" s="234"/>
      <c r="K43" s="449"/>
      <c r="L43" s="234"/>
      <c r="M43" s="234"/>
      <c r="N43" s="234"/>
    </row>
    <row r="44" spans="1:14" x14ac:dyDescent="0.35">
      <c r="A44" s="465">
        <v>27</v>
      </c>
      <c r="B44" s="466">
        <f t="shared" ca="1" si="5"/>
        <v>21.779274385040324</v>
      </c>
      <c r="C44" s="468">
        <f t="shared" ca="1" si="6"/>
        <v>2</v>
      </c>
      <c r="D44" s="234"/>
      <c r="E44" s="234"/>
      <c r="F44" s="234"/>
      <c r="G44" s="234"/>
      <c r="H44" s="234"/>
      <c r="I44" s="234"/>
      <c r="J44" s="234"/>
      <c r="K44" s="449"/>
      <c r="L44" s="234"/>
      <c r="M44" s="234"/>
      <c r="N44" s="234"/>
    </row>
    <row r="45" spans="1:14" x14ac:dyDescent="0.35">
      <c r="A45" s="465">
        <v>28</v>
      </c>
      <c r="B45" s="466">
        <f t="shared" ca="1" si="5"/>
        <v>42.921745714781423</v>
      </c>
      <c r="C45" s="468">
        <f t="shared" ca="1" si="6"/>
        <v>3</v>
      </c>
      <c r="D45" s="234"/>
      <c r="E45" s="234"/>
      <c r="F45" s="234"/>
      <c r="G45" s="234"/>
      <c r="H45" s="234"/>
      <c r="I45" s="234"/>
      <c r="J45" s="234"/>
      <c r="K45" s="449"/>
      <c r="L45" s="234"/>
      <c r="M45" s="234"/>
      <c r="N45" s="234"/>
    </row>
    <row r="46" spans="1:14" x14ac:dyDescent="0.35">
      <c r="A46" s="465">
        <v>29</v>
      </c>
      <c r="B46" s="466">
        <f t="shared" ca="1" si="5"/>
        <v>70.896107334706755</v>
      </c>
      <c r="C46" s="468">
        <f t="shared" ca="1" si="6"/>
        <v>4</v>
      </c>
      <c r="D46" s="234"/>
      <c r="E46" s="234"/>
      <c r="F46" s="234"/>
      <c r="G46" s="234"/>
      <c r="H46" s="234"/>
      <c r="I46" s="234"/>
      <c r="J46" s="234"/>
      <c r="K46" s="449"/>
      <c r="L46" s="234"/>
      <c r="M46" s="234"/>
      <c r="N46" s="234"/>
    </row>
    <row r="47" spans="1:14" x14ac:dyDescent="0.35">
      <c r="A47" s="465">
        <v>30</v>
      </c>
      <c r="B47" s="466">
        <f t="shared" ca="1" si="5"/>
        <v>25.074445641278686</v>
      </c>
      <c r="C47" s="468">
        <f t="shared" ca="1" si="6"/>
        <v>2</v>
      </c>
      <c r="D47" s="234"/>
      <c r="E47" s="234"/>
      <c r="F47" s="234"/>
      <c r="G47" s="234"/>
      <c r="H47" s="234"/>
      <c r="I47" s="234"/>
      <c r="J47" s="234"/>
      <c r="K47" s="449"/>
      <c r="L47" s="234"/>
      <c r="M47" s="234"/>
      <c r="N47" s="234"/>
    </row>
    <row r="48" spans="1:14" x14ac:dyDescent="0.35">
      <c r="A48" s="465">
        <v>31</v>
      </c>
      <c r="B48" s="466">
        <f t="shared" ca="1" si="5"/>
        <v>30.139848302687945</v>
      </c>
      <c r="C48" s="468">
        <f t="shared" ca="1" si="6"/>
        <v>2</v>
      </c>
      <c r="D48" s="234"/>
      <c r="E48" s="234"/>
      <c r="F48" s="234"/>
      <c r="G48" s="234"/>
      <c r="H48" s="234"/>
      <c r="I48" s="234"/>
      <c r="J48" s="234"/>
      <c r="K48" s="449"/>
      <c r="L48" s="234"/>
      <c r="M48" s="234"/>
      <c r="N48" s="234"/>
    </row>
    <row r="49" spans="1:14" x14ac:dyDescent="0.35">
      <c r="A49" s="465">
        <v>32</v>
      </c>
      <c r="B49" s="466">
        <f t="shared" ca="1" si="5"/>
        <v>17.573810758572918</v>
      </c>
      <c r="C49" s="468">
        <f t="shared" ca="1" si="6"/>
        <v>2</v>
      </c>
      <c r="D49" s="234"/>
      <c r="E49" s="234"/>
      <c r="F49" s="234"/>
      <c r="G49" s="234"/>
      <c r="H49" s="234"/>
      <c r="I49" s="234"/>
      <c r="J49" s="234"/>
      <c r="K49" s="449"/>
      <c r="L49" s="234"/>
      <c r="M49" s="234"/>
      <c r="N49" s="234"/>
    </row>
    <row r="50" spans="1:14" x14ac:dyDescent="0.35">
      <c r="A50" s="465">
        <v>33</v>
      </c>
      <c r="B50" s="466">
        <f t="shared" ca="1" si="5"/>
        <v>16.642014972709539</v>
      </c>
      <c r="C50" s="468">
        <f t="shared" ca="1" si="6"/>
        <v>2</v>
      </c>
      <c r="D50" s="234"/>
      <c r="E50" s="234"/>
      <c r="F50" s="234"/>
      <c r="G50" s="234"/>
      <c r="H50" s="234"/>
      <c r="I50" s="234"/>
      <c r="J50" s="234"/>
      <c r="K50" s="449"/>
      <c r="L50" s="234"/>
      <c r="M50" s="234"/>
      <c r="N50" s="234"/>
    </row>
    <row r="51" spans="1:14" x14ac:dyDescent="0.35">
      <c r="A51" s="465">
        <v>34</v>
      </c>
      <c r="B51" s="466">
        <f t="shared" ca="1" si="5"/>
        <v>69.999549236516529</v>
      </c>
      <c r="C51" s="468">
        <f t="shared" ca="1" si="6"/>
        <v>4</v>
      </c>
      <c r="D51" s="234"/>
      <c r="E51" s="234"/>
      <c r="F51" s="234"/>
      <c r="G51" s="234"/>
      <c r="H51" s="234"/>
      <c r="I51" s="234"/>
      <c r="J51" s="234"/>
      <c r="K51" s="449"/>
      <c r="L51" s="234"/>
      <c r="M51" s="234"/>
      <c r="N51" s="234"/>
    </row>
    <row r="52" spans="1:14" x14ac:dyDescent="0.35">
      <c r="A52" s="465">
        <v>35</v>
      </c>
      <c r="B52" s="466">
        <f t="shared" ca="1" si="5"/>
        <v>55.699132759616965</v>
      </c>
      <c r="C52" s="468">
        <f t="shared" ca="1" si="6"/>
        <v>3</v>
      </c>
      <c r="D52" s="234"/>
      <c r="E52" s="234"/>
      <c r="F52" s="234"/>
      <c r="G52" s="234"/>
      <c r="H52" s="234"/>
      <c r="I52" s="234"/>
      <c r="J52" s="234"/>
      <c r="K52" s="449"/>
      <c r="L52" s="234"/>
      <c r="M52" s="234"/>
      <c r="N52" s="234"/>
    </row>
    <row r="53" spans="1:14" x14ac:dyDescent="0.35">
      <c r="A53" s="465">
        <v>36</v>
      </c>
      <c r="B53" s="466">
        <f t="shared" ca="1" si="5"/>
        <v>34.042045418968428</v>
      </c>
      <c r="C53" s="468">
        <f t="shared" ca="1" si="6"/>
        <v>2</v>
      </c>
      <c r="D53" s="234"/>
      <c r="E53" s="234"/>
      <c r="F53" s="234"/>
      <c r="G53" s="234"/>
      <c r="H53" s="234"/>
      <c r="I53" s="234"/>
      <c r="J53" s="234"/>
      <c r="K53" s="449"/>
      <c r="L53" s="234"/>
      <c r="M53" s="234"/>
      <c r="N53" s="234"/>
    </row>
    <row r="54" spans="1:14" x14ac:dyDescent="0.35">
      <c r="A54" s="465">
        <v>37</v>
      </c>
      <c r="B54" s="466">
        <f t="shared" ca="1" si="5"/>
        <v>47.655797706694926</v>
      </c>
      <c r="C54" s="468">
        <f t="shared" ca="1" si="6"/>
        <v>3</v>
      </c>
      <c r="D54" s="234"/>
      <c r="E54" s="234"/>
      <c r="F54" s="234"/>
      <c r="G54" s="234"/>
      <c r="H54" s="234"/>
      <c r="I54" s="234"/>
      <c r="J54" s="234"/>
      <c r="K54" s="449"/>
      <c r="L54" s="234"/>
      <c r="M54" s="234"/>
      <c r="N54" s="234"/>
    </row>
    <row r="55" spans="1:14" x14ac:dyDescent="0.35">
      <c r="A55" s="465">
        <v>38</v>
      </c>
      <c r="B55" s="466">
        <f t="shared" ca="1" si="5"/>
        <v>9.5152304897008761</v>
      </c>
      <c r="C55" s="468">
        <f t="shared" ca="1" si="6"/>
        <v>1</v>
      </c>
      <c r="D55" s="234"/>
      <c r="E55" s="234"/>
      <c r="F55" s="234"/>
      <c r="G55" s="234"/>
      <c r="H55" s="234"/>
      <c r="I55" s="234"/>
      <c r="J55" s="234"/>
      <c r="K55" s="449"/>
      <c r="L55" s="234"/>
      <c r="M55" s="234"/>
      <c r="N55" s="234"/>
    </row>
    <row r="56" spans="1:14" x14ac:dyDescent="0.35">
      <c r="A56" s="465">
        <v>39</v>
      </c>
      <c r="B56" s="466">
        <f t="shared" ca="1" si="5"/>
        <v>93.495369037037349</v>
      </c>
      <c r="C56" s="468">
        <f t="shared" ca="1" si="6"/>
        <v>5</v>
      </c>
      <c r="D56" s="234"/>
      <c r="E56" s="234"/>
      <c r="F56" s="234"/>
      <c r="G56" s="234"/>
      <c r="H56" s="234"/>
      <c r="I56" s="234"/>
      <c r="J56" s="234"/>
      <c r="K56" s="449"/>
      <c r="L56" s="234"/>
      <c r="M56" s="234"/>
      <c r="N56" s="234"/>
    </row>
    <row r="57" spans="1:14" x14ac:dyDescent="0.35">
      <c r="A57" s="465">
        <v>40</v>
      </c>
      <c r="B57" s="466">
        <f t="shared" ca="1" si="5"/>
        <v>49.209792859681414</v>
      </c>
      <c r="C57" s="468">
        <f t="shared" ca="1" si="6"/>
        <v>3</v>
      </c>
      <c r="D57" s="234"/>
      <c r="E57" s="234"/>
      <c r="F57" s="234"/>
      <c r="G57" s="234"/>
      <c r="H57" s="234"/>
      <c r="I57" s="234"/>
      <c r="J57" s="234"/>
      <c r="K57" s="449"/>
      <c r="L57" s="234"/>
      <c r="M57" s="234"/>
      <c r="N57" s="234"/>
    </row>
    <row r="58" spans="1:14" x14ac:dyDescent="0.35">
      <c r="A58" s="465">
        <v>41</v>
      </c>
      <c r="B58" s="466">
        <f t="shared" ca="1" si="5"/>
        <v>70.270495666483512</v>
      </c>
      <c r="C58" s="468">
        <f t="shared" ca="1" si="6"/>
        <v>4</v>
      </c>
      <c r="D58" s="234"/>
      <c r="E58" s="234"/>
      <c r="F58" s="234"/>
      <c r="G58" s="234"/>
      <c r="H58" s="234"/>
      <c r="I58" s="234"/>
      <c r="J58" s="234"/>
      <c r="K58" s="449"/>
      <c r="L58" s="234"/>
      <c r="M58" s="234"/>
      <c r="N58" s="234"/>
    </row>
    <row r="59" spans="1:14" x14ac:dyDescent="0.35">
      <c r="A59" s="465">
        <v>42</v>
      </c>
      <c r="B59" s="466">
        <f t="shared" ca="1" si="5"/>
        <v>63.361863666258678</v>
      </c>
      <c r="C59" s="468">
        <f t="shared" ca="1" si="6"/>
        <v>3</v>
      </c>
      <c r="D59" s="234"/>
      <c r="E59" s="234"/>
      <c r="F59" s="234"/>
      <c r="G59" s="234"/>
      <c r="H59" s="234"/>
      <c r="I59" s="234"/>
      <c r="J59" s="234"/>
      <c r="K59" s="449"/>
      <c r="L59" s="234"/>
      <c r="M59" s="234"/>
      <c r="N59" s="234"/>
    </row>
    <row r="60" spans="1:14" x14ac:dyDescent="0.35">
      <c r="A60" s="465">
        <v>43</v>
      </c>
      <c r="B60" s="466">
        <f t="shared" ca="1" si="5"/>
        <v>20.264363820346421</v>
      </c>
      <c r="C60" s="468">
        <f t="shared" ca="1" si="6"/>
        <v>2</v>
      </c>
      <c r="D60" s="234"/>
      <c r="E60" s="234"/>
      <c r="F60" s="234"/>
      <c r="G60" s="234"/>
      <c r="H60" s="234"/>
      <c r="I60" s="234"/>
      <c r="J60" s="234"/>
      <c r="K60" s="449"/>
      <c r="L60" s="234"/>
      <c r="M60" s="234"/>
      <c r="N60" s="234"/>
    </row>
    <row r="61" spans="1:14" x14ac:dyDescent="0.35">
      <c r="A61" s="465">
        <v>44</v>
      </c>
      <c r="B61" s="466">
        <f t="shared" ca="1" si="5"/>
        <v>83.395387347981838</v>
      </c>
      <c r="C61" s="468">
        <f t="shared" ca="1" si="6"/>
        <v>4</v>
      </c>
      <c r="D61" s="234"/>
      <c r="E61" s="234"/>
      <c r="F61" s="234"/>
      <c r="G61" s="234"/>
      <c r="H61" s="234"/>
      <c r="I61" s="234"/>
      <c r="J61" s="234"/>
      <c r="K61" s="449"/>
      <c r="L61" s="234"/>
      <c r="M61" s="234"/>
      <c r="N61" s="234"/>
    </row>
    <row r="62" spans="1:14" x14ac:dyDescent="0.35">
      <c r="A62" s="465">
        <v>45</v>
      </c>
      <c r="B62" s="466">
        <f t="shared" ca="1" si="5"/>
        <v>18.789978960713228</v>
      </c>
      <c r="C62" s="468">
        <f t="shared" ca="1" si="6"/>
        <v>2</v>
      </c>
      <c r="D62" s="234"/>
      <c r="E62" s="234"/>
      <c r="F62" s="234"/>
      <c r="G62" s="234"/>
      <c r="H62" s="234"/>
      <c r="I62" s="234"/>
      <c r="J62" s="234"/>
      <c r="K62" s="449"/>
      <c r="L62" s="234"/>
      <c r="M62" s="234"/>
      <c r="N62" s="234"/>
    </row>
    <row r="63" spans="1:14" x14ac:dyDescent="0.35">
      <c r="A63" s="465">
        <v>46</v>
      </c>
      <c r="B63" s="466">
        <f t="shared" ca="1" si="5"/>
        <v>32.455470148697749</v>
      </c>
      <c r="C63" s="468">
        <f t="shared" ca="1" si="6"/>
        <v>2</v>
      </c>
      <c r="D63" s="234"/>
      <c r="E63" s="234"/>
      <c r="F63" s="234"/>
      <c r="G63" s="234"/>
      <c r="H63" s="234"/>
      <c r="I63" s="234"/>
      <c r="J63" s="234"/>
      <c r="K63" s="449"/>
      <c r="L63" s="234"/>
      <c r="M63" s="234"/>
      <c r="N63" s="234"/>
    </row>
    <row r="64" spans="1:14" x14ac:dyDescent="0.35">
      <c r="A64" s="465">
        <v>47</v>
      </c>
      <c r="B64" s="466">
        <f t="shared" ca="1" si="5"/>
        <v>52.213233889156029</v>
      </c>
      <c r="C64" s="468">
        <f t="shared" ca="1" si="6"/>
        <v>3</v>
      </c>
      <c r="D64" s="234"/>
      <c r="E64" s="234"/>
      <c r="F64" s="234"/>
      <c r="G64" s="234"/>
      <c r="H64" s="234"/>
      <c r="I64" s="234"/>
      <c r="J64" s="234"/>
      <c r="K64" s="449"/>
      <c r="L64" s="234"/>
      <c r="M64" s="234"/>
      <c r="N64" s="234"/>
    </row>
    <row r="65" spans="1:14" x14ac:dyDescent="0.35">
      <c r="A65" s="465">
        <v>48</v>
      </c>
      <c r="B65" s="466">
        <f t="shared" ca="1" si="5"/>
        <v>97.411515068866478</v>
      </c>
      <c r="C65" s="468">
        <f t="shared" ca="1" si="6"/>
        <v>5</v>
      </c>
      <c r="D65" s="234"/>
      <c r="E65" s="234"/>
      <c r="F65" s="234"/>
      <c r="G65" s="234"/>
      <c r="H65" s="234"/>
      <c r="I65" s="234"/>
      <c r="J65" s="234"/>
      <c r="K65" s="449"/>
      <c r="L65" s="234"/>
      <c r="M65" s="234"/>
      <c r="N65" s="234"/>
    </row>
    <row r="66" spans="1:14" x14ac:dyDescent="0.35">
      <c r="A66" s="465">
        <v>49</v>
      </c>
      <c r="B66" s="466">
        <f t="shared" ca="1" si="5"/>
        <v>42.684727049630453</v>
      </c>
      <c r="C66" s="468">
        <f t="shared" ca="1" si="6"/>
        <v>3</v>
      </c>
      <c r="D66" s="234"/>
      <c r="E66" s="234"/>
      <c r="F66" s="234"/>
      <c r="G66" s="234"/>
      <c r="H66" s="234"/>
      <c r="I66" s="234"/>
      <c r="J66" s="234"/>
      <c r="K66" s="449"/>
      <c r="L66" s="234"/>
      <c r="M66" s="234"/>
      <c r="N66" s="234"/>
    </row>
    <row r="67" spans="1:14" x14ac:dyDescent="0.35">
      <c r="A67" s="465">
        <v>50</v>
      </c>
      <c r="B67" s="466">
        <f t="shared" ca="1" si="5"/>
        <v>9.3609947372394586</v>
      </c>
      <c r="C67" s="468">
        <f t="shared" ca="1" si="6"/>
        <v>1</v>
      </c>
      <c r="D67" s="234"/>
      <c r="E67" s="234"/>
      <c r="F67" s="234"/>
      <c r="G67" s="234"/>
      <c r="H67" s="234"/>
      <c r="I67" s="234"/>
      <c r="J67" s="234"/>
      <c r="K67" s="449"/>
      <c r="L67" s="234"/>
      <c r="M67" s="234"/>
      <c r="N67" s="234"/>
    </row>
    <row r="68" spans="1:14" x14ac:dyDescent="0.35">
      <c r="A68" s="465">
        <v>51</v>
      </c>
      <c r="B68" s="466">
        <f t="shared" ca="1" si="5"/>
        <v>70.807473463038832</v>
      </c>
      <c r="C68" s="468">
        <f t="shared" ca="1" si="6"/>
        <v>4</v>
      </c>
      <c r="D68" s="234"/>
      <c r="E68" s="234"/>
      <c r="F68" s="234"/>
      <c r="G68" s="234"/>
      <c r="H68" s="234"/>
      <c r="I68" s="234"/>
      <c r="J68" s="234"/>
      <c r="K68" s="449"/>
      <c r="L68" s="234"/>
      <c r="M68" s="234"/>
      <c r="N68" s="234"/>
    </row>
    <row r="69" spans="1:14" x14ac:dyDescent="0.35">
      <c r="A69" s="465">
        <v>52</v>
      </c>
      <c r="B69" s="466">
        <f t="shared" ca="1" si="5"/>
        <v>73.14101185884256</v>
      </c>
      <c r="C69" s="468">
        <f t="shared" ca="1" si="6"/>
        <v>4</v>
      </c>
      <c r="D69" s="234"/>
      <c r="E69" s="234"/>
      <c r="F69" s="234"/>
      <c r="G69" s="234"/>
      <c r="H69" s="234"/>
      <c r="I69" s="234"/>
      <c r="J69" s="234"/>
      <c r="K69" s="449"/>
      <c r="L69" s="234"/>
      <c r="M69" s="234"/>
      <c r="N69" s="234"/>
    </row>
    <row r="70" spans="1:14" x14ac:dyDescent="0.35">
      <c r="A70" s="465">
        <v>53</v>
      </c>
      <c r="B70" s="466">
        <f t="shared" ca="1" si="5"/>
        <v>64.27057878007075</v>
      </c>
      <c r="C70" s="468">
        <f t="shared" ca="1" si="6"/>
        <v>3</v>
      </c>
      <c r="D70" s="234"/>
      <c r="E70" s="234"/>
      <c r="F70" s="234"/>
      <c r="G70" s="234"/>
      <c r="H70" s="234"/>
      <c r="I70" s="234"/>
      <c r="J70" s="234"/>
      <c r="K70" s="449"/>
      <c r="L70" s="234"/>
      <c r="M70" s="234"/>
      <c r="N70" s="234"/>
    </row>
    <row r="71" spans="1:14" x14ac:dyDescent="0.35">
      <c r="A71" s="465">
        <v>54</v>
      </c>
      <c r="B71" s="466">
        <f t="shared" ca="1" si="5"/>
        <v>72.780679719848322</v>
      </c>
      <c r="C71" s="468">
        <f t="shared" ca="1" si="6"/>
        <v>4</v>
      </c>
      <c r="D71" s="234"/>
      <c r="E71" s="234"/>
      <c r="F71" s="234"/>
      <c r="G71" s="234"/>
      <c r="H71" s="234"/>
      <c r="I71" s="234"/>
      <c r="J71" s="234"/>
      <c r="K71" s="449"/>
      <c r="L71" s="234"/>
      <c r="M71" s="234"/>
      <c r="N71" s="234"/>
    </row>
    <row r="72" spans="1:14" x14ac:dyDescent="0.35">
      <c r="A72" s="465">
        <v>55</v>
      </c>
      <c r="B72" s="466">
        <f t="shared" ca="1" si="5"/>
        <v>34.716528567125728</v>
      </c>
      <c r="C72" s="468">
        <f t="shared" ca="1" si="6"/>
        <v>2</v>
      </c>
      <c r="D72" s="234"/>
      <c r="E72" s="234"/>
      <c r="F72" s="234"/>
      <c r="G72" s="234"/>
      <c r="H72" s="234"/>
      <c r="I72" s="234"/>
      <c r="J72" s="234"/>
      <c r="K72" s="449"/>
      <c r="L72" s="234"/>
      <c r="M72" s="234"/>
      <c r="N72" s="234"/>
    </row>
    <row r="73" spans="1:14" x14ac:dyDescent="0.35">
      <c r="A73" s="465">
        <v>56</v>
      </c>
      <c r="B73" s="466">
        <f t="shared" ca="1" si="5"/>
        <v>85.093390992227384</v>
      </c>
      <c r="C73" s="468">
        <f t="shared" ca="1" si="6"/>
        <v>5</v>
      </c>
      <c r="D73" s="234"/>
      <c r="E73" s="234"/>
      <c r="F73" s="234"/>
      <c r="G73" s="234"/>
      <c r="H73" s="234"/>
      <c r="I73" s="234"/>
      <c r="J73" s="234"/>
      <c r="K73" s="449"/>
      <c r="L73" s="234"/>
      <c r="M73" s="234"/>
      <c r="N73" s="234"/>
    </row>
    <row r="74" spans="1:14" x14ac:dyDescent="0.35">
      <c r="A74" s="465">
        <v>57</v>
      </c>
      <c r="B74" s="466">
        <f t="shared" ca="1" si="5"/>
        <v>88.78993881993587</v>
      </c>
      <c r="C74" s="468">
        <f t="shared" ca="1" si="6"/>
        <v>5</v>
      </c>
      <c r="D74" s="234"/>
      <c r="E74" s="234"/>
      <c r="F74" s="234"/>
      <c r="G74" s="234"/>
      <c r="H74" s="234"/>
      <c r="I74" s="234"/>
      <c r="J74" s="234"/>
      <c r="K74" s="449"/>
      <c r="L74" s="234"/>
      <c r="M74" s="234"/>
      <c r="N74" s="234"/>
    </row>
    <row r="75" spans="1:14" x14ac:dyDescent="0.35">
      <c r="A75" s="465">
        <v>58</v>
      </c>
      <c r="B75" s="466">
        <f t="shared" ca="1" si="5"/>
        <v>88.693824700834995</v>
      </c>
      <c r="C75" s="468">
        <f t="shared" ca="1" si="6"/>
        <v>5</v>
      </c>
      <c r="D75" s="234"/>
      <c r="E75" s="234"/>
      <c r="F75" s="234"/>
      <c r="G75" s="234"/>
      <c r="H75" s="234"/>
      <c r="I75" s="234"/>
      <c r="J75" s="234"/>
      <c r="K75" s="449"/>
      <c r="L75" s="234"/>
      <c r="M75" s="234"/>
      <c r="N75" s="234"/>
    </row>
    <row r="76" spans="1:14" x14ac:dyDescent="0.35">
      <c r="A76" s="465">
        <v>59</v>
      </c>
      <c r="B76" s="466">
        <f t="shared" ca="1" si="5"/>
        <v>28.019572279812088</v>
      </c>
      <c r="C76" s="468">
        <f t="shared" ca="1" si="6"/>
        <v>2</v>
      </c>
      <c r="D76" s="234"/>
      <c r="E76" s="234"/>
      <c r="F76" s="234"/>
      <c r="G76" s="234"/>
      <c r="H76" s="234"/>
      <c r="I76" s="234"/>
      <c r="J76" s="234"/>
      <c r="K76" s="449"/>
      <c r="L76" s="234"/>
      <c r="M76" s="234"/>
      <c r="N76" s="234"/>
    </row>
    <row r="77" spans="1:14" x14ac:dyDescent="0.35">
      <c r="A77" s="465">
        <v>60</v>
      </c>
      <c r="B77" s="466">
        <f t="shared" ca="1" si="5"/>
        <v>38.194362025564764</v>
      </c>
      <c r="C77" s="468">
        <f t="shared" ca="1" si="6"/>
        <v>3</v>
      </c>
      <c r="D77" s="234"/>
      <c r="E77" s="234"/>
      <c r="F77" s="234"/>
      <c r="G77" s="234"/>
      <c r="H77" s="234"/>
      <c r="I77" s="234"/>
      <c r="J77" s="234"/>
      <c r="K77" s="449"/>
      <c r="L77" s="234"/>
      <c r="M77" s="234"/>
      <c r="N77" s="234"/>
    </row>
    <row r="78" spans="1:14" x14ac:dyDescent="0.35">
      <c r="A78" s="465">
        <v>61</v>
      </c>
      <c r="B78" s="466">
        <f t="shared" ca="1" si="5"/>
        <v>27.875802684502883</v>
      </c>
      <c r="C78" s="468">
        <f t="shared" ca="1" si="6"/>
        <v>2</v>
      </c>
      <c r="D78" s="234"/>
      <c r="E78" s="234"/>
      <c r="F78" s="234"/>
      <c r="G78" s="234"/>
      <c r="H78" s="234"/>
      <c r="I78" s="234"/>
      <c r="J78" s="234"/>
      <c r="K78" s="449"/>
      <c r="L78" s="234"/>
      <c r="M78" s="234"/>
      <c r="N78" s="234"/>
    </row>
    <row r="79" spans="1:14" x14ac:dyDescent="0.35">
      <c r="A79" s="465">
        <v>62</v>
      </c>
      <c r="B79" s="466">
        <f t="shared" ca="1" si="5"/>
        <v>59.716399431507092</v>
      </c>
      <c r="C79" s="468">
        <f t="shared" ca="1" si="6"/>
        <v>3</v>
      </c>
      <c r="D79" s="234"/>
      <c r="E79" s="234"/>
      <c r="F79" s="234"/>
      <c r="G79" s="234"/>
      <c r="H79" s="234"/>
      <c r="I79" s="234"/>
      <c r="J79" s="234"/>
      <c r="K79" s="449"/>
      <c r="L79" s="234"/>
      <c r="M79" s="234"/>
      <c r="N79" s="234"/>
    </row>
    <row r="80" spans="1:14" x14ac:dyDescent="0.35">
      <c r="A80" s="465">
        <v>63</v>
      </c>
      <c r="B80" s="466">
        <f t="shared" ca="1" si="5"/>
        <v>47.755245821044198</v>
      </c>
      <c r="C80" s="468">
        <f t="shared" ca="1" si="6"/>
        <v>3</v>
      </c>
      <c r="D80" s="234"/>
      <c r="E80" s="234"/>
      <c r="F80" s="234"/>
      <c r="G80" s="234"/>
      <c r="H80" s="234"/>
      <c r="I80" s="234"/>
      <c r="J80" s="234"/>
      <c r="K80" s="449"/>
      <c r="L80" s="234"/>
      <c r="M80" s="234"/>
      <c r="N80" s="234"/>
    </row>
    <row r="81" spans="1:14" x14ac:dyDescent="0.35">
      <c r="A81" s="465">
        <v>64</v>
      </c>
      <c r="B81" s="466">
        <f t="shared" ca="1" si="5"/>
        <v>59.600276570028484</v>
      </c>
      <c r="C81" s="468">
        <f t="shared" ca="1" si="6"/>
        <v>3</v>
      </c>
      <c r="D81" s="234"/>
      <c r="E81" s="234"/>
      <c r="F81" s="234"/>
      <c r="G81" s="234"/>
      <c r="H81" s="234"/>
      <c r="I81" s="234"/>
      <c r="J81" s="234"/>
      <c r="K81" s="449"/>
      <c r="L81" s="234"/>
      <c r="M81" s="234"/>
      <c r="N81" s="234"/>
    </row>
    <row r="82" spans="1:14" x14ac:dyDescent="0.35">
      <c r="A82" s="465">
        <v>65</v>
      </c>
      <c r="B82" s="466">
        <f t="shared" ca="1" si="5"/>
        <v>34.009899340309261</v>
      </c>
      <c r="C82" s="468">
        <f t="shared" ca="1" si="6"/>
        <v>2</v>
      </c>
      <c r="D82" s="234"/>
      <c r="E82" s="234"/>
      <c r="F82" s="234"/>
      <c r="G82" s="234"/>
      <c r="H82" s="234"/>
      <c r="I82" s="234"/>
      <c r="J82" s="234"/>
      <c r="K82" s="449"/>
      <c r="L82" s="234"/>
      <c r="M82" s="234"/>
      <c r="N82" s="234"/>
    </row>
    <row r="83" spans="1:14" x14ac:dyDescent="0.35">
      <c r="A83" s="465">
        <v>66</v>
      </c>
      <c r="B83" s="466">
        <f t="shared" ref="B83:B146" ca="1" si="7">100*RAND()</f>
        <v>78.840487246905482</v>
      </c>
      <c r="C83" s="468">
        <f t="shared" ref="C83:C146" ca="1" si="8">VLOOKUP(B83,$A$8:$C$13,3)</f>
        <v>4</v>
      </c>
      <c r="D83" s="234"/>
      <c r="E83" s="234"/>
      <c r="F83" s="234"/>
      <c r="G83" s="234"/>
      <c r="H83" s="234"/>
      <c r="I83" s="234"/>
      <c r="J83" s="234"/>
      <c r="K83" s="449"/>
      <c r="L83" s="234"/>
      <c r="M83" s="234"/>
      <c r="N83" s="234"/>
    </row>
    <row r="84" spans="1:14" x14ac:dyDescent="0.35">
      <c r="A84" s="465">
        <v>67</v>
      </c>
      <c r="B84" s="466">
        <f t="shared" ca="1" si="7"/>
        <v>28.679568700101765</v>
      </c>
      <c r="C84" s="468">
        <f t="shared" ca="1" si="8"/>
        <v>2</v>
      </c>
      <c r="D84" s="234"/>
      <c r="E84" s="234"/>
      <c r="F84" s="234"/>
      <c r="G84" s="234"/>
      <c r="H84" s="234"/>
      <c r="I84" s="234"/>
      <c r="J84" s="234"/>
      <c r="K84" s="449"/>
      <c r="L84" s="234"/>
      <c r="M84" s="234"/>
      <c r="N84" s="234"/>
    </row>
    <row r="85" spans="1:14" x14ac:dyDescent="0.35">
      <c r="A85" s="465">
        <v>68</v>
      </c>
      <c r="B85" s="466">
        <f t="shared" ca="1" si="7"/>
        <v>43.863275221710751</v>
      </c>
      <c r="C85" s="468">
        <f t="shared" ca="1" si="8"/>
        <v>3</v>
      </c>
      <c r="D85" s="234"/>
      <c r="E85" s="234"/>
      <c r="F85" s="234"/>
      <c r="G85" s="234"/>
      <c r="H85" s="234"/>
      <c r="I85" s="234"/>
      <c r="J85" s="234"/>
      <c r="K85" s="449"/>
      <c r="L85" s="234"/>
      <c r="M85" s="234"/>
      <c r="N85" s="234"/>
    </row>
    <row r="86" spans="1:14" x14ac:dyDescent="0.35">
      <c r="A86" s="465">
        <v>69</v>
      </c>
      <c r="B86" s="466">
        <f t="shared" ca="1" si="7"/>
        <v>3.3421859982359803</v>
      </c>
      <c r="C86" s="468">
        <f t="shared" ca="1" si="8"/>
        <v>0</v>
      </c>
      <c r="D86" s="234"/>
      <c r="E86" s="234"/>
      <c r="F86" s="234"/>
      <c r="G86" s="234"/>
      <c r="H86" s="234"/>
      <c r="I86" s="234"/>
      <c r="J86" s="234"/>
      <c r="K86" s="449"/>
      <c r="L86" s="234"/>
      <c r="M86" s="234"/>
      <c r="N86" s="234"/>
    </row>
    <row r="87" spans="1:14" x14ac:dyDescent="0.35">
      <c r="A87" s="465">
        <v>70</v>
      </c>
      <c r="B87" s="466">
        <f t="shared" ca="1" si="7"/>
        <v>45.759670782438825</v>
      </c>
      <c r="C87" s="468">
        <f t="shared" ca="1" si="8"/>
        <v>3</v>
      </c>
      <c r="D87" s="234"/>
      <c r="E87" s="234"/>
      <c r="F87" s="234"/>
      <c r="G87" s="234"/>
      <c r="H87" s="234"/>
      <c r="I87" s="234"/>
      <c r="J87" s="234"/>
      <c r="K87" s="449"/>
      <c r="L87" s="234"/>
      <c r="M87" s="234"/>
      <c r="N87" s="234"/>
    </row>
    <row r="88" spans="1:14" x14ac:dyDescent="0.35">
      <c r="A88" s="465">
        <v>71</v>
      </c>
      <c r="B88" s="466">
        <f t="shared" ca="1" si="7"/>
        <v>15.193381410764351</v>
      </c>
      <c r="C88" s="468">
        <f t="shared" ca="1" si="8"/>
        <v>2</v>
      </c>
      <c r="D88" s="234"/>
      <c r="E88" s="234"/>
      <c r="F88" s="234"/>
      <c r="G88" s="234"/>
      <c r="H88" s="234"/>
      <c r="I88" s="234"/>
      <c r="J88" s="234"/>
      <c r="K88" s="449"/>
      <c r="L88" s="234"/>
      <c r="M88" s="234"/>
      <c r="N88" s="234"/>
    </row>
    <row r="89" spans="1:14" x14ac:dyDescent="0.35">
      <c r="A89" s="465">
        <v>72</v>
      </c>
      <c r="B89" s="466">
        <f t="shared" ca="1" si="7"/>
        <v>63.703292374759293</v>
      </c>
      <c r="C89" s="468">
        <f t="shared" ca="1" si="8"/>
        <v>3</v>
      </c>
      <c r="D89" s="234"/>
      <c r="E89" s="234"/>
      <c r="F89" s="234"/>
      <c r="G89" s="234"/>
      <c r="H89" s="234"/>
      <c r="I89" s="234"/>
      <c r="J89" s="234"/>
      <c r="K89" s="449"/>
      <c r="L89" s="234"/>
      <c r="M89" s="234"/>
      <c r="N89" s="234"/>
    </row>
    <row r="90" spans="1:14" x14ac:dyDescent="0.35">
      <c r="A90" s="465">
        <v>73</v>
      </c>
      <c r="B90" s="466">
        <f t="shared" ca="1" si="7"/>
        <v>21.928810358732932</v>
      </c>
      <c r="C90" s="468">
        <f t="shared" ca="1" si="8"/>
        <v>2</v>
      </c>
      <c r="D90" s="234"/>
      <c r="E90" s="234"/>
      <c r="F90" s="234"/>
      <c r="G90" s="234"/>
      <c r="H90" s="234"/>
      <c r="I90" s="234"/>
      <c r="J90" s="234"/>
      <c r="K90" s="449"/>
      <c r="L90" s="234"/>
      <c r="M90" s="234"/>
      <c r="N90" s="234"/>
    </row>
    <row r="91" spans="1:14" x14ac:dyDescent="0.35">
      <c r="A91" s="465">
        <v>74</v>
      </c>
      <c r="B91" s="466">
        <f t="shared" ca="1" si="7"/>
        <v>21.324507682618389</v>
      </c>
      <c r="C91" s="468">
        <f t="shared" ca="1" si="8"/>
        <v>2</v>
      </c>
      <c r="D91" s="234"/>
      <c r="E91" s="234"/>
      <c r="F91" s="234"/>
      <c r="G91" s="234"/>
      <c r="H91" s="234"/>
      <c r="I91" s="234"/>
      <c r="J91" s="234"/>
      <c r="K91" s="449"/>
      <c r="L91" s="234"/>
      <c r="M91" s="234"/>
      <c r="N91" s="234"/>
    </row>
    <row r="92" spans="1:14" x14ac:dyDescent="0.35">
      <c r="A92" s="465">
        <v>75</v>
      </c>
      <c r="B92" s="466">
        <f t="shared" ca="1" si="7"/>
        <v>40.053577174867364</v>
      </c>
      <c r="C92" s="468">
        <f t="shared" ca="1" si="8"/>
        <v>3</v>
      </c>
      <c r="D92" s="234"/>
      <c r="E92" s="234"/>
      <c r="F92" s="234"/>
      <c r="G92" s="234"/>
      <c r="H92" s="234"/>
      <c r="I92" s="234"/>
      <c r="J92" s="234"/>
      <c r="K92" s="449"/>
      <c r="L92" s="234"/>
      <c r="M92" s="234"/>
      <c r="N92" s="234"/>
    </row>
    <row r="93" spans="1:14" x14ac:dyDescent="0.35">
      <c r="A93" s="465">
        <v>76</v>
      </c>
      <c r="B93" s="466">
        <f t="shared" ca="1" si="7"/>
        <v>45.145263451390171</v>
      </c>
      <c r="C93" s="468">
        <f t="shared" ca="1" si="8"/>
        <v>3</v>
      </c>
      <c r="D93" s="234"/>
      <c r="E93" s="234"/>
      <c r="F93" s="234"/>
      <c r="G93" s="234"/>
      <c r="H93" s="234"/>
      <c r="I93" s="234"/>
      <c r="J93" s="234"/>
      <c r="K93" s="449"/>
      <c r="L93" s="234"/>
      <c r="M93" s="234"/>
      <c r="N93" s="234"/>
    </row>
    <row r="94" spans="1:14" x14ac:dyDescent="0.35">
      <c r="A94" s="465">
        <v>77</v>
      </c>
      <c r="B94" s="466">
        <f t="shared" ca="1" si="7"/>
        <v>32.679434318428967</v>
      </c>
      <c r="C94" s="468">
        <f t="shared" ca="1" si="8"/>
        <v>2</v>
      </c>
      <c r="D94" s="234"/>
      <c r="E94" s="234"/>
      <c r="F94" s="234"/>
      <c r="G94" s="234"/>
      <c r="H94" s="234"/>
      <c r="I94" s="234"/>
      <c r="J94" s="234"/>
      <c r="K94" s="449"/>
      <c r="L94" s="234"/>
      <c r="M94" s="234"/>
      <c r="N94" s="234"/>
    </row>
    <row r="95" spans="1:14" x14ac:dyDescent="0.35">
      <c r="A95" s="465">
        <v>78</v>
      </c>
      <c r="B95" s="466">
        <f t="shared" ca="1" si="7"/>
        <v>23.428312164701403</v>
      </c>
      <c r="C95" s="468">
        <f t="shared" ca="1" si="8"/>
        <v>2</v>
      </c>
      <c r="D95" s="234"/>
      <c r="E95" s="234"/>
      <c r="F95" s="234"/>
      <c r="G95" s="234"/>
      <c r="H95" s="234"/>
      <c r="I95" s="234"/>
      <c r="J95" s="234"/>
      <c r="K95" s="449"/>
      <c r="L95" s="234"/>
      <c r="M95" s="234"/>
      <c r="N95" s="234"/>
    </row>
    <row r="96" spans="1:14" x14ac:dyDescent="0.35">
      <c r="A96" s="465">
        <v>79</v>
      </c>
      <c r="B96" s="466">
        <f t="shared" ca="1" si="7"/>
        <v>82.572183125383845</v>
      </c>
      <c r="C96" s="468">
        <f t="shared" ca="1" si="8"/>
        <v>4</v>
      </c>
      <c r="D96" s="234"/>
      <c r="E96" s="234"/>
      <c r="F96" s="234"/>
      <c r="G96" s="234"/>
      <c r="H96" s="234"/>
      <c r="I96" s="234"/>
      <c r="J96" s="234"/>
      <c r="K96" s="449"/>
      <c r="L96" s="234"/>
      <c r="M96" s="234"/>
      <c r="N96" s="234"/>
    </row>
    <row r="97" spans="1:14" x14ac:dyDescent="0.35">
      <c r="A97" s="465">
        <v>80</v>
      </c>
      <c r="B97" s="466">
        <f t="shared" ca="1" si="7"/>
        <v>50.804988140670474</v>
      </c>
      <c r="C97" s="468">
        <f t="shared" ca="1" si="8"/>
        <v>3</v>
      </c>
      <c r="D97" s="234"/>
      <c r="E97" s="234"/>
      <c r="F97" s="234"/>
      <c r="G97" s="234"/>
      <c r="H97" s="234"/>
      <c r="I97" s="234"/>
      <c r="J97" s="234"/>
      <c r="K97" s="449"/>
      <c r="L97" s="234"/>
      <c r="M97" s="234"/>
      <c r="N97" s="234"/>
    </row>
    <row r="98" spans="1:14" x14ac:dyDescent="0.35">
      <c r="A98" s="465">
        <v>81</v>
      </c>
      <c r="B98" s="466">
        <f t="shared" ca="1" si="7"/>
        <v>51.093867565217664</v>
      </c>
      <c r="C98" s="468">
        <f t="shared" ca="1" si="8"/>
        <v>3</v>
      </c>
      <c r="D98" s="234"/>
      <c r="E98" s="234"/>
      <c r="F98" s="234"/>
      <c r="G98" s="234"/>
      <c r="H98" s="234"/>
      <c r="I98" s="234"/>
      <c r="J98" s="234"/>
      <c r="K98" s="449"/>
      <c r="L98" s="234"/>
      <c r="M98" s="234"/>
      <c r="N98" s="234"/>
    </row>
    <row r="99" spans="1:14" x14ac:dyDescent="0.35">
      <c r="A99" s="465">
        <v>82</v>
      </c>
      <c r="B99" s="466">
        <f t="shared" ca="1" si="7"/>
        <v>90.063196542768679</v>
      </c>
      <c r="C99" s="468">
        <f t="shared" ca="1" si="8"/>
        <v>5</v>
      </c>
      <c r="D99" s="234"/>
      <c r="E99" s="234"/>
      <c r="F99" s="234"/>
      <c r="G99" s="234"/>
      <c r="H99" s="234"/>
      <c r="I99" s="234"/>
      <c r="J99" s="234"/>
      <c r="K99" s="449"/>
      <c r="L99" s="234"/>
      <c r="M99" s="234"/>
      <c r="N99" s="234"/>
    </row>
    <row r="100" spans="1:14" x14ac:dyDescent="0.35">
      <c r="A100" s="465">
        <v>83</v>
      </c>
      <c r="B100" s="466">
        <f t="shared" ca="1" si="7"/>
        <v>33.268381182456189</v>
      </c>
      <c r="C100" s="468">
        <f t="shared" ca="1" si="8"/>
        <v>2</v>
      </c>
      <c r="D100" s="234"/>
      <c r="E100" s="234"/>
      <c r="F100" s="234"/>
      <c r="G100" s="234"/>
      <c r="H100" s="234"/>
      <c r="I100" s="234"/>
      <c r="J100" s="234"/>
      <c r="K100" s="449"/>
      <c r="L100" s="234"/>
      <c r="M100" s="234"/>
      <c r="N100" s="234"/>
    </row>
    <row r="101" spans="1:14" x14ac:dyDescent="0.35">
      <c r="A101" s="465">
        <v>84</v>
      </c>
      <c r="B101" s="466">
        <f t="shared" ca="1" si="7"/>
        <v>87.846487745535669</v>
      </c>
      <c r="C101" s="468">
        <f t="shared" ca="1" si="8"/>
        <v>5</v>
      </c>
      <c r="D101" s="234"/>
      <c r="E101" s="234"/>
      <c r="F101" s="234"/>
      <c r="G101" s="234"/>
      <c r="H101" s="234"/>
      <c r="I101" s="234"/>
      <c r="J101" s="234"/>
      <c r="K101" s="449"/>
      <c r="L101" s="234"/>
      <c r="M101" s="234"/>
      <c r="N101" s="234"/>
    </row>
    <row r="102" spans="1:14" x14ac:dyDescent="0.35">
      <c r="A102" s="465">
        <v>85</v>
      </c>
      <c r="B102" s="466">
        <f t="shared" ca="1" si="7"/>
        <v>34.162790696040361</v>
      </c>
      <c r="C102" s="468">
        <f t="shared" ca="1" si="8"/>
        <v>2</v>
      </c>
      <c r="D102" s="234"/>
      <c r="E102" s="234"/>
      <c r="F102" s="234"/>
      <c r="G102" s="234"/>
      <c r="H102" s="234"/>
      <c r="I102" s="234"/>
      <c r="J102" s="234"/>
      <c r="K102" s="449"/>
      <c r="L102" s="234"/>
      <c r="M102" s="234"/>
      <c r="N102" s="234"/>
    </row>
    <row r="103" spans="1:14" x14ac:dyDescent="0.35">
      <c r="A103" s="465">
        <v>86</v>
      </c>
      <c r="B103" s="466">
        <f t="shared" ca="1" si="7"/>
        <v>11.791932137514905</v>
      </c>
      <c r="C103" s="468">
        <f t="shared" ca="1" si="8"/>
        <v>1</v>
      </c>
      <c r="D103" s="234"/>
      <c r="E103" s="234"/>
      <c r="F103" s="234"/>
      <c r="G103" s="234"/>
      <c r="H103" s="234"/>
      <c r="I103" s="234"/>
      <c r="J103" s="234"/>
      <c r="K103" s="449"/>
      <c r="L103" s="234"/>
      <c r="M103" s="234"/>
      <c r="N103" s="234"/>
    </row>
    <row r="104" spans="1:14" x14ac:dyDescent="0.35">
      <c r="A104" s="465">
        <v>87</v>
      </c>
      <c r="B104" s="466">
        <f t="shared" ca="1" si="7"/>
        <v>35.406911758851308</v>
      </c>
      <c r="C104" s="468">
        <f t="shared" ca="1" si="8"/>
        <v>3</v>
      </c>
      <c r="D104" s="234"/>
      <c r="E104" s="234"/>
      <c r="F104" s="234"/>
      <c r="G104" s="234"/>
      <c r="H104" s="234"/>
      <c r="I104" s="234"/>
      <c r="J104" s="234"/>
      <c r="K104" s="449"/>
      <c r="L104" s="234"/>
      <c r="M104" s="234"/>
      <c r="N104" s="234"/>
    </row>
    <row r="105" spans="1:14" x14ac:dyDescent="0.35">
      <c r="A105" s="465">
        <v>88</v>
      </c>
      <c r="B105" s="466">
        <f t="shared" ca="1" si="7"/>
        <v>21.975661773796528</v>
      </c>
      <c r="C105" s="468">
        <f t="shared" ca="1" si="8"/>
        <v>2</v>
      </c>
      <c r="D105" s="234"/>
      <c r="E105" s="234"/>
      <c r="F105" s="234"/>
      <c r="G105" s="234"/>
      <c r="H105" s="234"/>
      <c r="I105" s="234"/>
      <c r="J105" s="234"/>
      <c r="K105" s="449"/>
      <c r="L105" s="234"/>
      <c r="M105" s="234"/>
      <c r="N105" s="234"/>
    </row>
    <row r="106" spans="1:14" x14ac:dyDescent="0.35">
      <c r="A106" s="465">
        <v>89</v>
      </c>
      <c r="B106" s="466">
        <f t="shared" ca="1" si="7"/>
        <v>30.399867106539734</v>
      </c>
      <c r="C106" s="468">
        <f t="shared" ca="1" si="8"/>
        <v>2</v>
      </c>
      <c r="D106" s="234"/>
      <c r="E106" s="234"/>
      <c r="F106" s="234"/>
      <c r="G106" s="234"/>
      <c r="H106" s="234"/>
      <c r="I106" s="234"/>
      <c r="J106" s="234"/>
      <c r="K106" s="449"/>
      <c r="L106" s="234"/>
      <c r="M106" s="234"/>
      <c r="N106" s="234"/>
    </row>
    <row r="107" spans="1:14" x14ac:dyDescent="0.35">
      <c r="A107" s="465">
        <v>90</v>
      </c>
      <c r="B107" s="466">
        <f t="shared" ca="1" si="7"/>
        <v>8.8425860111782999</v>
      </c>
      <c r="C107" s="468">
        <f t="shared" ca="1" si="8"/>
        <v>1</v>
      </c>
      <c r="D107" s="234"/>
      <c r="E107" s="234"/>
      <c r="F107" s="234"/>
      <c r="G107" s="234"/>
      <c r="H107" s="234"/>
      <c r="I107" s="234"/>
      <c r="J107" s="234"/>
      <c r="K107" s="449"/>
      <c r="L107" s="234"/>
      <c r="M107" s="234"/>
      <c r="N107" s="234"/>
    </row>
    <row r="108" spans="1:14" x14ac:dyDescent="0.35">
      <c r="A108" s="465">
        <v>91</v>
      </c>
      <c r="B108" s="466">
        <f t="shared" ca="1" si="7"/>
        <v>72.49474816152528</v>
      </c>
      <c r="C108" s="468">
        <f t="shared" ca="1" si="8"/>
        <v>4</v>
      </c>
      <c r="D108" s="234"/>
      <c r="E108" s="234"/>
      <c r="F108" s="234"/>
      <c r="G108" s="234"/>
      <c r="H108" s="234"/>
      <c r="I108" s="234"/>
      <c r="J108" s="234"/>
      <c r="K108" s="449"/>
      <c r="L108" s="234"/>
      <c r="M108" s="234"/>
      <c r="N108" s="234"/>
    </row>
    <row r="109" spans="1:14" x14ac:dyDescent="0.35">
      <c r="A109" s="465">
        <v>92</v>
      </c>
      <c r="B109" s="466">
        <f t="shared" ca="1" si="7"/>
        <v>76.936493235224575</v>
      </c>
      <c r="C109" s="468">
        <f t="shared" ca="1" si="8"/>
        <v>4</v>
      </c>
      <c r="D109" s="234"/>
      <c r="E109" s="234"/>
      <c r="F109" s="234"/>
      <c r="G109" s="234"/>
      <c r="H109" s="234"/>
      <c r="I109" s="234"/>
      <c r="J109" s="234"/>
      <c r="K109" s="449"/>
      <c r="L109" s="234"/>
      <c r="M109" s="234"/>
      <c r="N109" s="234"/>
    </row>
    <row r="110" spans="1:14" x14ac:dyDescent="0.35">
      <c r="A110" s="465">
        <v>93</v>
      </c>
      <c r="B110" s="466">
        <f t="shared" ca="1" si="7"/>
        <v>54.852785021700555</v>
      </c>
      <c r="C110" s="468">
        <f t="shared" ca="1" si="8"/>
        <v>3</v>
      </c>
      <c r="D110" s="234"/>
      <c r="E110" s="234"/>
      <c r="F110" s="234"/>
      <c r="G110" s="234"/>
      <c r="H110" s="234"/>
      <c r="I110" s="234"/>
      <c r="J110" s="234"/>
      <c r="K110" s="449"/>
      <c r="L110" s="234"/>
      <c r="M110" s="234"/>
      <c r="N110" s="234"/>
    </row>
    <row r="111" spans="1:14" x14ac:dyDescent="0.35">
      <c r="A111" s="465">
        <v>94</v>
      </c>
      <c r="B111" s="466">
        <f t="shared" ca="1" si="7"/>
        <v>52.344166429735481</v>
      </c>
      <c r="C111" s="468">
        <f t="shared" ca="1" si="8"/>
        <v>3</v>
      </c>
      <c r="D111" s="234"/>
      <c r="E111" s="234"/>
      <c r="F111" s="234"/>
      <c r="G111" s="234"/>
      <c r="H111" s="234"/>
      <c r="I111" s="234"/>
      <c r="J111" s="234"/>
      <c r="K111" s="449"/>
      <c r="L111" s="234"/>
      <c r="M111" s="234"/>
      <c r="N111" s="234"/>
    </row>
    <row r="112" spans="1:14" x14ac:dyDescent="0.35">
      <c r="A112" s="465">
        <v>95</v>
      </c>
      <c r="B112" s="466">
        <f t="shared" ca="1" si="7"/>
        <v>36.634616548007514</v>
      </c>
      <c r="C112" s="468">
        <f t="shared" ca="1" si="8"/>
        <v>3</v>
      </c>
      <c r="D112" s="234"/>
      <c r="E112" s="234"/>
      <c r="F112" s="234"/>
      <c r="G112" s="234"/>
      <c r="H112" s="234"/>
      <c r="I112" s="234"/>
      <c r="J112" s="234"/>
      <c r="K112" s="449"/>
      <c r="L112" s="234"/>
      <c r="M112" s="234"/>
      <c r="N112" s="234"/>
    </row>
    <row r="113" spans="1:14" x14ac:dyDescent="0.35">
      <c r="A113" s="465">
        <v>96</v>
      </c>
      <c r="B113" s="466">
        <f t="shared" ca="1" si="7"/>
        <v>37.487820699413547</v>
      </c>
      <c r="C113" s="468">
        <f t="shared" ca="1" si="8"/>
        <v>3</v>
      </c>
      <c r="D113" s="234"/>
      <c r="E113" s="234"/>
      <c r="F113" s="234"/>
      <c r="G113" s="234"/>
      <c r="H113" s="234"/>
      <c r="I113" s="234"/>
      <c r="J113" s="234"/>
      <c r="K113" s="449"/>
      <c r="L113" s="234"/>
      <c r="M113" s="234"/>
      <c r="N113" s="234"/>
    </row>
    <row r="114" spans="1:14" x14ac:dyDescent="0.35">
      <c r="A114" s="465">
        <v>97</v>
      </c>
      <c r="B114" s="466">
        <f t="shared" ca="1" si="7"/>
        <v>3.6186454130435752</v>
      </c>
      <c r="C114" s="468">
        <f t="shared" ca="1" si="8"/>
        <v>0</v>
      </c>
      <c r="D114" s="234"/>
      <c r="E114" s="234"/>
      <c r="F114" s="234"/>
      <c r="G114" s="234"/>
      <c r="H114" s="234"/>
      <c r="I114" s="234"/>
      <c r="J114" s="234"/>
      <c r="K114" s="449"/>
      <c r="L114" s="234"/>
      <c r="M114" s="234"/>
      <c r="N114" s="234"/>
    </row>
    <row r="115" spans="1:14" x14ac:dyDescent="0.35">
      <c r="A115" s="465">
        <v>98</v>
      </c>
      <c r="B115" s="466">
        <f t="shared" ca="1" si="7"/>
        <v>17.286331403531619</v>
      </c>
      <c r="C115" s="468">
        <f t="shared" ca="1" si="8"/>
        <v>2</v>
      </c>
      <c r="D115" s="234"/>
      <c r="E115" s="234"/>
      <c r="F115" s="234"/>
      <c r="G115" s="234"/>
      <c r="H115" s="234"/>
      <c r="I115" s="234"/>
      <c r="J115" s="234"/>
      <c r="K115" s="449"/>
      <c r="L115" s="234"/>
      <c r="M115" s="234"/>
      <c r="N115" s="234"/>
    </row>
    <row r="116" spans="1:14" x14ac:dyDescent="0.35">
      <c r="A116" s="465">
        <v>99</v>
      </c>
      <c r="B116" s="466">
        <f t="shared" ca="1" si="7"/>
        <v>37.175382099643372</v>
      </c>
      <c r="C116" s="468">
        <f t="shared" ca="1" si="8"/>
        <v>3</v>
      </c>
      <c r="D116" s="234"/>
      <c r="E116" s="234"/>
      <c r="F116" s="234"/>
      <c r="G116" s="234"/>
      <c r="H116" s="234"/>
      <c r="I116" s="234"/>
      <c r="J116" s="234"/>
      <c r="K116" s="449"/>
      <c r="L116" s="234"/>
      <c r="M116" s="234"/>
      <c r="N116" s="234"/>
    </row>
    <row r="117" spans="1:14" x14ac:dyDescent="0.35">
      <c r="A117" s="465">
        <v>100</v>
      </c>
      <c r="B117" s="466">
        <f t="shared" ca="1" si="7"/>
        <v>40.452700036758117</v>
      </c>
      <c r="C117" s="468">
        <f t="shared" ca="1" si="8"/>
        <v>3</v>
      </c>
      <c r="D117" s="234"/>
      <c r="E117" s="234"/>
      <c r="F117" s="234"/>
      <c r="G117" s="234"/>
      <c r="H117" s="234"/>
      <c r="I117" s="234"/>
      <c r="J117" s="234"/>
      <c r="K117" s="449"/>
      <c r="L117" s="234"/>
      <c r="M117" s="234"/>
      <c r="N117" s="234"/>
    </row>
    <row r="118" spans="1:14" x14ac:dyDescent="0.35">
      <c r="A118" s="465">
        <v>101</v>
      </c>
      <c r="B118" s="466">
        <f t="shared" ca="1" si="7"/>
        <v>96.703886786507539</v>
      </c>
      <c r="C118" s="468">
        <f t="shared" ca="1" si="8"/>
        <v>5</v>
      </c>
      <c r="D118" s="234"/>
      <c r="E118" s="234"/>
      <c r="F118" s="234"/>
      <c r="G118" s="234"/>
      <c r="H118" s="234"/>
      <c r="I118" s="234"/>
      <c r="J118" s="234"/>
      <c r="K118" s="449"/>
      <c r="L118" s="234"/>
      <c r="M118" s="234"/>
      <c r="N118" s="234"/>
    </row>
    <row r="119" spans="1:14" x14ac:dyDescent="0.35">
      <c r="A119" s="465">
        <v>102</v>
      </c>
      <c r="B119" s="466">
        <f t="shared" ca="1" si="7"/>
        <v>33.338437805363021</v>
      </c>
      <c r="C119" s="468">
        <f t="shared" ca="1" si="8"/>
        <v>2</v>
      </c>
      <c r="D119" s="234"/>
      <c r="E119" s="234"/>
      <c r="F119" s="234"/>
      <c r="G119" s="234"/>
      <c r="H119" s="234"/>
      <c r="I119" s="234"/>
      <c r="J119" s="234"/>
      <c r="K119" s="449"/>
      <c r="L119" s="234"/>
      <c r="M119" s="234"/>
      <c r="N119" s="234"/>
    </row>
    <row r="120" spans="1:14" x14ac:dyDescent="0.35">
      <c r="A120" s="465">
        <v>103</v>
      </c>
      <c r="B120" s="466">
        <f t="shared" ca="1" si="7"/>
        <v>65.986662639762272</v>
      </c>
      <c r="C120" s="468">
        <f t="shared" ca="1" si="8"/>
        <v>4</v>
      </c>
      <c r="D120" s="234"/>
      <c r="E120" s="234"/>
      <c r="F120" s="234"/>
      <c r="G120" s="234"/>
      <c r="H120" s="234"/>
      <c r="I120" s="234"/>
      <c r="J120" s="234"/>
      <c r="K120" s="449"/>
      <c r="L120" s="234"/>
      <c r="M120" s="234"/>
      <c r="N120" s="234"/>
    </row>
    <row r="121" spans="1:14" x14ac:dyDescent="0.35">
      <c r="A121" s="465">
        <v>104</v>
      </c>
      <c r="B121" s="466">
        <f t="shared" ca="1" si="7"/>
        <v>86.546426736890112</v>
      </c>
      <c r="C121" s="468">
        <f t="shared" ca="1" si="8"/>
        <v>5</v>
      </c>
      <c r="D121" s="234"/>
      <c r="E121" s="234"/>
      <c r="F121" s="234"/>
      <c r="G121" s="234"/>
      <c r="H121" s="234"/>
      <c r="I121" s="234"/>
      <c r="J121" s="234"/>
      <c r="K121" s="449"/>
      <c r="L121" s="234"/>
      <c r="M121" s="234"/>
      <c r="N121" s="234"/>
    </row>
    <row r="122" spans="1:14" x14ac:dyDescent="0.35">
      <c r="A122" s="465">
        <v>105</v>
      </c>
      <c r="B122" s="466">
        <f t="shared" ca="1" si="7"/>
        <v>65.880821681561144</v>
      </c>
      <c r="C122" s="468">
        <f t="shared" ca="1" si="8"/>
        <v>4</v>
      </c>
      <c r="D122" s="234"/>
      <c r="E122" s="234"/>
      <c r="F122" s="234"/>
      <c r="G122" s="234"/>
      <c r="H122" s="234"/>
      <c r="I122" s="234"/>
      <c r="J122" s="234"/>
      <c r="K122" s="449"/>
      <c r="L122" s="234"/>
      <c r="M122" s="234"/>
      <c r="N122" s="234"/>
    </row>
    <row r="123" spans="1:14" x14ac:dyDescent="0.35">
      <c r="A123" s="465">
        <v>106</v>
      </c>
      <c r="B123" s="466">
        <f t="shared" ca="1" si="7"/>
        <v>50.215418686302812</v>
      </c>
      <c r="C123" s="468">
        <f t="shared" ca="1" si="8"/>
        <v>3</v>
      </c>
      <c r="D123" s="234"/>
      <c r="E123" s="234"/>
      <c r="F123" s="234"/>
      <c r="G123" s="234"/>
      <c r="H123" s="234"/>
      <c r="I123" s="234"/>
      <c r="J123" s="234"/>
      <c r="K123" s="449"/>
      <c r="L123" s="234"/>
      <c r="M123" s="234"/>
      <c r="N123" s="234"/>
    </row>
    <row r="124" spans="1:14" x14ac:dyDescent="0.35">
      <c r="A124" s="465">
        <v>107</v>
      </c>
      <c r="B124" s="466">
        <f t="shared" ca="1" si="7"/>
        <v>49.776680166668186</v>
      </c>
      <c r="C124" s="468">
        <f t="shared" ca="1" si="8"/>
        <v>3</v>
      </c>
      <c r="D124" s="234"/>
      <c r="E124" s="234"/>
      <c r="F124" s="234"/>
      <c r="G124" s="234"/>
      <c r="H124" s="234"/>
      <c r="I124" s="234"/>
      <c r="J124" s="234"/>
      <c r="K124" s="449"/>
      <c r="L124" s="234"/>
      <c r="M124" s="234"/>
      <c r="N124" s="234"/>
    </row>
    <row r="125" spans="1:14" x14ac:dyDescent="0.35">
      <c r="A125" s="465">
        <v>108</v>
      </c>
      <c r="B125" s="466">
        <f t="shared" ca="1" si="7"/>
        <v>20.18556690962313</v>
      </c>
      <c r="C125" s="468">
        <f t="shared" ca="1" si="8"/>
        <v>2</v>
      </c>
      <c r="D125" s="234"/>
      <c r="E125" s="234"/>
      <c r="F125" s="234"/>
      <c r="G125" s="234"/>
      <c r="H125" s="234"/>
      <c r="I125" s="234"/>
      <c r="J125" s="234"/>
      <c r="K125" s="449"/>
      <c r="L125" s="234"/>
      <c r="M125" s="234"/>
      <c r="N125" s="234"/>
    </row>
    <row r="126" spans="1:14" x14ac:dyDescent="0.35">
      <c r="A126" s="465">
        <v>109</v>
      </c>
      <c r="B126" s="466">
        <f t="shared" ca="1" si="7"/>
        <v>68.599296359653678</v>
      </c>
      <c r="C126" s="468">
        <f t="shared" ca="1" si="8"/>
        <v>4</v>
      </c>
      <c r="D126" s="234"/>
      <c r="E126" s="234"/>
      <c r="F126" s="234"/>
      <c r="G126" s="234"/>
      <c r="H126" s="234"/>
      <c r="I126" s="234"/>
      <c r="J126" s="234"/>
      <c r="K126" s="449"/>
      <c r="L126" s="234"/>
      <c r="M126" s="234"/>
      <c r="N126" s="234"/>
    </row>
    <row r="127" spans="1:14" x14ac:dyDescent="0.35">
      <c r="A127" s="465">
        <v>110</v>
      </c>
      <c r="B127" s="466">
        <f t="shared" ca="1" si="7"/>
        <v>81.273122364042237</v>
      </c>
      <c r="C127" s="468">
        <f t="shared" ca="1" si="8"/>
        <v>4</v>
      </c>
      <c r="D127" s="234"/>
      <c r="E127" s="234"/>
      <c r="F127" s="234"/>
      <c r="G127" s="234"/>
      <c r="H127" s="234"/>
      <c r="I127" s="234"/>
      <c r="J127" s="234"/>
      <c r="K127" s="449"/>
      <c r="L127" s="234"/>
      <c r="M127" s="234"/>
      <c r="N127" s="234"/>
    </row>
    <row r="128" spans="1:14" x14ac:dyDescent="0.35">
      <c r="A128" s="465">
        <v>111</v>
      </c>
      <c r="B128" s="466">
        <f t="shared" ca="1" si="7"/>
        <v>43.712247018832215</v>
      </c>
      <c r="C128" s="468">
        <f t="shared" ca="1" si="8"/>
        <v>3</v>
      </c>
      <c r="D128" s="234"/>
      <c r="E128" s="234"/>
      <c r="F128" s="234"/>
      <c r="G128" s="234"/>
      <c r="H128" s="234"/>
      <c r="I128" s="234"/>
      <c r="J128" s="234"/>
      <c r="K128" s="449"/>
      <c r="L128" s="234"/>
      <c r="M128" s="234"/>
      <c r="N128" s="234"/>
    </row>
    <row r="129" spans="1:14" x14ac:dyDescent="0.35">
      <c r="A129" s="465">
        <v>112</v>
      </c>
      <c r="B129" s="466">
        <f t="shared" ca="1" si="7"/>
        <v>18.75800024667118</v>
      </c>
      <c r="C129" s="468">
        <f t="shared" ca="1" si="8"/>
        <v>2</v>
      </c>
      <c r="D129" s="234"/>
      <c r="E129" s="234"/>
      <c r="F129" s="234"/>
      <c r="G129" s="234"/>
      <c r="H129" s="234"/>
      <c r="I129" s="234"/>
      <c r="J129" s="234"/>
      <c r="K129" s="449"/>
      <c r="L129" s="234"/>
      <c r="M129" s="234"/>
      <c r="N129" s="234"/>
    </row>
    <row r="130" spans="1:14" x14ac:dyDescent="0.35">
      <c r="A130" s="465">
        <v>113</v>
      </c>
      <c r="B130" s="466">
        <f t="shared" ca="1" si="7"/>
        <v>40.892658916323967</v>
      </c>
      <c r="C130" s="468">
        <f t="shared" ca="1" si="8"/>
        <v>3</v>
      </c>
      <c r="D130" s="234"/>
      <c r="E130" s="234"/>
      <c r="F130" s="234"/>
      <c r="G130" s="234"/>
      <c r="H130" s="234"/>
      <c r="I130" s="234"/>
      <c r="J130" s="234"/>
      <c r="K130" s="449"/>
      <c r="L130" s="234"/>
      <c r="M130" s="234"/>
      <c r="N130" s="234"/>
    </row>
    <row r="131" spans="1:14" x14ac:dyDescent="0.35">
      <c r="A131" s="465">
        <v>114</v>
      </c>
      <c r="B131" s="466">
        <f t="shared" ca="1" si="7"/>
        <v>47.669738942727527</v>
      </c>
      <c r="C131" s="468">
        <f t="shared" ca="1" si="8"/>
        <v>3</v>
      </c>
      <c r="D131" s="234"/>
      <c r="E131" s="234"/>
      <c r="F131" s="234"/>
      <c r="G131" s="234"/>
      <c r="H131" s="234"/>
      <c r="I131" s="234"/>
      <c r="J131" s="234"/>
      <c r="K131" s="449"/>
      <c r="L131" s="234"/>
      <c r="M131" s="234"/>
      <c r="N131" s="234"/>
    </row>
    <row r="132" spans="1:14" x14ac:dyDescent="0.35">
      <c r="A132" s="465">
        <v>115</v>
      </c>
      <c r="B132" s="466">
        <f t="shared" ca="1" si="7"/>
        <v>95.447510143410796</v>
      </c>
      <c r="C132" s="468">
        <f t="shared" ca="1" si="8"/>
        <v>5</v>
      </c>
      <c r="D132" s="234"/>
      <c r="E132" s="234"/>
      <c r="F132" s="234"/>
      <c r="G132" s="234"/>
      <c r="H132" s="234"/>
      <c r="I132" s="234"/>
      <c r="J132" s="234"/>
      <c r="K132" s="449"/>
      <c r="L132" s="234"/>
      <c r="M132" s="234"/>
      <c r="N132" s="234"/>
    </row>
    <row r="133" spans="1:14" x14ac:dyDescent="0.35">
      <c r="A133" s="465">
        <v>116</v>
      </c>
      <c r="B133" s="466">
        <f t="shared" ca="1" si="7"/>
        <v>82.46981475960709</v>
      </c>
      <c r="C133" s="468">
        <f t="shared" ca="1" si="8"/>
        <v>4</v>
      </c>
      <c r="D133" s="234"/>
      <c r="E133" s="234"/>
      <c r="F133" s="234"/>
      <c r="G133" s="234"/>
      <c r="H133" s="234"/>
      <c r="I133" s="234"/>
      <c r="J133" s="234"/>
      <c r="K133" s="449"/>
      <c r="L133" s="234"/>
      <c r="M133" s="234"/>
      <c r="N133" s="234"/>
    </row>
    <row r="134" spans="1:14" x14ac:dyDescent="0.35">
      <c r="A134" s="465">
        <v>117</v>
      </c>
      <c r="B134" s="466">
        <f t="shared" ca="1" si="7"/>
        <v>42.453454273532401</v>
      </c>
      <c r="C134" s="468">
        <f t="shared" ca="1" si="8"/>
        <v>3</v>
      </c>
      <c r="D134" s="234"/>
      <c r="E134" s="234"/>
      <c r="F134" s="234"/>
      <c r="G134" s="234"/>
      <c r="H134" s="234"/>
      <c r="I134" s="234"/>
      <c r="J134" s="234"/>
      <c r="K134" s="449"/>
      <c r="L134" s="234"/>
      <c r="M134" s="234"/>
      <c r="N134" s="234"/>
    </row>
    <row r="135" spans="1:14" x14ac:dyDescent="0.35">
      <c r="A135" s="465">
        <v>118</v>
      </c>
      <c r="B135" s="466">
        <f t="shared" ca="1" si="7"/>
        <v>86.917941375041067</v>
      </c>
      <c r="C135" s="468">
        <f t="shared" ca="1" si="8"/>
        <v>5</v>
      </c>
      <c r="D135" s="234"/>
      <c r="E135" s="234"/>
      <c r="F135" s="234"/>
      <c r="G135" s="234"/>
      <c r="H135" s="234"/>
      <c r="I135" s="234"/>
      <c r="J135" s="234"/>
      <c r="K135" s="449"/>
      <c r="L135" s="234"/>
      <c r="M135" s="234"/>
      <c r="N135" s="234"/>
    </row>
    <row r="136" spans="1:14" x14ac:dyDescent="0.35">
      <c r="A136" s="465">
        <v>119</v>
      </c>
      <c r="B136" s="466">
        <f t="shared" ca="1" si="7"/>
        <v>32.212972450222587</v>
      </c>
      <c r="C136" s="468">
        <f t="shared" ca="1" si="8"/>
        <v>2</v>
      </c>
      <c r="D136" s="234"/>
      <c r="E136" s="234"/>
      <c r="F136" s="234"/>
      <c r="G136" s="234"/>
      <c r="H136" s="234"/>
      <c r="I136" s="234"/>
      <c r="J136" s="234"/>
      <c r="K136" s="449"/>
      <c r="L136" s="234"/>
      <c r="M136" s="234"/>
      <c r="N136" s="234"/>
    </row>
    <row r="137" spans="1:14" x14ac:dyDescent="0.35">
      <c r="A137" s="465">
        <v>120</v>
      </c>
      <c r="B137" s="466">
        <f t="shared" ca="1" si="7"/>
        <v>36.263960694387656</v>
      </c>
      <c r="C137" s="468">
        <f t="shared" ca="1" si="8"/>
        <v>3</v>
      </c>
      <c r="D137" s="234"/>
      <c r="E137" s="234"/>
      <c r="F137" s="234"/>
      <c r="G137" s="234"/>
      <c r="H137" s="234"/>
      <c r="I137" s="234"/>
      <c r="J137" s="234"/>
      <c r="K137" s="449"/>
      <c r="L137" s="234"/>
      <c r="M137" s="234"/>
      <c r="N137" s="234"/>
    </row>
    <row r="138" spans="1:14" x14ac:dyDescent="0.35">
      <c r="A138" s="465">
        <v>121</v>
      </c>
      <c r="B138" s="466">
        <f t="shared" ca="1" si="7"/>
        <v>29.784208972379091</v>
      </c>
      <c r="C138" s="468">
        <f t="shared" ca="1" si="8"/>
        <v>2</v>
      </c>
      <c r="D138" s="234"/>
      <c r="E138" s="234"/>
      <c r="F138" s="234"/>
      <c r="G138" s="234"/>
      <c r="H138" s="234"/>
      <c r="I138" s="234"/>
      <c r="J138" s="234"/>
      <c r="K138" s="449"/>
      <c r="L138" s="234"/>
      <c r="M138" s="234"/>
      <c r="N138" s="234"/>
    </row>
    <row r="139" spans="1:14" x14ac:dyDescent="0.35">
      <c r="A139" s="465">
        <v>122</v>
      </c>
      <c r="B139" s="466">
        <f t="shared" ca="1" si="7"/>
        <v>75.699319230804491</v>
      </c>
      <c r="C139" s="468">
        <f t="shared" ca="1" si="8"/>
        <v>4</v>
      </c>
      <c r="D139" s="234"/>
      <c r="E139" s="234"/>
      <c r="F139" s="234"/>
      <c r="G139" s="234"/>
      <c r="H139" s="234"/>
      <c r="I139" s="234"/>
      <c r="J139" s="234"/>
      <c r="K139" s="449"/>
      <c r="L139" s="234"/>
      <c r="M139" s="234"/>
      <c r="N139" s="234"/>
    </row>
    <row r="140" spans="1:14" x14ac:dyDescent="0.35">
      <c r="A140" s="465">
        <v>123</v>
      </c>
      <c r="B140" s="466">
        <f t="shared" ca="1" si="7"/>
        <v>44.25903339972578</v>
      </c>
      <c r="C140" s="468">
        <f t="shared" ca="1" si="8"/>
        <v>3</v>
      </c>
      <c r="D140" s="234"/>
      <c r="E140" s="234"/>
      <c r="F140" s="234"/>
      <c r="G140" s="234"/>
      <c r="H140" s="234"/>
      <c r="I140" s="234"/>
      <c r="J140" s="234"/>
      <c r="K140" s="449"/>
      <c r="L140" s="234"/>
      <c r="M140" s="234"/>
      <c r="N140" s="234"/>
    </row>
    <row r="141" spans="1:14" x14ac:dyDescent="0.35">
      <c r="A141" s="465">
        <v>124</v>
      </c>
      <c r="B141" s="466">
        <f t="shared" ca="1" si="7"/>
        <v>91.7523706066751</v>
      </c>
      <c r="C141" s="468">
        <f t="shared" ca="1" si="8"/>
        <v>5</v>
      </c>
      <c r="D141" s="234"/>
      <c r="E141" s="234"/>
      <c r="F141" s="234"/>
      <c r="G141" s="234"/>
      <c r="H141" s="234"/>
      <c r="I141" s="234"/>
      <c r="J141" s="234"/>
      <c r="K141" s="449"/>
      <c r="L141" s="234"/>
      <c r="M141" s="234"/>
      <c r="N141" s="234"/>
    </row>
    <row r="142" spans="1:14" x14ac:dyDescent="0.35">
      <c r="A142" s="465">
        <v>125</v>
      </c>
      <c r="B142" s="466">
        <f t="shared" ca="1" si="7"/>
        <v>22.687469573420927</v>
      </c>
      <c r="C142" s="468">
        <f t="shared" ca="1" si="8"/>
        <v>2</v>
      </c>
      <c r="D142" s="234"/>
      <c r="E142" s="234"/>
      <c r="F142" s="234"/>
      <c r="G142" s="234"/>
      <c r="H142" s="234"/>
      <c r="I142" s="234"/>
      <c r="J142" s="234"/>
      <c r="K142" s="449"/>
      <c r="L142" s="234"/>
      <c r="M142" s="234"/>
      <c r="N142" s="234"/>
    </row>
    <row r="143" spans="1:14" x14ac:dyDescent="0.35">
      <c r="A143" s="465">
        <v>126</v>
      </c>
      <c r="B143" s="466">
        <f t="shared" ca="1" si="7"/>
        <v>29.956533423325936</v>
      </c>
      <c r="C143" s="468">
        <f t="shared" ca="1" si="8"/>
        <v>2</v>
      </c>
      <c r="D143" s="234"/>
      <c r="E143" s="234"/>
      <c r="F143" s="234"/>
      <c r="G143" s="234"/>
      <c r="H143" s="234"/>
      <c r="I143" s="234"/>
      <c r="J143" s="234"/>
      <c r="K143" s="449"/>
      <c r="L143" s="234"/>
      <c r="M143" s="234"/>
      <c r="N143" s="234"/>
    </row>
    <row r="144" spans="1:14" x14ac:dyDescent="0.35">
      <c r="A144" s="465">
        <v>127</v>
      </c>
      <c r="B144" s="466">
        <f t="shared" ca="1" si="7"/>
        <v>57.879327611091014</v>
      </c>
      <c r="C144" s="468">
        <f t="shared" ca="1" si="8"/>
        <v>3</v>
      </c>
      <c r="D144" s="234"/>
      <c r="E144" s="234"/>
      <c r="F144" s="234"/>
      <c r="G144" s="234"/>
      <c r="H144" s="234"/>
      <c r="I144" s="234"/>
      <c r="J144" s="234"/>
      <c r="K144" s="449"/>
      <c r="L144" s="234"/>
      <c r="M144" s="234"/>
      <c r="N144" s="234"/>
    </row>
    <row r="145" spans="1:14" x14ac:dyDescent="0.35">
      <c r="A145" s="465">
        <v>128</v>
      </c>
      <c r="B145" s="466">
        <f t="shared" ca="1" si="7"/>
        <v>3.4864652737779056</v>
      </c>
      <c r="C145" s="468">
        <f t="shared" ca="1" si="8"/>
        <v>0</v>
      </c>
      <c r="D145" s="234"/>
      <c r="E145" s="234"/>
      <c r="F145" s="234"/>
      <c r="G145" s="234"/>
      <c r="H145" s="234"/>
      <c r="I145" s="234"/>
      <c r="J145" s="234"/>
      <c r="K145" s="449"/>
      <c r="L145" s="234"/>
      <c r="M145" s="234"/>
      <c r="N145" s="234"/>
    </row>
    <row r="146" spans="1:14" x14ac:dyDescent="0.35">
      <c r="A146" s="465">
        <v>129</v>
      </c>
      <c r="B146" s="466">
        <f t="shared" ca="1" si="7"/>
        <v>50.656559556442382</v>
      </c>
      <c r="C146" s="468">
        <f t="shared" ca="1" si="8"/>
        <v>3</v>
      </c>
      <c r="D146" s="234"/>
      <c r="E146" s="234"/>
      <c r="F146" s="234"/>
      <c r="G146" s="234"/>
      <c r="H146" s="234"/>
      <c r="I146" s="234"/>
      <c r="J146" s="234"/>
      <c r="K146" s="449"/>
      <c r="L146" s="234"/>
      <c r="M146" s="234"/>
      <c r="N146" s="234"/>
    </row>
    <row r="147" spans="1:14" x14ac:dyDescent="0.35">
      <c r="A147" s="465">
        <v>130</v>
      </c>
      <c r="B147" s="466">
        <f t="shared" ref="B147:B210" ca="1" si="9">100*RAND()</f>
        <v>72.87859320820391</v>
      </c>
      <c r="C147" s="468">
        <f t="shared" ref="C147:C210" ca="1" si="10">VLOOKUP(B147,$A$8:$C$13,3)</f>
        <v>4</v>
      </c>
      <c r="D147" s="234"/>
      <c r="E147" s="234"/>
      <c r="F147" s="234"/>
      <c r="G147" s="234"/>
      <c r="H147" s="234"/>
      <c r="I147" s="234"/>
      <c r="J147" s="234"/>
      <c r="K147" s="449"/>
      <c r="L147" s="234"/>
      <c r="M147" s="234"/>
      <c r="N147" s="234"/>
    </row>
    <row r="148" spans="1:14" x14ac:dyDescent="0.35">
      <c r="A148" s="465">
        <v>131</v>
      </c>
      <c r="B148" s="466">
        <f t="shared" ca="1" si="9"/>
        <v>81.918532390320152</v>
      </c>
      <c r="C148" s="468">
        <f t="shared" ca="1" si="10"/>
        <v>4</v>
      </c>
      <c r="D148" s="234"/>
      <c r="E148" s="234"/>
      <c r="F148" s="234"/>
      <c r="G148" s="234"/>
      <c r="H148" s="234"/>
      <c r="I148" s="234"/>
      <c r="J148" s="234"/>
      <c r="K148" s="449"/>
      <c r="L148" s="234"/>
      <c r="M148" s="234"/>
      <c r="N148" s="234"/>
    </row>
    <row r="149" spans="1:14" x14ac:dyDescent="0.35">
      <c r="A149" s="465">
        <v>132</v>
      </c>
      <c r="B149" s="466">
        <f t="shared" ca="1" si="9"/>
        <v>57.801171412152506</v>
      </c>
      <c r="C149" s="468">
        <f t="shared" ca="1" si="10"/>
        <v>3</v>
      </c>
      <c r="D149" s="234"/>
      <c r="E149" s="234"/>
      <c r="F149" s="234"/>
      <c r="G149" s="234"/>
      <c r="H149" s="234"/>
      <c r="I149" s="234"/>
      <c r="J149" s="234"/>
      <c r="K149" s="449"/>
      <c r="L149" s="234"/>
      <c r="M149" s="234"/>
      <c r="N149" s="234"/>
    </row>
    <row r="150" spans="1:14" x14ac:dyDescent="0.35">
      <c r="A150" s="465">
        <v>133</v>
      </c>
      <c r="B150" s="466">
        <f t="shared" ca="1" si="9"/>
        <v>2.0359512123540147</v>
      </c>
      <c r="C150" s="468">
        <f t="shared" ca="1" si="10"/>
        <v>0</v>
      </c>
      <c r="D150" s="234"/>
      <c r="E150" s="234"/>
      <c r="F150" s="234"/>
      <c r="G150" s="234"/>
      <c r="H150" s="234"/>
      <c r="I150" s="234"/>
      <c r="J150" s="234"/>
      <c r="K150" s="449"/>
      <c r="L150" s="234"/>
      <c r="M150" s="234"/>
      <c r="N150" s="234"/>
    </row>
    <row r="151" spans="1:14" x14ac:dyDescent="0.35">
      <c r="A151" s="465">
        <v>134</v>
      </c>
      <c r="B151" s="466">
        <f t="shared" ca="1" si="9"/>
        <v>95.141410313105638</v>
      </c>
      <c r="C151" s="468">
        <f t="shared" ca="1" si="10"/>
        <v>5</v>
      </c>
      <c r="D151" s="234"/>
      <c r="E151" s="234"/>
      <c r="F151" s="234"/>
      <c r="G151" s="234"/>
      <c r="H151" s="234"/>
      <c r="I151" s="234"/>
      <c r="J151" s="234"/>
      <c r="K151" s="449"/>
      <c r="L151" s="234"/>
      <c r="M151" s="234"/>
      <c r="N151" s="234"/>
    </row>
    <row r="152" spans="1:14" x14ac:dyDescent="0.35">
      <c r="A152" s="465">
        <v>135</v>
      </c>
      <c r="B152" s="466">
        <f t="shared" ca="1" si="9"/>
        <v>19.222535061052238</v>
      </c>
      <c r="C152" s="468">
        <f t="shared" ca="1" si="10"/>
        <v>2</v>
      </c>
      <c r="D152" s="234"/>
      <c r="E152" s="234"/>
      <c r="F152" s="234"/>
      <c r="G152" s="234"/>
      <c r="H152" s="234"/>
      <c r="I152" s="234"/>
      <c r="J152" s="234"/>
      <c r="K152" s="449"/>
      <c r="L152" s="234"/>
      <c r="M152" s="234"/>
      <c r="N152" s="234"/>
    </row>
    <row r="153" spans="1:14" x14ac:dyDescent="0.35">
      <c r="A153" s="465">
        <v>136</v>
      </c>
      <c r="B153" s="466">
        <f t="shared" ca="1" si="9"/>
        <v>12.304707828538252</v>
      </c>
      <c r="C153" s="468">
        <f t="shared" ca="1" si="10"/>
        <v>1</v>
      </c>
      <c r="D153" s="234"/>
      <c r="E153" s="234"/>
      <c r="F153" s="234"/>
      <c r="G153" s="234"/>
      <c r="H153" s="234"/>
      <c r="I153" s="234"/>
      <c r="J153" s="234"/>
      <c r="K153" s="449"/>
      <c r="L153" s="234"/>
      <c r="M153" s="234"/>
      <c r="N153" s="234"/>
    </row>
    <row r="154" spans="1:14" x14ac:dyDescent="0.35">
      <c r="A154" s="465">
        <v>137</v>
      </c>
      <c r="B154" s="466">
        <f t="shared" ca="1" si="9"/>
        <v>4.5772687976843081</v>
      </c>
      <c r="C154" s="468">
        <f t="shared" ca="1" si="10"/>
        <v>0</v>
      </c>
      <c r="D154" s="234"/>
      <c r="E154" s="234"/>
      <c r="F154" s="234"/>
      <c r="G154" s="234"/>
      <c r="H154" s="234"/>
      <c r="I154" s="234"/>
      <c r="J154" s="234"/>
      <c r="K154" s="449"/>
      <c r="L154" s="234"/>
      <c r="M154" s="234"/>
      <c r="N154" s="234"/>
    </row>
    <row r="155" spans="1:14" x14ac:dyDescent="0.35">
      <c r="A155" s="465">
        <v>138</v>
      </c>
      <c r="B155" s="466">
        <f t="shared" ca="1" si="9"/>
        <v>83.702449791429672</v>
      </c>
      <c r="C155" s="468">
        <f t="shared" ca="1" si="10"/>
        <v>4</v>
      </c>
      <c r="D155" s="234"/>
      <c r="E155" s="234"/>
      <c r="F155" s="234"/>
      <c r="G155" s="234"/>
      <c r="H155" s="234"/>
      <c r="I155" s="234"/>
      <c r="J155" s="234"/>
      <c r="K155" s="449"/>
      <c r="L155" s="234"/>
      <c r="M155" s="234"/>
      <c r="N155" s="234"/>
    </row>
    <row r="156" spans="1:14" x14ac:dyDescent="0.35">
      <c r="A156" s="465">
        <v>139</v>
      </c>
      <c r="B156" s="466">
        <f t="shared" ca="1" si="9"/>
        <v>2.3838873898805013</v>
      </c>
      <c r="C156" s="468">
        <f t="shared" ca="1" si="10"/>
        <v>0</v>
      </c>
      <c r="D156" s="234"/>
      <c r="E156" s="234"/>
      <c r="F156" s="234"/>
      <c r="G156" s="234"/>
      <c r="H156" s="234"/>
      <c r="I156" s="234"/>
      <c r="J156" s="234"/>
      <c r="K156" s="449"/>
      <c r="L156" s="234"/>
      <c r="M156" s="234"/>
      <c r="N156" s="234"/>
    </row>
    <row r="157" spans="1:14" x14ac:dyDescent="0.35">
      <c r="A157" s="465">
        <v>140</v>
      </c>
      <c r="B157" s="466">
        <f t="shared" ca="1" si="9"/>
        <v>65.537980296475254</v>
      </c>
      <c r="C157" s="468">
        <f t="shared" ca="1" si="10"/>
        <v>4</v>
      </c>
      <c r="D157" s="234"/>
      <c r="E157" s="234"/>
      <c r="F157" s="234"/>
      <c r="G157" s="234"/>
      <c r="H157" s="234"/>
      <c r="I157" s="234"/>
      <c r="J157" s="234"/>
      <c r="K157" s="449"/>
      <c r="L157" s="234"/>
      <c r="M157" s="234"/>
      <c r="N157" s="234"/>
    </row>
    <row r="158" spans="1:14" x14ac:dyDescent="0.35">
      <c r="A158" s="465">
        <v>141</v>
      </c>
      <c r="B158" s="466">
        <f t="shared" ca="1" si="9"/>
        <v>65.543800541186656</v>
      </c>
      <c r="C158" s="468">
        <f t="shared" ca="1" si="10"/>
        <v>4</v>
      </c>
      <c r="D158" s="234"/>
      <c r="E158" s="234"/>
      <c r="F158" s="234"/>
      <c r="G158" s="234"/>
      <c r="H158" s="234"/>
      <c r="I158" s="234"/>
      <c r="J158" s="234"/>
      <c r="K158" s="449"/>
      <c r="L158" s="234"/>
      <c r="M158" s="234"/>
      <c r="N158" s="234"/>
    </row>
    <row r="159" spans="1:14" x14ac:dyDescent="0.35">
      <c r="A159" s="465">
        <v>142</v>
      </c>
      <c r="B159" s="466">
        <f t="shared" ca="1" si="9"/>
        <v>28.637819038386258</v>
      </c>
      <c r="C159" s="468">
        <f t="shared" ca="1" si="10"/>
        <v>2</v>
      </c>
      <c r="D159" s="234"/>
      <c r="E159" s="234"/>
      <c r="F159" s="234"/>
      <c r="G159" s="234"/>
      <c r="H159" s="234"/>
      <c r="I159" s="234"/>
      <c r="J159" s="234"/>
      <c r="K159" s="449"/>
      <c r="L159" s="234"/>
      <c r="M159" s="234"/>
      <c r="N159" s="234"/>
    </row>
    <row r="160" spans="1:14" x14ac:dyDescent="0.35">
      <c r="A160" s="465">
        <v>143</v>
      </c>
      <c r="B160" s="466">
        <f t="shared" ca="1" si="9"/>
        <v>31.298569606017569</v>
      </c>
      <c r="C160" s="468">
        <f t="shared" ca="1" si="10"/>
        <v>2</v>
      </c>
      <c r="D160" s="234"/>
      <c r="E160" s="234"/>
      <c r="F160" s="234"/>
      <c r="G160" s="234"/>
      <c r="H160" s="234"/>
      <c r="I160" s="234"/>
      <c r="J160" s="234"/>
      <c r="K160" s="449"/>
      <c r="L160" s="234"/>
      <c r="M160" s="234"/>
      <c r="N160" s="234"/>
    </row>
    <row r="161" spans="1:14" x14ac:dyDescent="0.35">
      <c r="A161" s="465">
        <v>144</v>
      </c>
      <c r="B161" s="466">
        <f t="shared" ca="1" si="9"/>
        <v>84.177435484348578</v>
      </c>
      <c r="C161" s="468">
        <f t="shared" ca="1" si="10"/>
        <v>4</v>
      </c>
      <c r="D161" s="234"/>
      <c r="E161" s="234"/>
      <c r="F161" s="234"/>
      <c r="G161" s="234"/>
      <c r="H161" s="234"/>
      <c r="I161" s="234"/>
      <c r="J161" s="234"/>
      <c r="K161" s="449"/>
      <c r="L161" s="234"/>
      <c r="M161" s="234"/>
      <c r="N161" s="234"/>
    </row>
    <row r="162" spans="1:14" x14ac:dyDescent="0.35">
      <c r="A162" s="465">
        <v>145</v>
      </c>
      <c r="B162" s="466">
        <f t="shared" ca="1" si="9"/>
        <v>22.138446356693208</v>
      </c>
      <c r="C162" s="468">
        <f t="shared" ca="1" si="10"/>
        <v>2</v>
      </c>
      <c r="D162" s="234"/>
      <c r="E162" s="234"/>
      <c r="F162" s="234"/>
      <c r="G162" s="234"/>
      <c r="H162" s="234"/>
      <c r="I162" s="234"/>
      <c r="J162" s="234"/>
      <c r="K162" s="449"/>
      <c r="L162" s="234"/>
      <c r="M162" s="234"/>
      <c r="N162" s="234"/>
    </row>
    <row r="163" spans="1:14" x14ac:dyDescent="0.35">
      <c r="A163" s="465">
        <v>146</v>
      </c>
      <c r="B163" s="466">
        <f t="shared" ca="1" si="9"/>
        <v>3.5764658327221865</v>
      </c>
      <c r="C163" s="468">
        <f t="shared" ca="1" si="10"/>
        <v>0</v>
      </c>
      <c r="D163" s="234"/>
      <c r="E163" s="234"/>
      <c r="F163" s="234"/>
      <c r="G163" s="234"/>
      <c r="H163" s="234"/>
      <c r="I163" s="234"/>
      <c r="J163" s="234"/>
      <c r="K163" s="449"/>
      <c r="L163" s="234"/>
      <c r="M163" s="234"/>
      <c r="N163" s="234"/>
    </row>
    <row r="164" spans="1:14" x14ac:dyDescent="0.35">
      <c r="A164" s="465">
        <v>147</v>
      </c>
      <c r="B164" s="466">
        <f t="shared" ca="1" si="9"/>
        <v>38.746485294338086</v>
      </c>
      <c r="C164" s="468">
        <f t="shared" ca="1" si="10"/>
        <v>3</v>
      </c>
      <c r="D164" s="234"/>
      <c r="E164" s="234"/>
      <c r="F164" s="234"/>
      <c r="G164" s="234"/>
      <c r="H164" s="234"/>
      <c r="I164" s="234"/>
      <c r="J164" s="234"/>
      <c r="K164" s="449"/>
      <c r="L164" s="234"/>
      <c r="M164" s="234"/>
      <c r="N164" s="234"/>
    </row>
    <row r="165" spans="1:14" x14ac:dyDescent="0.35">
      <c r="A165" s="465">
        <v>148</v>
      </c>
      <c r="B165" s="466">
        <f t="shared" ca="1" si="9"/>
        <v>40.466623421242453</v>
      </c>
      <c r="C165" s="468">
        <f t="shared" ca="1" si="10"/>
        <v>3</v>
      </c>
      <c r="D165" s="234"/>
      <c r="E165" s="234"/>
      <c r="F165" s="234"/>
      <c r="G165" s="234"/>
      <c r="H165" s="234"/>
      <c r="I165" s="234"/>
      <c r="J165" s="234"/>
      <c r="K165" s="449"/>
      <c r="L165" s="234"/>
      <c r="M165" s="234"/>
      <c r="N165" s="234"/>
    </row>
    <row r="166" spans="1:14" x14ac:dyDescent="0.35">
      <c r="A166" s="465">
        <v>149</v>
      </c>
      <c r="B166" s="466">
        <f t="shared" ca="1" si="9"/>
        <v>3.7377744857549633</v>
      </c>
      <c r="C166" s="468">
        <f t="shared" ca="1" si="10"/>
        <v>0</v>
      </c>
      <c r="D166" s="234"/>
      <c r="E166" s="234"/>
      <c r="F166" s="234"/>
      <c r="G166" s="234"/>
      <c r="H166" s="234"/>
      <c r="I166" s="234"/>
      <c r="J166" s="234"/>
      <c r="K166" s="449"/>
      <c r="L166" s="234"/>
      <c r="M166" s="234"/>
      <c r="N166" s="234"/>
    </row>
    <row r="167" spans="1:14" x14ac:dyDescent="0.35">
      <c r="A167" s="465">
        <v>150</v>
      </c>
      <c r="B167" s="466">
        <f t="shared" ca="1" si="9"/>
        <v>73.820220825530853</v>
      </c>
      <c r="C167" s="468">
        <f t="shared" ca="1" si="10"/>
        <v>4</v>
      </c>
      <c r="D167" s="234"/>
      <c r="E167" s="234"/>
      <c r="F167" s="234"/>
      <c r="G167" s="234"/>
      <c r="H167" s="234"/>
      <c r="I167" s="234"/>
      <c r="J167" s="234"/>
      <c r="K167" s="449"/>
      <c r="L167" s="234"/>
      <c r="M167" s="234"/>
      <c r="N167" s="234"/>
    </row>
    <row r="168" spans="1:14" x14ac:dyDescent="0.35">
      <c r="A168" s="465">
        <v>151</v>
      </c>
      <c r="B168" s="466">
        <f t="shared" ca="1" si="9"/>
        <v>24.8919168631327</v>
      </c>
      <c r="C168" s="468">
        <f t="shared" ca="1" si="10"/>
        <v>2</v>
      </c>
      <c r="D168" s="234"/>
      <c r="E168" s="234"/>
      <c r="F168" s="234"/>
      <c r="G168" s="234"/>
      <c r="H168" s="234"/>
      <c r="I168" s="234"/>
      <c r="J168" s="234"/>
      <c r="K168" s="449"/>
      <c r="L168" s="234"/>
      <c r="M168" s="234"/>
      <c r="N168" s="234"/>
    </row>
    <row r="169" spans="1:14" x14ac:dyDescent="0.35">
      <c r="A169" s="465">
        <v>152</v>
      </c>
      <c r="B169" s="466">
        <f t="shared" ca="1" si="9"/>
        <v>25.210897985254022</v>
      </c>
      <c r="C169" s="468">
        <f t="shared" ca="1" si="10"/>
        <v>2</v>
      </c>
      <c r="D169" s="234"/>
      <c r="E169" s="234"/>
      <c r="F169" s="234"/>
      <c r="G169" s="234"/>
      <c r="H169" s="234"/>
      <c r="I169" s="234"/>
      <c r="J169" s="234"/>
      <c r="K169" s="449"/>
      <c r="L169" s="234"/>
      <c r="M169" s="234"/>
      <c r="N169" s="234"/>
    </row>
    <row r="170" spans="1:14" x14ac:dyDescent="0.35">
      <c r="A170" s="465">
        <v>153</v>
      </c>
      <c r="B170" s="466">
        <f t="shared" ca="1" si="9"/>
        <v>54.401459353287528</v>
      </c>
      <c r="C170" s="468">
        <f t="shared" ca="1" si="10"/>
        <v>3</v>
      </c>
      <c r="D170" s="234"/>
      <c r="E170" s="234"/>
      <c r="F170" s="234"/>
      <c r="G170" s="234"/>
      <c r="H170" s="234"/>
      <c r="I170" s="234"/>
      <c r="J170" s="234"/>
      <c r="K170" s="449"/>
      <c r="L170" s="234"/>
      <c r="M170" s="234"/>
      <c r="N170" s="234"/>
    </row>
    <row r="171" spans="1:14" x14ac:dyDescent="0.35">
      <c r="A171" s="465">
        <v>154</v>
      </c>
      <c r="B171" s="466">
        <f t="shared" ca="1" si="9"/>
        <v>14.34168567219597</v>
      </c>
      <c r="C171" s="468">
        <f t="shared" ca="1" si="10"/>
        <v>1</v>
      </c>
      <c r="D171" s="234"/>
      <c r="E171" s="234"/>
      <c r="F171" s="234"/>
      <c r="G171" s="234"/>
      <c r="H171" s="234"/>
      <c r="I171" s="234"/>
      <c r="J171" s="234"/>
      <c r="K171" s="449"/>
      <c r="L171" s="234"/>
      <c r="M171" s="234"/>
      <c r="N171" s="234"/>
    </row>
    <row r="172" spans="1:14" x14ac:dyDescent="0.35">
      <c r="A172" s="465">
        <v>155</v>
      </c>
      <c r="B172" s="466">
        <f t="shared" ca="1" si="9"/>
        <v>50.667131838281556</v>
      </c>
      <c r="C172" s="468">
        <f t="shared" ca="1" si="10"/>
        <v>3</v>
      </c>
      <c r="D172" s="234"/>
      <c r="E172" s="234"/>
      <c r="F172" s="234"/>
      <c r="G172" s="234"/>
      <c r="H172" s="234"/>
      <c r="I172" s="234"/>
      <c r="J172" s="234"/>
      <c r="K172" s="449"/>
      <c r="L172" s="234"/>
      <c r="M172" s="234"/>
      <c r="N172" s="234"/>
    </row>
    <row r="173" spans="1:14" x14ac:dyDescent="0.35">
      <c r="A173" s="465">
        <v>156</v>
      </c>
      <c r="B173" s="466">
        <f t="shared" ca="1" si="9"/>
        <v>1.4911653299306216</v>
      </c>
      <c r="C173" s="468">
        <f t="shared" ca="1" si="10"/>
        <v>0</v>
      </c>
      <c r="D173" s="234"/>
      <c r="E173" s="234"/>
      <c r="F173" s="234"/>
      <c r="G173" s="234"/>
      <c r="H173" s="234"/>
      <c r="I173" s="234"/>
      <c r="J173" s="234"/>
      <c r="K173" s="449"/>
      <c r="L173" s="234"/>
      <c r="M173" s="234"/>
      <c r="N173" s="234"/>
    </row>
    <row r="174" spans="1:14" x14ac:dyDescent="0.35">
      <c r="A174" s="465">
        <v>157</v>
      </c>
      <c r="B174" s="466">
        <f t="shared" ca="1" si="9"/>
        <v>42.564510328181569</v>
      </c>
      <c r="C174" s="468">
        <f t="shared" ca="1" si="10"/>
        <v>3</v>
      </c>
      <c r="D174" s="234"/>
      <c r="E174" s="234"/>
      <c r="F174" s="234"/>
      <c r="G174" s="234"/>
      <c r="H174" s="234"/>
      <c r="I174" s="234"/>
      <c r="J174" s="234"/>
      <c r="K174" s="449"/>
      <c r="L174" s="234"/>
      <c r="M174" s="234"/>
      <c r="N174" s="234"/>
    </row>
    <row r="175" spans="1:14" x14ac:dyDescent="0.35">
      <c r="A175" s="465">
        <v>158</v>
      </c>
      <c r="B175" s="466">
        <f t="shared" ca="1" si="9"/>
        <v>2.8823093098932717</v>
      </c>
      <c r="C175" s="468">
        <f t="shared" ca="1" si="10"/>
        <v>0</v>
      </c>
      <c r="D175" s="234"/>
      <c r="E175" s="234"/>
      <c r="F175" s="234"/>
      <c r="G175" s="234"/>
      <c r="H175" s="234"/>
      <c r="I175" s="234"/>
      <c r="J175" s="234"/>
      <c r="K175" s="449"/>
      <c r="L175" s="234"/>
      <c r="M175" s="234"/>
      <c r="N175" s="234"/>
    </row>
    <row r="176" spans="1:14" x14ac:dyDescent="0.35">
      <c r="A176" s="465">
        <v>159</v>
      </c>
      <c r="B176" s="466">
        <f t="shared" ca="1" si="9"/>
        <v>93.428615406499105</v>
      </c>
      <c r="C176" s="468">
        <f t="shared" ca="1" si="10"/>
        <v>5</v>
      </c>
      <c r="D176" s="234"/>
      <c r="E176" s="234"/>
      <c r="F176" s="234"/>
      <c r="G176" s="234"/>
      <c r="H176" s="234"/>
      <c r="I176" s="234"/>
      <c r="J176" s="234"/>
      <c r="K176" s="449"/>
      <c r="L176" s="234"/>
      <c r="M176" s="234"/>
      <c r="N176" s="234"/>
    </row>
    <row r="177" spans="1:14" x14ac:dyDescent="0.35">
      <c r="A177" s="465">
        <v>160</v>
      </c>
      <c r="B177" s="466">
        <f t="shared" ca="1" si="9"/>
        <v>74.534965075556116</v>
      </c>
      <c r="C177" s="468">
        <f t="shared" ca="1" si="10"/>
        <v>4</v>
      </c>
      <c r="D177" s="234"/>
      <c r="E177" s="234"/>
      <c r="F177" s="234"/>
      <c r="G177" s="234"/>
      <c r="H177" s="234"/>
      <c r="I177" s="234"/>
      <c r="J177" s="234"/>
      <c r="K177" s="449"/>
      <c r="L177" s="234"/>
      <c r="M177" s="234"/>
      <c r="N177" s="234"/>
    </row>
    <row r="178" spans="1:14" x14ac:dyDescent="0.35">
      <c r="A178" s="465">
        <v>161</v>
      </c>
      <c r="B178" s="466">
        <f t="shared" ca="1" si="9"/>
        <v>42.923880675666446</v>
      </c>
      <c r="C178" s="468">
        <f t="shared" ca="1" si="10"/>
        <v>3</v>
      </c>
      <c r="D178" s="234"/>
      <c r="E178" s="234"/>
      <c r="F178" s="234"/>
      <c r="G178" s="234"/>
      <c r="H178" s="234"/>
      <c r="I178" s="234"/>
      <c r="J178" s="234"/>
      <c r="K178" s="449"/>
      <c r="L178" s="234"/>
      <c r="M178" s="234"/>
      <c r="N178" s="234"/>
    </row>
    <row r="179" spans="1:14" x14ac:dyDescent="0.35">
      <c r="A179" s="465">
        <v>162</v>
      </c>
      <c r="B179" s="466">
        <f t="shared" ca="1" si="9"/>
        <v>70.441359554116403</v>
      </c>
      <c r="C179" s="468">
        <f t="shared" ca="1" si="10"/>
        <v>4</v>
      </c>
      <c r="D179" s="234"/>
      <c r="E179" s="234"/>
      <c r="F179" s="234"/>
      <c r="G179" s="234"/>
      <c r="H179" s="234"/>
      <c r="I179" s="234"/>
      <c r="J179" s="234"/>
      <c r="K179" s="449"/>
      <c r="L179" s="234"/>
      <c r="M179" s="234"/>
      <c r="N179" s="234"/>
    </row>
    <row r="180" spans="1:14" x14ac:dyDescent="0.35">
      <c r="A180" s="465">
        <v>163</v>
      </c>
      <c r="B180" s="466">
        <f t="shared" ca="1" si="9"/>
        <v>34.117986235171927</v>
      </c>
      <c r="C180" s="468">
        <f t="shared" ca="1" si="10"/>
        <v>2</v>
      </c>
      <c r="D180" s="234"/>
      <c r="E180" s="234"/>
      <c r="F180" s="234"/>
      <c r="G180" s="234"/>
      <c r="H180" s="234"/>
      <c r="I180" s="234"/>
      <c r="J180" s="234"/>
      <c r="K180" s="449"/>
      <c r="L180" s="234"/>
      <c r="M180" s="234"/>
      <c r="N180" s="234"/>
    </row>
    <row r="181" spans="1:14" x14ac:dyDescent="0.35">
      <c r="A181" s="465">
        <v>164</v>
      </c>
      <c r="B181" s="466">
        <f t="shared" ca="1" si="9"/>
        <v>58.373190724665122</v>
      </c>
      <c r="C181" s="468">
        <f t="shared" ca="1" si="10"/>
        <v>3</v>
      </c>
      <c r="D181" s="234"/>
      <c r="E181" s="234"/>
      <c r="F181" s="234"/>
      <c r="G181" s="234"/>
      <c r="H181" s="234"/>
      <c r="I181" s="234"/>
      <c r="J181" s="234"/>
      <c r="K181" s="449"/>
      <c r="L181" s="234"/>
      <c r="M181" s="234"/>
      <c r="N181" s="234"/>
    </row>
    <row r="182" spans="1:14" x14ac:dyDescent="0.35">
      <c r="A182" s="465">
        <v>165</v>
      </c>
      <c r="B182" s="466">
        <f t="shared" ca="1" si="9"/>
        <v>84.949550885150089</v>
      </c>
      <c r="C182" s="468">
        <f t="shared" ca="1" si="10"/>
        <v>4</v>
      </c>
      <c r="D182" s="234"/>
      <c r="E182" s="234"/>
      <c r="F182" s="234"/>
      <c r="G182" s="234"/>
      <c r="H182" s="234"/>
      <c r="I182" s="234"/>
      <c r="J182" s="234"/>
      <c r="K182" s="449"/>
      <c r="L182" s="234"/>
      <c r="M182" s="234"/>
      <c r="N182" s="234"/>
    </row>
    <row r="183" spans="1:14" x14ac:dyDescent="0.35">
      <c r="A183" s="465">
        <v>166</v>
      </c>
      <c r="B183" s="466">
        <f t="shared" ca="1" si="9"/>
        <v>9.483984684761726</v>
      </c>
      <c r="C183" s="468">
        <f t="shared" ca="1" si="10"/>
        <v>1</v>
      </c>
      <c r="D183" s="234"/>
      <c r="E183" s="234"/>
      <c r="F183" s="234"/>
      <c r="G183" s="234"/>
      <c r="H183" s="234"/>
      <c r="I183" s="234"/>
      <c r="J183" s="234"/>
      <c r="K183" s="449"/>
      <c r="L183" s="234"/>
      <c r="M183" s="234"/>
      <c r="N183" s="234"/>
    </row>
    <row r="184" spans="1:14" x14ac:dyDescent="0.35">
      <c r="A184" s="465">
        <v>167</v>
      </c>
      <c r="B184" s="466">
        <f t="shared" ca="1" si="9"/>
        <v>62.066114862900598</v>
      </c>
      <c r="C184" s="468">
        <f t="shared" ca="1" si="10"/>
        <v>3</v>
      </c>
      <c r="D184" s="234"/>
      <c r="E184" s="234"/>
      <c r="F184" s="234"/>
      <c r="G184" s="234"/>
      <c r="H184" s="234"/>
      <c r="I184" s="234"/>
      <c r="J184" s="234"/>
      <c r="K184" s="449"/>
      <c r="L184" s="234"/>
      <c r="M184" s="234"/>
      <c r="N184" s="234"/>
    </row>
    <row r="185" spans="1:14" x14ac:dyDescent="0.35">
      <c r="A185" s="465">
        <v>168</v>
      </c>
      <c r="B185" s="466">
        <f t="shared" ca="1" si="9"/>
        <v>14.574408273090434</v>
      </c>
      <c r="C185" s="468">
        <f t="shared" ca="1" si="10"/>
        <v>1</v>
      </c>
      <c r="D185" s="234"/>
      <c r="E185" s="234"/>
      <c r="F185" s="234"/>
      <c r="G185" s="234"/>
      <c r="H185" s="234"/>
      <c r="I185" s="234"/>
      <c r="J185" s="234"/>
      <c r="K185" s="449"/>
      <c r="L185" s="234"/>
      <c r="M185" s="234"/>
      <c r="N185" s="234"/>
    </row>
    <row r="186" spans="1:14" x14ac:dyDescent="0.35">
      <c r="A186" s="465">
        <v>169</v>
      </c>
      <c r="B186" s="466">
        <f t="shared" ca="1" si="9"/>
        <v>68.843992914434565</v>
      </c>
      <c r="C186" s="468">
        <f t="shared" ca="1" si="10"/>
        <v>4</v>
      </c>
      <c r="D186" s="234"/>
      <c r="E186" s="234"/>
      <c r="F186" s="234"/>
      <c r="G186" s="234"/>
      <c r="H186" s="234"/>
      <c r="I186" s="234"/>
      <c r="J186" s="234"/>
      <c r="K186" s="449"/>
      <c r="L186" s="234"/>
      <c r="M186" s="234"/>
      <c r="N186" s="234"/>
    </row>
    <row r="187" spans="1:14" x14ac:dyDescent="0.35">
      <c r="A187" s="465">
        <v>170</v>
      </c>
      <c r="B187" s="466">
        <f t="shared" ca="1" si="9"/>
        <v>46.129157401920985</v>
      </c>
      <c r="C187" s="468">
        <f t="shared" ca="1" si="10"/>
        <v>3</v>
      </c>
      <c r="D187" s="234"/>
      <c r="E187" s="234"/>
      <c r="F187" s="234"/>
      <c r="G187" s="234"/>
      <c r="H187" s="234"/>
      <c r="I187" s="234"/>
      <c r="J187" s="234"/>
      <c r="K187" s="449"/>
      <c r="L187" s="234"/>
      <c r="M187" s="234"/>
      <c r="N187" s="234"/>
    </row>
    <row r="188" spans="1:14" x14ac:dyDescent="0.35">
      <c r="A188" s="465">
        <v>171</v>
      </c>
      <c r="B188" s="466">
        <f t="shared" ca="1" si="9"/>
        <v>63.365733419359451</v>
      </c>
      <c r="C188" s="468">
        <f t="shared" ca="1" si="10"/>
        <v>3</v>
      </c>
      <c r="D188" s="234"/>
      <c r="E188" s="234"/>
      <c r="F188" s="234"/>
      <c r="G188" s="234"/>
      <c r="H188" s="234"/>
      <c r="I188" s="234"/>
      <c r="J188" s="234"/>
      <c r="K188" s="449"/>
      <c r="L188" s="234"/>
      <c r="M188" s="234"/>
      <c r="N188" s="234"/>
    </row>
    <row r="189" spans="1:14" x14ac:dyDescent="0.35">
      <c r="A189" s="465">
        <v>172</v>
      </c>
      <c r="B189" s="466">
        <f t="shared" ca="1" si="9"/>
        <v>33.141399617263815</v>
      </c>
      <c r="C189" s="468">
        <f t="shared" ca="1" si="10"/>
        <v>2</v>
      </c>
      <c r="D189" s="234"/>
      <c r="E189" s="234"/>
      <c r="F189" s="234"/>
      <c r="G189" s="234"/>
      <c r="H189" s="234"/>
      <c r="I189" s="234"/>
      <c r="J189" s="234"/>
      <c r="K189" s="449"/>
      <c r="L189" s="234"/>
      <c r="M189" s="234"/>
      <c r="N189" s="234"/>
    </row>
    <row r="190" spans="1:14" x14ac:dyDescent="0.35">
      <c r="A190" s="465">
        <v>173</v>
      </c>
      <c r="B190" s="466">
        <f t="shared" ca="1" si="9"/>
        <v>22.337751374337667</v>
      </c>
      <c r="C190" s="468">
        <f t="shared" ca="1" si="10"/>
        <v>2</v>
      </c>
      <c r="D190" s="234"/>
      <c r="E190" s="234"/>
      <c r="F190" s="234"/>
      <c r="G190" s="234"/>
      <c r="H190" s="234"/>
      <c r="I190" s="234"/>
      <c r="J190" s="234"/>
      <c r="K190" s="449"/>
      <c r="L190" s="234"/>
      <c r="M190" s="234"/>
      <c r="N190" s="234"/>
    </row>
    <row r="191" spans="1:14" x14ac:dyDescent="0.35">
      <c r="A191" s="465">
        <v>174</v>
      </c>
      <c r="B191" s="466">
        <f t="shared" ca="1" si="9"/>
        <v>0.91029185411316549</v>
      </c>
      <c r="C191" s="468">
        <f t="shared" ca="1" si="10"/>
        <v>0</v>
      </c>
      <c r="D191" s="234"/>
      <c r="E191" s="234"/>
      <c r="F191" s="234"/>
      <c r="G191" s="234"/>
      <c r="H191" s="234"/>
      <c r="I191" s="234"/>
      <c r="J191" s="234"/>
      <c r="K191" s="449"/>
      <c r="L191" s="234"/>
      <c r="M191" s="234"/>
      <c r="N191" s="234"/>
    </row>
    <row r="192" spans="1:14" x14ac:dyDescent="0.35">
      <c r="A192" s="465">
        <v>175</v>
      </c>
      <c r="B192" s="466">
        <f t="shared" ca="1" si="9"/>
        <v>1.9819526506787533</v>
      </c>
      <c r="C192" s="468">
        <f t="shared" ca="1" si="10"/>
        <v>0</v>
      </c>
      <c r="D192" s="234"/>
      <c r="E192" s="234"/>
      <c r="F192" s="234"/>
      <c r="G192" s="234"/>
      <c r="H192" s="234"/>
      <c r="I192" s="234"/>
      <c r="J192" s="234"/>
      <c r="K192" s="449"/>
      <c r="L192" s="234"/>
      <c r="M192" s="234"/>
      <c r="N192" s="234"/>
    </row>
    <row r="193" spans="1:14" x14ac:dyDescent="0.35">
      <c r="A193" s="465">
        <v>176</v>
      </c>
      <c r="B193" s="466">
        <f t="shared" ca="1" si="9"/>
        <v>58.225870787877177</v>
      </c>
      <c r="C193" s="468">
        <f t="shared" ca="1" si="10"/>
        <v>3</v>
      </c>
      <c r="D193" s="234"/>
      <c r="E193" s="234"/>
      <c r="F193" s="234"/>
      <c r="G193" s="234"/>
      <c r="H193" s="234"/>
      <c r="I193" s="234"/>
      <c r="J193" s="234"/>
      <c r="K193" s="449"/>
      <c r="L193" s="234"/>
      <c r="M193" s="234"/>
      <c r="N193" s="234"/>
    </row>
    <row r="194" spans="1:14" x14ac:dyDescent="0.35">
      <c r="A194" s="465">
        <v>177</v>
      </c>
      <c r="B194" s="466">
        <f t="shared" ca="1" si="9"/>
        <v>66.275122753973804</v>
      </c>
      <c r="C194" s="468">
        <f t="shared" ca="1" si="10"/>
        <v>4</v>
      </c>
      <c r="D194" s="234"/>
      <c r="E194" s="234"/>
      <c r="F194" s="234"/>
      <c r="G194" s="234"/>
      <c r="H194" s="234"/>
      <c r="I194" s="234"/>
      <c r="J194" s="234"/>
      <c r="K194" s="449"/>
      <c r="L194" s="234"/>
      <c r="M194" s="234"/>
      <c r="N194" s="234"/>
    </row>
    <row r="195" spans="1:14" x14ac:dyDescent="0.35">
      <c r="A195" s="465">
        <v>178</v>
      </c>
      <c r="B195" s="466">
        <f t="shared" ca="1" si="9"/>
        <v>60.655481809214429</v>
      </c>
      <c r="C195" s="468">
        <f t="shared" ca="1" si="10"/>
        <v>3</v>
      </c>
      <c r="D195" s="234"/>
      <c r="E195" s="234"/>
      <c r="F195" s="234"/>
      <c r="G195" s="234"/>
      <c r="H195" s="234"/>
      <c r="I195" s="234"/>
      <c r="J195" s="234"/>
      <c r="K195" s="449"/>
      <c r="L195" s="234"/>
      <c r="M195" s="234"/>
      <c r="N195" s="234"/>
    </row>
    <row r="196" spans="1:14" x14ac:dyDescent="0.35">
      <c r="A196" s="465">
        <v>179</v>
      </c>
      <c r="B196" s="466">
        <f t="shared" ca="1" si="9"/>
        <v>72.057737430318213</v>
      </c>
      <c r="C196" s="468">
        <f t="shared" ca="1" si="10"/>
        <v>4</v>
      </c>
      <c r="D196" s="234"/>
      <c r="E196" s="234"/>
      <c r="F196" s="234"/>
      <c r="G196" s="234"/>
      <c r="H196" s="234"/>
      <c r="I196" s="234"/>
      <c r="J196" s="234"/>
      <c r="K196" s="449"/>
      <c r="L196" s="234"/>
      <c r="M196" s="234"/>
      <c r="N196" s="234"/>
    </row>
    <row r="197" spans="1:14" x14ac:dyDescent="0.35">
      <c r="A197" s="465">
        <v>180</v>
      </c>
      <c r="B197" s="466">
        <f t="shared" ca="1" si="9"/>
        <v>4.5667746207823097</v>
      </c>
      <c r="C197" s="468">
        <f t="shared" ca="1" si="10"/>
        <v>0</v>
      </c>
      <c r="D197" s="234"/>
      <c r="E197" s="234"/>
      <c r="F197" s="234"/>
      <c r="G197" s="234"/>
      <c r="H197" s="234"/>
      <c r="I197" s="234"/>
      <c r="J197" s="234"/>
      <c r="K197" s="449"/>
      <c r="L197" s="234"/>
      <c r="M197" s="234"/>
      <c r="N197" s="234"/>
    </row>
    <row r="198" spans="1:14" x14ac:dyDescent="0.35">
      <c r="A198" s="465">
        <v>181</v>
      </c>
      <c r="B198" s="466">
        <f t="shared" ca="1" si="9"/>
        <v>45.981299610278782</v>
      </c>
      <c r="C198" s="468">
        <f t="shared" ca="1" si="10"/>
        <v>3</v>
      </c>
      <c r="D198" s="234"/>
      <c r="E198" s="234"/>
      <c r="F198" s="234"/>
      <c r="G198" s="234"/>
      <c r="H198" s="234"/>
      <c r="I198" s="234"/>
      <c r="J198" s="234"/>
      <c r="K198" s="449"/>
      <c r="L198" s="234"/>
      <c r="M198" s="234"/>
      <c r="N198" s="234"/>
    </row>
    <row r="199" spans="1:14" x14ac:dyDescent="0.35">
      <c r="A199" s="465">
        <v>182</v>
      </c>
      <c r="B199" s="466">
        <f t="shared" ca="1" si="9"/>
        <v>2.3609752783809168</v>
      </c>
      <c r="C199" s="468">
        <f t="shared" ca="1" si="10"/>
        <v>0</v>
      </c>
      <c r="D199" s="234"/>
      <c r="E199" s="234"/>
      <c r="F199" s="234"/>
      <c r="G199" s="234"/>
      <c r="H199" s="234"/>
      <c r="I199" s="234"/>
      <c r="J199" s="234"/>
      <c r="K199" s="449"/>
      <c r="L199" s="234"/>
      <c r="M199" s="234"/>
      <c r="N199" s="234"/>
    </row>
    <row r="200" spans="1:14" x14ac:dyDescent="0.35">
      <c r="A200" s="465">
        <v>183</v>
      </c>
      <c r="B200" s="466">
        <f t="shared" ca="1" si="9"/>
        <v>35.211713776439723</v>
      </c>
      <c r="C200" s="468">
        <f t="shared" ca="1" si="10"/>
        <v>3</v>
      </c>
      <c r="D200" s="234"/>
      <c r="E200" s="234"/>
      <c r="F200" s="234"/>
      <c r="G200" s="234"/>
      <c r="H200" s="234"/>
      <c r="I200" s="234"/>
      <c r="J200" s="234"/>
      <c r="K200" s="449"/>
      <c r="L200" s="234"/>
      <c r="M200" s="234"/>
      <c r="N200" s="234"/>
    </row>
    <row r="201" spans="1:14" x14ac:dyDescent="0.35">
      <c r="A201" s="465">
        <v>184</v>
      </c>
      <c r="B201" s="466">
        <f t="shared" ca="1" si="9"/>
        <v>92.513221461370478</v>
      </c>
      <c r="C201" s="468">
        <f t="shared" ca="1" si="10"/>
        <v>5</v>
      </c>
      <c r="D201" s="234"/>
      <c r="E201" s="234"/>
      <c r="F201" s="234"/>
      <c r="G201" s="234"/>
      <c r="H201" s="234"/>
      <c r="I201" s="234"/>
      <c r="J201" s="234"/>
      <c r="K201" s="449"/>
      <c r="L201" s="234"/>
      <c r="M201" s="234"/>
      <c r="N201" s="234"/>
    </row>
    <row r="202" spans="1:14" x14ac:dyDescent="0.35">
      <c r="A202" s="465">
        <v>185</v>
      </c>
      <c r="B202" s="466">
        <f t="shared" ca="1" si="9"/>
        <v>91.893829409977513</v>
      </c>
      <c r="C202" s="468">
        <f t="shared" ca="1" si="10"/>
        <v>5</v>
      </c>
      <c r="D202" s="234"/>
      <c r="E202" s="234"/>
      <c r="F202" s="234"/>
      <c r="G202" s="234"/>
      <c r="H202" s="234"/>
      <c r="I202" s="234"/>
      <c r="J202" s="234"/>
      <c r="K202" s="449"/>
      <c r="L202" s="234"/>
      <c r="M202" s="234"/>
      <c r="N202" s="234"/>
    </row>
    <row r="203" spans="1:14" x14ac:dyDescent="0.35">
      <c r="A203" s="465">
        <v>186</v>
      </c>
      <c r="B203" s="466">
        <f t="shared" ca="1" si="9"/>
        <v>30.344170978994423</v>
      </c>
      <c r="C203" s="468">
        <f t="shared" ca="1" si="10"/>
        <v>2</v>
      </c>
      <c r="D203" s="234"/>
      <c r="E203" s="234"/>
      <c r="F203" s="234"/>
      <c r="G203" s="234"/>
      <c r="H203" s="234"/>
      <c r="I203" s="234"/>
      <c r="J203" s="234"/>
      <c r="K203" s="449"/>
      <c r="L203" s="234"/>
      <c r="M203" s="234"/>
      <c r="N203" s="234"/>
    </row>
    <row r="204" spans="1:14" x14ac:dyDescent="0.35">
      <c r="A204" s="465">
        <v>187</v>
      </c>
      <c r="B204" s="466">
        <f t="shared" ca="1" si="9"/>
        <v>94.989321178468671</v>
      </c>
      <c r="C204" s="468">
        <f t="shared" ca="1" si="10"/>
        <v>5</v>
      </c>
      <c r="D204" s="234"/>
      <c r="E204" s="234"/>
      <c r="F204" s="234"/>
      <c r="G204" s="234"/>
      <c r="H204" s="234"/>
      <c r="I204" s="234"/>
      <c r="J204" s="234"/>
      <c r="K204" s="449"/>
      <c r="L204" s="234"/>
      <c r="M204" s="234"/>
      <c r="N204" s="234"/>
    </row>
    <row r="205" spans="1:14" x14ac:dyDescent="0.35">
      <c r="A205" s="465">
        <v>188</v>
      </c>
      <c r="B205" s="466">
        <f t="shared" ca="1" si="9"/>
        <v>7.0232480862649549</v>
      </c>
      <c r="C205" s="468">
        <f t="shared" ca="1" si="10"/>
        <v>1</v>
      </c>
      <c r="D205" s="234"/>
      <c r="E205" s="234"/>
      <c r="F205" s="234"/>
      <c r="G205" s="234"/>
      <c r="H205" s="234"/>
      <c r="I205" s="234"/>
      <c r="J205" s="234"/>
      <c r="K205" s="449"/>
      <c r="L205" s="234"/>
      <c r="M205" s="234"/>
      <c r="N205" s="234"/>
    </row>
    <row r="206" spans="1:14" x14ac:dyDescent="0.35">
      <c r="A206" s="465">
        <v>189</v>
      </c>
      <c r="B206" s="466">
        <f t="shared" ca="1" si="9"/>
        <v>37.438545143106261</v>
      </c>
      <c r="C206" s="468">
        <f t="shared" ca="1" si="10"/>
        <v>3</v>
      </c>
      <c r="D206" s="234"/>
      <c r="E206" s="234"/>
      <c r="F206" s="234"/>
      <c r="G206" s="234"/>
      <c r="H206" s="234"/>
      <c r="I206" s="234"/>
      <c r="J206" s="234"/>
      <c r="K206" s="449"/>
      <c r="L206" s="234"/>
      <c r="M206" s="234"/>
      <c r="N206" s="234"/>
    </row>
    <row r="207" spans="1:14" x14ac:dyDescent="0.35">
      <c r="A207" s="465">
        <v>190</v>
      </c>
      <c r="B207" s="466">
        <f t="shared" ca="1" si="9"/>
        <v>28.675195119763885</v>
      </c>
      <c r="C207" s="468">
        <f t="shared" ca="1" si="10"/>
        <v>2</v>
      </c>
      <c r="D207" s="234"/>
      <c r="E207" s="234"/>
      <c r="F207" s="234"/>
      <c r="G207" s="234"/>
      <c r="H207" s="234"/>
      <c r="I207" s="234"/>
      <c r="J207" s="234"/>
      <c r="K207" s="449"/>
      <c r="L207" s="234"/>
      <c r="M207" s="234"/>
      <c r="N207" s="234"/>
    </row>
    <row r="208" spans="1:14" x14ac:dyDescent="0.35">
      <c r="A208" s="465">
        <v>191</v>
      </c>
      <c r="B208" s="466">
        <f t="shared" ca="1" si="9"/>
        <v>48.993460039414281</v>
      </c>
      <c r="C208" s="468">
        <f t="shared" ca="1" si="10"/>
        <v>3</v>
      </c>
      <c r="D208" s="234"/>
      <c r="E208" s="234"/>
      <c r="F208" s="234"/>
      <c r="G208" s="234"/>
      <c r="H208" s="234"/>
      <c r="I208" s="234"/>
      <c r="J208" s="234"/>
      <c r="K208" s="449"/>
      <c r="L208" s="234"/>
      <c r="M208" s="234"/>
      <c r="N208" s="234"/>
    </row>
    <row r="209" spans="1:14" x14ac:dyDescent="0.35">
      <c r="A209" s="465">
        <v>192</v>
      </c>
      <c r="B209" s="466">
        <f t="shared" ca="1" si="9"/>
        <v>42.86674836628768</v>
      </c>
      <c r="C209" s="468">
        <f t="shared" ca="1" si="10"/>
        <v>3</v>
      </c>
      <c r="D209" s="234"/>
      <c r="E209" s="234"/>
      <c r="F209" s="234"/>
      <c r="G209" s="234"/>
      <c r="H209" s="234"/>
      <c r="I209" s="234"/>
      <c r="J209" s="234"/>
      <c r="K209" s="449"/>
      <c r="L209" s="234"/>
      <c r="M209" s="234"/>
      <c r="N209" s="234"/>
    </row>
    <row r="210" spans="1:14" x14ac:dyDescent="0.35">
      <c r="A210" s="465">
        <v>193</v>
      </c>
      <c r="B210" s="466">
        <f t="shared" ca="1" si="9"/>
        <v>7.7570389737883332</v>
      </c>
      <c r="C210" s="468">
        <f t="shared" ca="1" si="10"/>
        <v>1</v>
      </c>
      <c r="D210" s="234"/>
      <c r="E210" s="234"/>
      <c r="F210" s="234"/>
      <c r="G210" s="234"/>
      <c r="H210" s="234"/>
      <c r="I210" s="234"/>
      <c r="J210" s="234"/>
      <c r="K210" s="449"/>
      <c r="L210" s="234"/>
      <c r="M210" s="234"/>
      <c r="N210" s="234"/>
    </row>
    <row r="211" spans="1:14" x14ac:dyDescent="0.35">
      <c r="A211" s="465">
        <v>194</v>
      </c>
      <c r="B211" s="466">
        <f t="shared" ref="B211:B217" ca="1" si="11">100*RAND()</f>
        <v>81.086422104796881</v>
      </c>
      <c r="C211" s="468">
        <f t="shared" ref="C211:C217" ca="1" si="12">VLOOKUP(B211,$A$8:$C$13,3)</f>
        <v>4</v>
      </c>
      <c r="D211" s="234"/>
      <c r="E211" s="234"/>
      <c r="F211" s="234"/>
      <c r="G211" s="234"/>
      <c r="H211" s="234"/>
      <c r="I211" s="234"/>
      <c r="J211" s="234"/>
      <c r="K211" s="449"/>
      <c r="L211" s="234"/>
      <c r="M211" s="234"/>
      <c r="N211" s="234"/>
    </row>
    <row r="212" spans="1:14" x14ac:dyDescent="0.35">
      <c r="A212" s="465">
        <v>195</v>
      </c>
      <c r="B212" s="466">
        <f t="shared" ca="1" si="11"/>
        <v>63.444328297238684</v>
      </c>
      <c r="C212" s="468">
        <f t="shared" ca="1" si="12"/>
        <v>3</v>
      </c>
      <c r="D212" s="234"/>
      <c r="E212" s="234"/>
      <c r="F212" s="234"/>
      <c r="G212" s="234"/>
      <c r="H212" s="234"/>
      <c r="I212" s="234"/>
      <c r="J212" s="234"/>
      <c r="K212" s="449"/>
      <c r="L212" s="234"/>
      <c r="M212" s="234"/>
      <c r="N212" s="234"/>
    </row>
    <row r="213" spans="1:14" x14ac:dyDescent="0.35">
      <c r="A213" s="465">
        <v>196</v>
      </c>
      <c r="B213" s="466">
        <f t="shared" ca="1" si="11"/>
        <v>13.898708823152905</v>
      </c>
      <c r="C213" s="468">
        <f t="shared" ca="1" si="12"/>
        <v>1</v>
      </c>
      <c r="D213" s="234"/>
      <c r="E213" s="234"/>
      <c r="F213" s="234"/>
      <c r="G213" s="234"/>
      <c r="H213" s="234"/>
      <c r="I213" s="234"/>
      <c r="J213" s="234"/>
      <c r="K213" s="449"/>
      <c r="L213" s="234"/>
      <c r="M213" s="234"/>
      <c r="N213" s="234"/>
    </row>
    <row r="214" spans="1:14" x14ac:dyDescent="0.35">
      <c r="A214" s="465">
        <v>197</v>
      </c>
      <c r="B214" s="466">
        <f t="shared" ca="1" si="11"/>
        <v>40.958123457057994</v>
      </c>
      <c r="C214" s="468">
        <f t="shared" ca="1" si="12"/>
        <v>3</v>
      </c>
      <c r="D214" s="234"/>
      <c r="E214" s="234"/>
      <c r="F214" s="234"/>
      <c r="G214" s="234"/>
      <c r="H214" s="234"/>
      <c r="I214" s="234"/>
      <c r="J214" s="234"/>
      <c r="K214" s="449"/>
      <c r="L214" s="234"/>
      <c r="M214" s="234"/>
      <c r="N214" s="234"/>
    </row>
    <row r="215" spans="1:14" x14ac:dyDescent="0.35">
      <c r="A215" s="465">
        <v>198</v>
      </c>
      <c r="B215" s="466">
        <f t="shared" ca="1" si="11"/>
        <v>80.959799870923902</v>
      </c>
      <c r="C215" s="468">
        <f t="shared" ca="1" si="12"/>
        <v>4</v>
      </c>
      <c r="D215" s="234"/>
      <c r="E215" s="234"/>
      <c r="F215" s="234"/>
      <c r="G215" s="234"/>
      <c r="H215" s="234"/>
      <c r="I215" s="234"/>
      <c r="J215" s="234"/>
      <c r="K215" s="449"/>
      <c r="L215" s="234"/>
      <c r="M215" s="234"/>
      <c r="N215" s="234"/>
    </row>
    <row r="216" spans="1:14" x14ac:dyDescent="0.35">
      <c r="A216" s="465">
        <v>199</v>
      </c>
      <c r="B216" s="466">
        <f t="shared" ca="1" si="11"/>
        <v>63.030022040697155</v>
      </c>
      <c r="C216" s="468">
        <f t="shared" ca="1" si="12"/>
        <v>3</v>
      </c>
      <c r="D216" s="234"/>
      <c r="E216" s="234"/>
      <c r="F216" s="234"/>
      <c r="G216" s="234"/>
      <c r="H216" s="234"/>
      <c r="I216" s="234"/>
      <c r="J216" s="234"/>
      <c r="K216" s="449"/>
      <c r="L216" s="234"/>
      <c r="M216" s="234"/>
      <c r="N216" s="234"/>
    </row>
    <row r="217" spans="1:14" ht="15" thickBot="1" x14ac:dyDescent="0.4">
      <c r="A217" s="474">
        <v>200</v>
      </c>
      <c r="B217" s="467">
        <f t="shared" ca="1" si="11"/>
        <v>11.033202080332583</v>
      </c>
      <c r="C217" s="475">
        <f t="shared" ca="1" si="12"/>
        <v>1</v>
      </c>
      <c r="D217" s="234"/>
      <c r="E217" s="234"/>
      <c r="F217" s="234"/>
      <c r="G217" s="234"/>
      <c r="H217" s="234"/>
      <c r="I217" s="234"/>
      <c r="J217" s="234"/>
      <c r="K217" s="234"/>
      <c r="L217" s="234"/>
      <c r="M217" s="234"/>
      <c r="N217" s="234"/>
    </row>
    <row r="218" spans="1:14" x14ac:dyDescent="0.35">
      <c r="A218" s="234"/>
      <c r="B218" s="234"/>
      <c r="C218" s="234"/>
      <c r="D218" s="234"/>
      <c r="E218" s="234"/>
      <c r="F218" s="234"/>
      <c r="G218" s="234"/>
      <c r="H218" s="234"/>
      <c r="I218" s="234"/>
      <c r="J218" s="234"/>
      <c r="K218" s="234"/>
      <c r="L218" s="234"/>
      <c r="M218" s="234"/>
      <c r="N218" s="234"/>
    </row>
  </sheetData>
  <pageMargins left="0.75" right="0.75" top="1" bottom="1" header="0.5" footer="0.5"/>
  <headerFooter alignWithMargins="0"/>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38"/>
  <dimension ref="A1:K24"/>
  <sheetViews>
    <sheetView workbookViewId="0">
      <selection activeCell="G1" sqref="G1"/>
    </sheetView>
  </sheetViews>
  <sheetFormatPr defaultRowHeight="12.5" x14ac:dyDescent="0.25"/>
  <sheetData>
    <row r="1" spans="1:11" ht="18" x14ac:dyDescent="0.4">
      <c r="A1" s="1" t="s">
        <v>194</v>
      </c>
      <c r="G1" s="114" t="s">
        <v>428</v>
      </c>
    </row>
    <row r="3" spans="1:11" s="20" customFormat="1" ht="37.5" x14ac:dyDescent="0.25">
      <c r="A3" s="20" t="s">
        <v>169</v>
      </c>
      <c r="B3" s="20" t="s">
        <v>177</v>
      </c>
      <c r="C3" s="20" t="s">
        <v>178</v>
      </c>
      <c r="D3" s="20" t="s">
        <v>179</v>
      </c>
      <c r="E3" s="20" t="s">
        <v>180</v>
      </c>
      <c r="F3" s="20" t="s">
        <v>181</v>
      </c>
      <c r="G3" s="20" t="s">
        <v>182</v>
      </c>
      <c r="H3" s="20" t="s">
        <v>183</v>
      </c>
    </row>
    <row r="4" spans="1:11" x14ac:dyDescent="0.25">
      <c r="A4">
        <v>1</v>
      </c>
      <c r="B4">
        <v>0</v>
      </c>
      <c r="C4">
        <f t="shared" ref="C4:C13" ca="1" si="0">RAND()</f>
        <v>0.15585269133266666</v>
      </c>
      <c r="D4">
        <f t="shared" ref="D4:D13" ca="1" si="1">VLOOKUP(C4,$C$17:$E$22,3,TRUE)</f>
        <v>1</v>
      </c>
      <c r="E4">
        <f ca="1">B4+D4</f>
        <v>1</v>
      </c>
      <c r="F4">
        <f ca="1">RAND()</f>
        <v>0.61742939909795935</v>
      </c>
      <c r="G4">
        <f ca="1">VLOOKUP(F4,$I$17:K21,3,TRUE)</f>
        <v>3</v>
      </c>
      <c r="H4">
        <f ca="1">MIN(E4,G4)</f>
        <v>1</v>
      </c>
    </row>
    <row r="5" spans="1:11" x14ac:dyDescent="0.25">
      <c r="A5">
        <v>2</v>
      </c>
      <c r="B5">
        <f ca="1">E4-H4</f>
        <v>0</v>
      </c>
      <c r="C5">
        <f t="shared" ca="1" si="0"/>
        <v>6.2722978172679134E-2</v>
      </c>
      <c r="D5">
        <f t="shared" ca="1" si="1"/>
        <v>0</v>
      </c>
      <c r="E5">
        <f ca="1">B5+D5</f>
        <v>0</v>
      </c>
      <c r="F5">
        <f t="shared" ref="F5:F13" ca="1" si="2">RAND()</f>
        <v>0.8092210677555185</v>
      </c>
      <c r="G5">
        <f ca="1">VLOOKUP(F5,$I$17:K22,3,TRUE)</f>
        <v>4</v>
      </c>
      <c r="H5">
        <f ca="1">MIN(E5,G5)</f>
        <v>0</v>
      </c>
    </row>
    <row r="6" spans="1:11" x14ac:dyDescent="0.25">
      <c r="A6">
        <v>3</v>
      </c>
      <c r="B6">
        <f t="shared" ref="B6:B13" ca="1" si="3">E5-H5</f>
        <v>0</v>
      </c>
      <c r="C6">
        <f t="shared" ca="1" si="0"/>
        <v>0.70896706443850432</v>
      </c>
      <c r="D6">
        <f t="shared" ca="1" si="1"/>
        <v>4</v>
      </c>
      <c r="E6">
        <f t="shared" ref="E6:E13" ca="1" si="4">B6+D6</f>
        <v>4</v>
      </c>
      <c r="F6">
        <f t="shared" ca="1" si="2"/>
        <v>0.40840890221464277</v>
      </c>
      <c r="G6">
        <f ca="1">VLOOKUP(F6,$I$17:K23,3,TRUE)</f>
        <v>3</v>
      </c>
      <c r="H6">
        <f t="shared" ref="H6:H13" ca="1" si="5">MIN(E6,G6)</f>
        <v>3</v>
      </c>
    </row>
    <row r="7" spans="1:11" x14ac:dyDescent="0.25">
      <c r="A7">
        <v>4</v>
      </c>
      <c r="B7">
        <f t="shared" ca="1" si="3"/>
        <v>1</v>
      </c>
      <c r="C7">
        <f t="shared" ca="1" si="0"/>
        <v>0.16355113598153448</v>
      </c>
      <c r="D7">
        <f t="shared" ca="1" si="1"/>
        <v>1</v>
      </c>
      <c r="E7">
        <f t="shared" ca="1" si="4"/>
        <v>2</v>
      </c>
      <c r="F7">
        <f t="shared" ca="1" si="2"/>
        <v>0.46054097882484912</v>
      </c>
      <c r="G7">
        <f ca="1">VLOOKUP(F7,$I$17:K24,3,TRUE)</f>
        <v>3</v>
      </c>
      <c r="H7">
        <f t="shared" ca="1" si="5"/>
        <v>2</v>
      </c>
    </row>
    <row r="8" spans="1:11" x14ac:dyDescent="0.25">
      <c r="A8">
        <v>5</v>
      </c>
      <c r="B8">
        <f t="shared" ca="1" si="3"/>
        <v>0</v>
      </c>
      <c r="C8">
        <f t="shared" ca="1" si="0"/>
        <v>0.16888393416278979</v>
      </c>
      <c r="D8">
        <f t="shared" ca="1" si="1"/>
        <v>1</v>
      </c>
      <c r="E8">
        <f t="shared" ca="1" si="4"/>
        <v>1</v>
      </c>
      <c r="F8">
        <f t="shared" ca="1" si="2"/>
        <v>0.51406712572713131</v>
      </c>
      <c r="G8">
        <f ca="1">VLOOKUP(F8,$I$17:K25,3,TRUE)</f>
        <v>3</v>
      </c>
      <c r="H8">
        <f t="shared" ca="1" si="5"/>
        <v>1</v>
      </c>
    </row>
    <row r="9" spans="1:11" x14ac:dyDescent="0.25">
      <c r="A9">
        <v>6</v>
      </c>
      <c r="B9">
        <f t="shared" ca="1" si="3"/>
        <v>0</v>
      </c>
      <c r="C9">
        <f t="shared" ca="1" si="0"/>
        <v>0.20441005304947168</v>
      </c>
      <c r="D9">
        <f t="shared" ca="1" si="1"/>
        <v>1</v>
      </c>
      <c r="E9">
        <f t="shared" ca="1" si="4"/>
        <v>1</v>
      </c>
      <c r="F9">
        <f t="shared" ca="1" si="2"/>
        <v>0.79864477983897064</v>
      </c>
      <c r="G9">
        <f ca="1">VLOOKUP(F9,$I$17:K26,3,TRUE)</f>
        <v>4</v>
      </c>
      <c r="H9">
        <f t="shared" ca="1" si="5"/>
        <v>1</v>
      </c>
    </row>
    <row r="10" spans="1:11" x14ac:dyDescent="0.25">
      <c r="A10">
        <v>7</v>
      </c>
      <c r="B10">
        <f t="shared" ca="1" si="3"/>
        <v>0</v>
      </c>
      <c r="C10">
        <f t="shared" ca="1" si="0"/>
        <v>0.10790214392075226</v>
      </c>
      <c r="D10">
        <f t="shared" ca="1" si="1"/>
        <v>0</v>
      </c>
      <c r="E10">
        <f t="shared" ca="1" si="4"/>
        <v>0</v>
      </c>
      <c r="F10">
        <f t="shared" ca="1" si="2"/>
        <v>0.47902946850771244</v>
      </c>
      <c r="G10">
        <f ca="1">VLOOKUP(F10,$I$17:K27,3,TRUE)</f>
        <v>3</v>
      </c>
      <c r="H10">
        <f t="shared" ca="1" si="5"/>
        <v>0</v>
      </c>
    </row>
    <row r="11" spans="1:11" x14ac:dyDescent="0.25">
      <c r="A11">
        <v>8</v>
      </c>
      <c r="B11">
        <f t="shared" ca="1" si="3"/>
        <v>0</v>
      </c>
      <c r="C11">
        <f t="shared" ca="1" si="0"/>
        <v>0.61377248649757854</v>
      </c>
      <c r="D11">
        <f t="shared" ca="1" si="1"/>
        <v>3</v>
      </c>
      <c r="E11">
        <f t="shared" ca="1" si="4"/>
        <v>3</v>
      </c>
      <c r="F11">
        <f t="shared" ca="1" si="2"/>
        <v>0.45181551860694436</v>
      </c>
      <c r="G11">
        <f ca="1">VLOOKUP(F11,$I$17:K28,3,TRUE)</f>
        <v>3</v>
      </c>
      <c r="H11">
        <f t="shared" ca="1" si="5"/>
        <v>3</v>
      </c>
    </row>
    <row r="12" spans="1:11" x14ac:dyDescent="0.25">
      <c r="A12">
        <v>9</v>
      </c>
      <c r="B12">
        <f t="shared" ca="1" si="3"/>
        <v>0</v>
      </c>
      <c r="C12">
        <f t="shared" ca="1" si="0"/>
        <v>0.13348449936961415</v>
      </c>
      <c r="D12">
        <f t="shared" ca="1" si="1"/>
        <v>1</v>
      </c>
      <c r="E12">
        <f t="shared" ca="1" si="4"/>
        <v>1</v>
      </c>
      <c r="F12">
        <f t="shared" ca="1" si="2"/>
        <v>0.85578564685347802</v>
      </c>
      <c r="G12">
        <f ca="1">VLOOKUP(F12,$I$17:K29,3,TRUE)</f>
        <v>4</v>
      </c>
      <c r="H12">
        <f t="shared" ca="1" si="5"/>
        <v>1</v>
      </c>
    </row>
    <row r="13" spans="1:11" x14ac:dyDescent="0.25">
      <c r="A13">
        <v>10</v>
      </c>
      <c r="B13">
        <f t="shared" ca="1" si="3"/>
        <v>0</v>
      </c>
      <c r="C13">
        <f t="shared" ca="1" si="0"/>
        <v>0.19515101248765665</v>
      </c>
      <c r="D13">
        <f t="shared" ca="1" si="1"/>
        <v>1</v>
      </c>
      <c r="E13">
        <f t="shared" ca="1" si="4"/>
        <v>1</v>
      </c>
      <c r="F13">
        <f t="shared" ca="1" si="2"/>
        <v>0.97310598626344924</v>
      </c>
      <c r="G13">
        <f ca="1">VLOOKUP(F13,$I$17:K30,3,TRUE)</f>
        <v>5</v>
      </c>
      <c r="H13">
        <f t="shared" ca="1" si="5"/>
        <v>1</v>
      </c>
    </row>
    <row r="15" spans="1:11" ht="13.5" thickBot="1" x14ac:dyDescent="0.35">
      <c r="A15" s="4" t="s">
        <v>184</v>
      </c>
      <c r="G15" s="4" t="s">
        <v>185</v>
      </c>
    </row>
    <row r="16" spans="1:11" ht="13" thickTop="1" x14ac:dyDescent="0.25">
      <c r="A16" s="42" t="s">
        <v>51</v>
      </c>
      <c r="B16" s="43" t="s">
        <v>42</v>
      </c>
      <c r="C16" s="43" t="s">
        <v>186</v>
      </c>
      <c r="D16" s="43" t="s">
        <v>187</v>
      </c>
      <c r="E16" s="44" t="s">
        <v>51</v>
      </c>
      <c r="G16" s="5" t="s">
        <v>147</v>
      </c>
      <c r="H16" s="6" t="s">
        <v>42</v>
      </c>
      <c r="I16" s="6" t="s">
        <v>186</v>
      </c>
      <c r="J16" s="6" t="s">
        <v>187</v>
      </c>
      <c r="K16" s="7" t="s">
        <v>188</v>
      </c>
    </row>
    <row r="17" spans="1:11" x14ac:dyDescent="0.25">
      <c r="A17" s="45">
        <v>0</v>
      </c>
      <c r="B17">
        <v>0.13</v>
      </c>
      <c r="C17">
        <f>0</f>
        <v>0</v>
      </c>
      <c r="D17">
        <f>B17</f>
        <v>0.13</v>
      </c>
      <c r="E17" s="46">
        <v>0</v>
      </c>
      <c r="G17" s="8">
        <v>1</v>
      </c>
      <c r="H17">
        <v>0.05</v>
      </c>
      <c r="I17">
        <f>0</f>
        <v>0</v>
      </c>
      <c r="J17">
        <f>H17</f>
        <v>0.05</v>
      </c>
      <c r="K17" s="9">
        <v>1</v>
      </c>
    </row>
    <row r="18" spans="1:11" x14ac:dyDescent="0.25">
      <c r="A18" s="45">
        <v>1</v>
      </c>
      <c r="B18">
        <v>0.17</v>
      </c>
      <c r="C18">
        <f>C17+B17</f>
        <v>0.13</v>
      </c>
      <c r="D18">
        <f>D17+B18</f>
        <v>0.30000000000000004</v>
      </c>
      <c r="E18" s="46">
        <v>1</v>
      </c>
      <c r="G18" s="8">
        <v>2</v>
      </c>
      <c r="H18">
        <v>0.15</v>
      </c>
      <c r="I18">
        <f>I17+H17</f>
        <v>0.05</v>
      </c>
      <c r="J18">
        <f>J17+H18</f>
        <v>0.2</v>
      </c>
      <c r="K18" s="9">
        <v>2</v>
      </c>
    </row>
    <row r="19" spans="1:11" x14ac:dyDescent="0.25">
      <c r="A19" s="45">
        <v>2</v>
      </c>
      <c r="B19">
        <v>0.15</v>
      </c>
      <c r="C19">
        <f>C18+B18</f>
        <v>0.30000000000000004</v>
      </c>
      <c r="D19">
        <f>D18+B19</f>
        <v>0.45000000000000007</v>
      </c>
      <c r="E19" s="46">
        <v>2</v>
      </c>
      <c r="G19" s="8">
        <v>3</v>
      </c>
      <c r="H19">
        <v>0.5</v>
      </c>
      <c r="I19">
        <f>I18+H18</f>
        <v>0.2</v>
      </c>
      <c r="J19">
        <f>J18+H19</f>
        <v>0.7</v>
      </c>
      <c r="K19" s="9">
        <v>3</v>
      </c>
    </row>
    <row r="20" spans="1:11" x14ac:dyDescent="0.25">
      <c r="A20" s="45">
        <v>3</v>
      </c>
      <c r="B20">
        <v>0.25</v>
      </c>
      <c r="C20">
        <f>C19+B19</f>
        <v>0.45000000000000007</v>
      </c>
      <c r="D20">
        <f>D19+B20</f>
        <v>0.70000000000000007</v>
      </c>
      <c r="E20" s="46">
        <v>3</v>
      </c>
      <c r="G20" s="8">
        <v>4</v>
      </c>
      <c r="H20">
        <v>0.2</v>
      </c>
      <c r="I20">
        <f>I19+H19</f>
        <v>0.7</v>
      </c>
      <c r="J20">
        <f>J19+H20</f>
        <v>0.89999999999999991</v>
      </c>
      <c r="K20" s="9">
        <v>4</v>
      </c>
    </row>
    <row r="21" spans="1:11" ht="13" thickBot="1" x14ac:dyDescent="0.3">
      <c r="A21" s="45">
        <v>4</v>
      </c>
      <c r="B21">
        <v>0.2</v>
      </c>
      <c r="C21">
        <f>C20+B20</f>
        <v>0.70000000000000007</v>
      </c>
      <c r="D21">
        <f>D20+B21</f>
        <v>0.90000000000000013</v>
      </c>
      <c r="E21" s="46">
        <v>4</v>
      </c>
      <c r="G21" s="10">
        <v>5</v>
      </c>
      <c r="H21" s="11">
        <v>0.1</v>
      </c>
      <c r="I21" s="11">
        <f>I20+H20</f>
        <v>0.89999999999999991</v>
      </c>
      <c r="J21" s="11">
        <f>J20+H21</f>
        <v>0.99999999999999989</v>
      </c>
      <c r="K21" s="12">
        <v>5</v>
      </c>
    </row>
    <row r="22" spans="1:11" ht="13" thickBot="1" x14ac:dyDescent="0.3">
      <c r="A22" s="47">
        <v>5</v>
      </c>
      <c r="B22" s="48">
        <v>0.1</v>
      </c>
      <c r="C22" s="48">
        <f>C21+B21</f>
        <v>0.90000000000000013</v>
      </c>
      <c r="D22" s="48">
        <f>D21+B22</f>
        <v>1.0000000000000002</v>
      </c>
      <c r="E22" s="49">
        <v>5</v>
      </c>
    </row>
    <row r="23" spans="1:11" ht="13" thickTop="1" x14ac:dyDescent="0.25"/>
    <row r="24" spans="1:11" ht="13" x14ac:dyDescent="0.3">
      <c r="A24" s="4"/>
    </row>
  </sheetData>
  <phoneticPr fontId="0" type="noConversion"/>
  <pageMargins left="0.75" right="0.75" top="1" bottom="1" header="0.5" footer="0.5"/>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39"/>
  <dimension ref="A1:L29"/>
  <sheetViews>
    <sheetView workbookViewId="0">
      <selection activeCell="N10" sqref="N10"/>
    </sheetView>
  </sheetViews>
  <sheetFormatPr defaultRowHeight="12.5" x14ac:dyDescent="0.25"/>
  <cols>
    <col min="1" max="2" width="10.6328125" customWidth="1"/>
    <col min="3" max="3" width="11.81640625" customWidth="1"/>
    <col min="4" max="4" width="11.36328125" customWidth="1"/>
    <col min="5" max="5" width="15.26953125" customWidth="1"/>
    <col min="6" max="7" width="10.6328125" customWidth="1"/>
  </cols>
  <sheetData>
    <row r="1" spans="1:12" ht="18.5" x14ac:dyDescent="0.45">
      <c r="A1" s="240" t="s">
        <v>438</v>
      </c>
      <c r="B1" s="478"/>
      <c r="C1" s="478"/>
      <c r="D1" s="478"/>
      <c r="E1" s="478"/>
      <c r="F1" s="478"/>
      <c r="G1" s="478"/>
      <c r="H1" s="478"/>
      <c r="I1" s="478"/>
      <c r="J1" s="478"/>
      <c r="K1" s="478"/>
      <c r="L1" s="478"/>
    </row>
    <row r="2" spans="1:12" ht="13" x14ac:dyDescent="0.3">
      <c r="A2" s="478"/>
      <c r="B2" s="478"/>
      <c r="C2" s="478"/>
      <c r="D2" s="478"/>
      <c r="E2" s="478"/>
      <c r="F2" s="478"/>
      <c r="G2" s="478"/>
      <c r="H2" s="478"/>
      <c r="I2" s="478"/>
      <c r="J2" s="478"/>
      <c r="K2" s="478"/>
      <c r="L2" s="478"/>
    </row>
    <row r="3" spans="1:12" ht="26" x14ac:dyDescent="0.3">
      <c r="A3" s="479" t="s">
        <v>266</v>
      </c>
      <c r="B3" s="479" t="s">
        <v>178</v>
      </c>
      <c r="C3" s="479" t="s">
        <v>267</v>
      </c>
      <c r="D3" s="479" t="s">
        <v>268</v>
      </c>
      <c r="E3" s="479" t="s">
        <v>269</v>
      </c>
      <c r="F3" s="479" t="s">
        <v>181</v>
      </c>
      <c r="G3" s="479" t="s">
        <v>270</v>
      </c>
      <c r="H3" s="479" t="s">
        <v>271</v>
      </c>
      <c r="I3" s="478"/>
      <c r="J3" s="478"/>
      <c r="K3" s="478"/>
      <c r="L3" s="478"/>
    </row>
    <row r="4" spans="1:12" ht="13" x14ac:dyDescent="0.3">
      <c r="A4" s="480">
        <v>1</v>
      </c>
      <c r="B4" s="481">
        <f ca="1">RAND()</f>
        <v>0.4157858533934391</v>
      </c>
      <c r="C4" s="480">
        <f ca="1">VLOOKUP(B4,$C$17:$E$22,3,TRUE)</f>
        <v>2</v>
      </c>
      <c r="D4" s="480">
        <f ca="1">C4</f>
        <v>2</v>
      </c>
      <c r="E4" s="480">
        <f ca="1">D4</f>
        <v>2</v>
      </c>
      <c r="F4" s="481">
        <f ca="1">RAND()</f>
        <v>0.70243614097560136</v>
      </c>
      <c r="G4" s="480">
        <f ca="1">VLOOKUP(F4,$I$17:$K$19,3,TRUE)</f>
        <v>2</v>
      </c>
      <c r="H4" s="480">
        <f ca="1">E4+G4</f>
        <v>4</v>
      </c>
      <c r="I4" s="478"/>
      <c r="J4" s="478"/>
      <c r="K4" s="478"/>
      <c r="L4" s="478"/>
    </row>
    <row r="5" spans="1:12" ht="13" x14ac:dyDescent="0.3">
      <c r="A5" s="480">
        <v>2</v>
      </c>
      <c r="B5" s="481">
        <f t="shared" ref="B5:B13" ca="1" si="0">RAND()</f>
        <v>0.48131614066136164</v>
      </c>
      <c r="C5" s="480">
        <f t="shared" ref="C5:C13" ca="1" si="1">VLOOKUP(B5,$C$17:$E$22,3,TRUE)</f>
        <v>2</v>
      </c>
      <c r="D5" s="480">
        <f ca="1">D4+C5</f>
        <v>4</v>
      </c>
      <c r="E5" s="480">
        <f ca="1">MAX(D5,H4)</f>
        <v>4</v>
      </c>
      <c r="F5" s="481">
        <f t="shared" ref="F5:F13" ca="1" si="2">RAND()</f>
        <v>0.51042830618467461</v>
      </c>
      <c r="G5" s="480">
        <f t="shared" ref="G5:G13" ca="1" si="3">VLOOKUP(F5,$I$17:$K$19,3,TRUE)</f>
        <v>2</v>
      </c>
      <c r="H5" s="480">
        <f t="shared" ref="H5:H13" ca="1" si="4">E5+G5</f>
        <v>6</v>
      </c>
      <c r="I5" s="478"/>
      <c r="J5" s="478"/>
      <c r="K5" s="478"/>
      <c r="L5" s="478"/>
    </row>
    <row r="6" spans="1:12" ht="13" x14ac:dyDescent="0.3">
      <c r="A6" s="480">
        <v>3</v>
      </c>
      <c r="B6" s="481">
        <f t="shared" ca="1" si="0"/>
        <v>0.64782498382371201</v>
      </c>
      <c r="C6" s="480">
        <f t="shared" ca="1" si="1"/>
        <v>2.5</v>
      </c>
      <c r="D6" s="480">
        <f t="shared" ref="D6:D13" ca="1" si="5">D5+C6</f>
        <v>6.5</v>
      </c>
      <c r="E6" s="480">
        <f t="shared" ref="E6:E13" ca="1" si="6">MAX(D6,H5)</f>
        <v>6.5</v>
      </c>
      <c r="F6" s="481">
        <f t="shared" ca="1" si="2"/>
        <v>0.31647719906948069</v>
      </c>
      <c r="G6" s="480">
        <f t="shared" ca="1" si="3"/>
        <v>2</v>
      </c>
      <c r="H6" s="480">
        <f t="shared" ca="1" si="4"/>
        <v>8.5</v>
      </c>
      <c r="I6" s="478"/>
      <c r="J6" s="482"/>
      <c r="K6" s="478"/>
      <c r="L6" s="478"/>
    </row>
    <row r="7" spans="1:12" ht="13" x14ac:dyDescent="0.3">
      <c r="A7" s="480">
        <v>4</v>
      </c>
      <c r="B7" s="481">
        <f t="shared" ca="1" si="0"/>
        <v>0.42148386278138783</v>
      </c>
      <c r="C7" s="480">
        <f t="shared" ca="1" si="1"/>
        <v>2</v>
      </c>
      <c r="D7" s="480">
        <f t="shared" ca="1" si="5"/>
        <v>8.5</v>
      </c>
      <c r="E7" s="480">
        <f t="shared" ca="1" si="6"/>
        <v>8.5</v>
      </c>
      <c r="F7" s="481">
        <f t="shared" ca="1" si="2"/>
        <v>0.18038143585738309</v>
      </c>
      <c r="G7" s="480">
        <f t="shared" ca="1" si="3"/>
        <v>1</v>
      </c>
      <c r="H7" s="480">
        <f t="shared" ca="1" si="4"/>
        <v>9.5</v>
      </c>
      <c r="I7" s="478"/>
      <c r="J7" s="478"/>
      <c r="K7" s="478"/>
      <c r="L7" s="478"/>
    </row>
    <row r="8" spans="1:12" ht="13" x14ac:dyDescent="0.3">
      <c r="A8" s="480">
        <v>5</v>
      </c>
      <c r="B8" s="481">
        <f t="shared" ca="1" si="0"/>
        <v>0.62795428572839063</v>
      </c>
      <c r="C8" s="480">
        <f t="shared" ca="1" si="1"/>
        <v>2.5</v>
      </c>
      <c r="D8" s="480">
        <f t="shared" ca="1" si="5"/>
        <v>11</v>
      </c>
      <c r="E8" s="480">
        <f t="shared" ca="1" si="6"/>
        <v>11</v>
      </c>
      <c r="F8" s="481">
        <f t="shared" ca="1" si="2"/>
        <v>0.96183372228602981</v>
      </c>
      <c r="G8" s="480">
        <f t="shared" ca="1" si="3"/>
        <v>3</v>
      </c>
      <c r="H8" s="480">
        <f t="shared" ca="1" si="4"/>
        <v>14</v>
      </c>
      <c r="I8" s="478"/>
      <c r="J8" s="478"/>
      <c r="K8" s="478"/>
      <c r="L8" s="478"/>
    </row>
    <row r="9" spans="1:12" ht="13" x14ac:dyDescent="0.3">
      <c r="A9" s="480">
        <v>6</v>
      </c>
      <c r="B9" s="481">
        <f t="shared" ca="1" si="0"/>
        <v>0.47929594831136468</v>
      </c>
      <c r="C9" s="480">
        <f t="shared" ca="1" si="1"/>
        <v>2</v>
      </c>
      <c r="D9" s="480">
        <f t="shared" ca="1" si="5"/>
        <v>13</v>
      </c>
      <c r="E9" s="480">
        <f t="shared" ca="1" si="6"/>
        <v>14</v>
      </c>
      <c r="F9" s="481">
        <f t="shared" ca="1" si="2"/>
        <v>0.21702564866991625</v>
      </c>
      <c r="G9" s="480">
        <f t="shared" ca="1" si="3"/>
        <v>1</v>
      </c>
      <c r="H9" s="480">
        <f t="shared" ca="1" si="4"/>
        <v>15</v>
      </c>
      <c r="I9" s="478"/>
      <c r="J9" s="478"/>
      <c r="K9" s="478"/>
      <c r="L9" s="478"/>
    </row>
    <row r="10" spans="1:12" ht="13" x14ac:dyDescent="0.3">
      <c r="A10" s="480">
        <v>7</v>
      </c>
      <c r="B10" s="481">
        <f t="shared" ca="1" si="0"/>
        <v>0.19798912525807555</v>
      </c>
      <c r="C10" s="480">
        <f t="shared" ca="1" si="1"/>
        <v>1.5</v>
      </c>
      <c r="D10" s="480">
        <f t="shared" ca="1" si="5"/>
        <v>14.5</v>
      </c>
      <c r="E10" s="480">
        <f t="shared" ca="1" si="6"/>
        <v>15</v>
      </c>
      <c r="F10" s="481">
        <f t="shared" ca="1" si="2"/>
        <v>0.28140132583739341</v>
      </c>
      <c r="G10" s="480">
        <f t="shared" ca="1" si="3"/>
        <v>2</v>
      </c>
      <c r="H10" s="480">
        <f t="shared" ca="1" si="4"/>
        <v>17</v>
      </c>
      <c r="I10" s="478"/>
      <c r="J10" s="478"/>
      <c r="K10" s="478"/>
      <c r="L10" s="478"/>
    </row>
    <row r="11" spans="1:12" ht="13" x14ac:dyDescent="0.3">
      <c r="A11" s="480">
        <v>8</v>
      </c>
      <c r="B11" s="481">
        <f t="shared" ca="1" si="0"/>
        <v>0.49512403029987795</v>
      </c>
      <c r="C11" s="480">
        <f t="shared" ca="1" si="1"/>
        <v>2</v>
      </c>
      <c r="D11" s="480">
        <f t="shared" ca="1" si="5"/>
        <v>16.5</v>
      </c>
      <c r="E11" s="480">
        <f t="shared" ca="1" si="6"/>
        <v>17</v>
      </c>
      <c r="F11" s="481">
        <f t="shared" ca="1" si="2"/>
        <v>0.27841204993578605</v>
      </c>
      <c r="G11" s="480">
        <f t="shared" ca="1" si="3"/>
        <v>1</v>
      </c>
      <c r="H11" s="480">
        <f t="shared" ca="1" si="4"/>
        <v>18</v>
      </c>
      <c r="I11" s="478"/>
      <c r="J11" s="478"/>
      <c r="K11" s="478"/>
      <c r="L11" s="478"/>
    </row>
    <row r="12" spans="1:12" ht="13" x14ac:dyDescent="0.3">
      <c r="A12" s="480">
        <v>9</v>
      </c>
      <c r="B12" s="481">
        <f t="shared" ca="1" si="0"/>
        <v>9.6715985024249496E-2</v>
      </c>
      <c r="C12" s="480">
        <f t="shared" ca="1" si="1"/>
        <v>1</v>
      </c>
      <c r="D12" s="480">
        <f t="shared" ca="1" si="5"/>
        <v>17.5</v>
      </c>
      <c r="E12" s="480">
        <f t="shared" ca="1" si="6"/>
        <v>18</v>
      </c>
      <c r="F12" s="481">
        <f t="shared" ca="1" si="2"/>
        <v>0.80424387834453592</v>
      </c>
      <c r="G12" s="480">
        <f t="shared" ca="1" si="3"/>
        <v>3</v>
      </c>
      <c r="H12" s="480">
        <f t="shared" ca="1" si="4"/>
        <v>21</v>
      </c>
      <c r="I12" s="478"/>
      <c r="J12" s="478"/>
      <c r="K12" s="478"/>
      <c r="L12" s="478"/>
    </row>
    <row r="13" spans="1:12" ht="13" x14ac:dyDescent="0.3">
      <c r="A13" s="480">
        <v>10</v>
      </c>
      <c r="B13" s="481">
        <f t="shared" ca="1" si="0"/>
        <v>0.45135803587941081</v>
      </c>
      <c r="C13" s="480">
        <f t="shared" ca="1" si="1"/>
        <v>2</v>
      </c>
      <c r="D13" s="480">
        <f t="shared" ca="1" si="5"/>
        <v>19.5</v>
      </c>
      <c r="E13" s="480">
        <f t="shared" ca="1" si="6"/>
        <v>21</v>
      </c>
      <c r="F13" s="481">
        <f t="shared" ca="1" si="2"/>
        <v>0.52166433039343907</v>
      </c>
      <c r="G13" s="480">
        <f t="shared" ca="1" si="3"/>
        <v>2</v>
      </c>
      <c r="H13" s="480">
        <f t="shared" ca="1" si="4"/>
        <v>23</v>
      </c>
      <c r="I13" s="478"/>
      <c r="J13" s="478"/>
      <c r="K13" s="478"/>
      <c r="L13" s="478"/>
    </row>
    <row r="14" spans="1:12" ht="13" x14ac:dyDescent="0.3">
      <c r="A14" s="478"/>
      <c r="B14" s="478"/>
      <c r="C14" s="478"/>
      <c r="D14" s="478"/>
      <c r="E14" s="478"/>
      <c r="F14" s="478"/>
      <c r="G14" s="478"/>
      <c r="H14" s="478"/>
      <c r="I14" s="478"/>
      <c r="J14" s="478"/>
      <c r="K14" s="478"/>
      <c r="L14" s="478"/>
    </row>
    <row r="15" spans="1:12" ht="13.5" thickBot="1" x14ac:dyDescent="0.35">
      <c r="A15" s="483" t="s">
        <v>272</v>
      </c>
      <c r="B15" s="478"/>
      <c r="C15" s="478"/>
      <c r="D15" s="478"/>
      <c r="E15" s="478"/>
      <c r="F15" s="478"/>
      <c r="G15" s="483" t="s">
        <v>273</v>
      </c>
      <c r="H15" s="478"/>
      <c r="I15" s="478"/>
      <c r="J15" s="478"/>
      <c r="K15" s="478"/>
      <c r="L15" s="478"/>
    </row>
    <row r="16" spans="1:12" ht="39" x14ac:dyDescent="0.3">
      <c r="A16" s="484" t="s">
        <v>857</v>
      </c>
      <c r="B16" s="485" t="s">
        <v>42</v>
      </c>
      <c r="C16" s="485" t="s">
        <v>186</v>
      </c>
      <c r="D16" s="485" t="s">
        <v>187</v>
      </c>
      <c r="E16" s="486" t="s">
        <v>51</v>
      </c>
      <c r="F16" s="478"/>
      <c r="G16" s="487" t="s">
        <v>274</v>
      </c>
      <c r="H16" s="485" t="s">
        <v>42</v>
      </c>
      <c r="I16" s="485" t="s">
        <v>186</v>
      </c>
      <c r="J16" s="485" t="s">
        <v>187</v>
      </c>
      <c r="K16" s="486" t="s">
        <v>275</v>
      </c>
      <c r="L16" s="478"/>
    </row>
    <row r="17" spans="1:12" ht="13" x14ac:dyDescent="0.3">
      <c r="A17" s="488">
        <v>0.5</v>
      </c>
      <c r="B17" s="480">
        <v>0.05</v>
      </c>
      <c r="C17" s="480">
        <f>0</f>
        <v>0</v>
      </c>
      <c r="D17" s="480">
        <f>B17</f>
        <v>0.05</v>
      </c>
      <c r="E17" s="489">
        <f t="shared" ref="E17:E22" si="7">A17</f>
        <v>0.5</v>
      </c>
      <c r="F17" s="478"/>
      <c r="G17" s="490">
        <v>1</v>
      </c>
      <c r="H17" s="491">
        <v>0.28000000000000003</v>
      </c>
      <c r="I17" s="491">
        <f>0</f>
        <v>0</v>
      </c>
      <c r="J17" s="491">
        <f>H17</f>
        <v>0.28000000000000003</v>
      </c>
      <c r="K17" s="489">
        <f>G17</f>
        <v>1</v>
      </c>
      <c r="L17" s="478"/>
    </row>
    <row r="18" spans="1:12" ht="13" x14ac:dyDescent="0.3">
      <c r="A18" s="488">
        <v>1</v>
      </c>
      <c r="B18" s="480">
        <v>0.06</v>
      </c>
      <c r="C18" s="480">
        <f>C17+B17</f>
        <v>0.05</v>
      </c>
      <c r="D18" s="480">
        <f>D17+B18</f>
        <v>0.11</v>
      </c>
      <c r="E18" s="489">
        <f t="shared" si="7"/>
        <v>1</v>
      </c>
      <c r="F18" s="478"/>
      <c r="G18" s="490">
        <v>2</v>
      </c>
      <c r="H18" s="491">
        <v>0.52</v>
      </c>
      <c r="I18" s="491">
        <f>I17+H17</f>
        <v>0.28000000000000003</v>
      </c>
      <c r="J18" s="491">
        <f>J17+H18</f>
        <v>0.8</v>
      </c>
      <c r="K18" s="489">
        <f>G18</f>
        <v>2</v>
      </c>
      <c r="L18" s="478"/>
    </row>
    <row r="19" spans="1:12" ht="13.5" thickBot="1" x14ac:dyDescent="0.35">
      <c r="A19" s="488">
        <v>1.5</v>
      </c>
      <c r="B19" s="480">
        <v>0.16</v>
      </c>
      <c r="C19" s="480">
        <f>C18+B18</f>
        <v>0.11</v>
      </c>
      <c r="D19" s="480">
        <f>D18+B19</f>
        <v>0.27</v>
      </c>
      <c r="E19" s="489">
        <f t="shared" si="7"/>
        <v>1.5</v>
      </c>
      <c r="F19" s="478"/>
      <c r="G19" s="492">
        <v>3</v>
      </c>
      <c r="H19" s="493">
        <v>0.2</v>
      </c>
      <c r="I19" s="493">
        <f>I18+H18</f>
        <v>0.8</v>
      </c>
      <c r="J19" s="493">
        <f>J18+H19</f>
        <v>1</v>
      </c>
      <c r="K19" s="494">
        <f>G19</f>
        <v>3</v>
      </c>
      <c r="L19" s="478"/>
    </row>
    <row r="20" spans="1:12" ht="13" x14ac:dyDescent="0.3">
      <c r="A20" s="488">
        <v>2</v>
      </c>
      <c r="B20" s="480">
        <v>0.33</v>
      </c>
      <c r="C20" s="480">
        <f>C19+B19</f>
        <v>0.27</v>
      </c>
      <c r="D20" s="480">
        <f>D19+B20</f>
        <v>0.60000000000000009</v>
      </c>
      <c r="E20" s="489">
        <f t="shared" si="7"/>
        <v>2</v>
      </c>
      <c r="F20" s="478"/>
      <c r="G20" s="478"/>
      <c r="H20" s="478"/>
      <c r="I20" s="478"/>
      <c r="J20" s="478"/>
      <c r="K20" s="478"/>
      <c r="L20" s="478"/>
    </row>
    <row r="21" spans="1:12" ht="13" x14ac:dyDescent="0.3">
      <c r="A21" s="488">
        <v>2.5</v>
      </c>
      <c r="B21" s="480">
        <v>0.21</v>
      </c>
      <c r="C21" s="480">
        <f>C20+B20</f>
        <v>0.60000000000000009</v>
      </c>
      <c r="D21" s="480">
        <f>D20+B21</f>
        <v>0.81</v>
      </c>
      <c r="E21" s="489">
        <f t="shared" si="7"/>
        <v>2.5</v>
      </c>
      <c r="F21" s="478"/>
      <c r="G21" s="478"/>
      <c r="H21" s="478"/>
      <c r="I21" s="478"/>
      <c r="J21" s="478"/>
      <c r="K21" s="478"/>
      <c r="L21" s="478"/>
    </row>
    <row r="22" spans="1:12" ht="13.5" thickBot="1" x14ac:dyDescent="0.35">
      <c r="A22" s="495">
        <v>3</v>
      </c>
      <c r="B22" s="496">
        <v>0.19</v>
      </c>
      <c r="C22" s="496">
        <f>C21+B21</f>
        <v>0.81</v>
      </c>
      <c r="D22" s="496">
        <f>D21+B22</f>
        <v>1</v>
      </c>
      <c r="E22" s="494">
        <f t="shared" si="7"/>
        <v>3</v>
      </c>
      <c r="F22" s="478"/>
      <c r="G22" s="478"/>
      <c r="H22" s="478"/>
      <c r="I22" s="478"/>
      <c r="J22" s="478"/>
      <c r="K22" s="478"/>
      <c r="L22" s="478"/>
    </row>
    <row r="23" spans="1:12" ht="13" x14ac:dyDescent="0.3">
      <c r="A23" s="478"/>
      <c r="B23" s="478"/>
      <c r="C23" s="478"/>
      <c r="D23" s="478"/>
      <c r="E23" s="478"/>
      <c r="F23" s="478"/>
      <c r="G23" s="478"/>
      <c r="H23" s="478"/>
      <c r="I23" s="478"/>
      <c r="J23" s="478"/>
      <c r="K23" s="478"/>
      <c r="L23" s="478"/>
    </row>
    <row r="24" spans="1:12" ht="13" x14ac:dyDescent="0.3">
      <c r="A24" s="478"/>
      <c r="B24" s="478"/>
      <c r="C24" s="478"/>
      <c r="D24" s="478"/>
      <c r="E24" s="478"/>
      <c r="F24" s="478"/>
      <c r="G24" s="478"/>
      <c r="H24" s="478"/>
      <c r="I24" s="478"/>
      <c r="J24" s="478"/>
      <c r="K24" s="478"/>
      <c r="L24" s="478"/>
    </row>
    <row r="25" spans="1:12" ht="13" x14ac:dyDescent="0.3">
      <c r="A25" s="478"/>
      <c r="B25" s="478"/>
      <c r="C25" s="478"/>
      <c r="D25" s="478"/>
      <c r="E25" s="478"/>
      <c r="F25" s="478"/>
      <c r="G25" s="478"/>
      <c r="H25" s="478"/>
      <c r="I25" s="478"/>
      <c r="J25" s="478"/>
      <c r="K25" s="478"/>
      <c r="L25" s="478"/>
    </row>
    <row r="26" spans="1:12" ht="13" x14ac:dyDescent="0.3">
      <c r="A26" s="478"/>
      <c r="B26" s="478"/>
      <c r="C26" s="478"/>
      <c r="D26" s="478"/>
      <c r="E26" s="478"/>
      <c r="F26" s="478"/>
      <c r="G26" s="478"/>
      <c r="H26" s="478"/>
      <c r="I26" s="478"/>
      <c r="J26" s="478"/>
      <c r="K26" s="478"/>
      <c r="L26" s="478"/>
    </row>
    <row r="27" spans="1:12" ht="13" x14ac:dyDescent="0.3">
      <c r="A27" s="497" t="s">
        <v>428</v>
      </c>
      <c r="B27" s="478"/>
      <c r="C27" s="478"/>
      <c r="D27" s="478"/>
      <c r="E27" s="478"/>
      <c r="F27" s="478"/>
      <c r="G27" s="478"/>
      <c r="H27" s="478"/>
      <c r="I27" s="478"/>
      <c r="J27" s="478"/>
      <c r="K27" s="478"/>
      <c r="L27" s="478"/>
    </row>
    <row r="28" spans="1:12" ht="13" x14ac:dyDescent="0.3">
      <c r="A28" s="478"/>
      <c r="B28" s="478"/>
      <c r="C28" s="478"/>
      <c r="D28" s="478"/>
      <c r="E28" s="478"/>
      <c r="F28" s="478"/>
      <c r="G28" s="478"/>
      <c r="H28" s="478"/>
      <c r="I28" s="478"/>
      <c r="J28" s="478"/>
      <c r="K28" s="478"/>
      <c r="L28" s="478"/>
    </row>
    <row r="29" spans="1:12" ht="13" x14ac:dyDescent="0.3">
      <c r="A29" s="478"/>
      <c r="B29" s="478"/>
      <c r="C29" s="478"/>
      <c r="D29" s="478"/>
      <c r="E29" s="478"/>
      <c r="F29" s="478"/>
      <c r="G29" s="478"/>
      <c r="H29" s="478"/>
      <c r="I29" s="478"/>
      <c r="J29" s="478"/>
      <c r="K29" s="478"/>
      <c r="L29" s="478"/>
    </row>
  </sheetData>
  <phoneticPr fontId="0" type="noConversion"/>
  <pageMargins left="0.75" right="0.75" top="1" bottom="1" header="0.5" footer="0.5"/>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40"/>
  <dimension ref="A1:G12"/>
  <sheetViews>
    <sheetView workbookViewId="0">
      <selection activeCell="E6" sqref="E6:G8"/>
    </sheetView>
  </sheetViews>
  <sheetFormatPr defaultRowHeight="12.5" x14ac:dyDescent="0.25"/>
  <cols>
    <col min="2" max="2" width="14.08984375" customWidth="1"/>
    <col min="3" max="3" width="11.26953125" customWidth="1"/>
    <col min="4" max="4" width="12.6328125" customWidth="1"/>
  </cols>
  <sheetData>
    <row r="1" spans="1:7" ht="15.5" x14ac:dyDescent="0.35">
      <c r="A1" s="29" t="s">
        <v>276</v>
      </c>
    </row>
    <row r="3" spans="1:7" x14ac:dyDescent="0.25">
      <c r="C3" t="s">
        <v>277</v>
      </c>
    </row>
    <row r="4" spans="1:7" x14ac:dyDescent="0.25">
      <c r="B4" t="s">
        <v>284</v>
      </c>
      <c r="C4" t="s">
        <v>278</v>
      </c>
      <c r="D4" t="s">
        <v>279</v>
      </c>
    </row>
    <row r="5" spans="1:7" ht="13" thickBot="1" x14ac:dyDescent="0.3">
      <c r="A5" t="s">
        <v>274</v>
      </c>
      <c r="B5" t="s">
        <v>280</v>
      </c>
      <c r="C5" t="s">
        <v>281</v>
      </c>
      <c r="D5" t="s">
        <v>282</v>
      </c>
      <c r="E5" t="s">
        <v>283</v>
      </c>
    </row>
    <row r="6" spans="1:7" x14ac:dyDescent="0.25">
      <c r="A6">
        <v>0</v>
      </c>
      <c r="B6">
        <v>0.4</v>
      </c>
      <c r="C6">
        <v>0.3</v>
      </c>
      <c r="D6">
        <v>0.3</v>
      </c>
      <c r="E6" s="5">
        <v>0.8</v>
      </c>
      <c r="F6" s="6">
        <v>0.1</v>
      </c>
      <c r="G6" s="7">
        <v>0.1</v>
      </c>
    </row>
    <row r="7" spans="1:7" x14ac:dyDescent="0.25">
      <c r="A7">
        <v>1</v>
      </c>
      <c r="B7">
        <f t="array" ref="B7:D7">MMULT(B6:D6,$E$6:$G$8)</f>
        <v>0.41000000000000009</v>
      </c>
      <c r="C7">
        <v>0.31</v>
      </c>
      <c r="D7">
        <v>0.28000000000000003</v>
      </c>
      <c r="E7" s="8">
        <v>0.1</v>
      </c>
      <c r="F7">
        <v>0.7</v>
      </c>
      <c r="G7" s="9">
        <v>0.2</v>
      </c>
    </row>
    <row r="8" spans="1:7" ht="13" thickBot="1" x14ac:dyDescent="0.3">
      <c r="A8">
        <v>2</v>
      </c>
      <c r="B8">
        <f t="array" ref="B8:D8">MMULT(B7:D7,$E$6:$G$8)</f>
        <v>0.41500000000000009</v>
      </c>
      <c r="C8">
        <v>0.314</v>
      </c>
      <c r="D8">
        <v>0.27100000000000002</v>
      </c>
      <c r="E8" s="10">
        <v>0.2</v>
      </c>
      <c r="F8" s="11">
        <v>0.2</v>
      </c>
      <c r="G8" s="12">
        <v>0.6</v>
      </c>
    </row>
    <row r="9" spans="1:7" x14ac:dyDescent="0.25">
      <c r="A9">
        <v>3</v>
      </c>
      <c r="B9">
        <f t="array" ref="B9:D9">MMULT(B8:D8,$E$6:$G$8)</f>
        <v>0.41760000000000008</v>
      </c>
      <c r="C9">
        <v>0.3155</v>
      </c>
      <c r="D9">
        <v>0.26690000000000003</v>
      </c>
    </row>
    <row r="10" spans="1:7" x14ac:dyDescent="0.25">
      <c r="A10">
        <v>4</v>
      </c>
      <c r="B10">
        <f t="array" ref="B10:D10">MMULT(B9:D9,$E$6:$G$8)</f>
        <v>0.4190100000000001</v>
      </c>
      <c r="C10">
        <v>0.31598999999999999</v>
      </c>
      <c r="D10">
        <v>0.26500000000000001</v>
      </c>
    </row>
    <row r="11" spans="1:7" x14ac:dyDescent="0.25">
      <c r="A11">
        <v>5</v>
      </c>
      <c r="B11">
        <f t="array" ref="B11:D11">MMULT(B10:D10,$E$6:$G$8)</f>
        <v>0.4198070000000001</v>
      </c>
      <c r="C11">
        <v>0.31609399999999999</v>
      </c>
      <c r="D11">
        <v>0.26409900000000003</v>
      </c>
    </row>
    <row r="12" spans="1:7" x14ac:dyDescent="0.25">
      <c r="A12">
        <v>6</v>
      </c>
      <c r="B12">
        <f t="array" ref="B12:D12">MMULT(B11:D11,$E$6:$G$8)</f>
        <v>0.42027480000000011</v>
      </c>
      <c r="C12">
        <v>0.31606630000000002</v>
      </c>
      <c r="D12">
        <v>0.26365890000000003</v>
      </c>
    </row>
  </sheetData>
  <phoneticPr fontId="0" type="noConversion"/>
  <pageMargins left="0.75" right="0.75" top="1" bottom="1" header="0.5" footer="0.5"/>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41"/>
  <dimension ref="A1:G16"/>
  <sheetViews>
    <sheetView workbookViewId="0">
      <selection activeCell="A2" sqref="A2"/>
    </sheetView>
  </sheetViews>
  <sheetFormatPr defaultRowHeight="12.5" x14ac:dyDescent="0.25"/>
  <sheetData>
    <row r="1" spans="1:7" ht="15.5" x14ac:dyDescent="0.35">
      <c r="A1" s="29" t="s">
        <v>440</v>
      </c>
    </row>
    <row r="2" spans="1:7" ht="13" thickBot="1" x14ac:dyDescent="0.3"/>
    <row r="3" spans="1:7" x14ac:dyDescent="0.25">
      <c r="B3" s="100"/>
      <c r="D3" s="5">
        <v>1</v>
      </c>
      <c r="E3" s="7">
        <v>0</v>
      </c>
      <c r="F3" s="5">
        <v>0</v>
      </c>
      <c r="G3" s="7">
        <v>0</v>
      </c>
    </row>
    <row r="4" spans="1:7" ht="13" thickBot="1" x14ac:dyDescent="0.3">
      <c r="A4" t="s">
        <v>312</v>
      </c>
      <c r="B4" s="102" t="s">
        <v>313</v>
      </c>
      <c r="C4" s="98" t="s">
        <v>101</v>
      </c>
      <c r="D4" s="10">
        <v>0</v>
      </c>
      <c r="E4" s="12">
        <v>1</v>
      </c>
      <c r="F4" s="10">
        <v>0</v>
      </c>
      <c r="G4" s="12">
        <v>0</v>
      </c>
    </row>
    <row r="5" spans="1:7" x14ac:dyDescent="0.25">
      <c r="B5" s="102" t="s">
        <v>314</v>
      </c>
      <c r="D5" s="5">
        <v>0.6</v>
      </c>
      <c r="E5" s="7">
        <v>0</v>
      </c>
      <c r="F5" s="5">
        <v>0.2</v>
      </c>
      <c r="G5" s="7">
        <v>0.2</v>
      </c>
    </row>
    <row r="6" spans="1:7" ht="13" thickBot="1" x14ac:dyDescent="0.3">
      <c r="B6" s="101"/>
      <c r="D6" s="10">
        <v>0.4</v>
      </c>
      <c r="E6" s="12">
        <v>0.1</v>
      </c>
      <c r="F6" s="10">
        <v>0.3</v>
      </c>
      <c r="G6" s="12">
        <v>0.2</v>
      </c>
    </row>
    <row r="8" spans="1:7" ht="13" thickBot="1" x14ac:dyDescent="0.3"/>
    <row r="9" spans="1:7" x14ac:dyDescent="0.25">
      <c r="B9" t="s">
        <v>315</v>
      </c>
      <c r="D9" s="5">
        <f t="array" ref="D9:E10">D3:E4-F5:G6</f>
        <v>0.8</v>
      </c>
      <c r="E9" s="7">
        <v>-0.2</v>
      </c>
    </row>
    <row r="10" spans="1:7" ht="13" thickBot="1" x14ac:dyDescent="0.3">
      <c r="D10" s="10">
        <v>-0.3</v>
      </c>
      <c r="E10" s="12">
        <v>0.8</v>
      </c>
    </row>
    <row r="11" spans="1:7" ht="13" thickBot="1" x14ac:dyDescent="0.3"/>
    <row r="12" spans="1:7" x14ac:dyDescent="0.25">
      <c r="B12" t="s">
        <v>316</v>
      </c>
      <c r="D12" s="5">
        <f t="array" ref="D12:E13">MINVERSE(D9:E10)</f>
        <v>1.3793103448275861</v>
      </c>
      <c r="E12" s="7">
        <v>0.34482758620689652</v>
      </c>
    </row>
    <row r="13" spans="1:7" ht="13" thickBot="1" x14ac:dyDescent="0.3">
      <c r="D13" s="10">
        <v>0.51724137931034464</v>
      </c>
      <c r="E13" s="12">
        <v>1.3793103448275861</v>
      </c>
    </row>
    <row r="14" spans="1:7" ht="13" thickBot="1" x14ac:dyDescent="0.3"/>
    <row r="15" spans="1:7" x14ac:dyDescent="0.25">
      <c r="B15" t="s">
        <v>317</v>
      </c>
      <c r="D15" s="5">
        <f t="array" ref="D15:E16">MMULT(D12:E13,D5:E6)</f>
        <v>0.96551724137931028</v>
      </c>
      <c r="E15" s="7">
        <v>3.4482758620689655E-2</v>
      </c>
    </row>
    <row r="16" spans="1:7" ht="13" thickBot="1" x14ac:dyDescent="0.3">
      <c r="D16" s="10">
        <v>0.86206896551724133</v>
      </c>
      <c r="E16" s="12">
        <v>0.13793103448275862</v>
      </c>
    </row>
  </sheetData>
  <phoneticPr fontId="0" type="noConversion"/>
  <pageMargins left="0.75" right="0.75" top="1" bottom="1" header="0.5" footer="0.5"/>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16"/>
  <sheetViews>
    <sheetView workbookViewId="0">
      <selection activeCell="B11" sqref="B11"/>
    </sheetView>
  </sheetViews>
  <sheetFormatPr defaultColWidth="9.08984375" defaultRowHeight="12.5" x14ac:dyDescent="0.25"/>
  <cols>
    <col min="1" max="1" width="17.81640625" style="160" bestFit="1" customWidth="1"/>
    <col min="2" max="2" width="9.08984375" style="160"/>
    <col min="3" max="3" width="10.08984375" style="160" customWidth="1"/>
    <col min="4" max="4" width="3" style="160" customWidth="1"/>
    <col min="5" max="5" width="17.36328125" style="160" customWidth="1"/>
    <col min="6" max="16384" width="9.08984375" style="160"/>
  </cols>
  <sheetData>
    <row r="1" spans="1:8" ht="18" x14ac:dyDescent="0.4">
      <c r="A1" s="513" t="s">
        <v>858</v>
      </c>
    </row>
    <row r="3" spans="1:8" ht="15.5" x14ac:dyDescent="0.35">
      <c r="A3" s="500" t="s">
        <v>319</v>
      </c>
      <c r="B3" s="500"/>
      <c r="C3" s="500" t="s">
        <v>859</v>
      </c>
      <c r="D3" s="500"/>
      <c r="E3" s="500"/>
      <c r="F3" s="500"/>
      <c r="G3" s="500"/>
      <c r="H3" s="500"/>
    </row>
    <row r="4" spans="1:8" x14ac:dyDescent="0.25">
      <c r="A4" s="499"/>
      <c r="B4" s="499"/>
    </row>
    <row r="5" spans="1:8" x14ac:dyDescent="0.25">
      <c r="A5" s="160" t="s">
        <v>320</v>
      </c>
      <c r="B5" s="724">
        <v>1</v>
      </c>
    </row>
    <row r="6" spans="1:8" x14ac:dyDescent="0.25">
      <c r="A6" s="160" t="s">
        <v>321</v>
      </c>
      <c r="B6" s="724">
        <v>36</v>
      </c>
    </row>
    <row r="7" spans="1:8" ht="25" x14ac:dyDescent="0.25">
      <c r="A7" s="202" t="s">
        <v>860</v>
      </c>
      <c r="B7" s="502">
        <v>2</v>
      </c>
    </row>
    <row r="8" spans="1:8" ht="13.5" thickBot="1" x14ac:dyDescent="0.35">
      <c r="A8" s="501" t="s">
        <v>27</v>
      </c>
      <c r="E8" s="509" t="s">
        <v>31</v>
      </c>
    </row>
    <row r="9" spans="1:8" x14ac:dyDescent="0.25">
      <c r="A9" s="503"/>
      <c r="B9" s="539" t="s">
        <v>781</v>
      </c>
      <c r="E9" s="163"/>
      <c r="F9" s="512"/>
    </row>
    <row r="10" spans="1:8" ht="13" thickBot="1" x14ac:dyDescent="0.3">
      <c r="A10" s="507" t="s">
        <v>325</v>
      </c>
      <c r="B10" s="508">
        <v>16</v>
      </c>
      <c r="E10" s="143" t="s">
        <v>861</v>
      </c>
      <c r="F10" s="159">
        <f>B11</f>
        <v>16</v>
      </c>
    </row>
    <row r="11" spans="1:8" x14ac:dyDescent="0.25">
      <c r="A11" s="160" t="s">
        <v>58</v>
      </c>
      <c r="B11" s="160">
        <f>AVERAGE(B10:B10)</f>
        <v>16</v>
      </c>
      <c r="E11" s="143" t="s">
        <v>862</v>
      </c>
      <c r="F11" s="541">
        <v>3</v>
      </c>
    </row>
    <row r="12" spans="1:8" x14ac:dyDescent="0.25">
      <c r="E12" s="143" t="s">
        <v>863</v>
      </c>
      <c r="F12" s="159">
        <f>B7/ SQRT(B6)</f>
        <v>0.33333333333333331</v>
      </c>
    </row>
    <row r="13" spans="1:8" ht="13" thickBot="1" x14ac:dyDescent="0.3">
      <c r="E13" s="205"/>
      <c r="F13" s="431"/>
    </row>
    <row r="14" spans="1:8" ht="13" x14ac:dyDescent="0.3">
      <c r="E14" s="146" t="s">
        <v>864</v>
      </c>
      <c r="F14" s="167">
        <f>F10+F11*F12</f>
        <v>17</v>
      </c>
    </row>
    <row r="15" spans="1:8" ht="13" x14ac:dyDescent="0.3">
      <c r="E15" s="145" t="s">
        <v>865</v>
      </c>
      <c r="F15" s="152">
        <f>F10</f>
        <v>16</v>
      </c>
    </row>
    <row r="16" spans="1:8" ht="13.5" thickBot="1" x14ac:dyDescent="0.35">
      <c r="E16" s="148" t="s">
        <v>866</v>
      </c>
      <c r="F16" s="153">
        <f>F10-F11*F12</f>
        <v>15</v>
      </c>
    </row>
  </sheetData>
  <pageMargins left="0.7" right="0.7" top="0.75" bottom="0.75" header="0.3" footer="0.3"/>
  <drawing r:id="rId1"/>
  <legacyDrawing r:id="rId2"/>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42"/>
  <sheetViews>
    <sheetView workbookViewId="0">
      <selection activeCell="C11" sqref="C11"/>
    </sheetView>
  </sheetViews>
  <sheetFormatPr defaultColWidth="9.08984375" defaultRowHeight="12.5" x14ac:dyDescent="0.25"/>
  <cols>
    <col min="1" max="1" width="17.81640625" style="160" bestFit="1" customWidth="1"/>
    <col min="2" max="2" width="9.08984375" style="160"/>
    <col min="3" max="3" width="10.08984375" style="160" customWidth="1"/>
    <col min="4" max="4" width="9.08984375" style="160"/>
    <col min="5" max="5" width="17.36328125" style="160" customWidth="1"/>
    <col min="6" max="16384" width="9.08984375" style="160"/>
  </cols>
  <sheetData>
    <row r="1" spans="1:8" ht="18" x14ac:dyDescent="0.4">
      <c r="A1" s="513" t="s">
        <v>867</v>
      </c>
    </row>
    <row r="3" spans="1:8" ht="15.5" x14ac:dyDescent="0.35">
      <c r="A3" s="500" t="s">
        <v>319</v>
      </c>
      <c r="B3" s="500"/>
      <c r="C3" s="500" t="s">
        <v>859</v>
      </c>
      <c r="D3" s="500"/>
      <c r="E3" s="500"/>
      <c r="F3" s="500"/>
      <c r="G3" s="500"/>
      <c r="H3" s="500"/>
    </row>
    <row r="4" spans="1:8" x14ac:dyDescent="0.25">
      <c r="A4" s="499"/>
      <c r="B4" s="499"/>
    </row>
    <row r="5" spans="1:8" x14ac:dyDescent="0.25">
      <c r="A5" s="160" t="s">
        <v>320</v>
      </c>
      <c r="B5" s="724">
        <v>1</v>
      </c>
    </row>
    <row r="6" spans="1:8" x14ac:dyDescent="0.25">
      <c r="A6" s="160" t="s">
        <v>321</v>
      </c>
      <c r="B6" s="724">
        <v>5</v>
      </c>
    </row>
    <row r="8" spans="1:8" ht="13.5" thickBot="1" x14ac:dyDescent="0.35">
      <c r="A8" s="501" t="s">
        <v>27</v>
      </c>
      <c r="E8" s="509" t="s">
        <v>31</v>
      </c>
    </row>
    <row r="9" spans="1:8" x14ac:dyDescent="0.25">
      <c r="A9" s="503"/>
      <c r="B9" s="538" t="s">
        <v>781</v>
      </c>
      <c r="C9" s="539" t="s">
        <v>868</v>
      </c>
      <c r="E9" s="163"/>
      <c r="F9" s="164" t="s">
        <v>869</v>
      </c>
      <c r="G9" s="512" t="s">
        <v>868</v>
      </c>
    </row>
    <row r="10" spans="1:8" ht="13" thickBot="1" x14ac:dyDescent="0.3">
      <c r="A10" s="507" t="s">
        <v>325</v>
      </c>
      <c r="B10" s="526">
        <v>16.010000000000002</v>
      </c>
      <c r="C10" s="508">
        <v>0.25</v>
      </c>
      <c r="D10" s="540" t="str">
        <f>IF(B10&gt;$F$14,"Above UCL",IF(B10&lt;$F$16,"Below LCL",""))</f>
        <v/>
      </c>
      <c r="E10" s="143" t="s">
        <v>861</v>
      </c>
      <c r="F10" s="142">
        <f>B11</f>
        <v>16.010000000000002</v>
      </c>
      <c r="G10" s="159"/>
    </row>
    <row r="11" spans="1:8" x14ac:dyDescent="0.25">
      <c r="A11" s="160" t="s">
        <v>58</v>
      </c>
      <c r="B11" s="160">
        <f>AVERAGE(B10:B10)</f>
        <v>16.010000000000002</v>
      </c>
      <c r="C11" s="160">
        <f>AVERAGE(C10:C10)</f>
        <v>0.25</v>
      </c>
      <c r="E11" s="143"/>
      <c r="F11" s="142"/>
      <c r="G11" s="159"/>
    </row>
    <row r="12" spans="1:8" x14ac:dyDescent="0.25">
      <c r="E12" s="143" t="s">
        <v>870</v>
      </c>
      <c r="F12" s="142"/>
      <c r="G12" s="159">
        <f>C11</f>
        <v>0.25</v>
      </c>
    </row>
    <row r="13" spans="1:8" ht="13" thickBot="1" x14ac:dyDescent="0.3">
      <c r="E13" s="205"/>
      <c r="F13" s="498"/>
      <c r="G13" s="431"/>
    </row>
    <row r="14" spans="1:8" ht="13" x14ac:dyDescent="0.3">
      <c r="E14" s="146" t="s">
        <v>864</v>
      </c>
      <c r="F14" s="147">
        <f>B11+ VLOOKUP(B6,A19:D42,2) *C11</f>
        <v>16.154250000000001</v>
      </c>
      <c r="G14" s="167">
        <f>VLOOKUP(B6, A19:D42, 3) * C11</f>
        <v>0.52875000000000005</v>
      </c>
    </row>
    <row r="15" spans="1:8" ht="13" x14ac:dyDescent="0.3">
      <c r="E15" s="145" t="s">
        <v>865</v>
      </c>
      <c r="F15" s="144">
        <f>B11</f>
        <v>16.010000000000002</v>
      </c>
      <c r="G15" s="152">
        <f>C11</f>
        <v>0.25</v>
      </c>
    </row>
    <row r="16" spans="1:8" ht="13.5" thickBot="1" x14ac:dyDescent="0.35">
      <c r="A16" t="s">
        <v>871</v>
      </c>
      <c r="B16"/>
      <c r="C16"/>
      <c r="D16"/>
      <c r="E16" s="148" t="s">
        <v>866</v>
      </c>
      <c r="F16" s="149">
        <f>B11- VLOOKUP(B6,A19:D42,2) *C11</f>
        <v>15.865750000000002</v>
      </c>
      <c r="G16" s="153">
        <f>VLOOKUP(B6,A19:D42,4) *C11</f>
        <v>0</v>
      </c>
    </row>
    <row r="17" spans="1:4" x14ac:dyDescent="0.25">
      <c r="A17" s="2"/>
      <c r="B17"/>
      <c r="C17"/>
      <c r="D17"/>
    </row>
    <row r="18" spans="1:4" ht="37.5" x14ac:dyDescent="0.25">
      <c r="A18" s="20" t="s">
        <v>872</v>
      </c>
      <c r="B18" s="20" t="s">
        <v>873</v>
      </c>
      <c r="C18" s="20" t="s">
        <v>874</v>
      </c>
      <c r="D18" s="20" t="s">
        <v>875</v>
      </c>
    </row>
    <row r="19" spans="1:4" x14ac:dyDescent="0.25">
      <c r="A19">
        <v>2</v>
      </c>
      <c r="B19">
        <v>1.88</v>
      </c>
      <c r="C19">
        <v>3.2679999999999998</v>
      </c>
      <c r="D19">
        <v>0</v>
      </c>
    </row>
    <row r="20" spans="1:4" x14ac:dyDescent="0.25">
      <c r="A20">
        <v>3</v>
      </c>
      <c r="B20">
        <v>1.0229999999999999</v>
      </c>
      <c r="C20">
        <v>2.5739999999999998</v>
      </c>
      <c r="D20">
        <v>0</v>
      </c>
    </row>
    <row r="21" spans="1:4" x14ac:dyDescent="0.25">
      <c r="A21">
        <v>4</v>
      </c>
      <c r="B21">
        <v>0.72899999999999998</v>
      </c>
      <c r="C21">
        <v>2.282</v>
      </c>
      <c r="D21">
        <v>0</v>
      </c>
    </row>
    <row r="22" spans="1:4" x14ac:dyDescent="0.25">
      <c r="A22">
        <v>5</v>
      </c>
      <c r="B22">
        <v>0.57699999999999996</v>
      </c>
      <c r="C22">
        <v>2.1150000000000002</v>
      </c>
      <c r="D22">
        <v>0</v>
      </c>
    </row>
    <row r="23" spans="1:4" x14ac:dyDescent="0.25">
      <c r="A23">
        <v>6</v>
      </c>
      <c r="B23">
        <v>0.48299999999999998</v>
      </c>
      <c r="C23">
        <v>2.004</v>
      </c>
      <c r="D23">
        <v>0</v>
      </c>
    </row>
    <row r="24" spans="1:4" x14ac:dyDescent="0.25">
      <c r="A24">
        <v>7</v>
      </c>
      <c r="B24">
        <v>0.41899999999999998</v>
      </c>
      <c r="C24">
        <v>1.9239999999999999</v>
      </c>
      <c r="D24">
        <v>7.5999999999999998E-2</v>
      </c>
    </row>
    <row r="25" spans="1:4" x14ac:dyDescent="0.25">
      <c r="A25">
        <v>8</v>
      </c>
      <c r="B25">
        <v>0.373</v>
      </c>
      <c r="C25">
        <v>1.8640000000000001</v>
      </c>
      <c r="D25">
        <v>0.13600000000000001</v>
      </c>
    </row>
    <row r="26" spans="1:4" x14ac:dyDescent="0.25">
      <c r="A26">
        <v>9</v>
      </c>
      <c r="B26">
        <v>0.33700000000000002</v>
      </c>
      <c r="C26">
        <v>1.8160000000000001</v>
      </c>
      <c r="D26">
        <v>0.184</v>
      </c>
    </row>
    <row r="27" spans="1:4" x14ac:dyDescent="0.25">
      <c r="A27">
        <v>10</v>
      </c>
      <c r="B27">
        <v>0.308</v>
      </c>
      <c r="C27">
        <v>1.7769999999999999</v>
      </c>
      <c r="D27">
        <v>0.223</v>
      </c>
    </row>
    <row r="28" spans="1:4" x14ac:dyDescent="0.25">
      <c r="A28">
        <v>11</v>
      </c>
      <c r="B28">
        <v>0.28499999999999998</v>
      </c>
      <c r="C28">
        <v>1.744</v>
      </c>
      <c r="D28">
        <v>0.25600000000000001</v>
      </c>
    </row>
    <row r="29" spans="1:4" x14ac:dyDescent="0.25">
      <c r="A29">
        <v>12</v>
      </c>
      <c r="B29">
        <v>0.26600000000000001</v>
      </c>
      <c r="C29">
        <v>1.716</v>
      </c>
      <c r="D29">
        <v>0.28399999999999997</v>
      </c>
    </row>
    <row r="30" spans="1:4" x14ac:dyDescent="0.25">
      <c r="A30">
        <v>13</v>
      </c>
      <c r="B30">
        <v>0.249</v>
      </c>
      <c r="C30">
        <v>1.6919999999999999</v>
      </c>
      <c r="D30">
        <v>0.308</v>
      </c>
    </row>
    <row r="31" spans="1:4" x14ac:dyDescent="0.25">
      <c r="A31">
        <v>14</v>
      </c>
      <c r="B31">
        <v>0.23499999999999999</v>
      </c>
      <c r="C31">
        <v>1.671</v>
      </c>
      <c r="D31">
        <v>0.32900000000000001</v>
      </c>
    </row>
    <row r="32" spans="1:4" x14ac:dyDescent="0.25">
      <c r="A32">
        <v>15</v>
      </c>
      <c r="B32">
        <v>0.223</v>
      </c>
      <c r="C32">
        <v>1.6519999999999999</v>
      </c>
      <c r="D32">
        <v>0.34799999999999998</v>
      </c>
    </row>
    <row r="33" spans="1:4" x14ac:dyDescent="0.25">
      <c r="A33">
        <v>16</v>
      </c>
      <c r="B33">
        <v>0.21199999999999999</v>
      </c>
      <c r="C33">
        <v>1.6359999999999999</v>
      </c>
      <c r="D33">
        <v>0.36399999999999999</v>
      </c>
    </row>
    <row r="34" spans="1:4" x14ac:dyDescent="0.25">
      <c r="A34">
        <v>17</v>
      </c>
      <c r="B34">
        <v>0.20300000000000001</v>
      </c>
      <c r="C34">
        <v>1.621</v>
      </c>
      <c r="D34">
        <v>0.379</v>
      </c>
    </row>
    <row r="35" spans="1:4" x14ac:dyDescent="0.25">
      <c r="A35">
        <v>18</v>
      </c>
      <c r="B35">
        <v>0.19400000000000001</v>
      </c>
      <c r="C35">
        <v>1.6080000000000001</v>
      </c>
      <c r="D35">
        <v>0.39200000000000002</v>
      </c>
    </row>
    <row r="36" spans="1:4" x14ac:dyDescent="0.25">
      <c r="A36">
        <v>19</v>
      </c>
      <c r="B36">
        <v>0.187</v>
      </c>
      <c r="C36">
        <v>1.5960000000000001</v>
      </c>
      <c r="D36">
        <v>0.40400000000000003</v>
      </c>
    </row>
    <row r="37" spans="1:4" x14ac:dyDescent="0.25">
      <c r="A37">
        <v>20</v>
      </c>
      <c r="B37">
        <v>0.18</v>
      </c>
      <c r="C37">
        <v>1.5860000000000001</v>
      </c>
      <c r="D37">
        <v>0.41399999999999998</v>
      </c>
    </row>
    <row r="38" spans="1:4" x14ac:dyDescent="0.25">
      <c r="A38">
        <v>21</v>
      </c>
      <c r="B38">
        <v>0.17299999999999999</v>
      </c>
      <c r="C38">
        <v>1.575</v>
      </c>
      <c r="D38">
        <v>0.42499999999999999</v>
      </c>
    </row>
    <row r="39" spans="1:4" x14ac:dyDescent="0.25">
      <c r="A39">
        <v>22</v>
      </c>
      <c r="B39">
        <v>0.16700000000000001</v>
      </c>
      <c r="C39">
        <v>1.5660000000000001</v>
      </c>
      <c r="D39">
        <v>0.434</v>
      </c>
    </row>
    <row r="40" spans="1:4" x14ac:dyDescent="0.25">
      <c r="A40">
        <v>23</v>
      </c>
      <c r="B40">
        <v>0.16200000000000001</v>
      </c>
      <c r="C40">
        <v>1.5569999999999999</v>
      </c>
      <c r="D40">
        <v>0.443</v>
      </c>
    </row>
    <row r="41" spans="1:4" x14ac:dyDescent="0.25">
      <c r="A41">
        <v>24</v>
      </c>
      <c r="B41">
        <v>0.157</v>
      </c>
      <c r="C41">
        <v>1.548</v>
      </c>
      <c r="D41">
        <v>0.45200000000000001</v>
      </c>
    </row>
    <row r="42" spans="1:4" x14ac:dyDescent="0.25">
      <c r="A42">
        <v>25</v>
      </c>
      <c r="B42">
        <v>0.153</v>
      </c>
      <c r="C42">
        <v>1.5409999999999999</v>
      </c>
      <c r="D42">
        <v>0.45900000000000002</v>
      </c>
    </row>
  </sheetData>
  <pageMargins left="0.7" right="0.7" top="0.75" bottom="0.75" header="0.3" footer="0.3"/>
  <drawing r:id="rId1"/>
  <legacyDrawing r:id="rId2"/>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54"/>
  <sheetViews>
    <sheetView workbookViewId="0">
      <selection activeCell="B10" sqref="B10:B29"/>
    </sheetView>
  </sheetViews>
  <sheetFormatPr defaultColWidth="9.08984375" defaultRowHeight="12.5" x14ac:dyDescent="0.25"/>
  <cols>
    <col min="1" max="1" width="17.81640625" style="160" bestFit="1" customWidth="1"/>
    <col min="2" max="2" width="9.08984375" style="160"/>
    <col min="3" max="3" width="3" style="160" customWidth="1"/>
    <col min="4" max="4" width="9.08984375" style="160"/>
    <col min="5" max="5" width="10.08984375" style="160" customWidth="1"/>
    <col min="6" max="6" width="17.36328125" style="160" customWidth="1"/>
    <col min="7" max="16384" width="9.08984375" style="160"/>
  </cols>
  <sheetData>
    <row r="1" spans="1:8" ht="18" x14ac:dyDescent="0.4">
      <c r="A1" s="513" t="s">
        <v>876</v>
      </c>
    </row>
    <row r="3" spans="1:8" ht="15.5" x14ac:dyDescent="0.35">
      <c r="A3" s="500" t="s">
        <v>319</v>
      </c>
      <c r="B3" s="500"/>
      <c r="C3" s="500" t="s">
        <v>877</v>
      </c>
      <c r="D3" s="500"/>
      <c r="E3" s="500"/>
      <c r="F3" s="500"/>
      <c r="G3" s="500"/>
      <c r="H3" s="500"/>
    </row>
    <row r="4" spans="1:8" x14ac:dyDescent="0.25">
      <c r="A4" s="499"/>
      <c r="B4" s="499"/>
    </row>
    <row r="5" spans="1:8" x14ac:dyDescent="0.25">
      <c r="A5" s="160" t="s">
        <v>320</v>
      </c>
      <c r="B5" s="724">
        <v>20</v>
      </c>
    </row>
    <row r="6" spans="1:8" x14ac:dyDescent="0.25">
      <c r="A6" s="160" t="s">
        <v>321</v>
      </c>
      <c r="B6" s="502">
        <v>100</v>
      </c>
    </row>
    <row r="8" spans="1:8" ht="13.5" thickBot="1" x14ac:dyDescent="0.35">
      <c r="A8" s="501" t="s">
        <v>27</v>
      </c>
      <c r="F8" s="509" t="s">
        <v>31</v>
      </c>
    </row>
    <row r="9" spans="1:8" x14ac:dyDescent="0.25">
      <c r="A9" s="503"/>
      <c r="B9" s="539" t="s">
        <v>322</v>
      </c>
      <c r="D9" s="808" t="s">
        <v>323</v>
      </c>
      <c r="F9" s="163" t="s">
        <v>324</v>
      </c>
      <c r="G9" s="512">
        <f>B5*B6</f>
        <v>2000</v>
      </c>
    </row>
    <row r="10" spans="1:8" x14ac:dyDescent="0.25">
      <c r="A10" s="505" t="s">
        <v>325</v>
      </c>
      <c r="B10" s="506">
        <v>6</v>
      </c>
      <c r="D10" s="531">
        <f t="shared" ref="D10:D29" si="0">B10/$B$6</f>
        <v>0.06</v>
      </c>
      <c r="E10" s="540" t="str">
        <f t="shared" ref="E10:E29" si="1">IF(D10&gt;$G$15,"Above UCL",IF(D10&lt;$G$17,"Below LCL",""))</f>
        <v/>
      </c>
      <c r="F10" s="143" t="s">
        <v>326</v>
      </c>
      <c r="G10" s="159">
        <f>SUM(B10:B29)</f>
        <v>80</v>
      </c>
    </row>
    <row r="11" spans="1:8" x14ac:dyDescent="0.25">
      <c r="A11" s="505" t="s">
        <v>327</v>
      </c>
      <c r="B11" s="506">
        <v>5</v>
      </c>
      <c r="D11" s="531">
        <f t="shared" si="0"/>
        <v>0.05</v>
      </c>
      <c r="E11" s="540" t="str">
        <f t="shared" si="1"/>
        <v/>
      </c>
      <c r="F11" s="143" t="s">
        <v>328</v>
      </c>
      <c r="G11" s="159">
        <f>G10/G9</f>
        <v>0.04</v>
      </c>
    </row>
    <row r="12" spans="1:8" x14ac:dyDescent="0.25">
      <c r="A12" s="505" t="s">
        <v>329</v>
      </c>
      <c r="B12" s="506">
        <v>0</v>
      </c>
      <c r="D12" s="531">
        <f t="shared" si="0"/>
        <v>0</v>
      </c>
      <c r="E12" s="540" t="str">
        <f t="shared" si="1"/>
        <v/>
      </c>
      <c r="F12" s="143" t="s">
        <v>330</v>
      </c>
      <c r="G12" s="159">
        <f>SQRT(((1-G11)*G11)/B6)</f>
        <v>1.9595917942265423E-2</v>
      </c>
    </row>
    <row r="13" spans="1:8" x14ac:dyDescent="0.25">
      <c r="A13" s="505" t="s">
        <v>331</v>
      </c>
      <c r="B13" s="506">
        <v>1</v>
      </c>
      <c r="D13" s="531">
        <f t="shared" si="0"/>
        <v>0.01</v>
      </c>
      <c r="E13" s="540" t="str">
        <f t="shared" si="1"/>
        <v/>
      </c>
      <c r="F13" s="143" t="s">
        <v>862</v>
      </c>
      <c r="G13" s="541">
        <v>3</v>
      </c>
    </row>
    <row r="14" spans="1:8" ht="13" thickBot="1" x14ac:dyDescent="0.3">
      <c r="A14" s="505" t="s">
        <v>332</v>
      </c>
      <c r="B14" s="506">
        <v>4</v>
      </c>
      <c r="D14" s="531">
        <f t="shared" si="0"/>
        <v>0.04</v>
      </c>
      <c r="E14" s="540" t="str">
        <f t="shared" si="1"/>
        <v/>
      </c>
      <c r="F14" s="205"/>
      <c r="G14" s="431"/>
    </row>
    <row r="15" spans="1:8" ht="13" x14ac:dyDescent="0.3">
      <c r="A15" s="505" t="s">
        <v>334</v>
      </c>
      <c r="B15" s="506">
        <v>2</v>
      </c>
      <c r="D15" s="531">
        <f t="shared" si="0"/>
        <v>0.02</v>
      </c>
      <c r="E15" s="540" t="str">
        <f t="shared" si="1"/>
        <v/>
      </c>
      <c r="F15" s="146" t="s">
        <v>333</v>
      </c>
      <c r="G15" s="167">
        <f>G11+G13*G12</f>
        <v>9.8787753826796276E-2</v>
      </c>
    </row>
    <row r="16" spans="1:8" ht="13" x14ac:dyDescent="0.3">
      <c r="A16" s="505" t="s">
        <v>336</v>
      </c>
      <c r="B16" s="506">
        <v>5</v>
      </c>
      <c r="D16" s="531">
        <f t="shared" si="0"/>
        <v>0.05</v>
      </c>
      <c r="E16" s="540" t="str">
        <f t="shared" si="1"/>
        <v/>
      </c>
      <c r="F16" s="145" t="s">
        <v>335</v>
      </c>
      <c r="G16" s="152">
        <f>G11</f>
        <v>0.04</v>
      </c>
    </row>
    <row r="17" spans="1:7" ht="13.5" thickBot="1" x14ac:dyDescent="0.35">
      <c r="A17" s="505" t="s">
        <v>338</v>
      </c>
      <c r="B17" s="506">
        <v>3</v>
      </c>
      <c r="D17" s="531">
        <f t="shared" si="0"/>
        <v>0.03</v>
      </c>
      <c r="E17" s="540" t="str">
        <f t="shared" si="1"/>
        <v/>
      </c>
      <c r="F17" s="148" t="s">
        <v>337</v>
      </c>
      <c r="G17" s="153">
        <f>IF(G11-G13*G12&gt;0,G11-G13*G12,0)</f>
        <v>0</v>
      </c>
    </row>
    <row r="18" spans="1:7" x14ac:dyDescent="0.25">
      <c r="A18" s="505" t="s">
        <v>339</v>
      </c>
      <c r="B18" s="506">
        <v>3</v>
      </c>
      <c r="D18" s="531">
        <f t="shared" si="0"/>
        <v>0.03</v>
      </c>
      <c r="E18" s="540" t="str">
        <f t="shared" si="1"/>
        <v/>
      </c>
    </row>
    <row r="19" spans="1:7" x14ac:dyDescent="0.25">
      <c r="A19" s="505" t="s">
        <v>340</v>
      </c>
      <c r="B19" s="506">
        <v>2</v>
      </c>
      <c r="D19" s="531">
        <f t="shared" si="0"/>
        <v>0.02</v>
      </c>
      <c r="E19" s="540" t="str">
        <f t="shared" si="1"/>
        <v/>
      </c>
    </row>
    <row r="20" spans="1:7" x14ac:dyDescent="0.25">
      <c r="A20" s="505" t="s">
        <v>341</v>
      </c>
      <c r="B20" s="506">
        <v>6</v>
      </c>
      <c r="D20" s="531">
        <f t="shared" si="0"/>
        <v>0.06</v>
      </c>
      <c r="E20" s="540" t="str">
        <f t="shared" si="1"/>
        <v/>
      </c>
    </row>
    <row r="21" spans="1:7" x14ac:dyDescent="0.25">
      <c r="A21" s="505" t="s">
        <v>342</v>
      </c>
      <c r="B21" s="506">
        <v>1</v>
      </c>
      <c r="D21" s="531">
        <f t="shared" si="0"/>
        <v>0.01</v>
      </c>
      <c r="E21" s="540" t="str">
        <f t="shared" si="1"/>
        <v/>
      </c>
    </row>
    <row r="22" spans="1:7" x14ac:dyDescent="0.25">
      <c r="A22" s="505" t="s">
        <v>343</v>
      </c>
      <c r="B22" s="506">
        <v>8</v>
      </c>
      <c r="D22" s="531">
        <f t="shared" si="0"/>
        <v>0.08</v>
      </c>
      <c r="E22" s="540" t="str">
        <f t="shared" si="1"/>
        <v/>
      </c>
    </row>
    <row r="23" spans="1:7" x14ac:dyDescent="0.25">
      <c r="A23" s="505" t="s">
        <v>344</v>
      </c>
      <c r="B23" s="506">
        <v>7</v>
      </c>
      <c r="D23" s="531">
        <f t="shared" si="0"/>
        <v>7.0000000000000007E-2</v>
      </c>
      <c r="E23" s="540" t="str">
        <f t="shared" si="1"/>
        <v/>
      </c>
    </row>
    <row r="24" spans="1:7" x14ac:dyDescent="0.25">
      <c r="A24" s="505" t="s">
        <v>345</v>
      </c>
      <c r="B24" s="506">
        <v>5</v>
      </c>
      <c r="D24" s="531">
        <f t="shared" si="0"/>
        <v>0.05</v>
      </c>
      <c r="E24" s="540" t="str">
        <f t="shared" si="1"/>
        <v/>
      </c>
    </row>
    <row r="25" spans="1:7" x14ac:dyDescent="0.25">
      <c r="A25" s="505" t="s">
        <v>346</v>
      </c>
      <c r="B25" s="506">
        <v>4</v>
      </c>
      <c r="D25" s="531">
        <f t="shared" si="0"/>
        <v>0.04</v>
      </c>
      <c r="E25" s="540" t="str">
        <f t="shared" si="1"/>
        <v/>
      </c>
    </row>
    <row r="26" spans="1:7" x14ac:dyDescent="0.25">
      <c r="A26" s="505" t="s">
        <v>347</v>
      </c>
      <c r="B26" s="506">
        <v>11</v>
      </c>
      <c r="D26" s="531">
        <f t="shared" si="0"/>
        <v>0.11</v>
      </c>
      <c r="E26" s="540" t="str">
        <f t="shared" si="1"/>
        <v>Above UCL</v>
      </c>
    </row>
    <row r="27" spans="1:7" x14ac:dyDescent="0.25">
      <c r="A27" s="505" t="s">
        <v>348</v>
      </c>
      <c r="B27" s="506">
        <v>3</v>
      </c>
      <c r="D27" s="531">
        <f t="shared" si="0"/>
        <v>0.03</v>
      </c>
      <c r="E27" s="540" t="str">
        <f t="shared" si="1"/>
        <v/>
      </c>
    </row>
    <row r="28" spans="1:7" x14ac:dyDescent="0.25">
      <c r="A28" s="505" t="s">
        <v>349</v>
      </c>
      <c r="B28" s="506">
        <v>0</v>
      </c>
      <c r="D28" s="531">
        <f t="shared" si="0"/>
        <v>0</v>
      </c>
      <c r="E28" s="540" t="str">
        <f t="shared" si="1"/>
        <v/>
      </c>
    </row>
    <row r="29" spans="1:7" ht="13" thickBot="1" x14ac:dyDescent="0.3">
      <c r="A29" s="507" t="s">
        <v>350</v>
      </c>
      <c r="B29" s="508">
        <v>4</v>
      </c>
      <c r="D29" s="532">
        <f t="shared" si="0"/>
        <v>0.04</v>
      </c>
      <c r="E29" s="540" t="str">
        <f t="shared" si="1"/>
        <v/>
      </c>
    </row>
    <row r="34" spans="1:5" x14ac:dyDescent="0.25">
      <c r="A34" s="160" t="s">
        <v>351</v>
      </c>
    </row>
    <row r="35" spans="1:5" x14ac:dyDescent="0.25">
      <c r="A35" s="160" t="str">
        <f t="shared" ref="A35:A54" si="2">A10</f>
        <v>Sample 1</v>
      </c>
      <c r="B35" s="160">
        <f t="shared" ref="B35:B54" si="3">D10</f>
        <v>0.06</v>
      </c>
      <c r="C35" s="160">
        <f t="shared" ref="C35:C54" si="4">$G$17</f>
        <v>0</v>
      </c>
      <c r="D35" s="160">
        <f t="shared" ref="D35:D54" si="5">$G$16</f>
        <v>0.04</v>
      </c>
      <c r="E35" s="160">
        <f t="shared" ref="E35:E54" si="6">$G$15</f>
        <v>9.8787753826796276E-2</v>
      </c>
    </row>
    <row r="36" spans="1:5" x14ac:dyDescent="0.25">
      <c r="A36" s="160" t="str">
        <f t="shared" si="2"/>
        <v>Sample 2</v>
      </c>
      <c r="B36" s="160">
        <f t="shared" si="3"/>
        <v>0.05</v>
      </c>
      <c r="C36" s="160">
        <f t="shared" si="4"/>
        <v>0</v>
      </c>
      <c r="D36" s="160">
        <f t="shared" si="5"/>
        <v>0.04</v>
      </c>
      <c r="E36" s="160">
        <f t="shared" si="6"/>
        <v>9.8787753826796276E-2</v>
      </c>
    </row>
    <row r="37" spans="1:5" x14ac:dyDescent="0.25">
      <c r="A37" s="160" t="str">
        <f t="shared" si="2"/>
        <v>Sample 3</v>
      </c>
      <c r="B37" s="160">
        <f t="shared" si="3"/>
        <v>0</v>
      </c>
      <c r="C37" s="160">
        <f t="shared" si="4"/>
        <v>0</v>
      </c>
      <c r="D37" s="160">
        <f t="shared" si="5"/>
        <v>0.04</v>
      </c>
      <c r="E37" s="160">
        <f t="shared" si="6"/>
        <v>9.8787753826796276E-2</v>
      </c>
    </row>
    <row r="38" spans="1:5" x14ac:dyDescent="0.25">
      <c r="A38" s="160" t="str">
        <f t="shared" si="2"/>
        <v>Sample 4</v>
      </c>
      <c r="B38" s="160">
        <f t="shared" si="3"/>
        <v>0.01</v>
      </c>
      <c r="C38" s="160">
        <f t="shared" si="4"/>
        <v>0</v>
      </c>
      <c r="D38" s="160">
        <f t="shared" si="5"/>
        <v>0.04</v>
      </c>
      <c r="E38" s="160">
        <f t="shared" si="6"/>
        <v>9.8787753826796276E-2</v>
      </c>
    </row>
    <row r="39" spans="1:5" x14ac:dyDescent="0.25">
      <c r="A39" s="160" t="str">
        <f t="shared" si="2"/>
        <v>Sample 5</v>
      </c>
      <c r="B39" s="160">
        <f t="shared" si="3"/>
        <v>0.04</v>
      </c>
      <c r="C39" s="160">
        <f t="shared" si="4"/>
        <v>0</v>
      </c>
      <c r="D39" s="160">
        <f t="shared" si="5"/>
        <v>0.04</v>
      </c>
      <c r="E39" s="160">
        <f t="shared" si="6"/>
        <v>9.8787753826796276E-2</v>
      </c>
    </row>
    <row r="40" spans="1:5" x14ac:dyDescent="0.25">
      <c r="A40" s="160" t="str">
        <f t="shared" si="2"/>
        <v>Sample 6</v>
      </c>
      <c r="B40" s="160">
        <f t="shared" si="3"/>
        <v>0.02</v>
      </c>
      <c r="C40" s="160">
        <f t="shared" si="4"/>
        <v>0</v>
      </c>
      <c r="D40" s="160">
        <f t="shared" si="5"/>
        <v>0.04</v>
      </c>
      <c r="E40" s="160">
        <f t="shared" si="6"/>
        <v>9.8787753826796276E-2</v>
      </c>
    </row>
    <row r="41" spans="1:5" x14ac:dyDescent="0.25">
      <c r="A41" s="160" t="str">
        <f t="shared" si="2"/>
        <v>Sample 7</v>
      </c>
      <c r="B41" s="160">
        <f t="shared" si="3"/>
        <v>0.05</v>
      </c>
      <c r="C41" s="160">
        <f t="shared" si="4"/>
        <v>0</v>
      </c>
      <c r="D41" s="160">
        <f t="shared" si="5"/>
        <v>0.04</v>
      </c>
      <c r="E41" s="160">
        <f t="shared" si="6"/>
        <v>9.8787753826796276E-2</v>
      </c>
    </row>
    <row r="42" spans="1:5" x14ac:dyDescent="0.25">
      <c r="A42" s="160" t="str">
        <f t="shared" si="2"/>
        <v>Sample 8</v>
      </c>
      <c r="B42" s="160">
        <f t="shared" si="3"/>
        <v>0.03</v>
      </c>
      <c r="C42" s="160">
        <f t="shared" si="4"/>
        <v>0</v>
      </c>
      <c r="D42" s="160">
        <f t="shared" si="5"/>
        <v>0.04</v>
      </c>
      <c r="E42" s="160">
        <f t="shared" si="6"/>
        <v>9.8787753826796276E-2</v>
      </c>
    </row>
    <row r="43" spans="1:5" x14ac:dyDescent="0.25">
      <c r="A43" s="160" t="str">
        <f t="shared" si="2"/>
        <v>Sample 9</v>
      </c>
      <c r="B43" s="160">
        <f t="shared" si="3"/>
        <v>0.03</v>
      </c>
      <c r="C43" s="160">
        <f t="shared" si="4"/>
        <v>0</v>
      </c>
      <c r="D43" s="160">
        <f t="shared" si="5"/>
        <v>0.04</v>
      </c>
      <c r="E43" s="160">
        <f t="shared" si="6"/>
        <v>9.8787753826796276E-2</v>
      </c>
    </row>
    <row r="44" spans="1:5" x14ac:dyDescent="0.25">
      <c r="A44" s="160" t="str">
        <f t="shared" si="2"/>
        <v>Sample 10</v>
      </c>
      <c r="B44" s="160">
        <f t="shared" si="3"/>
        <v>0.02</v>
      </c>
      <c r="C44" s="160">
        <f t="shared" si="4"/>
        <v>0</v>
      </c>
      <c r="D44" s="160">
        <f t="shared" si="5"/>
        <v>0.04</v>
      </c>
      <c r="E44" s="160">
        <f t="shared" si="6"/>
        <v>9.8787753826796276E-2</v>
      </c>
    </row>
    <row r="45" spans="1:5" x14ac:dyDescent="0.25">
      <c r="A45" s="160" t="str">
        <f t="shared" si="2"/>
        <v>Sample 11</v>
      </c>
      <c r="B45" s="160">
        <f t="shared" si="3"/>
        <v>0.06</v>
      </c>
      <c r="C45" s="160">
        <f t="shared" si="4"/>
        <v>0</v>
      </c>
      <c r="D45" s="160">
        <f t="shared" si="5"/>
        <v>0.04</v>
      </c>
      <c r="E45" s="160">
        <f t="shared" si="6"/>
        <v>9.8787753826796276E-2</v>
      </c>
    </row>
    <row r="46" spans="1:5" x14ac:dyDescent="0.25">
      <c r="A46" s="160" t="str">
        <f t="shared" si="2"/>
        <v>Sample 12</v>
      </c>
      <c r="B46" s="160">
        <f t="shared" si="3"/>
        <v>0.01</v>
      </c>
      <c r="C46" s="160">
        <f t="shared" si="4"/>
        <v>0</v>
      </c>
      <c r="D46" s="160">
        <f t="shared" si="5"/>
        <v>0.04</v>
      </c>
      <c r="E46" s="160">
        <f t="shared" si="6"/>
        <v>9.8787753826796276E-2</v>
      </c>
    </row>
    <row r="47" spans="1:5" x14ac:dyDescent="0.25">
      <c r="A47" s="160" t="str">
        <f t="shared" si="2"/>
        <v>Sample 13</v>
      </c>
      <c r="B47" s="160">
        <f t="shared" si="3"/>
        <v>0.08</v>
      </c>
      <c r="C47" s="160">
        <f t="shared" si="4"/>
        <v>0</v>
      </c>
      <c r="D47" s="160">
        <f t="shared" si="5"/>
        <v>0.04</v>
      </c>
      <c r="E47" s="160">
        <f t="shared" si="6"/>
        <v>9.8787753826796276E-2</v>
      </c>
    </row>
    <row r="48" spans="1:5" x14ac:dyDescent="0.25">
      <c r="A48" s="160" t="str">
        <f t="shared" si="2"/>
        <v>Sample 14</v>
      </c>
      <c r="B48" s="160">
        <f t="shared" si="3"/>
        <v>7.0000000000000007E-2</v>
      </c>
      <c r="C48" s="160">
        <f t="shared" si="4"/>
        <v>0</v>
      </c>
      <c r="D48" s="160">
        <f t="shared" si="5"/>
        <v>0.04</v>
      </c>
      <c r="E48" s="160">
        <f t="shared" si="6"/>
        <v>9.8787753826796276E-2</v>
      </c>
    </row>
    <row r="49" spans="1:5" x14ac:dyDescent="0.25">
      <c r="A49" s="160" t="str">
        <f t="shared" si="2"/>
        <v>Sample 15</v>
      </c>
      <c r="B49" s="160">
        <f t="shared" si="3"/>
        <v>0.05</v>
      </c>
      <c r="C49" s="160">
        <f t="shared" si="4"/>
        <v>0</v>
      </c>
      <c r="D49" s="160">
        <f t="shared" si="5"/>
        <v>0.04</v>
      </c>
      <c r="E49" s="160">
        <f t="shared" si="6"/>
        <v>9.8787753826796276E-2</v>
      </c>
    </row>
    <row r="50" spans="1:5" x14ac:dyDescent="0.25">
      <c r="A50" s="160" t="str">
        <f t="shared" si="2"/>
        <v>Sample 16</v>
      </c>
      <c r="B50" s="160">
        <f t="shared" si="3"/>
        <v>0.04</v>
      </c>
      <c r="C50" s="160">
        <f t="shared" si="4"/>
        <v>0</v>
      </c>
      <c r="D50" s="160">
        <f t="shared" si="5"/>
        <v>0.04</v>
      </c>
      <c r="E50" s="160">
        <f t="shared" si="6"/>
        <v>9.8787753826796276E-2</v>
      </c>
    </row>
    <row r="51" spans="1:5" x14ac:dyDescent="0.25">
      <c r="A51" s="160" t="str">
        <f t="shared" si="2"/>
        <v>Sample 17</v>
      </c>
      <c r="B51" s="160">
        <f t="shared" si="3"/>
        <v>0.11</v>
      </c>
      <c r="C51" s="160">
        <f t="shared" si="4"/>
        <v>0</v>
      </c>
      <c r="D51" s="160">
        <f t="shared" si="5"/>
        <v>0.04</v>
      </c>
      <c r="E51" s="160">
        <f t="shared" si="6"/>
        <v>9.8787753826796276E-2</v>
      </c>
    </row>
    <row r="52" spans="1:5" x14ac:dyDescent="0.25">
      <c r="A52" s="160" t="str">
        <f t="shared" si="2"/>
        <v>Sample 18</v>
      </c>
      <c r="B52" s="160">
        <f t="shared" si="3"/>
        <v>0.03</v>
      </c>
      <c r="C52" s="160">
        <f t="shared" si="4"/>
        <v>0</v>
      </c>
      <c r="D52" s="160">
        <f t="shared" si="5"/>
        <v>0.04</v>
      </c>
      <c r="E52" s="160">
        <f t="shared" si="6"/>
        <v>9.8787753826796276E-2</v>
      </c>
    </row>
    <row r="53" spans="1:5" x14ac:dyDescent="0.25">
      <c r="A53" s="160" t="str">
        <f t="shared" si="2"/>
        <v>Sample 19</v>
      </c>
      <c r="B53" s="160">
        <f t="shared" si="3"/>
        <v>0</v>
      </c>
      <c r="C53" s="160">
        <f t="shared" si="4"/>
        <v>0</v>
      </c>
      <c r="D53" s="160">
        <f t="shared" si="5"/>
        <v>0.04</v>
      </c>
      <c r="E53" s="160">
        <f t="shared" si="6"/>
        <v>9.8787753826796276E-2</v>
      </c>
    </row>
    <row r="54" spans="1:5" x14ac:dyDescent="0.25">
      <c r="A54" s="160" t="str">
        <f t="shared" si="2"/>
        <v>Sample 20</v>
      </c>
      <c r="B54" s="160">
        <f t="shared" si="3"/>
        <v>0.04</v>
      </c>
      <c r="C54" s="160">
        <f t="shared" si="4"/>
        <v>0</v>
      </c>
      <c r="D54" s="160">
        <f t="shared" si="5"/>
        <v>0.04</v>
      </c>
      <c r="E54" s="160">
        <f t="shared" si="6"/>
        <v>9.8787753826796276E-2</v>
      </c>
    </row>
  </sheetData>
  <pageMargins left="0.7" right="0.7" top="0.75" bottom="0.75" header="0.3" footer="0.3"/>
  <drawing r:id="rId1"/>
  <legacyDrawing r:id="rId2"/>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H32"/>
  <sheetViews>
    <sheetView workbookViewId="0">
      <selection activeCell="B10" sqref="B10:B18"/>
    </sheetView>
  </sheetViews>
  <sheetFormatPr defaultColWidth="9.08984375" defaultRowHeight="12.5" x14ac:dyDescent="0.25"/>
  <cols>
    <col min="1" max="1" width="17.81640625" style="160" bestFit="1" customWidth="1"/>
    <col min="2" max="2" width="9.08984375" style="160"/>
    <col min="3" max="3" width="10.08984375" style="160" customWidth="1"/>
    <col min="4" max="5" width="9.08984375" style="160"/>
    <col min="6" max="6" width="17.36328125" style="160" customWidth="1"/>
    <col min="7" max="16384" width="9.08984375" style="160"/>
  </cols>
  <sheetData>
    <row r="1" spans="1:8" ht="18" x14ac:dyDescent="0.4">
      <c r="A1" s="513" t="s">
        <v>878</v>
      </c>
    </row>
    <row r="3" spans="1:8" ht="15.5" x14ac:dyDescent="0.35">
      <c r="A3" s="500" t="s">
        <v>319</v>
      </c>
      <c r="B3" s="500"/>
      <c r="C3" s="500" t="s">
        <v>879</v>
      </c>
      <c r="D3" s="500"/>
      <c r="E3" s="500"/>
      <c r="F3" s="500"/>
      <c r="G3" s="500"/>
      <c r="H3" s="500"/>
    </row>
    <row r="4" spans="1:8" x14ac:dyDescent="0.25">
      <c r="A4" s="499"/>
      <c r="B4" s="499"/>
    </row>
    <row r="5" spans="1:8" x14ac:dyDescent="0.25">
      <c r="A5" s="160" t="s">
        <v>320</v>
      </c>
      <c r="B5" s="724">
        <v>9</v>
      </c>
    </row>
    <row r="8" spans="1:8" ht="13.5" thickBot="1" x14ac:dyDescent="0.35">
      <c r="A8" s="501" t="s">
        <v>27</v>
      </c>
      <c r="F8" s="509" t="s">
        <v>31</v>
      </c>
    </row>
    <row r="9" spans="1:8" x14ac:dyDescent="0.25">
      <c r="A9" s="503"/>
      <c r="B9" s="539" t="s">
        <v>322</v>
      </c>
      <c r="F9" s="163" t="s">
        <v>880</v>
      </c>
      <c r="G9" s="512">
        <f>B5</f>
        <v>9</v>
      </c>
    </row>
    <row r="10" spans="1:8" x14ac:dyDescent="0.25">
      <c r="A10" s="505" t="s">
        <v>325</v>
      </c>
      <c r="B10" s="506">
        <v>3</v>
      </c>
      <c r="C10" s="540" t="str">
        <f t="shared" ref="C10:C18" si="0">IF(B10&gt;$G$15,"Above UCL",IF(B10&lt;$G$17,"Below LCL",""))</f>
        <v/>
      </c>
      <c r="F10" s="143" t="s">
        <v>326</v>
      </c>
      <c r="G10" s="159">
        <f>SUM(B10:B18)</f>
        <v>54</v>
      </c>
    </row>
    <row r="11" spans="1:8" x14ac:dyDescent="0.25">
      <c r="A11" s="505" t="s">
        <v>327</v>
      </c>
      <c r="B11" s="506">
        <v>0</v>
      </c>
      <c r="C11" s="540" t="str">
        <f t="shared" si="0"/>
        <v/>
      </c>
      <c r="F11" s="143" t="s">
        <v>1027</v>
      </c>
      <c r="G11" s="159">
        <f>G10/G9</f>
        <v>6</v>
      </c>
    </row>
    <row r="12" spans="1:8" x14ac:dyDescent="0.25">
      <c r="A12" s="505" t="s">
        <v>329</v>
      </c>
      <c r="B12" s="506">
        <v>8</v>
      </c>
      <c r="C12" s="540" t="str">
        <f t="shared" si="0"/>
        <v/>
      </c>
      <c r="F12" s="143" t="s">
        <v>881</v>
      </c>
      <c r="G12" s="159">
        <f>SQRT(G11)</f>
        <v>2.4494897427831779</v>
      </c>
    </row>
    <row r="13" spans="1:8" x14ac:dyDescent="0.25">
      <c r="A13" s="505" t="s">
        <v>331</v>
      </c>
      <c r="B13" s="506">
        <v>9</v>
      </c>
      <c r="C13" s="540" t="str">
        <f t="shared" si="0"/>
        <v/>
      </c>
      <c r="F13" s="143" t="s">
        <v>862</v>
      </c>
      <c r="G13" s="541">
        <v>3</v>
      </c>
    </row>
    <row r="14" spans="1:8" ht="13" thickBot="1" x14ac:dyDescent="0.3">
      <c r="A14" s="505" t="s">
        <v>332</v>
      </c>
      <c r="B14" s="506">
        <v>6</v>
      </c>
      <c r="C14" s="540" t="str">
        <f t="shared" si="0"/>
        <v/>
      </c>
      <c r="F14" s="205"/>
      <c r="G14" s="431"/>
    </row>
    <row r="15" spans="1:8" ht="13" x14ac:dyDescent="0.3">
      <c r="A15" s="505" t="s">
        <v>334</v>
      </c>
      <c r="B15" s="506">
        <v>7</v>
      </c>
      <c r="C15" s="540" t="str">
        <f t="shared" si="0"/>
        <v/>
      </c>
      <c r="F15" s="146" t="s">
        <v>333</v>
      </c>
      <c r="G15" s="167">
        <f>G11+G13*G12</f>
        <v>13.348469228349533</v>
      </c>
    </row>
    <row r="16" spans="1:8" ht="13" x14ac:dyDescent="0.3">
      <c r="A16" s="505" t="s">
        <v>336</v>
      </c>
      <c r="B16" s="506">
        <v>4</v>
      </c>
      <c r="C16" s="540" t="str">
        <f t="shared" si="0"/>
        <v/>
      </c>
      <c r="F16" s="145" t="s">
        <v>335</v>
      </c>
      <c r="G16" s="152">
        <f>G11</f>
        <v>6</v>
      </c>
    </row>
    <row r="17" spans="1:7" ht="13.5" thickBot="1" x14ac:dyDescent="0.35">
      <c r="A17" s="505" t="s">
        <v>338</v>
      </c>
      <c r="B17" s="506">
        <v>9</v>
      </c>
      <c r="C17" s="540" t="str">
        <f t="shared" si="0"/>
        <v/>
      </c>
      <c r="F17" s="148" t="s">
        <v>337</v>
      </c>
      <c r="G17" s="153">
        <f>IF(G11-G13*G12&gt;0,G11-G13*G12,0)</f>
        <v>0</v>
      </c>
    </row>
    <row r="18" spans="1:7" ht="13" thickBot="1" x14ac:dyDescent="0.3">
      <c r="A18" s="507" t="s">
        <v>339</v>
      </c>
      <c r="B18" s="508">
        <v>8</v>
      </c>
      <c r="C18" s="540" t="str">
        <f t="shared" si="0"/>
        <v/>
      </c>
    </row>
    <row r="23" spans="1:7" x14ac:dyDescent="0.25">
      <c r="A23" s="160" t="s">
        <v>351</v>
      </c>
    </row>
    <row r="24" spans="1:7" x14ac:dyDescent="0.25">
      <c r="A24" s="160" t="str">
        <f t="shared" ref="A24:B32" si="1">A10</f>
        <v>Sample 1</v>
      </c>
      <c r="B24" s="160">
        <f t="shared" si="1"/>
        <v>3</v>
      </c>
      <c r="C24" s="160">
        <f t="shared" ref="C24:C32" si="2">$G$17</f>
        <v>0</v>
      </c>
      <c r="D24" s="160">
        <f t="shared" ref="D24:D32" si="3">$G$16</f>
        <v>6</v>
      </c>
      <c r="E24" s="160">
        <f t="shared" ref="E24:E32" si="4">$G$15</f>
        <v>13.348469228349533</v>
      </c>
    </row>
    <row r="25" spans="1:7" x14ac:dyDescent="0.25">
      <c r="A25" s="160" t="str">
        <f t="shared" si="1"/>
        <v>Sample 2</v>
      </c>
      <c r="B25" s="160">
        <f t="shared" si="1"/>
        <v>0</v>
      </c>
      <c r="C25" s="160">
        <f t="shared" si="2"/>
        <v>0</v>
      </c>
      <c r="D25" s="160">
        <f t="shared" si="3"/>
        <v>6</v>
      </c>
      <c r="E25" s="160">
        <f t="shared" si="4"/>
        <v>13.348469228349533</v>
      </c>
    </row>
    <row r="26" spans="1:7" x14ac:dyDescent="0.25">
      <c r="A26" s="160" t="str">
        <f t="shared" si="1"/>
        <v>Sample 3</v>
      </c>
      <c r="B26" s="160">
        <f t="shared" si="1"/>
        <v>8</v>
      </c>
      <c r="C26" s="160">
        <f t="shared" si="2"/>
        <v>0</v>
      </c>
      <c r="D26" s="160">
        <f t="shared" si="3"/>
        <v>6</v>
      </c>
      <c r="E26" s="160">
        <f t="shared" si="4"/>
        <v>13.348469228349533</v>
      </c>
    </row>
    <row r="27" spans="1:7" x14ac:dyDescent="0.25">
      <c r="A27" s="160" t="str">
        <f t="shared" si="1"/>
        <v>Sample 4</v>
      </c>
      <c r="B27" s="160">
        <f t="shared" si="1"/>
        <v>9</v>
      </c>
      <c r="C27" s="160">
        <f t="shared" si="2"/>
        <v>0</v>
      </c>
      <c r="D27" s="160">
        <f t="shared" si="3"/>
        <v>6</v>
      </c>
      <c r="E27" s="160">
        <f t="shared" si="4"/>
        <v>13.348469228349533</v>
      </c>
    </row>
    <row r="28" spans="1:7" x14ac:dyDescent="0.25">
      <c r="A28" s="160" t="str">
        <f t="shared" si="1"/>
        <v>Sample 5</v>
      </c>
      <c r="B28" s="160">
        <f t="shared" si="1"/>
        <v>6</v>
      </c>
      <c r="C28" s="160">
        <f t="shared" si="2"/>
        <v>0</v>
      </c>
      <c r="D28" s="160">
        <f t="shared" si="3"/>
        <v>6</v>
      </c>
      <c r="E28" s="160">
        <f t="shared" si="4"/>
        <v>13.348469228349533</v>
      </c>
    </row>
    <row r="29" spans="1:7" x14ac:dyDescent="0.25">
      <c r="A29" s="160" t="str">
        <f t="shared" si="1"/>
        <v>Sample 6</v>
      </c>
      <c r="B29" s="160">
        <f t="shared" si="1"/>
        <v>7</v>
      </c>
      <c r="C29" s="160">
        <f t="shared" si="2"/>
        <v>0</v>
      </c>
      <c r="D29" s="160">
        <f t="shared" si="3"/>
        <v>6</v>
      </c>
      <c r="E29" s="160">
        <f t="shared" si="4"/>
        <v>13.348469228349533</v>
      </c>
    </row>
    <row r="30" spans="1:7" x14ac:dyDescent="0.25">
      <c r="A30" s="160" t="str">
        <f t="shared" si="1"/>
        <v>Sample 7</v>
      </c>
      <c r="B30" s="160">
        <f t="shared" si="1"/>
        <v>4</v>
      </c>
      <c r="C30" s="160">
        <f t="shared" si="2"/>
        <v>0</v>
      </c>
      <c r="D30" s="160">
        <f t="shared" si="3"/>
        <v>6</v>
      </c>
      <c r="E30" s="160">
        <f t="shared" si="4"/>
        <v>13.348469228349533</v>
      </c>
    </row>
    <row r="31" spans="1:7" x14ac:dyDescent="0.25">
      <c r="A31" s="160" t="str">
        <f t="shared" si="1"/>
        <v>Sample 8</v>
      </c>
      <c r="B31" s="160">
        <f t="shared" si="1"/>
        <v>9</v>
      </c>
      <c r="C31" s="160">
        <f t="shared" si="2"/>
        <v>0</v>
      </c>
      <c r="D31" s="160">
        <f t="shared" si="3"/>
        <v>6</v>
      </c>
      <c r="E31" s="160">
        <f t="shared" si="4"/>
        <v>13.348469228349533</v>
      </c>
    </row>
    <row r="32" spans="1:7" x14ac:dyDescent="0.25">
      <c r="A32" s="160" t="str">
        <f t="shared" si="1"/>
        <v>Sample 9</v>
      </c>
      <c r="B32" s="160">
        <f t="shared" si="1"/>
        <v>8</v>
      </c>
      <c r="C32" s="160">
        <f t="shared" si="2"/>
        <v>0</v>
      </c>
      <c r="D32" s="160">
        <f t="shared" si="3"/>
        <v>6</v>
      </c>
      <c r="E32" s="160">
        <f t="shared" si="4"/>
        <v>13.348469228349533</v>
      </c>
    </row>
  </sheetData>
  <pageMargins left="0.7" right="0.7" top="0.75" bottom="0.75" header="0.3" footer="0.3"/>
  <drawing r:id="rId1"/>
  <legacy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34"/>
  <sheetViews>
    <sheetView workbookViewId="0"/>
  </sheetViews>
  <sheetFormatPr defaultRowHeight="12.5" x14ac:dyDescent="0.25"/>
  <cols>
    <col min="1" max="1" width="9" customWidth="1"/>
    <col min="2" max="3" width="5.81640625" customWidth="1"/>
    <col min="4" max="4" width="5.7265625" customWidth="1"/>
    <col min="5" max="5" width="3.08984375" customWidth="1"/>
    <col min="6" max="7" width="8" bestFit="1" customWidth="1"/>
    <col min="8" max="8" width="7.6328125" bestFit="1" customWidth="1"/>
    <col min="9" max="9" width="6.08984375" bestFit="1" customWidth="1"/>
    <col min="10" max="10" width="7.7265625" customWidth="1"/>
    <col min="11" max="11" width="1.08984375" customWidth="1"/>
    <col min="13" max="13" width="1" customWidth="1"/>
    <col min="14" max="14" width="7" customWidth="1"/>
    <col min="15" max="15" width="4.08984375" customWidth="1"/>
    <col min="16" max="16" width="12.81640625" customWidth="1"/>
  </cols>
  <sheetData>
    <row r="1" spans="1:16" x14ac:dyDescent="0.25">
      <c r="A1" s="51" t="s">
        <v>285</v>
      </c>
      <c r="B1" s="52"/>
      <c r="C1" s="52" t="s">
        <v>286</v>
      </c>
      <c r="D1" s="52">
        <v>3</v>
      </c>
      <c r="E1" s="53"/>
      <c r="F1" s="53"/>
      <c r="G1" s="52"/>
      <c r="H1" s="52"/>
      <c r="I1" s="52"/>
      <c r="J1" s="52"/>
      <c r="K1" s="53"/>
      <c r="L1" s="53"/>
      <c r="M1" s="53"/>
      <c r="N1" s="53"/>
      <c r="O1" s="53"/>
      <c r="P1" s="53"/>
    </row>
    <row r="2" spans="1:16" ht="13" thickBot="1" x14ac:dyDescent="0.3">
      <c r="A2" s="53" t="s">
        <v>287</v>
      </c>
      <c r="B2" s="52" t="s">
        <v>288</v>
      </c>
      <c r="C2" s="52" t="s">
        <v>289</v>
      </c>
      <c r="D2" s="52" t="s">
        <v>290</v>
      </c>
      <c r="E2" s="53"/>
      <c r="F2" s="53"/>
      <c r="G2" s="52" t="s">
        <v>288</v>
      </c>
      <c r="H2" s="52" t="s">
        <v>289</v>
      </c>
      <c r="I2" s="52" t="s">
        <v>290</v>
      </c>
      <c r="J2" s="52" t="s">
        <v>291</v>
      </c>
      <c r="K2" s="53"/>
      <c r="L2" s="53" t="s">
        <v>292</v>
      </c>
      <c r="M2" s="53"/>
      <c r="N2" s="53" t="s">
        <v>293</v>
      </c>
      <c r="O2" s="53"/>
      <c r="P2" s="53"/>
    </row>
    <row r="3" spans="1:16" x14ac:dyDescent="0.25">
      <c r="A3" s="53" t="s">
        <v>288</v>
      </c>
      <c r="B3" s="54">
        <v>1</v>
      </c>
      <c r="C3" s="55">
        <v>3</v>
      </c>
      <c r="D3" s="56">
        <v>9</v>
      </c>
      <c r="E3" s="53"/>
      <c r="F3" s="53" t="s">
        <v>288</v>
      </c>
      <c r="G3" s="57">
        <f t="shared" ref="G3:I5" si="0">B3/B$6</f>
        <v>0.69230769230769229</v>
      </c>
      <c r="H3" s="58">
        <f t="shared" si="0"/>
        <v>0.72</v>
      </c>
      <c r="I3" s="59">
        <f t="shared" si="0"/>
        <v>0.5625</v>
      </c>
      <c r="J3" s="60">
        <f>AVERAGE(G3:I3)</f>
        <v>0.65826923076923072</v>
      </c>
      <c r="K3" s="61"/>
      <c r="L3" s="62">
        <f t="array" ref="L3:L5">MMULT(B3:D5,J3:J5)</f>
        <v>2.0423076923076922</v>
      </c>
      <c r="M3" s="61"/>
      <c r="N3" s="62">
        <f t="array" ref="N3:N5">L3:L5/J3:J5</f>
        <v>3.1025416301489921</v>
      </c>
      <c r="O3" s="65" t="s">
        <v>294</v>
      </c>
      <c r="P3" s="66">
        <f>AVERAGE(N3:N5)</f>
        <v>3.0540919130155935</v>
      </c>
    </row>
    <row r="4" spans="1:16" x14ac:dyDescent="0.25">
      <c r="A4" s="53" t="s">
        <v>289</v>
      </c>
      <c r="B4" s="67">
        <f>1/C3</f>
        <v>0.33333333333333331</v>
      </c>
      <c r="C4" s="52">
        <v>1</v>
      </c>
      <c r="D4" s="68">
        <v>6</v>
      </c>
      <c r="E4" s="53"/>
      <c r="F4" s="53" t="s">
        <v>289</v>
      </c>
      <c r="G4" s="69">
        <f t="shared" si="0"/>
        <v>0.23076923076923075</v>
      </c>
      <c r="H4" s="70">
        <f t="shared" si="0"/>
        <v>0.24</v>
      </c>
      <c r="I4" s="71">
        <f t="shared" si="0"/>
        <v>0.375</v>
      </c>
      <c r="J4" s="72">
        <f>AVERAGE(G4:I4)</f>
        <v>0.28192307692307689</v>
      </c>
      <c r="K4" s="61"/>
      <c r="L4" s="63">
        <v>0.86019230769230759</v>
      </c>
      <c r="M4" s="61"/>
      <c r="N4" s="63">
        <v>3.0511596180081857</v>
      </c>
      <c r="O4" s="73" t="s">
        <v>295</v>
      </c>
      <c r="P4" s="74">
        <f>(P3-$D$1)/($D$1-1)</f>
        <v>2.7045956507796731E-2</v>
      </c>
    </row>
    <row r="5" spans="1:16" ht="13" thickBot="1" x14ac:dyDescent="0.3">
      <c r="A5" s="53" t="s">
        <v>290</v>
      </c>
      <c r="B5" s="75">
        <f>1/D3</f>
        <v>0.1111111111111111</v>
      </c>
      <c r="C5" s="76">
        <f>1/D4</f>
        <v>0.16666666666666666</v>
      </c>
      <c r="D5" s="77">
        <v>1</v>
      </c>
      <c r="E5" s="53"/>
      <c r="F5" s="53" t="s">
        <v>290</v>
      </c>
      <c r="G5" s="78">
        <f t="shared" si="0"/>
        <v>7.6923076923076913E-2</v>
      </c>
      <c r="H5" s="79">
        <f t="shared" si="0"/>
        <v>3.9999999999999994E-2</v>
      </c>
      <c r="I5" s="80">
        <f t="shared" si="0"/>
        <v>6.25E-2</v>
      </c>
      <c r="J5" s="81">
        <f>AVERAGE(G5:I5)</f>
        <v>5.9807692307692305E-2</v>
      </c>
      <c r="K5" s="61"/>
      <c r="L5" s="64">
        <v>0.17993589743589741</v>
      </c>
      <c r="M5" s="61"/>
      <c r="N5" s="64">
        <v>3.008574490889603</v>
      </c>
      <c r="O5" s="82" t="s">
        <v>296</v>
      </c>
      <c r="P5" s="83">
        <f>P4/LOOKUP($D$1,$A$27:$B$33)</f>
        <v>4.6630959496201267E-2</v>
      </c>
    </row>
    <row r="6" spans="1:16" x14ac:dyDescent="0.25">
      <c r="A6" s="53" t="s">
        <v>125</v>
      </c>
      <c r="B6" s="52">
        <f>SUM(B3:B5)</f>
        <v>1.4444444444444444</v>
      </c>
      <c r="C6" s="52">
        <f>SUM(C3:C5)</f>
        <v>4.166666666666667</v>
      </c>
      <c r="D6" s="52">
        <f>SUM(D3:D5)</f>
        <v>16</v>
      </c>
      <c r="E6" s="53"/>
      <c r="F6" s="53"/>
      <c r="G6" s="52"/>
      <c r="H6" s="52"/>
      <c r="I6" s="52"/>
      <c r="J6" s="52"/>
      <c r="K6" s="53"/>
      <c r="L6" s="53"/>
      <c r="M6" s="53"/>
      <c r="N6" s="53"/>
      <c r="O6" s="53"/>
      <c r="P6" s="53"/>
    </row>
    <row r="7" spans="1:16" x14ac:dyDescent="0.25">
      <c r="A7" s="53"/>
      <c r="B7" s="52"/>
      <c r="C7" s="52"/>
      <c r="D7" s="52"/>
      <c r="E7" s="53"/>
      <c r="F7" s="53"/>
      <c r="G7" s="52"/>
      <c r="H7" s="52"/>
      <c r="I7" s="52"/>
      <c r="J7" s="52"/>
      <c r="K7" s="53"/>
      <c r="L7" s="53"/>
      <c r="M7" s="53"/>
      <c r="N7" s="53"/>
      <c r="O7" s="53"/>
      <c r="P7" s="53"/>
    </row>
    <row r="8" spans="1:16" ht="13" thickBot="1" x14ac:dyDescent="0.3">
      <c r="A8" s="53" t="s">
        <v>297</v>
      </c>
      <c r="B8" s="52" t="s">
        <v>288</v>
      </c>
      <c r="C8" s="52" t="s">
        <v>289</v>
      </c>
      <c r="D8" s="52" t="s">
        <v>290</v>
      </c>
      <c r="E8" s="53"/>
      <c r="F8" s="53"/>
      <c r="G8" s="52" t="s">
        <v>288</v>
      </c>
      <c r="H8" s="52" t="s">
        <v>289</v>
      </c>
      <c r="I8" s="52" t="s">
        <v>290</v>
      </c>
      <c r="J8" s="52" t="s">
        <v>291</v>
      </c>
      <c r="K8" s="53"/>
      <c r="L8" s="53" t="s">
        <v>292</v>
      </c>
      <c r="M8" s="53"/>
      <c r="N8" s="53"/>
      <c r="O8" s="53"/>
      <c r="P8" s="53"/>
    </row>
    <row r="9" spans="1:16" x14ac:dyDescent="0.25">
      <c r="A9" s="53" t="s">
        <v>288</v>
      </c>
      <c r="B9" s="54">
        <v>1</v>
      </c>
      <c r="C9" s="55">
        <f>1/2</f>
        <v>0.5</v>
      </c>
      <c r="D9" s="56">
        <f>1/8</f>
        <v>0.125</v>
      </c>
      <c r="E9" s="53"/>
      <c r="F9" s="53" t="s">
        <v>288</v>
      </c>
      <c r="G9" s="57">
        <f>B9/B$12</f>
        <v>9.0909090909090912E-2</v>
      </c>
      <c r="H9" s="58">
        <f t="shared" ref="H9:I11" si="1">C9/C$12</f>
        <v>7.6923076923076927E-2</v>
      </c>
      <c r="I9" s="58">
        <f t="shared" si="1"/>
        <v>9.4339622641509441E-2</v>
      </c>
      <c r="J9" s="60">
        <f>AVERAGE(G9:I9)</f>
        <v>8.7390596824559089E-2</v>
      </c>
      <c r="K9" s="61"/>
      <c r="L9" s="62">
        <f t="array" ref="L9:L11">MMULT(B9:D11,J9:J11)</f>
        <v>0.26229273870783304</v>
      </c>
      <c r="M9" s="61"/>
      <c r="N9" s="62">
        <f t="array" ref="N9:N11">L9:L11/J9:J11</f>
        <v>3.0013839959738298</v>
      </c>
      <c r="O9" s="65" t="s">
        <v>294</v>
      </c>
      <c r="P9" s="84">
        <f>AVERAGE(N9:N11)</f>
        <v>3.0055430750417802</v>
      </c>
    </row>
    <row r="10" spans="1:16" x14ac:dyDescent="0.25">
      <c r="A10" s="53" t="s">
        <v>289</v>
      </c>
      <c r="B10" s="67">
        <f>1/C9</f>
        <v>2</v>
      </c>
      <c r="C10" s="52">
        <v>1</v>
      </c>
      <c r="D10" s="68">
        <f>1/5</f>
        <v>0.2</v>
      </c>
      <c r="E10" s="53"/>
      <c r="F10" s="53" t="s">
        <v>289</v>
      </c>
      <c r="G10" s="69">
        <f>B10/B$12</f>
        <v>0.18181818181818182</v>
      </c>
      <c r="H10" s="70">
        <f t="shared" si="1"/>
        <v>0.15384615384615385</v>
      </c>
      <c r="I10" s="70">
        <f t="shared" si="1"/>
        <v>0.15094339622641512</v>
      </c>
      <c r="J10" s="72">
        <f>AVERAGE(G10:I10)</f>
        <v>0.16220257729691692</v>
      </c>
      <c r="K10" s="61"/>
      <c r="L10" s="63">
        <v>0.48706513612173991</v>
      </c>
      <c r="M10" s="61"/>
      <c r="N10" s="63">
        <v>3.0028199566160523</v>
      </c>
      <c r="O10" s="73" t="s">
        <v>295</v>
      </c>
      <c r="P10" s="74">
        <f>(P9-$D$1)/($D$1-1)</f>
        <v>2.7715375208900994E-3</v>
      </c>
    </row>
    <row r="11" spans="1:16" ht="13" thickBot="1" x14ac:dyDescent="0.3">
      <c r="A11" s="53" t="s">
        <v>290</v>
      </c>
      <c r="B11" s="75">
        <f>1/D9</f>
        <v>8</v>
      </c>
      <c r="C11" s="76">
        <f>1/D10</f>
        <v>5</v>
      </c>
      <c r="D11" s="77">
        <v>1</v>
      </c>
      <c r="E11" s="53"/>
      <c r="F11" s="53" t="s">
        <v>290</v>
      </c>
      <c r="G11" s="78">
        <f>B11/B$12</f>
        <v>0.72727272727272729</v>
      </c>
      <c r="H11" s="79">
        <f t="shared" si="1"/>
        <v>0.76923076923076927</v>
      </c>
      <c r="I11" s="79">
        <f t="shared" si="1"/>
        <v>0.75471698113207553</v>
      </c>
      <c r="J11" s="81">
        <f>AVERAGE(G11:I11)</f>
        <v>0.75040682587852403</v>
      </c>
      <c r="K11" s="61"/>
      <c r="L11" s="64">
        <v>2.2605444869595814</v>
      </c>
      <c r="M11" s="61"/>
      <c r="N11" s="64">
        <v>3.012425272535459</v>
      </c>
      <c r="O11" s="82" t="s">
        <v>296</v>
      </c>
      <c r="P11" s="83">
        <f>P10/LOOKUP($D$1,$A$27:$B$33)</f>
        <v>4.7785129670518955E-3</v>
      </c>
    </row>
    <row r="12" spans="1:16" x14ac:dyDescent="0.25">
      <c r="A12" s="53" t="s">
        <v>125</v>
      </c>
      <c r="B12" s="52">
        <f>SUM(B9:B11)</f>
        <v>11</v>
      </c>
      <c r="C12" s="52">
        <f>SUM(C9:C11)</f>
        <v>6.5</v>
      </c>
      <c r="D12" s="52">
        <f>SUM(D9:D11)</f>
        <v>1.325</v>
      </c>
      <c r="E12" s="53"/>
      <c r="F12" s="53"/>
      <c r="G12" s="52"/>
      <c r="H12" s="52"/>
      <c r="I12" s="52"/>
      <c r="J12" s="52"/>
      <c r="K12" s="53"/>
      <c r="L12" s="53"/>
      <c r="M12" s="53"/>
      <c r="N12" s="53"/>
      <c r="O12" s="53"/>
      <c r="P12" s="53"/>
    </row>
    <row r="13" spans="1:16" x14ac:dyDescent="0.25">
      <c r="A13" s="53"/>
      <c r="B13" s="52"/>
      <c r="C13" s="52"/>
      <c r="D13" s="52"/>
      <c r="E13" s="53"/>
      <c r="F13" s="53"/>
      <c r="G13" s="52"/>
      <c r="H13" s="52"/>
      <c r="I13" s="52"/>
      <c r="J13" s="52"/>
      <c r="K13" s="53"/>
      <c r="L13" s="53"/>
      <c r="M13" s="53"/>
      <c r="N13" s="53"/>
      <c r="O13" s="53"/>
      <c r="P13" s="53"/>
    </row>
    <row r="14" spans="1:16" ht="13" thickBot="1" x14ac:dyDescent="0.3">
      <c r="A14" s="53" t="s">
        <v>298</v>
      </c>
      <c r="B14" s="52" t="s">
        <v>288</v>
      </c>
      <c r="C14" s="52" t="s">
        <v>289</v>
      </c>
      <c r="D14" s="52" t="s">
        <v>290</v>
      </c>
      <c r="E14" s="53"/>
      <c r="F14" s="53"/>
      <c r="G14" s="52" t="s">
        <v>288</v>
      </c>
      <c r="H14" s="52" t="s">
        <v>289</v>
      </c>
      <c r="I14" s="52" t="s">
        <v>290</v>
      </c>
      <c r="J14" s="52" t="s">
        <v>291</v>
      </c>
      <c r="K14" s="53"/>
      <c r="L14" s="53" t="s">
        <v>292</v>
      </c>
      <c r="M14" s="53"/>
      <c r="N14" s="53"/>
      <c r="O14" s="53"/>
      <c r="P14" s="53"/>
    </row>
    <row r="15" spans="1:16" x14ac:dyDescent="0.25">
      <c r="A15" s="53" t="s">
        <v>288</v>
      </c>
      <c r="B15" s="54">
        <v>1</v>
      </c>
      <c r="C15" s="55">
        <v>1</v>
      </c>
      <c r="D15" s="56">
        <v>6</v>
      </c>
      <c r="E15" s="53"/>
      <c r="F15" s="53" t="s">
        <v>288</v>
      </c>
      <c r="G15" s="57">
        <f>B15/B$18</f>
        <v>0.46153846153846156</v>
      </c>
      <c r="H15" s="58">
        <f t="shared" ref="H15:I17" si="2">C15/C$18</f>
        <v>0.42857142857142855</v>
      </c>
      <c r="I15" s="58">
        <f t="shared" si="2"/>
        <v>0.6</v>
      </c>
      <c r="J15" s="60">
        <f>AVERAGE(G15:I15)</f>
        <v>0.49670329670329672</v>
      </c>
      <c r="K15" s="61"/>
      <c r="L15" s="62">
        <f t="array" ref="L15:L17">MMULT(B15:D17,J15:J17)</f>
        <v>1.5329670329670328</v>
      </c>
      <c r="M15" s="61"/>
      <c r="N15" s="62">
        <f t="array" ref="N15:N17">L15:L17/J15:J17</f>
        <v>3.0862831858407076</v>
      </c>
      <c r="O15" s="65" t="s">
        <v>294</v>
      </c>
      <c r="P15" s="66">
        <f>AVERAGE(N15:N17)</f>
        <v>3.0538790205257516</v>
      </c>
    </row>
    <row r="16" spans="1:16" x14ac:dyDescent="0.25">
      <c r="A16" s="53" t="s">
        <v>289</v>
      </c>
      <c r="B16" s="67">
        <f>1/C15</f>
        <v>1</v>
      </c>
      <c r="C16" s="52">
        <v>1</v>
      </c>
      <c r="D16" s="68">
        <v>3</v>
      </c>
      <c r="E16" s="53"/>
      <c r="F16" s="53" t="s">
        <v>289</v>
      </c>
      <c r="G16" s="69">
        <f>B16/B$18</f>
        <v>0.46153846153846156</v>
      </c>
      <c r="H16" s="70">
        <f t="shared" si="2"/>
        <v>0.42857142857142855</v>
      </c>
      <c r="I16" s="70">
        <f t="shared" si="2"/>
        <v>0.3</v>
      </c>
      <c r="J16" s="72">
        <f>AVERAGE(G16:I16)</f>
        <v>0.39670329670329668</v>
      </c>
      <c r="K16" s="61"/>
      <c r="L16" s="63">
        <v>1.2131868131868131</v>
      </c>
      <c r="M16" s="61"/>
      <c r="N16" s="63">
        <v>3.0581717451523547</v>
      </c>
      <c r="O16" s="73" t="s">
        <v>295</v>
      </c>
      <c r="P16" s="74">
        <f>(P15-$D$1)/($D$1-1)</f>
        <v>2.6939510262875777E-2</v>
      </c>
    </row>
    <row r="17" spans="1:16" ht="13" thickBot="1" x14ac:dyDescent="0.3">
      <c r="A17" s="53" t="s">
        <v>290</v>
      </c>
      <c r="B17" s="75">
        <f>1/D15</f>
        <v>0.16666666666666666</v>
      </c>
      <c r="C17" s="76">
        <f>1/D16</f>
        <v>0.33333333333333331</v>
      </c>
      <c r="D17" s="77">
        <v>1</v>
      </c>
      <c r="E17" s="53"/>
      <c r="F17" s="53" t="s">
        <v>290</v>
      </c>
      <c r="G17" s="78">
        <f>B17/B$18</f>
        <v>7.6923076923076927E-2</v>
      </c>
      <c r="H17" s="79">
        <f t="shared" si="2"/>
        <v>0.14285714285714285</v>
      </c>
      <c r="I17" s="79">
        <f t="shared" si="2"/>
        <v>0.1</v>
      </c>
      <c r="J17" s="81">
        <f>AVERAGE(G17:I17)</f>
        <v>0.10659340659340659</v>
      </c>
      <c r="K17" s="61"/>
      <c r="L17" s="64">
        <v>0.32161172161172158</v>
      </c>
      <c r="M17" s="61"/>
      <c r="N17" s="64">
        <v>3.0171821305841924</v>
      </c>
      <c r="O17" s="82" t="s">
        <v>296</v>
      </c>
      <c r="P17" s="83">
        <f>P16/LOOKUP($D$1,$A$27:$B$33)</f>
        <v>4.6447431487716857E-2</v>
      </c>
    </row>
    <row r="18" spans="1:16" x14ac:dyDescent="0.25">
      <c r="A18" s="53" t="s">
        <v>125</v>
      </c>
      <c r="B18" s="52">
        <f>SUM(B15:B17)</f>
        <v>2.1666666666666665</v>
      </c>
      <c r="C18" s="52">
        <f>SUM(C15:C17)</f>
        <v>2.3333333333333335</v>
      </c>
      <c r="D18" s="52">
        <f>SUM(D15:D17)</f>
        <v>10</v>
      </c>
      <c r="E18" s="53"/>
      <c r="F18" s="53"/>
      <c r="G18" s="52"/>
      <c r="H18" s="52"/>
      <c r="I18" s="52"/>
      <c r="J18" s="52"/>
      <c r="K18" s="53"/>
      <c r="L18" s="53"/>
      <c r="M18" s="53"/>
      <c r="N18" s="53"/>
      <c r="O18" s="53"/>
      <c r="P18" s="53"/>
    </row>
    <row r="19" spans="1:16" x14ac:dyDescent="0.25">
      <c r="A19" s="53"/>
      <c r="B19" s="52"/>
      <c r="C19" s="52"/>
      <c r="D19" s="52"/>
      <c r="E19" s="53"/>
      <c r="F19" s="53"/>
      <c r="G19" s="52"/>
      <c r="H19" s="52"/>
      <c r="I19" s="52"/>
      <c r="J19" s="52"/>
      <c r="K19" s="53"/>
      <c r="L19" s="53"/>
      <c r="M19" s="53"/>
      <c r="N19" s="53"/>
      <c r="O19" s="53"/>
      <c r="P19" s="53"/>
    </row>
    <row r="20" spans="1:16" ht="13" thickBot="1" x14ac:dyDescent="0.3">
      <c r="A20" s="53" t="s">
        <v>299</v>
      </c>
      <c r="B20" s="52" t="s">
        <v>300</v>
      </c>
      <c r="C20" s="52" t="s">
        <v>301</v>
      </c>
      <c r="D20" s="52" t="s">
        <v>298</v>
      </c>
      <c r="E20" s="53"/>
      <c r="F20" s="53"/>
      <c r="G20" s="52" t="s">
        <v>287</v>
      </c>
      <c r="H20" s="52" t="s">
        <v>297</v>
      </c>
      <c r="I20" s="52" t="s">
        <v>298</v>
      </c>
      <c r="J20" s="52" t="s">
        <v>291</v>
      </c>
      <c r="K20" s="53"/>
      <c r="L20" s="53" t="s">
        <v>292</v>
      </c>
      <c r="M20" s="53"/>
      <c r="N20" s="53"/>
      <c r="O20" s="53"/>
      <c r="P20" s="53"/>
    </row>
    <row r="21" spans="1:16" x14ac:dyDescent="0.25">
      <c r="A21" s="53" t="s">
        <v>287</v>
      </c>
      <c r="B21" s="54">
        <v>1</v>
      </c>
      <c r="C21" s="55">
        <f>1/8</f>
        <v>0.125</v>
      </c>
      <c r="D21" s="56">
        <f>1/3</f>
        <v>0.33333333333333331</v>
      </c>
      <c r="E21" s="53"/>
      <c r="F21" s="53" t="s">
        <v>287</v>
      </c>
      <c r="G21" s="57">
        <f>B21/B$24</f>
        <v>8.3333333333333329E-2</v>
      </c>
      <c r="H21" s="58">
        <f t="shared" ref="H21:I23" si="3">C21/C$24</f>
        <v>8.5714285714285715E-2</v>
      </c>
      <c r="I21" s="59">
        <f t="shared" si="3"/>
        <v>7.6923076923076913E-2</v>
      </c>
      <c r="J21" s="59">
        <f>AVERAGE(G21:I21)</f>
        <v>8.199023199023199E-2</v>
      </c>
      <c r="K21" s="61"/>
      <c r="L21" s="62">
        <f t="array" ref="L21:L23">MMULT(B21:D23,J21:J23)</f>
        <v>0.24600122100122096</v>
      </c>
      <c r="M21" s="61"/>
      <c r="N21" s="62">
        <f t="array" ref="N21:N23">L21:L23/J21:J23</f>
        <v>3.0003723008190613</v>
      </c>
      <c r="O21" s="65" t="s">
        <v>294</v>
      </c>
      <c r="P21" s="66">
        <f>AVERAGE(N21:N23)</f>
        <v>3.0015420782989595</v>
      </c>
    </row>
    <row r="22" spans="1:16" x14ac:dyDescent="0.25">
      <c r="A22" s="53" t="s">
        <v>297</v>
      </c>
      <c r="B22" s="67">
        <f>1/C21</f>
        <v>8</v>
      </c>
      <c r="C22" s="52">
        <v>1</v>
      </c>
      <c r="D22" s="68">
        <v>3</v>
      </c>
      <c r="E22" s="53"/>
      <c r="F22" s="53" t="s">
        <v>297</v>
      </c>
      <c r="G22" s="69">
        <f>B22/B$24</f>
        <v>0.66666666666666663</v>
      </c>
      <c r="H22" s="70">
        <f t="shared" si="3"/>
        <v>0.68571428571428572</v>
      </c>
      <c r="I22" s="71">
        <f t="shared" si="3"/>
        <v>0.69230769230769218</v>
      </c>
      <c r="J22" s="71">
        <f>AVERAGE(G22:I22)</f>
        <v>0.68156288156288147</v>
      </c>
      <c r="K22" s="61"/>
      <c r="L22" s="63">
        <v>2.0468253968253967</v>
      </c>
      <c r="M22" s="61"/>
      <c r="N22" s="63">
        <v>3.0031350770333214</v>
      </c>
      <c r="O22" s="73" t="s">
        <v>295</v>
      </c>
      <c r="P22" s="74">
        <f>(P21-$D$1)/($D$1-1)</f>
        <v>7.7103914947973529E-4</v>
      </c>
    </row>
    <row r="23" spans="1:16" ht="13" thickBot="1" x14ac:dyDescent="0.3">
      <c r="A23" s="53" t="s">
        <v>298</v>
      </c>
      <c r="B23" s="75">
        <f>1/D21</f>
        <v>3</v>
      </c>
      <c r="C23" s="76">
        <f>1/D22</f>
        <v>0.33333333333333331</v>
      </c>
      <c r="D23" s="77">
        <v>1</v>
      </c>
      <c r="E23" s="53"/>
      <c r="F23" s="53" t="s">
        <v>298</v>
      </c>
      <c r="G23" s="78">
        <f>B23/B$24</f>
        <v>0.25</v>
      </c>
      <c r="H23" s="79">
        <f t="shared" si="3"/>
        <v>0.22857142857142856</v>
      </c>
      <c r="I23" s="80">
        <f t="shared" si="3"/>
        <v>0.23076923076923073</v>
      </c>
      <c r="J23" s="80">
        <f>AVERAGE(G23:I23)</f>
        <v>0.23644688644688641</v>
      </c>
      <c r="K23" s="61"/>
      <c r="L23" s="64">
        <v>0.70960520960520956</v>
      </c>
      <c r="M23" s="61"/>
      <c r="N23" s="64">
        <v>3.0011188570444962</v>
      </c>
      <c r="O23" s="82" t="s">
        <v>296</v>
      </c>
      <c r="P23" s="83">
        <f>P22/LOOKUP($D$1,$A$27:$B$33)</f>
        <v>1.3293778439305783E-3</v>
      </c>
    </row>
    <row r="24" spans="1:16" x14ac:dyDescent="0.25">
      <c r="A24" s="53" t="s">
        <v>125</v>
      </c>
      <c r="B24" s="52">
        <f>SUM(B21:B23)</f>
        <v>12</v>
      </c>
      <c r="C24" s="52">
        <f>SUM(C21:C23)</f>
        <v>1.4583333333333333</v>
      </c>
      <c r="D24" s="52">
        <f>SUM(D21:D23)</f>
        <v>4.3333333333333339</v>
      </c>
      <c r="E24" s="53"/>
      <c r="F24" s="53"/>
      <c r="G24" s="52"/>
      <c r="H24" s="52"/>
      <c r="I24" s="52"/>
      <c r="J24" s="52"/>
      <c r="K24" s="53"/>
      <c r="L24" s="53"/>
      <c r="M24" s="53"/>
      <c r="N24" s="53"/>
      <c r="O24" s="53"/>
      <c r="P24" s="53"/>
    </row>
    <row r="25" spans="1:16" ht="13" thickBot="1" x14ac:dyDescent="0.3">
      <c r="A25" s="53"/>
      <c r="B25" s="52"/>
      <c r="C25" s="52"/>
      <c r="D25" s="52"/>
      <c r="E25" s="53"/>
      <c r="F25" s="53"/>
      <c r="G25" s="52"/>
      <c r="H25" s="52"/>
      <c r="I25" s="52"/>
      <c r="J25" s="52"/>
      <c r="K25" s="53"/>
      <c r="L25" s="53"/>
      <c r="M25" s="53"/>
      <c r="N25" s="53"/>
      <c r="O25" s="53"/>
      <c r="P25" s="53"/>
    </row>
    <row r="26" spans="1:16" ht="13" thickBot="1" x14ac:dyDescent="0.3">
      <c r="A26" s="85" t="s">
        <v>302</v>
      </c>
      <c r="B26" s="86" t="s">
        <v>303</v>
      </c>
      <c r="C26" s="52"/>
      <c r="D26" s="52"/>
      <c r="E26" s="53"/>
      <c r="F26" s="53"/>
      <c r="G26" s="52" t="s">
        <v>287</v>
      </c>
      <c r="H26" s="52" t="s">
        <v>297</v>
      </c>
      <c r="I26" s="52" t="s">
        <v>298</v>
      </c>
      <c r="J26" s="52" t="s">
        <v>291</v>
      </c>
      <c r="K26" s="53"/>
      <c r="L26" s="53"/>
      <c r="M26" s="53"/>
      <c r="N26" s="53"/>
      <c r="O26" s="53"/>
      <c r="P26" s="53"/>
    </row>
    <row r="27" spans="1:16" ht="13" thickTop="1" x14ac:dyDescent="0.25">
      <c r="A27" s="67">
        <v>2</v>
      </c>
      <c r="B27" s="87">
        <v>0</v>
      </c>
      <c r="C27" s="52"/>
      <c r="D27" s="52"/>
      <c r="E27" s="53"/>
      <c r="F27" s="53" t="s">
        <v>288</v>
      </c>
      <c r="G27" s="88">
        <f>J3</f>
        <v>0.65826923076923072</v>
      </c>
      <c r="H27" s="89">
        <f>J9</f>
        <v>8.7390596824559089E-2</v>
      </c>
      <c r="I27" s="90">
        <f>J15</f>
        <v>0.49670329670329672</v>
      </c>
      <c r="J27" s="91">
        <f t="array" ref="J27:J29">MMULT(G27:I29,J21:J23)</f>
        <v>0.23097778192944579</v>
      </c>
      <c r="K27" s="53"/>
      <c r="L27" s="53"/>
      <c r="M27" s="53"/>
      <c r="N27" s="53"/>
      <c r="O27" s="53"/>
      <c r="P27" s="53"/>
    </row>
    <row r="28" spans="1:16" x14ac:dyDescent="0.25">
      <c r="A28" s="67">
        <v>3</v>
      </c>
      <c r="B28" s="87">
        <v>0.57999999999999996</v>
      </c>
      <c r="C28" s="52"/>
      <c r="D28" s="52"/>
      <c r="E28" s="53"/>
      <c r="F28" s="53" t="s">
        <v>289</v>
      </c>
      <c r="G28" s="92">
        <f>J4</f>
        <v>0.28192307692307689</v>
      </c>
      <c r="H28" s="91">
        <f>J10</f>
        <v>0.16220257729691692</v>
      </c>
      <c r="I28" s="93">
        <f>J16</f>
        <v>0.39670329670329668</v>
      </c>
      <c r="J28" s="91">
        <v>0.22746545380844568</v>
      </c>
      <c r="K28" s="53"/>
      <c r="L28" s="53"/>
      <c r="M28" s="53"/>
      <c r="N28" s="53"/>
      <c r="O28" s="53"/>
      <c r="P28" s="53"/>
    </row>
    <row r="29" spans="1:16" ht="13" thickBot="1" x14ac:dyDescent="0.3">
      <c r="A29" s="67">
        <v>4</v>
      </c>
      <c r="B29" s="87">
        <v>0.9</v>
      </c>
      <c r="C29" s="52"/>
      <c r="D29" s="52"/>
      <c r="E29" s="53"/>
      <c r="F29" s="53" t="s">
        <v>290</v>
      </c>
      <c r="G29" s="94">
        <f>J5</f>
        <v>5.9807692307692305E-2</v>
      </c>
      <c r="H29" s="95">
        <f>J11</f>
        <v>0.75040682587852403</v>
      </c>
      <c r="I29" s="96">
        <f>J17</f>
        <v>0.10659340659340659</v>
      </c>
      <c r="J29" s="91">
        <v>0.54155676426210841</v>
      </c>
      <c r="K29" s="53"/>
      <c r="L29" s="53"/>
      <c r="M29" s="53"/>
      <c r="N29" s="53"/>
      <c r="O29" s="53"/>
      <c r="P29" s="53"/>
    </row>
    <row r="30" spans="1:16" x14ac:dyDescent="0.25">
      <c r="A30" s="67">
        <v>5</v>
      </c>
      <c r="B30" s="87">
        <v>1.1200000000000001</v>
      </c>
      <c r="C30" s="52"/>
      <c r="D30" s="52"/>
      <c r="E30" s="53"/>
      <c r="F30" s="53"/>
      <c r="G30" s="52"/>
      <c r="H30" s="52"/>
      <c r="I30" s="52"/>
      <c r="J30" s="52"/>
      <c r="K30" s="53"/>
      <c r="L30" s="53"/>
      <c r="M30" s="53"/>
      <c r="N30" s="53"/>
      <c r="O30" s="53"/>
      <c r="P30" s="53"/>
    </row>
    <row r="31" spans="1:16" x14ac:dyDescent="0.25">
      <c r="A31" s="67">
        <v>6</v>
      </c>
      <c r="B31" s="87">
        <v>1.24</v>
      </c>
      <c r="C31" s="52"/>
      <c r="D31" s="52"/>
      <c r="E31" s="53"/>
      <c r="F31" s="53"/>
      <c r="G31" s="52"/>
      <c r="H31" s="52"/>
      <c r="I31" s="52"/>
      <c r="J31" s="52"/>
      <c r="K31" s="53"/>
      <c r="L31" s="53"/>
      <c r="M31" s="53"/>
      <c r="N31" s="53"/>
      <c r="O31" s="53"/>
      <c r="P31" s="53"/>
    </row>
    <row r="32" spans="1:16" x14ac:dyDescent="0.25">
      <c r="A32" s="67">
        <v>7</v>
      </c>
      <c r="B32" s="87">
        <v>1.32</v>
      </c>
      <c r="C32" s="52"/>
      <c r="D32" s="52"/>
      <c r="E32" s="53"/>
      <c r="F32" s="53"/>
      <c r="G32" s="52"/>
      <c r="H32" s="52"/>
      <c r="I32" s="52"/>
      <c r="J32" s="52"/>
      <c r="K32" s="53"/>
      <c r="L32" s="53"/>
      <c r="M32" s="53"/>
      <c r="N32" s="53"/>
      <c r="O32" s="53"/>
      <c r="P32" s="53"/>
    </row>
    <row r="33" spans="1:16" ht="13" thickBot="1" x14ac:dyDescent="0.3">
      <c r="A33" s="75">
        <v>8</v>
      </c>
      <c r="B33" s="97">
        <v>1.41</v>
      </c>
      <c r="C33" s="52"/>
      <c r="D33" s="52"/>
      <c r="E33" s="53"/>
      <c r="F33" s="53"/>
      <c r="G33" s="52"/>
      <c r="H33" s="52"/>
      <c r="I33" s="52"/>
      <c r="J33" s="52"/>
      <c r="K33" s="53"/>
      <c r="L33" s="53"/>
      <c r="M33" s="53"/>
      <c r="N33" s="53"/>
      <c r="O33" s="53"/>
      <c r="P33" s="53"/>
    </row>
    <row r="34" spans="1:16" x14ac:dyDescent="0.25">
      <c r="A34" s="53"/>
      <c r="B34" s="52"/>
      <c r="C34" s="52"/>
      <c r="D34" s="52"/>
      <c r="E34" s="53"/>
      <c r="F34" s="53"/>
      <c r="G34" s="52"/>
      <c r="H34" s="52"/>
      <c r="I34" s="52"/>
      <c r="J34" s="52"/>
      <c r="K34" s="53"/>
      <c r="L34" s="53"/>
      <c r="M34" s="53"/>
      <c r="N34" s="53"/>
      <c r="O34" s="53"/>
      <c r="P34" s="53"/>
    </row>
  </sheetData>
  <phoneticPr fontId="0" type="noConversion"/>
  <pageMargins left="0.75" right="0.75" top="1" bottom="1" header="0.5" footer="0.5"/>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20"/>
  <sheetViews>
    <sheetView workbookViewId="0">
      <selection activeCell="C45" sqref="C45"/>
    </sheetView>
  </sheetViews>
  <sheetFormatPr defaultRowHeight="12.5" x14ac:dyDescent="0.25"/>
  <cols>
    <col min="2" max="4" width="4.6328125" customWidth="1"/>
    <col min="5" max="5" width="11" style="98" customWidth="1"/>
  </cols>
  <sheetData>
    <row r="1" spans="1:7" ht="13" x14ac:dyDescent="0.3">
      <c r="A1" s="4" t="s">
        <v>304</v>
      </c>
    </row>
    <row r="3" spans="1:7" ht="13" thickBot="1" x14ac:dyDescent="0.3"/>
    <row r="4" spans="1:7" x14ac:dyDescent="0.25">
      <c r="A4" t="s">
        <v>305</v>
      </c>
      <c r="B4" s="5">
        <v>1</v>
      </c>
      <c r="C4" s="6">
        <v>2</v>
      </c>
      <c r="D4" s="7">
        <v>3</v>
      </c>
      <c r="E4" s="98" t="s">
        <v>306</v>
      </c>
      <c r="F4" s="5">
        <v>2</v>
      </c>
      <c r="G4" s="7">
        <v>1</v>
      </c>
    </row>
    <row r="5" spans="1:7" ht="13" thickBot="1" x14ac:dyDescent="0.3">
      <c r="B5" s="10">
        <v>1</v>
      </c>
      <c r="C5" s="11">
        <v>2</v>
      </c>
      <c r="D5" s="12">
        <v>0</v>
      </c>
      <c r="F5" s="8">
        <v>1</v>
      </c>
      <c r="G5" s="9">
        <v>1</v>
      </c>
    </row>
    <row r="6" spans="1:7" ht="13" thickBot="1" x14ac:dyDescent="0.3">
      <c r="F6" s="10">
        <v>3</v>
      </c>
      <c r="G6" s="12">
        <v>2</v>
      </c>
    </row>
    <row r="8" spans="1:7" ht="13" thickBot="1" x14ac:dyDescent="0.3"/>
    <row r="9" spans="1:7" x14ac:dyDescent="0.25">
      <c r="A9" t="s">
        <v>307</v>
      </c>
      <c r="F9" s="5">
        <f t="array" ref="F9:G10">MMULT(B4:D5,F4:G6)</f>
        <v>13</v>
      </c>
      <c r="G9" s="7">
        <v>9</v>
      </c>
    </row>
    <row r="10" spans="1:7" ht="13" thickBot="1" x14ac:dyDescent="0.3">
      <c r="F10" s="10">
        <v>4</v>
      </c>
      <c r="G10" s="12">
        <v>3</v>
      </c>
    </row>
    <row r="12" spans="1:7" ht="13" x14ac:dyDescent="0.3">
      <c r="A12" s="4" t="s">
        <v>308</v>
      </c>
    </row>
    <row r="13" spans="1:7" ht="13" thickBot="1" x14ac:dyDescent="0.3"/>
    <row r="14" spans="1:7" x14ac:dyDescent="0.25">
      <c r="A14" t="s">
        <v>305</v>
      </c>
      <c r="B14" s="5">
        <v>2</v>
      </c>
      <c r="C14" s="7">
        <v>1</v>
      </c>
      <c r="E14" s="98" t="s">
        <v>309</v>
      </c>
      <c r="F14" s="5">
        <f t="array" ref="F14:G15">MINVERSE(B14:C15)</f>
        <v>1.5</v>
      </c>
      <c r="G14" s="7">
        <v>-0.5</v>
      </c>
    </row>
    <row r="15" spans="1:7" ht="13" thickBot="1" x14ac:dyDescent="0.3">
      <c r="B15" s="10">
        <v>4</v>
      </c>
      <c r="C15" s="12">
        <v>3</v>
      </c>
      <c r="F15" s="10">
        <v>-2</v>
      </c>
      <c r="G15" s="12">
        <v>1</v>
      </c>
    </row>
    <row r="17" spans="1:6" ht="13" x14ac:dyDescent="0.3">
      <c r="A17" s="4" t="s">
        <v>310</v>
      </c>
    </row>
    <row r="18" spans="1:6" ht="13" thickBot="1" x14ac:dyDescent="0.3"/>
    <row r="19" spans="1:6" ht="13" thickBot="1" x14ac:dyDescent="0.3">
      <c r="A19" t="s">
        <v>305</v>
      </c>
      <c r="B19" s="5">
        <v>3</v>
      </c>
      <c r="C19" s="7">
        <v>4</v>
      </c>
      <c r="E19" s="98" t="s">
        <v>311</v>
      </c>
      <c r="F19" s="99">
        <f>MDETERM(B19:C20)</f>
        <v>-10</v>
      </c>
    </row>
    <row r="20" spans="1:6" ht="13" thickBot="1" x14ac:dyDescent="0.3">
      <c r="B20" s="10">
        <v>4</v>
      </c>
      <c r="C20" s="12">
        <v>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79</vt:i4>
      </vt:variant>
      <vt:variant>
        <vt:lpstr>Named Ranges</vt:lpstr>
      </vt:variant>
      <vt:variant>
        <vt:i4>3</vt:i4>
      </vt:variant>
    </vt:vector>
  </HeadingPairs>
  <TitlesOfParts>
    <vt:vector size="82" baseType="lpstr">
      <vt:lpstr>Contents</vt:lpstr>
      <vt:lpstr>1.4 and 1.5</vt:lpstr>
      <vt:lpstr>2.1</vt:lpstr>
      <vt:lpstr>2.2</vt:lpstr>
      <vt:lpstr>2.3</vt:lpstr>
      <vt:lpstr>2.4</vt:lpstr>
      <vt:lpstr>2.5</vt:lpstr>
      <vt:lpstr>2.6</vt:lpstr>
      <vt:lpstr>3.2</vt:lpstr>
      <vt:lpstr>3.3</vt:lpstr>
      <vt:lpstr>4.1</vt:lpstr>
      <vt:lpstr>4.2</vt:lpstr>
      <vt:lpstr>4.4</vt:lpstr>
      <vt:lpstr>4.5</vt:lpstr>
      <vt:lpstr>4.6</vt:lpstr>
      <vt:lpstr>4.7</vt:lpstr>
      <vt:lpstr>4.8</vt:lpstr>
      <vt:lpstr>5.1</vt:lpstr>
      <vt:lpstr>5.3</vt:lpstr>
      <vt:lpstr>5.4</vt:lpstr>
      <vt:lpstr>5.7</vt:lpstr>
      <vt:lpstr>6.1</vt:lpstr>
      <vt:lpstr>6.2</vt:lpstr>
      <vt:lpstr>6.3</vt:lpstr>
      <vt:lpstr>6.4</vt:lpstr>
      <vt:lpstr>7.2</vt:lpstr>
      <vt:lpstr>7.3</vt:lpstr>
      <vt:lpstr>7.4</vt:lpstr>
      <vt:lpstr>7.7n</vt:lpstr>
      <vt:lpstr>8.1</vt:lpstr>
      <vt:lpstr>8.2</vt:lpstr>
      <vt:lpstr>8.3 </vt:lpstr>
      <vt:lpstr>8.4 </vt:lpstr>
      <vt:lpstr>8.5 </vt:lpstr>
      <vt:lpstr>8.6</vt:lpstr>
      <vt:lpstr>8.7</vt:lpstr>
      <vt:lpstr>8.8</vt:lpstr>
      <vt:lpstr>8.9</vt:lpstr>
      <vt:lpstr>9.1</vt:lpstr>
      <vt:lpstr>9-2</vt:lpstr>
      <vt:lpstr>9-3</vt:lpstr>
      <vt:lpstr>9.4</vt:lpstr>
      <vt:lpstr>9.5</vt:lpstr>
      <vt:lpstr>9.6</vt:lpstr>
      <vt:lpstr>9.7</vt:lpstr>
      <vt:lpstr>9.8</vt:lpstr>
      <vt:lpstr>SP9.1</vt:lpstr>
      <vt:lpstr>SP9.2</vt:lpstr>
      <vt:lpstr>10.2</vt:lpstr>
      <vt:lpstr>10.4</vt:lpstr>
      <vt:lpstr>10.5</vt:lpstr>
      <vt:lpstr>10.6</vt:lpstr>
      <vt:lpstr>10.7</vt:lpstr>
      <vt:lpstr>10.9</vt:lpstr>
      <vt:lpstr>10.10</vt:lpstr>
      <vt:lpstr>10.11</vt:lpstr>
      <vt:lpstr>10.12</vt:lpstr>
      <vt:lpstr>10.13</vt:lpstr>
      <vt:lpstr>11.1</vt:lpstr>
      <vt:lpstr>11.2</vt:lpstr>
      <vt:lpstr>11.2QM</vt:lpstr>
      <vt:lpstr>12.1</vt:lpstr>
      <vt:lpstr>12.2</vt:lpstr>
      <vt:lpstr>12.3</vt:lpstr>
      <vt:lpstr>12.4</vt:lpstr>
      <vt:lpstr>13.2</vt:lpstr>
      <vt:lpstr>13.2QM</vt:lpstr>
      <vt:lpstr>13.3</vt:lpstr>
      <vt:lpstr>13.4</vt:lpstr>
      <vt:lpstr>13.5</vt:lpstr>
      <vt:lpstr>13.6</vt:lpstr>
      <vt:lpstr>14.3</vt:lpstr>
      <vt:lpstr>14.4</vt:lpstr>
      <vt:lpstr>15.1</vt:lpstr>
      <vt:lpstr>15.2</vt:lpstr>
      <vt:lpstr>15.3</vt:lpstr>
      <vt:lpstr>15.4</vt:lpstr>
      <vt:lpstr>M1.1</vt:lpstr>
      <vt:lpstr>M5.1</vt:lpstr>
      <vt:lpstr>'11.2QM'!Print_Area</vt:lpstr>
      <vt:lpstr>'7.3'!Print_Area</vt:lpstr>
      <vt:lpstr>'9.5'!Print_Area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Trương Vĩnh Linh</cp:lastModifiedBy>
  <cp:lastPrinted>2014-02-26T21:56:37Z</cp:lastPrinted>
  <dcterms:created xsi:type="dcterms:W3CDTF">2004-12-19T21:38:08Z</dcterms:created>
  <dcterms:modified xsi:type="dcterms:W3CDTF">2025-09-11T07:06:16Z</dcterms:modified>
</cp:coreProperties>
</file>