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1.xml" ContentType="application/vnd.ms-excel.controlproperti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1.xml" ContentType="application/vnd.ms-office.chartex+xml"/>
  <Override PartName="/xl/charts/style20.xml" ContentType="application/vnd.ms-office.chartstyle+xml"/>
  <Override PartName="/xl/charts/colors20.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filterPrivacy="1" codeName="ThisWorkbook"/>
  <mc:AlternateContent xmlns:mc="http://schemas.openxmlformats.org/markup-compatibility/2006">
    <mc:Choice Requires="x15">
      <x15ac:absPath xmlns:x15ac="http://schemas.microsoft.com/office/spreadsheetml/2010/11/ac" url="/Users/travisvandusseldorp/Desktop/models/"/>
    </mc:Choice>
  </mc:AlternateContent>
  <bookViews>
    <workbookView xWindow="0" yWindow="0" windowWidth="28800" windowHeight="18000" activeTab="5"/>
  </bookViews>
  <sheets>
    <sheet name="Cover Page" sheetId="7" r:id="rId1"/>
    <sheet name="Comps" sheetId="5" r:id="rId2"/>
    <sheet name="Precedents" sheetId="1" r:id="rId3"/>
    <sheet name="DCF-N (2)" sheetId="17" r:id="rId4"/>
    <sheet name="DCF-N" sheetId="11" r:id="rId5"/>
    <sheet name="Analysis V2" sheetId="15" r:id="rId6"/>
    <sheet name="Scenarios (2)" sheetId="16" r:id="rId7"/>
    <sheet name="Analysis" sheetId="14" r:id="rId8"/>
    <sheet name="Scenarios" sheetId="13" r:id="rId9"/>
    <sheet name="Summary - Football Field" sheetId="4" r:id="rId10"/>
    <sheet name="DCF" sheetId="12" r:id="rId11"/>
  </sheets>
  <externalReferences>
    <externalReference r:id="rId12"/>
  </externalReferences>
  <definedNames>
    <definedName name="_xlchart.v1.0" localSheetId="10" hidden="1">DCF!$J$151</definedName>
    <definedName name="_xlchart.v1.0" localSheetId="3" hidden="1">'DCF-N (2)'!$J$219</definedName>
    <definedName name="_xlchart.v1.0" hidden="1">'DCF-N'!$J$219</definedName>
    <definedName name="_xlchart.v1.1" localSheetId="10" hidden="1">DCF!$J$152:$J$154</definedName>
    <definedName name="_xlchart.v1.1" localSheetId="3" hidden="1">'DCF-N (2)'!$J$220:$J$222</definedName>
    <definedName name="_xlchart.v1.1" hidden="1">'DCF-N'!$J$220:$J$222</definedName>
    <definedName name="_xlchart.v1.2" localSheetId="10" hidden="1">DCF!$L$152:$L$154</definedName>
    <definedName name="_xlchart.v1.2" localSheetId="3" hidden="1">'DCF-N (2)'!$L$220:$L$222</definedName>
    <definedName name="_xlchart.v1.2" hidden="1">'DCF-N'!$L$220:$L$222</definedName>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"10/01/2018 15:52:08"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1">Comps!$B$5:$P$15</definedName>
    <definedName name="_xlnm.Print_Area" localSheetId="0">'Cover Page'!$B$4:$O$27</definedName>
    <definedName name="_xlnm.Print_Area" localSheetId="2">Precedents!$B$4:$M$14</definedName>
    <definedName name="_xlnm.Print_Area" localSheetId="9">'Summary - Football Field'!$B$4:$Q$39</definedName>
    <definedName name="_xlnm.Print_Titles" localSheetId="2">Precedents!#REF!</definedName>
  </definedNames>
  <calcPr calcId="150001" iterateDelta="9.9999999999994451E-4"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7" i="15" l="1"/>
  <c r="F107" i="15"/>
  <c r="D107" i="15"/>
  <c r="G20" i="15"/>
  <c r="G46" i="15"/>
  <c r="G44" i="15"/>
  <c r="G45" i="15"/>
  <c r="H45" i="15"/>
  <c r="H24" i="15"/>
  <c r="H23" i="15"/>
  <c r="I45" i="15"/>
  <c r="J45" i="15"/>
  <c r="K45" i="15"/>
  <c r="L45" i="15"/>
  <c r="H21" i="15"/>
  <c r="H13" i="15"/>
  <c r="H44" i="15"/>
  <c r="H46" i="15"/>
  <c r="H20" i="15"/>
  <c r="H5" i="15"/>
  <c r="I6" i="15"/>
  <c r="I21" i="15"/>
  <c r="I13" i="15"/>
  <c r="I44" i="15"/>
  <c r="J6" i="15"/>
  <c r="J21" i="15"/>
  <c r="J13" i="15"/>
  <c r="J44" i="15"/>
  <c r="K6" i="15"/>
  <c r="K21" i="15"/>
  <c r="K13" i="15"/>
  <c r="K44" i="15"/>
  <c r="L6" i="15"/>
  <c r="L21" i="15"/>
  <c r="L13" i="15"/>
  <c r="L44" i="15"/>
  <c r="I46" i="15"/>
  <c r="J46" i="15"/>
  <c r="K46" i="15"/>
  <c r="L46" i="15"/>
  <c r="G14" i="15"/>
  <c r="H14" i="15"/>
  <c r="I14" i="15"/>
  <c r="I43" i="15"/>
  <c r="I47" i="15"/>
  <c r="J14" i="15"/>
  <c r="J43" i="15"/>
  <c r="J47" i="15"/>
  <c r="K14" i="15"/>
  <c r="K43" i="15"/>
  <c r="K47" i="15"/>
  <c r="L14" i="15"/>
  <c r="L43" i="15"/>
  <c r="L47" i="15"/>
  <c r="E5" i="15"/>
  <c r="F20" i="15"/>
  <c r="G5" i="15"/>
  <c r="G6" i="15"/>
  <c r="I24" i="15"/>
  <c r="I23" i="15"/>
  <c r="J24" i="15"/>
  <c r="J23" i="15"/>
  <c r="K24" i="15"/>
  <c r="K23" i="15"/>
  <c r="L24" i="15"/>
  <c r="L23" i="15"/>
  <c r="G24" i="15"/>
  <c r="G43" i="15"/>
  <c r="G47" i="15"/>
  <c r="I5" i="15"/>
  <c r="I20" i="15"/>
  <c r="J5" i="15"/>
  <c r="J20" i="15"/>
  <c r="K5" i="15"/>
  <c r="K20" i="15"/>
  <c r="L5" i="15"/>
  <c r="L20" i="15"/>
  <c r="H43" i="15"/>
  <c r="H47" i="15"/>
  <c r="G15" i="15"/>
  <c r="F15" i="15"/>
  <c r="G4" i="15"/>
  <c r="H4" i="15"/>
  <c r="I4" i="15"/>
  <c r="J4" i="15"/>
  <c r="K4" i="15"/>
  <c r="L4" i="15"/>
  <c r="H15" i="15"/>
  <c r="I15" i="15"/>
  <c r="I39" i="15"/>
  <c r="J15" i="15"/>
  <c r="J39" i="15"/>
  <c r="K15" i="15"/>
  <c r="K39" i="15"/>
  <c r="L15" i="15"/>
  <c r="L39" i="15"/>
  <c r="H39" i="15"/>
  <c r="F14" i="15"/>
  <c r="G3" i="15"/>
  <c r="H33" i="16"/>
  <c r="I33" i="16"/>
  <c r="J33" i="16"/>
  <c r="J9" i="16"/>
  <c r="J8" i="17"/>
  <c r="H39" i="16"/>
  <c r="I39" i="16"/>
  <c r="J39" i="16"/>
  <c r="J15" i="16"/>
  <c r="J14" i="17"/>
  <c r="H40" i="16"/>
  <c r="I40" i="16"/>
  <c r="J40" i="16"/>
  <c r="J16" i="16"/>
  <c r="J15" i="17"/>
  <c r="H41" i="16"/>
  <c r="I41" i="16"/>
  <c r="J41" i="16"/>
  <c r="J17" i="16"/>
  <c r="J16" i="17"/>
  <c r="J43" i="17"/>
  <c r="J54" i="17"/>
  <c r="K33" i="16"/>
  <c r="K9" i="16"/>
  <c r="K8" i="17"/>
  <c r="K39" i="16"/>
  <c r="K15" i="16"/>
  <c r="K14" i="17"/>
  <c r="K40" i="16"/>
  <c r="K16" i="16"/>
  <c r="K15" i="17"/>
  <c r="K41" i="16"/>
  <c r="K17" i="16"/>
  <c r="K16" i="17"/>
  <c r="K43" i="17"/>
  <c r="K54" i="17"/>
  <c r="L33" i="16"/>
  <c r="L9" i="16"/>
  <c r="L8" i="17"/>
  <c r="L39" i="16"/>
  <c r="L15" i="16"/>
  <c r="L14" i="17"/>
  <c r="L40" i="16"/>
  <c r="L16" i="16"/>
  <c r="L15" i="17"/>
  <c r="L41" i="16"/>
  <c r="L17" i="16"/>
  <c r="L16" i="17"/>
  <c r="L43" i="17"/>
  <c r="L54" i="17"/>
  <c r="M33" i="16"/>
  <c r="M9" i="16"/>
  <c r="M8" i="17"/>
  <c r="M39" i="16"/>
  <c r="M15" i="16"/>
  <c r="M14" i="17"/>
  <c r="M40" i="16"/>
  <c r="M16" i="16"/>
  <c r="M15" i="17"/>
  <c r="M41" i="16"/>
  <c r="M17" i="16"/>
  <c r="M16" i="17"/>
  <c r="M43" i="17"/>
  <c r="M54" i="17"/>
  <c r="I9" i="16"/>
  <c r="I8" i="17"/>
  <c r="I15" i="16"/>
  <c r="I14" i="17"/>
  <c r="I16" i="16"/>
  <c r="I15" i="17"/>
  <c r="I17" i="16"/>
  <c r="I16" i="17"/>
  <c r="I43" i="17"/>
  <c r="I54" i="17"/>
  <c r="H36" i="16"/>
  <c r="I36" i="16"/>
  <c r="I12" i="16"/>
  <c r="I11" i="17"/>
  <c r="H34" i="16"/>
  <c r="I34" i="16"/>
  <c r="I10" i="16"/>
  <c r="I9" i="17"/>
  <c r="I39" i="17"/>
  <c r="I36" i="17"/>
  <c r="J36" i="16"/>
  <c r="J12" i="16"/>
  <c r="J11" i="17"/>
  <c r="J34" i="16"/>
  <c r="J10" i="16"/>
  <c r="J9" i="17"/>
  <c r="J39" i="17"/>
  <c r="J36" i="17"/>
  <c r="K36" i="16"/>
  <c r="K12" i="16"/>
  <c r="K11" i="17"/>
  <c r="K34" i="16"/>
  <c r="K10" i="16"/>
  <c r="K9" i="17"/>
  <c r="K39" i="17"/>
  <c r="K36" i="17"/>
  <c r="L36" i="16"/>
  <c r="L12" i="16"/>
  <c r="L11" i="17"/>
  <c r="L34" i="16"/>
  <c r="L10" i="16"/>
  <c r="L9" i="17"/>
  <c r="L39" i="17"/>
  <c r="L36" i="17"/>
  <c r="M36" i="16"/>
  <c r="M12" i="16"/>
  <c r="M11" i="17"/>
  <c r="M34" i="16"/>
  <c r="M10" i="16"/>
  <c r="M9" i="17"/>
  <c r="M39" i="17"/>
  <c r="M36" i="17"/>
  <c r="H37" i="16"/>
  <c r="I37" i="16"/>
  <c r="I13" i="16"/>
  <c r="I12" i="17"/>
  <c r="I37" i="17"/>
  <c r="J37" i="16"/>
  <c r="J13" i="16"/>
  <c r="J12" i="17"/>
  <c r="J37" i="17"/>
  <c r="K37" i="16"/>
  <c r="K13" i="16"/>
  <c r="K12" i="17"/>
  <c r="K37" i="17"/>
  <c r="L37" i="16"/>
  <c r="L13" i="16"/>
  <c r="L12" i="17"/>
  <c r="L37" i="17"/>
  <c r="M37" i="16"/>
  <c r="M13" i="16"/>
  <c r="M12" i="17"/>
  <c r="M37" i="17"/>
  <c r="H38" i="16"/>
  <c r="I38" i="16"/>
  <c r="I14" i="16"/>
  <c r="I13" i="17"/>
  <c r="I38" i="17"/>
  <c r="J38" i="16"/>
  <c r="J14" i="16"/>
  <c r="J13" i="17"/>
  <c r="J38" i="17"/>
  <c r="K38" i="16"/>
  <c r="K14" i="16"/>
  <c r="K13" i="17"/>
  <c r="K38" i="17"/>
  <c r="L38" i="16"/>
  <c r="L14" i="16"/>
  <c r="L13" i="17"/>
  <c r="L38" i="17"/>
  <c r="M38" i="16"/>
  <c r="M14" i="16"/>
  <c r="M13" i="17"/>
  <c r="M38" i="17"/>
  <c r="H35" i="16"/>
  <c r="I35" i="16"/>
  <c r="J35" i="16"/>
  <c r="J11" i="16"/>
  <c r="J10" i="17"/>
  <c r="J35" i="17"/>
  <c r="K35" i="16"/>
  <c r="K11" i="16"/>
  <c r="K10" i="17"/>
  <c r="K35" i="17"/>
  <c r="L35" i="16"/>
  <c r="L11" i="16"/>
  <c r="L10" i="17"/>
  <c r="L35" i="17"/>
  <c r="M35" i="16"/>
  <c r="M11" i="16"/>
  <c r="M10" i="17"/>
  <c r="M35" i="17"/>
  <c r="I11" i="16"/>
  <c r="I10" i="17"/>
  <c r="I35" i="17"/>
  <c r="J18" i="16"/>
  <c r="K18" i="16"/>
  <c r="L18" i="16"/>
  <c r="M18" i="16"/>
  <c r="J19" i="16"/>
  <c r="K19" i="16"/>
  <c r="L19" i="16"/>
  <c r="M19" i="16"/>
  <c r="J20" i="16"/>
  <c r="K20" i="16"/>
  <c r="L20" i="16"/>
  <c r="M20" i="16"/>
  <c r="I18" i="16"/>
  <c r="I19" i="16"/>
  <c r="I20" i="16"/>
  <c r="F24" i="15"/>
  <c r="F45" i="15"/>
  <c r="G40" i="16"/>
  <c r="G41" i="16"/>
  <c r="G39" i="16"/>
  <c r="G35" i="16"/>
  <c r="G36" i="16"/>
  <c r="G37" i="16"/>
  <c r="G38" i="16"/>
  <c r="G34" i="16"/>
  <c r="G33" i="16"/>
  <c r="G208" i="17"/>
  <c r="G213" i="17"/>
  <c r="L220" i="17"/>
  <c r="I163" i="17"/>
  <c r="I29" i="17"/>
  <c r="I164" i="17"/>
  <c r="I165" i="17"/>
  <c r="I166" i="17"/>
  <c r="J163" i="17"/>
  <c r="J29" i="17"/>
  <c r="J164" i="17"/>
  <c r="J165" i="17"/>
  <c r="J166" i="17"/>
  <c r="K163" i="17"/>
  <c r="K29" i="17"/>
  <c r="K164" i="17"/>
  <c r="K165" i="17"/>
  <c r="K166" i="17"/>
  <c r="L163" i="17"/>
  <c r="L29" i="17"/>
  <c r="L164" i="17"/>
  <c r="L165" i="17"/>
  <c r="L166" i="17"/>
  <c r="M163" i="17"/>
  <c r="M29" i="17"/>
  <c r="M164" i="17"/>
  <c r="M165" i="17"/>
  <c r="I169" i="17"/>
  <c r="I30" i="17"/>
  <c r="I170" i="17"/>
  <c r="I171" i="17"/>
  <c r="J169" i="17"/>
  <c r="J30" i="17"/>
  <c r="J170" i="17"/>
  <c r="J171" i="17"/>
  <c r="K169" i="17"/>
  <c r="K30" i="17"/>
  <c r="K170" i="17"/>
  <c r="K171" i="17"/>
  <c r="L169" i="17"/>
  <c r="L30" i="17"/>
  <c r="L170" i="17"/>
  <c r="L171" i="17"/>
  <c r="M169" i="17"/>
  <c r="M30" i="17"/>
  <c r="M170" i="17"/>
  <c r="M171" i="17"/>
  <c r="M21" i="17"/>
  <c r="M172" i="17"/>
  <c r="M55" i="17"/>
  <c r="H194" i="17"/>
  <c r="H195" i="17"/>
  <c r="H196" i="17"/>
  <c r="M112" i="17"/>
  <c r="H197" i="17"/>
  <c r="H199" i="17"/>
  <c r="M25" i="17"/>
  <c r="M66" i="17"/>
  <c r="M156" i="17"/>
  <c r="M26" i="17"/>
  <c r="M67" i="17"/>
  <c r="M157" i="17"/>
  <c r="M28" i="17"/>
  <c r="M83" i="17"/>
  <c r="M158" i="17"/>
  <c r="M159" i="17"/>
  <c r="L25" i="17"/>
  <c r="L66" i="17"/>
  <c r="L156" i="17"/>
  <c r="L26" i="17"/>
  <c r="L67" i="17"/>
  <c r="L157" i="17"/>
  <c r="L21" i="17"/>
  <c r="L172" i="17"/>
  <c r="L28" i="17"/>
  <c r="L83" i="17"/>
  <c r="L158" i="17"/>
  <c r="L159" i="17"/>
  <c r="M160" i="17"/>
  <c r="H200" i="17"/>
  <c r="H201" i="17"/>
  <c r="C190" i="17"/>
  <c r="E191" i="17"/>
  <c r="F191" i="17"/>
  <c r="G191" i="17"/>
  <c r="G190" i="17"/>
  <c r="H191" i="17"/>
  <c r="H190" i="17"/>
  <c r="H192" i="17"/>
  <c r="H203" i="17"/>
  <c r="H205" i="17"/>
  <c r="H220" i="17"/>
  <c r="L55" i="17"/>
  <c r="G194" i="17"/>
  <c r="G195" i="17"/>
  <c r="G196" i="17"/>
  <c r="L112" i="17"/>
  <c r="G197" i="17"/>
  <c r="G199" i="17"/>
  <c r="K25" i="17"/>
  <c r="K66" i="17"/>
  <c r="K156" i="17"/>
  <c r="K26" i="17"/>
  <c r="K67" i="17"/>
  <c r="K157" i="17"/>
  <c r="K21" i="17"/>
  <c r="K172" i="17"/>
  <c r="K28" i="17"/>
  <c r="K83" i="17"/>
  <c r="K158" i="17"/>
  <c r="K159" i="17"/>
  <c r="L160" i="17"/>
  <c r="G200" i="17"/>
  <c r="G201" i="17"/>
  <c r="F190" i="17"/>
  <c r="G192" i="17"/>
  <c r="G203" i="17"/>
  <c r="G205" i="17"/>
  <c r="G220" i="17"/>
  <c r="K55" i="17"/>
  <c r="F194" i="17"/>
  <c r="F195" i="17"/>
  <c r="F196" i="17"/>
  <c r="K112" i="17"/>
  <c r="F197" i="17"/>
  <c r="F199" i="17"/>
  <c r="J25" i="17"/>
  <c r="J66" i="17"/>
  <c r="J156" i="17"/>
  <c r="J26" i="17"/>
  <c r="J67" i="17"/>
  <c r="J157" i="17"/>
  <c r="J21" i="17"/>
  <c r="J172" i="17"/>
  <c r="J28" i="17"/>
  <c r="J83" i="17"/>
  <c r="J158" i="17"/>
  <c r="J159" i="17"/>
  <c r="K160" i="17"/>
  <c r="F200" i="17"/>
  <c r="F201" i="17"/>
  <c r="E190" i="17"/>
  <c r="F192" i="17"/>
  <c r="F203" i="17"/>
  <c r="F205" i="17"/>
  <c r="F220" i="17"/>
  <c r="J55" i="17"/>
  <c r="E194" i="17"/>
  <c r="E195" i="17"/>
  <c r="E196" i="17"/>
  <c r="J112" i="17"/>
  <c r="E197" i="17"/>
  <c r="E199" i="17"/>
  <c r="I25" i="17"/>
  <c r="I66" i="17"/>
  <c r="I156" i="17"/>
  <c r="I26" i="17"/>
  <c r="I67" i="17"/>
  <c r="I157" i="17"/>
  <c r="I21" i="17"/>
  <c r="I172" i="17"/>
  <c r="I28" i="17"/>
  <c r="I83" i="17"/>
  <c r="I158" i="17"/>
  <c r="I159" i="17"/>
  <c r="J160" i="17"/>
  <c r="E200" i="17"/>
  <c r="E201" i="17"/>
  <c r="D190" i="17"/>
  <c r="E192" i="17"/>
  <c r="E203" i="17"/>
  <c r="E205" i="17"/>
  <c r="E220" i="17"/>
  <c r="I55" i="17"/>
  <c r="D194" i="17"/>
  <c r="D195" i="17"/>
  <c r="D196" i="17"/>
  <c r="I112" i="17"/>
  <c r="D197" i="17"/>
  <c r="D199" i="17"/>
  <c r="H156" i="17"/>
  <c r="H157" i="17"/>
  <c r="H158" i="17"/>
  <c r="H159" i="17"/>
  <c r="I160" i="17"/>
  <c r="D200" i="17"/>
  <c r="D201" i="17"/>
  <c r="D192" i="17"/>
  <c r="D203" i="17"/>
  <c r="D205" i="17"/>
  <c r="D220" i="17"/>
  <c r="H219" i="17"/>
  <c r="G219" i="17"/>
  <c r="F219" i="17"/>
  <c r="E219" i="17"/>
  <c r="D219" i="17"/>
  <c r="C210" i="17"/>
  <c r="G209" i="17"/>
  <c r="C209" i="17"/>
  <c r="G210" i="17"/>
  <c r="G211" i="17"/>
  <c r="C205" i="17"/>
  <c r="I190" i="17"/>
  <c r="H198" i="17"/>
  <c r="M190" i="17"/>
  <c r="M191" i="17"/>
  <c r="M192" i="17"/>
  <c r="I201" i="17"/>
  <c r="I203" i="17"/>
  <c r="I205" i="17"/>
  <c r="K211" i="17"/>
  <c r="K208" i="17"/>
  <c r="G198" i="17"/>
  <c r="F198" i="17"/>
  <c r="E198" i="17"/>
  <c r="D198" i="17"/>
  <c r="D189" i="17"/>
  <c r="E189" i="17"/>
  <c r="F189" i="17"/>
  <c r="G189" i="17"/>
  <c r="H189" i="17"/>
  <c r="H172" i="17"/>
  <c r="G172" i="17"/>
  <c r="F172" i="17"/>
  <c r="E172" i="17"/>
  <c r="D172" i="17"/>
  <c r="H171" i="17"/>
  <c r="G171" i="17"/>
  <c r="F171" i="17"/>
  <c r="E171" i="17"/>
  <c r="D171" i="17"/>
  <c r="H30" i="17"/>
  <c r="H170" i="17"/>
  <c r="G30" i="17"/>
  <c r="G170" i="17"/>
  <c r="F30" i="17"/>
  <c r="F170" i="17"/>
  <c r="E30" i="17"/>
  <c r="E170" i="17"/>
  <c r="D30" i="17"/>
  <c r="D170" i="17"/>
  <c r="H169" i="17"/>
  <c r="G169" i="17"/>
  <c r="F169" i="17"/>
  <c r="E169" i="17"/>
  <c r="M166" i="17"/>
  <c r="H163" i="17"/>
  <c r="H164" i="17"/>
  <c r="H165" i="17"/>
  <c r="H166" i="17"/>
  <c r="G163" i="17"/>
  <c r="G164" i="17"/>
  <c r="G165" i="17"/>
  <c r="G166" i="17"/>
  <c r="F163" i="17"/>
  <c r="F164" i="17"/>
  <c r="F165" i="17"/>
  <c r="F166" i="17"/>
  <c r="E163" i="17"/>
  <c r="E164" i="17"/>
  <c r="E165" i="17"/>
  <c r="E166" i="17"/>
  <c r="D163" i="17"/>
  <c r="D164" i="17"/>
  <c r="D165" i="17"/>
  <c r="D166" i="17"/>
  <c r="G156" i="17"/>
  <c r="G157" i="17"/>
  <c r="G158" i="17"/>
  <c r="G159" i="17"/>
  <c r="H160" i="17"/>
  <c r="F156" i="17"/>
  <c r="F157" i="17"/>
  <c r="F158" i="17"/>
  <c r="F159" i="17"/>
  <c r="G160" i="17"/>
  <c r="E156" i="17"/>
  <c r="E157" i="17"/>
  <c r="E158" i="17"/>
  <c r="E159" i="17"/>
  <c r="F160" i="17"/>
  <c r="D156" i="17"/>
  <c r="D157" i="17"/>
  <c r="D158" i="17"/>
  <c r="D159" i="17"/>
  <c r="E160" i="17"/>
  <c r="M135" i="17"/>
  <c r="M136" i="17"/>
  <c r="M31" i="17"/>
  <c r="M139" i="17"/>
  <c r="M32" i="17"/>
  <c r="M140" i="17"/>
  <c r="M145" i="17"/>
  <c r="M128" i="17"/>
  <c r="M132" i="17"/>
  <c r="M57" i="17"/>
  <c r="M58" i="17"/>
  <c r="M111" i="17"/>
  <c r="M115" i="17"/>
  <c r="M116" i="17"/>
  <c r="M120" i="17"/>
  <c r="I84" i="17"/>
  <c r="J84" i="17"/>
  <c r="K84" i="17"/>
  <c r="L84" i="17"/>
  <c r="M84" i="17"/>
  <c r="M121" i="17"/>
  <c r="I86" i="17"/>
  <c r="J86" i="17"/>
  <c r="K86" i="17"/>
  <c r="L86" i="17"/>
  <c r="M86" i="17"/>
  <c r="M122" i="17"/>
  <c r="M124" i="17"/>
  <c r="M147" i="17"/>
  <c r="L135" i="17"/>
  <c r="L136" i="17"/>
  <c r="L31" i="17"/>
  <c r="L139" i="17"/>
  <c r="L32" i="17"/>
  <c r="L140" i="17"/>
  <c r="L145" i="17"/>
  <c r="L128" i="17"/>
  <c r="L132" i="17"/>
  <c r="L57" i="17"/>
  <c r="L58" i="17"/>
  <c r="L111" i="17"/>
  <c r="L115" i="17"/>
  <c r="L116" i="17"/>
  <c r="L120" i="17"/>
  <c r="L121" i="17"/>
  <c r="L122" i="17"/>
  <c r="L124" i="17"/>
  <c r="L147" i="17"/>
  <c r="K135" i="17"/>
  <c r="K136" i="17"/>
  <c r="K31" i="17"/>
  <c r="K139" i="17"/>
  <c r="K32" i="17"/>
  <c r="K140" i="17"/>
  <c r="K145" i="17"/>
  <c r="K128" i="17"/>
  <c r="K132" i="17"/>
  <c r="K57" i="17"/>
  <c r="K58" i="17"/>
  <c r="K111" i="17"/>
  <c r="K115" i="17"/>
  <c r="K116" i="17"/>
  <c r="K120" i="17"/>
  <c r="K121" i="17"/>
  <c r="K122" i="17"/>
  <c r="K124" i="17"/>
  <c r="K147" i="17"/>
  <c r="J135" i="17"/>
  <c r="J136" i="17"/>
  <c r="J31" i="17"/>
  <c r="J139" i="17"/>
  <c r="J32" i="17"/>
  <c r="J140" i="17"/>
  <c r="J145" i="17"/>
  <c r="J128" i="17"/>
  <c r="J132" i="17"/>
  <c r="J57" i="17"/>
  <c r="J58" i="17"/>
  <c r="J111" i="17"/>
  <c r="J115" i="17"/>
  <c r="J116" i="17"/>
  <c r="J120" i="17"/>
  <c r="J121" i="17"/>
  <c r="J122" i="17"/>
  <c r="J124" i="17"/>
  <c r="J147" i="17"/>
  <c r="I135" i="17"/>
  <c r="I136" i="17"/>
  <c r="I31" i="17"/>
  <c r="I139" i="17"/>
  <c r="I32" i="17"/>
  <c r="I140" i="17"/>
  <c r="I145" i="17"/>
  <c r="I128" i="17"/>
  <c r="I132" i="17"/>
  <c r="I57" i="17"/>
  <c r="I58" i="17"/>
  <c r="I111" i="17"/>
  <c r="I115" i="17"/>
  <c r="I116" i="17"/>
  <c r="I120" i="17"/>
  <c r="I121" i="17"/>
  <c r="I122" i="17"/>
  <c r="I124" i="17"/>
  <c r="I147" i="17"/>
  <c r="H145" i="17"/>
  <c r="H132" i="17"/>
  <c r="H39" i="17"/>
  <c r="H54" i="17"/>
  <c r="H55" i="17"/>
  <c r="H58" i="17"/>
  <c r="H111" i="17"/>
  <c r="H124" i="17"/>
  <c r="H147" i="17"/>
  <c r="G145" i="17"/>
  <c r="G132" i="17"/>
  <c r="G39" i="17"/>
  <c r="G54" i="17"/>
  <c r="G55" i="17"/>
  <c r="G58" i="17"/>
  <c r="G111" i="17"/>
  <c r="G124" i="17"/>
  <c r="G147" i="17"/>
  <c r="F145" i="17"/>
  <c r="F132" i="17"/>
  <c r="F39" i="17"/>
  <c r="F54" i="17"/>
  <c r="F55" i="17"/>
  <c r="F58" i="17"/>
  <c r="F111" i="17"/>
  <c r="F124" i="17"/>
  <c r="F147" i="17"/>
  <c r="E145" i="17"/>
  <c r="E132" i="17"/>
  <c r="E39" i="17"/>
  <c r="E54" i="17"/>
  <c r="E55" i="17"/>
  <c r="E58" i="17"/>
  <c r="E111" i="17"/>
  <c r="E124" i="17"/>
  <c r="E147" i="17"/>
  <c r="E148" i="17"/>
  <c r="E149" i="17"/>
  <c r="F148" i="17"/>
  <c r="F149" i="17"/>
  <c r="G148" i="17"/>
  <c r="G149" i="17"/>
  <c r="H148" i="17"/>
  <c r="H149" i="17"/>
  <c r="I148" i="17"/>
  <c r="I149" i="17"/>
  <c r="J148" i="17"/>
  <c r="J149" i="17"/>
  <c r="K148" i="17"/>
  <c r="K149" i="17"/>
  <c r="L148" i="17"/>
  <c r="L149" i="17"/>
  <c r="M148" i="17"/>
  <c r="M149" i="17"/>
  <c r="D145" i="17"/>
  <c r="D132" i="17"/>
  <c r="D39" i="17"/>
  <c r="D54" i="17"/>
  <c r="D55" i="17"/>
  <c r="D58" i="17"/>
  <c r="D111" i="17"/>
  <c r="D124" i="17"/>
  <c r="D147" i="17"/>
  <c r="M90" i="17"/>
  <c r="I91" i="17"/>
  <c r="J91" i="17"/>
  <c r="K91" i="17"/>
  <c r="L91" i="17"/>
  <c r="M91" i="17"/>
  <c r="I92" i="17"/>
  <c r="J92" i="17"/>
  <c r="K92" i="17"/>
  <c r="L92" i="17"/>
  <c r="M92" i="17"/>
  <c r="I93" i="17"/>
  <c r="J93" i="17"/>
  <c r="K93" i="17"/>
  <c r="L93" i="17"/>
  <c r="M93" i="17"/>
  <c r="I94" i="17"/>
  <c r="J94" i="17"/>
  <c r="K94" i="17"/>
  <c r="L94" i="17"/>
  <c r="M94" i="17"/>
  <c r="M87" i="17"/>
  <c r="M95" i="17"/>
  <c r="I97" i="17"/>
  <c r="J97" i="17"/>
  <c r="K97" i="17"/>
  <c r="L97" i="17"/>
  <c r="M97" i="17"/>
  <c r="I98" i="17"/>
  <c r="J98" i="17"/>
  <c r="K98" i="17"/>
  <c r="L98" i="17"/>
  <c r="M98" i="17"/>
  <c r="I99" i="17"/>
  <c r="J99" i="17"/>
  <c r="K99" i="17"/>
  <c r="L99" i="17"/>
  <c r="M99" i="17"/>
  <c r="I100" i="17"/>
  <c r="J100" i="17"/>
  <c r="K100" i="17"/>
  <c r="L100" i="17"/>
  <c r="M100" i="17"/>
  <c r="I101" i="17"/>
  <c r="J101" i="17"/>
  <c r="K101" i="17"/>
  <c r="L101" i="17"/>
  <c r="M101" i="17"/>
  <c r="M102" i="17"/>
  <c r="M103" i="17"/>
  <c r="M75" i="17"/>
  <c r="I76" i="17"/>
  <c r="J76" i="17"/>
  <c r="K76" i="17"/>
  <c r="L76" i="17"/>
  <c r="M76" i="17"/>
  <c r="I77" i="17"/>
  <c r="J77" i="17"/>
  <c r="K77" i="17"/>
  <c r="L77" i="17"/>
  <c r="M77" i="17"/>
  <c r="I79" i="17"/>
  <c r="J79" i="17"/>
  <c r="K79" i="17"/>
  <c r="L79" i="17"/>
  <c r="M79" i="17"/>
  <c r="M64" i="17"/>
  <c r="I65" i="17"/>
  <c r="J65" i="17"/>
  <c r="K65" i="17"/>
  <c r="L65" i="17"/>
  <c r="M65" i="17"/>
  <c r="I68" i="17"/>
  <c r="J68" i="17"/>
  <c r="K68" i="17"/>
  <c r="L68" i="17"/>
  <c r="M68" i="17"/>
  <c r="M69" i="17"/>
  <c r="M80" i="17"/>
  <c r="M105" i="17"/>
  <c r="L90" i="17"/>
  <c r="L87" i="17"/>
  <c r="L95" i="17"/>
  <c r="L102" i="17"/>
  <c r="L103" i="17"/>
  <c r="L75" i="17"/>
  <c r="L64" i="17"/>
  <c r="L69" i="17"/>
  <c r="L80" i="17"/>
  <c r="L105" i="17"/>
  <c r="K90" i="17"/>
  <c r="K87" i="17"/>
  <c r="K95" i="17"/>
  <c r="K102" i="17"/>
  <c r="K103" i="17"/>
  <c r="K75" i="17"/>
  <c r="K64" i="17"/>
  <c r="K69" i="17"/>
  <c r="K80" i="17"/>
  <c r="K105" i="17"/>
  <c r="J90" i="17"/>
  <c r="J87" i="17"/>
  <c r="J95" i="17"/>
  <c r="J102" i="17"/>
  <c r="J103" i="17"/>
  <c r="J75" i="17"/>
  <c r="J64" i="17"/>
  <c r="J69" i="17"/>
  <c r="J80" i="17"/>
  <c r="J105" i="17"/>
  <c r="I90" i="17"/>
  <c r="I87" i="17"/>
  <c r="I95" i="17"/>
  <c r="I102" i="17"/>
  <c r="I103" i="17"/>
  <c r="I75" i="17"/>
  <c r="I64" i="17"/>
  <c r="I69" i="17"/>
  <c r="I80" i="17"/>
  <c r="I105" i="17"/>
  <c r="H87" i="17"/>
  <c r="H95" i="17"/>
  <c r="H102" i="17"/>
  <c r="H103" i="17"/>
  <c r="H69" i="17"/>
  <c r="H80" i="17"/>
  <c r="H105" i="17"/>
  <c r="G87" i="17"/>
  <c r="G95" i="17"/>
  <c r="G102" i="17"/>
  <c r="G103" i="17"/>
  <c r="G69" i="17"/>
  <c r="G80" i="17"/>
  <c r="G105" i="17"/>
  <c r="F87" i="17"/>
  <c r="F95" i="17"/>
  <c r="F102" i="17"/>
  <c r="F103" i="17"/>
  <c r="F69" i="17"/>
  <c r="F80" i="17"/>
  <c r="F105" i="17"/>
  <c r="E87" i="17"/>
  <c r="E95" i="17"/>
  <c r="E102" i="17"/>
  <c r="E103" i="17"/>
  <c r="E69" i="17"/>
  <c r="E80" i="17"/>
  <c r="E105" i="17"/>
  <c r="D87" i="17"/>
  <c r="D95" i="17"/>
  <c r="D102" i="17"/>
  <c r="D103" i="17"/>
  <c r="D69" i="17"/>
  <c r="D80" i="17"/>
  <c r="D105" i="17"/>
  <c r="O46" i="17"/>
  <c r="O47" i="17"/>
  <c r="O48" i="17"/>
  <c r="H32" i="17"/>
  <c r="G32" i="17"/>
  <c r="F32" i="17"/>
  <c r="E32" i="17"/>
  <c r="D32" i="17"/>
  <c r="H31" i="17"/>
  <c r="G31" i="17"/>
  <c r="F31" i="17"/>
  <c r="E31" i="17"/>
  <c r="D31" i="17"/>
  <c r="H29" i="17"/>
  <c r="G29" i="17"/>
  <c r="F29" i="17"/>
  <c r="E29" i="17"/>
  <c r="D29" i="17"/>
  <c r="H28" i="17"/>
  <c r="G28" i="17"/>
  <c r="F28" i="17"/>
  <c r="E28" i="17"/>
  <c r="D28" i="17"/>
  <c r="M27" i="17"/>
  <c r="L27" i="17"/>
  <c r="K27" i="17"/>
  <c r="J27" i="17"/>
  <c r="I27" i="17"/>
  <c r="H27" i="17"/>
  <c r="G27" i="17"/>
  <c r="F27" i="17"/>
  <c r="E27" i="17"/>
  <c r="D27" i="17"/>
  <c r="H26" i="17"/>
  <c r="G26" i="17"/>
  <c r="F26" i="17"/>
  <c r="E26" i="17"/>
  <c r="D26" i="17"/>
  <c r="H25" i="17"/>
  <c r="G25" i="17"/>
  <c r="F25" i="17"/>
  <c r="E25" i="17"/>
  <c r="D25" i="17"/>
  <c r="H21" i="17"/>
  <c r="G21" i="17"/>
  <c r="F21" i="17"/>
  <c r="E21" i="17"/>
  <c r="D21" i="17"/>
  <c r="M3" i="17"/>
  <c r="L3" i="17"/>
  <c r="K3" i="17"/>
  <c r="J3" i="17"/>
  <c r="I3" i="17"/>
  <c r="H3" i="17"/>
  <c r="G3" i="17"/>
  <c r="F3" i="17"/>
  <c r="E3" i="17"/>
  <c r="D3" i="17"/>
  <c r="E2" i="17"/>
  <c r="F2" i="17"/>
  <c r="G2" i="17"/>
  <c r="H2" i="17"/>
  <c r="I2" i="17"/>
  <c r="J2" i="17"/>
  <c r="K2" i="17"/>
  <c r="L2" i="17"/>
  <c r="M2" i="17"/>
  <c r="O46" i="11"/>
  <c r="O47" i="11"/>
  <c r="O48" i="11"/>
  <c r="F19" i="14"/>
  <c r="E71" i="15"/>
  <c r="I39" i="11"/>
  <c r="M98" i="16"/>
  <c r="L98" i="16"/>
  <c r="K98" i="16"/>
  <c r="J98" i="16"/>
  <c r="I98" i="16"/>
  <c r="M97" i="16"/>
  <c r="L97" i="16"/>
  <c r="K97" i="16"/>
  <c r="J97" i="16"/>
  <c r="M96" i="16"/>
  <c r="L96" i="16"/>
  <c r="K96" i="16"/>
  <c r="J96" i="16"/>
  <c r="M95" i="16"/>
  <c r="L95" i="16"/>
  <c r="K95" i="16"/>
  <c r="J95" i="16"/>
  <c r="M94" i="16"/>
  <c r="L94" i="16"/>
  <c r="K94" i="16"/>
  <c r="J94" i="16"/>
  <c r="I94" i="16"/>
  <c r="M92" i="16"/>
  <c r="L92" i="16"/>
  <c r="K92" i="16"/>
  <c r="J92" i="16"/>
  <c r="I92" i="16"/>
  <c r="M91" i="16"/>
  <c r="L91" i="16"/>
  <c r="K91" i="16"/>
  <c r="J91" i="16"/>
  <c r="I91" i="16"/>
  <c r="M89" i="16"/>
  <c r="L89" i="16"/>
  <c r="K89" i="16"/>
  <c r="J89" i="16"/>
  <c r="I89" i="16"/>
  <c r="M87" i="16"/>
  <c r="L87" i="16"/>
  <c r="K87" i="16"/>
  <c r="J87" i="16"/>
  <c r="I87" i="16"/>
  <c r="M86" i="16"/>
  <c r="L86" i="16"/>
  <c r="K86" i="16"/>
  <c r="J86" i="16"/>
  <c r="I86" i="16"/>
  <c r="M85" i="16"/>
  <c r="L85" i="16"/>
  <c r="K85" i="16"/>
  <c r="J85" i="16"/>
  <c r="I85" i="16"/>
  <c r="M83" i="16"/>
  <c r="L83" i="16"/>
  <c r="K83" i="16"/>
  <c r="J83" i="16"/>
  <c r="I83" i="16"/>
  <c r="M82" i="16"/>
  <c r="L82" i="16"/>
  <c r="K82" i="16"/>
  <c r="J82" i="16"/>
  <c r="I82" i="16"/>
  <c r="M81" i="16"/>
  <c r="L81" i="16"/>
  <c r="K81" i="16"/>
  <c r="J81" i="16"/>
  <c r="I81" i="16"/>
  <c r="M80" i="16"/>
  <c r="L80" i="16"/>
  <c r="K80" i="16"/>
  <c r="J80" i="16"/>
  <c r="I80" i="16"/>
  <c r="M70" i="16"/>
  <c r="L70" i="16"/>
  <c r="K70" i="16"/>
  <c r="J70" i="16"/>
  <c r="I70" i="16"/>
  <c r="M68" i="16"/>
  <c r="L68" i="16"/>
  <c r="K68" i="16"/>
  <c r="J68" i="16"/>
  <c r="I68" i="16"/>
  <c r="M67" i="16"/>
  <c r="L67" i="16"/>
  <c r="K67" i="16"/>
  <c r="J67" i="16"/>
  <c r="I67" i="16"/>
  <c r="M65" i="16"/>
  <c r="L65" i="16"/>
  <c r="K65" i="16"/>
  <c r="J65" i="16"/>
  <c r="I65" i="16"/>
  <c r="M63" i="16"/>
  <c r="L63" i="16"/>
  <c r="K63" i="16"/>
  <c r="J63" i="16"/>
  <c r="I63" i="16"/>
  <c r="M62" i="16"/>
  <c r="L62" i="16"/>
  <c r="K62" i="16"/>
  <c r="J62" i="16"/>
  <c r="I62" i="16"/>
  <c r="M61" i="16"/>
  <c r="L61" i="16"/>
  <c r="K61" i="16"/>
  <c r="J61" i="16"/>
  <c r="I61" i="16"/>
  <c r="M59" i="16"/>
  <c r="L59" i="16"/>
  <c r="K59" i="16"/>
  <c r="J59" i="16"/>
  <c r="I59" i="16"/>
  <c r="M58" i="16"/>
  <c r="L58" i="16"/>
  <c r="K58" i="16"/>
  <c r="J58" i="16"/>
  <c r="I58" i="16"/>
  <c r="M57" i="16"/>
  <c r="L57" i="16"/>
  <c r="K57" i="16"/>
  <c r="J57" i="16"/>
  <c r="I57" i="16"/>
  <c r="M56" i="16"/>
  <c r="L56" i="16"/>
  <c r="K56" i="16"/>
  <c r="J56" i="16"/>
  <c r="I56" i="16"/>
  <c r="M31" i="16"/>
  <c r="L31" i="16"/>
  <c r="K31" i="16"/>
  <c r="J31" i="16"/>
  <c r="I31" i="16"/>
  <c r="M30" i="16"/>
  <c r="L30" i="16"/>
  <c r="K30" i="16"/>
  <c r="J30" i="16"/>
  <c r="I30" i="16"/>
  <c r="M29" i="16"/>
  <c r="L29" i="16"/>
  <c r="K29" i="16"/>
  <c r="J29" i="16"/>
  <c r="I29" i="16"/>
  <c r="M28" i="16"/>
  <c r="L28" i="16"/>
  <c r="K28" i="16"/>
  <c r="J28" i="16"/>
  <c r="I28" i="16"/>
  <c r="M27" i="16"/>
  <c r="L27" i="16"/>
  <c r="K27" i="16"/>
  <c r="J27" i="16"/>
  <c r="I27" i="16"/>
  <c r="M26" i="16"/>
  <c r="L26" i="16"/>
  <c r="K26" i="16"/>
  <c r="J26" i="16"/>
  <c r="I26" i="16"/>
  <c r="M25" i="16"/>
  <c r="L25" i="16"/>
  <c r="K25" i="16"/>
  <c r="J25" i="16"/>
  <c r="I25" i="16"/>
  <c r="M24" i="16"/>
  <c r="L24" i="16"/>
  <c r="K24" i="16"/>
  <c r="J24" i="16"/>
  <c r="I24" i="16"/>
  <c r="M23" i="16"/>
  <c r="L23" i="16"/>
  <c r="K23" i="16"/>
  <c r="J23" i="16"/>
  <c r="I23" i="16"/>
  <c r="M22" i="16"/>
  <c r="L22" i="16"/>
  <c r="K22" i="16"/>
  <c r="J22" i="16"/>
  <c r="I22" i="16"/>
  <c r="M21" i="16"/>
  <c r="L21" i="16"/>
  <c r="K21" i="16"/>
  <c r="J21" i="16"/>
  <c r="I21" i="16"/>
  <c r="E2" i="16"/>
  <c r="F2" i="16"/>
  <c r="G2" i="16"/>
  <c r="H2" i="16"/>
  <c r="I2" i="16"/>
  <c r="J2" i="16"/>
  <c r="K2" i="16"/>
  <c r="L2" i="16"/>
  <c r="M2" i="16"/>
  <c r="I7" i="15"/>
  <c r="J7" i="15"/>
  <c r="K7" i="15"/>
  <c r="L7" i="15"/>
  <c r="I59" i="15"/>
  <c r="I61" i="15"/>
  <c r="I63" i="15"/>
  <c r="I68" i="15"/>
  <c r="I66" i="15"/>
  <c r="H7" i="15"/>
  <c r="G7" i="15"/>
  <c r="G2" i="15"/>
  <c r="D1" i="15"/>
  <c r="E1" i="15"/>
  <c r="F1" i="15"/>
  <c r="G1" i="15"/>
  <c r="H1" i="15"/>
  <c r="I1" i="15"/>
  <c r="J1" i="15"/>
  <c r="K1" i="15"/>
  <c r="L1" i="15"/>
  <c r="J189" i="15"/>
  <c r="H189" i="15"/>
  <c r="F189" i="15"/>
  <c r="A182" i="15"/>
  <c r="A183" i="15"/>
  <c r="A184" i="15"/>
  <c r="A185" i="15"/>
  <c r="A186" i="15"/>
  <c r="A187" i="15"/>
  <c r="A188" i="15"/>
  <c r="H173" i="15"/>
  <c r="H176" i="15"/>
  <c r="G173" i="15"/>
  <c r="G176" i="15"/>
  <c r="I69" i="15"/>
  <c r="G99" i="15"/>
  <c r="M97" i="15"/>
  <c r="H97" i="15"/>
  <c r="M100" i="15"/>
  <c r="L97" i="15"/>
  <c r="L100" i="15"/>
  <c r="K97" i="15"/>
  <c r="K100" i="15"/>
  <c r="J97" i="15"/>
  <c r="J100" i="15"/>
  <c r="I97" i="15"/>
  <c r="I100" i="15"/>
  <c r="H96" i="15"/>
  <c r="H98" i="15"/>
  <c r="H99" i="15"/>
  <c r="H100" i="15"/>
  <c r="G96" i="15"/>
  <c r="G97" i="15"/>
  <c r="G98" i="15"/>
  <c r="G100" i="15"/>
  <c r="F96" i="15"/>
  <c r="F97" i="15"/>
  <c r="F98" i="15"/>
  <c r="F99" i="15"/>
  <c r="F100" i="15"/>
  <c r="E96" i="15"/>
  <c r="E97" i="15"/>
  <c r="E98" i="15"/>
  <c r="E99" i="15"/>
  <c r="E100" i="15"/>
  <c r="D96" i="15"/>
  <c r="D97" i="15"/>
  <c r="D98" i="15"/>
  <c r="D99" i="15"/>
  <c r="D100" i="15"/>
  <c r="M99" i="15"/>
  <c r="L99" i="15"/>
  <c r="K99" i="15"/>
  <c r="J99" i="15"/>
  <c r="I99" i="15"/>
  <c r="I98" i="15"/>
  <c r="J98" i="15"/>
  <c r="K98" i="15"/>
  <c r="L98" i="15"/>
  <c r="M98" i="15"/>
  <c r="M96" i="15"/>
  <c r="L96" i="15"/>
  <c r="K96" i="15"/>
  <c r="J96" i="15"/>
  <c r="I96" i="15"/>
  <c r="H87" i="15"/>
  <c r="H89" i="15"/>
  <c r="H88" i="15"/>
  <c r="H85" i="15"/>
  <c r="H86" i="15"/>
  <c r="I86" i="15"/>
  <c r="G84" i="15"/>
  <c r="I83" i="15"/>
  <c r="I70" i="15"/>
  <c r="I67" i="15"/>
  <c r="I62" i="15"/>
  <c r="I60" i="15"/>
  <c r="Q3" i="14"/>
  <c r="R3" i="14"/>
  <c r="S3" i="14"/>
  <c r="P3" i="14"/>
  <c r="O8" i="14"/>
  <c r="O14" i="14"/>
  <c r="O16" i="14"/>
  <c r="O25" i="14"/>
  <c r="I42" i="14"/>
  <c r="I45" i="14"/>
  <c r="I44" i="14"/>
  <c r="O28" i="14"/>
  <c r="O19" i="14"/>
  <c r="O31" i="14"/>
  <c r="O30" i="14"/>
  <c r="P8" i="14"/>
  <c r="P30" i="14"/>
  <c r="Q8" i="14"/>
  <c r="Q30" i="14"/>
  <c r="R8" i="14"/>
  <c r="R30" i="14"/>
  <c r="S8" i="14"/>
  <c r="S30" i="14"/>
  <c r="P29" i="14"/>
  <c r="Q29" i="14"/>
  <c r="R29" i="14"/>
  <c r="S29" i="14"/>
  <c r="O29" i="14"/>
  <c r="I31" i="14"/>
  <c r="H34" i="14"/>
  <c r="H32" i="14"/>
  <c r="H33" i="14"/>
  <c r="H31" i="14"/>
  <c r="H29" i="14"/>
  <c r="H30" i="14"/>
  <c r="O32" i="14"/>
  <c r="O24" i="14"/>
  <c r="O23" i="14"/>
  <c r="O22" i="14"/>
  <c r="S14" i="14"/>
  <c r="S16" i="14"/>
  <c r="S25" i="14"/>
  <c r="M42" i="14"/>
  <c r="M45" i="14"/>
  <c r="M41" i="14"/>
  <c r="R14" i="14"/>
  <c r="R16" i="14"/>
  <c r="R25" i="14"/>
  <c r="L42" i="14"/>
  <c r="Q14" i="14"/>
  <c r="Q16" i="14"/>
  <c r="Q25" i="14"/>
  <c r="K42" i="14"/>
  <c r="P14" i="14"/>
  <c r="P16" i="14"/>
  <c r="P25" i="14"/>
  <c r="J42" i="14"/>
  <c r="I43" i="14"/>
  <c r="J43" i="14"/>
  <c r="K43" i="14"/>
  <c r="L43" i="14"/>
  <c r="M43" i="14"/>
  <c r="M44" i="14"/>
  <c r="P22" i="14"/>
  <c r="Q22" i="14"/>
  <c r="R22" i="14"/>
  <c r="S22" i="14"/>
  <c r="Q9" i="14"/>
  <c r="R9" i="14"/>
  <c r="S9" i="14"/>
  <c r="Q11" i="14"/>
  <c r="R11" i="14"/>
  <c r="S11" i="14"/>
  <c r="Q12" i="14"/>
  <c r="R12" i="14"/>
  <c r="S12" i="14"/>
  <c r="Q18" i="14"/>
  <c r="R18" i="14"/>
  <c r="S18" i="14"/>
  <c r="Q19" i="14"/>
  <c r="R19" i="14"/>
  <c r="S19" i="14"/>
  <c r="Q20" i="14"/>
  <c r="R20" i="14"/>
  <c r="S20" i="14"/>
  <c r="Q21" i="14"/>
  <c r="R21" i="14"/>
  <c r="S21" i="14"/>
  <c r="Q23" i="14"/>
  <c r="R23" i="14"/>
  <c r="S23" i="14"/>
  <c r="Q24" i="14"/>
  <c r="R24" i="14"/>
  <c r="S24" i="14"/>
  <c r="K45" i="14"/>
  <c r="K41" i="14"/>
  <c r="Q26" i="14"/>
  <c r="L45" i="14"/>
  <c r="L41" i="14"/>
  <c r="R26" i="14"/>
  <c r="S26" i="14"/>
  <c r="Q27" i="14"/>
  <c r="R27" i="14"/>
  <c r="S27" i="14"/>
  <c r="K44" i="14"/>
  <c r="Q28" i="14"/>
  <c r="L44" i="14"/>
  <c r="R28" i="14"/>
  <c r="S28" i="14"/>
  <c r="Q31" i="14"/>
  <c r="R31" i="14"/>
  <c r="S31" i="14"/>
  <c r="Q32" i="14"/>
  <c r="R32" i="14"/>
  <c r="S32" i="14"/>
  <c r="Q33" i="14"/>
  <c r="R33" i="14"/>
  <c r="S33" i="14"/>
  <c r="P24" i="14"/>
  <c r="J45" i="14"/>
  <c r="J41" i="14"/>
  <c r="J44" i="14"/>
  <c r="P20" i="14"/>
  <c r="P19" i="14"/>
  <c r="P18" i="14"/>
  <c r="O18" i="14"/>
  <c r="P11" i="14"/>
  <c r="P9" i="14"/>
  <c r="P12" i="14"/>
  <c r="P21" i="14"/>
  <c r="P23" i="14"/>
  <c r="P26" i="14"/>
  <c r="P27" i="14"/>
  <c r="P28" i="14"/>
  <c r="P31" i="14"/>
  <c r="P32" i="14"/>
  <c r="P33" i="14"/>
  <c r="O20" i="14"/>
  <c r="O21" i="14"/>
  <c r="I41" i="14"/>
  <c r="O26" i="14"/>
  <c r="O27" i="14"/>
  <c r="O33" i="14"/>
  <c r="H42" i="14"/>
  <c r="H44" i="14"/>
  <c r="H43" i="14"/>
  <c r="H41" i="14"/>
  <c r="E41" i="14"/>
  <c r="F41" i="14"/>
  <c r="G41" i="14"/>
  <c r="E42" i="14"/>
  <c r="F42" i="14"/>
  <c r="G42" i="14"/>
  <c r="E43" i="14"/>
  <c r="F43" i="14"/>
  <c r="G43" i="14"/>
  <c r="E44" i="14"/>
  <c r="F44" i="14"/>
  <c r="G44" i="14"/>
  <c r="E45" i="14"/>
  <c r="F45" i="14"/>
  <c r="G45" i="14"/>
  <c r="H45" i="14"/>
  <c r="D41" i="14"/>
  <c r="D42" i="14"/>
  <c r="D43" i="14"/>
  <c r="D44" i="14"/>
  <c r="D45" i="14"/>
  <c r="O9" i="14"/>
  <c r="O11" i="14"/>
  <c r="O12" i="14"/>
  <c r="L16" i="14"/>
  <c r="L17" i="14"/>
  <c r="K16" i="14"/>
  <c r="K17" i="14"/>
  <c r="K8" i="14"/>
  <c r="K9" i="14"/>
  <c r="K4" i="14"/>
  <c r="I47" i="14"/>
  <c r="I4" i="14"/>
  <c r="I14" i="14"/>
  <c r="I83" i="14"/>
  <c r="G49" i="14"/>
  <c r="H49" i="14"/>
  <c r="I49" i="14"/>
  <c r="I6" i="14"/>
  <c r="I15" i="14"/>
  <c r="P2" i="14"/>
  <c r="Q2" i="14"/>
  <c r="R2" i="14"/>
  <c r="S2" i="14"/>
  <c r="I8" i="14"/>
  <c r="I54" i="14"/>
  <c r="I7" i="14"/>
  <c r="G83" i="14"/>
  <c r="G62" i="14"/>
  <c r="H62" i="14"/>
  <c r="G64" i="14"/>
  <c r="I57" i="14"/>
  <c r="I13" i="14"/>
  <c r="I59" i="14"/>
  <c r="I60" i="14"/>
  <c r="I11" i="14"/>
  <c r="H59" i="14"/>
  <c r="H60" i="14"/>
  <c r="G57" i="14"/>
  <c r="G58" i="14"/>
  <c r="G59" i="14"/>
  <c r="G60" i="14"/>
  <c r="I12" i="14"/>
  <c r="H81" i="14"/>
  <c r="I81" i="14"/>
  <c r="G77" i="14"/>
  <c r="H77" i="14"/>
  <c r="I77" i="14"/>
  <c r="I5" i="14"/>
  <c r="G48" i="14"/>
  <c r="H48" i="14"/>
  <c r="H47" i="14"/>
  <c r="H54" i="14"/>
  <c r="G54" i="14"/>
  <c r="G52" i="14"/>
  <c r="I53" i="14"/>
  <c r="H52" i="14"/>
  <c r="I28" i="14"/>
  <c r="H83" i="14"/>
  <c r="G65" i="14"/>
  <c r="G81" i="14"/>
  <c r="G75" i="14"/>
  <c r="H75" i="14"/>
  <c r="H65" i="14"/>
  <c r="H66" i="14"/>
  <c r="H67" i="14"/>
  <c r="H74" i="14"/>
  <c r="H76" i="14"/>
  <c r="G76" i="14"/>
  <c r="G66" i="14"/>
  <c r="G74" i="14"/>
  <c r="G67" i="14"/>
  <c r="H134" i="14"/>
  <c r="J134" i="14"/>
  <c r="F134" i="14"/>
  <c r="A127" i="14"/>
  <c r="A128" i="14"/>
  <c r="A129" i="14"/>
  <c r="A130" i="14"/>
  <c r="A131" i="14"/>
  <c r="A132" i="14"/>
  <c r="A133" i="14"/>
  <c r="H118" i="14"/>
  <c r="H121" i="14"/>
  <c r="G118" i="14"/>
  <c r="G121" i="14"/>
  <c r="I87" i="13"/>
  <c r="J87" i="13"/>
  <c r="K87" i="13"/>
  <c r="L87" i="13"/>
  <c r="M87" i="13"/>
  <c r="I88" i="13"/>
  <c r="J88" i="13"/>
  <c r="K88" i="13"/>
  <c r="L88" i="13"/>
  <c r="M88" i="13"/>
  <c r="I90" i="13"/>
  <c r="J90" i="13"/>
  <c r="K90" i="13"/>
  <c r="L90" i="13"/>
  <c r="M90" i="13"/>
  <c r="I92" i="13"/>
  <c r="J92" i="13"/>
  <c r="K92" i="13"/>
  <c r="L92" i="13"/>
  <c r="M92" i="13"/>
  <c r="J86" i="13"/>
  <c r="K86" i="13"/>
  <c r="L86" i="13"/>
  <c r="M86" i="13"/>
  <c r="I86" i="13"/>
  <c r="M68" i="13"/>
  <c r="L68" i="13"/>
  <c r="K68" i="13"/>
  <c r="J68" i="13"/>
  <c r="I68" i="13"/>
  <c r="M66" i="13"/>
  <c r="L66" i="13"/>
  <c r="K66" i="13"/>
  <c r="J66" i="13"/>
  <c r="I66" i="13"/>
  <c r="M64" i="13"/>
  <c r="L64" i="13"/>
  <c r="K64" i="13"/>
  <c r="J64" i="13"/>
  <c r="I64" i="13"/>
  <c r="M63" i="13"/>
  <c r="L63" i="13"/>
  <c r="K63" i="13"/>
  <c r="J63" i="13"/>
  <c r="I63" i="13"/>
  <c r="J62" i="13"/>
  <c r="K62" i="13"/>
  <c r="L62" i="13"/>
  <c r="M62" i="13"/>
  <c r="I62" i="13"/>
  <c r="G211" i="11"/>
  <c r="C209" i="11"/>
  <c r="C210" i="11"/>
  <c r="L4" i="13"/>
  <c r="I9" i="13"/>
  <c r="I8" i="11"/>
  <c r="I35" i="11"/>
  <c r="J9" i="13"/>
  <c r="J8" i="11"/>
  <c r="J35" i="11"/>
  <c r="K9" i="13"/>
  <c r="K8" i="11"/>
  <c r="K35" i="11"/>
  <c r="L9" i="13"/>
  <c r="L8" i="11"/>
  <c r="L35" i="11"/>
  <c r="M9" i="13"/>
  <c r="M8" i="11"/>
  <c r="M35" i="11"/>
  <c r="I10" i="13"/>
  <c r="I9" i="11"/>
  <c r="I36" i="11"/>
  <c r="J10" i="13"/>
  <c r="J9" i="11"/>
  <c r="J36" i="11"/>
  <c r="K10" i="13"/>
  <c r="K9" i="11"/>
  <c r="K36" i="11"/>
  <c r="L10" i="13"/>
  <c r="L9" i="11"/>
  <c r="L36" i="11"/>
  <c r="M10" i="13"/>
  <c r="M9" i="11"/>
  <c r="M36" i="11"/>
  <c r="I11" i="13"/>
  <c r="I10" i="11"/>
  <c r="I37" i="11"/>
  <c r="J11" i="13"/>
  <c r="J10" i="11"/>
  <c r="J37" i="11"/>
  <c r="K11" i="13"/>
  <c r="K10" i="11"/>
  <c r="K37" i="11"/>
  <c r="L11" i="13"/>
  <c r="L10" i="11"/>
  <c r="L37" i="11"/>
  <c r="M11" i="13"/>
  <c r="M10" i="11"/>
  <c r="M37" i="11"/>
  <c r="I12" i="13"/>
  <c r="I11" i="11"/>
  <c r="I38" i="11"/>
  <c r="J12" i="13"/>
  <c r="J11" i="11"/>
  <c r="J38" i="11"/>
  <c r="K12" i="13"/>
  <c r="K11" i="11"/>
  <c r="K38" i="11"/>
  <c r="L12" i="13"/>
  <c r="L11" i="11"/>
  <c r="L38" i="11"/>
  <c r="M12" i="13"/>
  <c r="M11" i="11"/>
  <c r="M38" i="11"/>
  <c r="M39" i="11"/>
  <c r="M14" i="13"/>
  <c r="M13" i="11"/>
  <c r="M41" i="11"/>
  <c r="M15" i="13"/>
  <c r="M14" i="11"/>
  <c r="M42" i="11"/>
  <c r="M16" i="13"/>
  <c r="M15" i="11"/>
  <c r="M43" i="11"/>
  <c r="M17" i="13"/>
  <c r="M16" i="11"/>
  <c r="M44" i="11"/>
  <c r="M18" i="13"/>
  <c r="M17" i="11"/>
  <c r="M45" i="11"/>
  <c r="M19" i="13"/>
  <c r="M18" i="11"/>
  <c r="M46" i="11"/>
  <c r="M20" i="13"/>
  <c r="M19" i="11"/>
  <c r="M47" i="11"/>
  <c r="M21" i="13"/>
  <c r="M20" i="11"/>
  <c r="I28" i="13"/>
  <c r="I29" i="11"/>
  <c r="I164" i="11"/>
  <c r="I21" i="13"/>
  <c r="I20" i="11"/>
  <c r="I165" i="11"/>
  <c r="I166" i="11"/>
  <c r="J163" i="11"/>
  <c r="J28" i="13"/>
  <c r="J29" i="11"/>
  <c r="J164" i="11"/>
  <c r="J21" i="13"/>
  <c r="J20" i="11"/>
  <c r="J165" i="11"/>
  <c r="J166" i="11"/>
  <c r="K163" i="11"/>
  <c r="K28" i="13"/>
  <c r="K29" i="11"/>
  <c r="K164" i="11"/>
  <c r="K21" i="13"/>
  <c r="K20" i="11"/>
  <c r="K165" i="11"/>
  <c r="K166" i="11"/>
  <c r="L163" i="11"/>
  <c r="L28" i="13"/>
  <c r="L29" i="11"/>
  <c r="L164" i="11"/>
  <c r="L21" i="13"/>
  <c r="L20" i="11"/>
  <c r="L165" i="11"/>
  <c r="L166" i="11"/>
  <c r="M163" i="11"/>
  <c r="M28" i="13"/>
  <c r="M29" i="11"/>
  <c r="M164" i="11"/>
  <c r="M165" i="11"/>
  <c r="M48" i="11"/>
  <c r="I29" i="13"/>
  <c r="I30" i="11"/>
  <c r="I170" i="11"/>
  <c r="I171" i="11"/>
  <c r="J169" i="11"/>
  <c r="J29" i="13"/>
  <c r="J30" i="11"/>
  <c r="J170" i="11"/>
  <c r="J171" i="11"/>
  <c r="K169" i="11"/>
  <c r="K29" i="13"/>
  <c r="K30" i="11"/>
  <c r="K170" i="11"/>
  <c r="K171" i="11"/>
  <c r="L169" i="11"/>
  <c r="L29" i="13"/>
  <c r="L30" i="11"/>
  <c r="L170" i="11"/>
  <c r="L171" i="11"/>
  <c r="M169" i="11"/>
  <c r="M29" i="13"/>
  <c r="M30" i="11"/>
  <c r="M170" i="11"/>
  <c r="M171" i="11"/>
  <c r="M22" i="13"/>
  <c r="M21" i="11"/>
  <c r="M172" i="11"/>
  <c r="M49" i="11"/>
  <c r="M54" i="11"/>
  <c r="M55" i="11"/>
  <c r="H194" i="11"/>
  <c r="M112" i="11"/>
  <c r="H197" i="11"/>
  <c r="H198" i="11"/>
  <c r="M190" i="11"/>
  <c r="H195" i="11"/>
  <c r="H196" i="11"/>
  <c r="H199" i="11"/>
  <c r="M24" i="13"/>
  <c r="M25" i="11"/>
  <c r="M66" i="11"/>
  <c r="M156" i="11"/>
  <c r="M25" i="13"/>
  <c r="M26" i="11"/>
  <c r="M67" i="11"/>
  <c r="M157" i="11"/>
  <c r="M27" i="13"/>
  <c r="M28" i="11"/>
  <c r="M83" i="11"/>
  <c r="M158" i="11"/>
  <c r="M159" i="11"/>
  <c r="L39" i="11"/>
  <c r="L24" i="13"/>
  <c r="L25" i="11"/>
  <c r="L66" i="11"/>
  <c r="L156" i="11"/>
  <c r="L15" i="13"/>
  <c r="L14" i="11"/>
  <c r="L42" i="11"/>
  <c r="L25" i="13"/>
  <c r="L26" i="11"/>
  <c r="L67" i="11"/>
  <c r="L157" i="11"/>
  <c r="L14" i="13"/>
  <c r="L13" i="11"/>
  <c r="L41" i="11"/>
  <c r="L16" i="13"/>
  <c r="L15" i="11"/>
  <c r="L43" i="11"/>
  <c r="L17" i="13"/>
  <c r="L16" i="11"/>
  <c r="L44" i="11"/>
  <c r="L18" i="13"/>
  <c r="L17" i="11"/>
  <c r="L45" i="11"/>
  <c r="L19" i="13"/>
  <c r="L18" i="11"/>
  <c r="L46" i="11"/>
  <c r="L20" i="13"/>
  <c r="L19" i="11"/>
  <c r="L47" i="11"/>
  <c r="L48" i="11"/>
  <c r="L22" i="13"/>
  <c r="L21" i="11"/>
  <c r="L172" i="11"/>
  <c r="L49" i="11"/>
  <c r="L54" i="11"/>
  <c r="L27" i="13"/>
  <c r="L28" i="11"/>
  <c r="L83" i="11"/>
  <c r="L158" i="11"/>
  <c r="L159" i="11"/>
  <c r="M160" i="11"/>
  <c r="H200" i="11"/>
  <c r="H201" i="11"/>
  <c r="M191" i="11"/>
  <c r="M192" i="11"/>
  <c r="I201" i="11"/>
  <c r="I203" i="11"/>
  <c r="I14" i="13"/>
  <c r="I13" i="11"/>
  <c r="I41" i="11"/>
  <c r="I15" i="13"/>
  <c r="I14" i="11"/>
  <c r="I42" i="11"/>
  <c r="I16" i="13"/>
  <c r="I15" i="11"/>
  <c r="I43" i="11"/>
  <c r="I17" i="13"/>
  <c r="I16" i="11"/>
  <c r="I44" i="11"/>
  <c r="I18" i="13"/>
  <c r="I17" i="11"/>
  <c r="I45" i="11"/>
  <c r="I19" i="13"/>
  <c r="I18" i="11"/>
  <c r="I46" i="11"/>
  <c r="I20" i="13"/>
  <c r="I19" i="11"/>
  <c r="I47" i="11"/>
  <c r="I48" i="11"/>
  <c r="I22" i="13"/>
  <c r="I21" i="11"/>
  <c r="I172" i="11"/>
  <c r="I49" i="11"/>
  <c r="I54" i="11"/>
  <c r="I55" i="11"/>
  <c r="D194" i="11"/>
  <c r="D195" i="11"/>
  <c r="D196" i="11"/>
  <c r="I112" i="11"/>
  <c r="D197" i="11"/>
  <c r="D199" i="11"/>
  <c r="I24" i="13"/>
  <c r="I25" i="11"/>
  <c r="I66" i="11"/>
  <c r="I156" i="11"/>
  <c r="I25" i="13"/>
  <c r="I26" i="11"/>
  <c r="I67" i="11"/>
  <c r="I157" i="11"/>
  <c r="I27" i="13"/>
  <c r="I28" i="11"/>
  <c r="I83" i="11"/>
  <c r="I158" i="11"/>
  <c r="I159" i="11"/>
  <c r="I160" i="11"/>
  <c r="D200" i="11"/>
  <c r="D201" i="11"/>
  <c r="D203" i="11"/>
  <c r="J39" i="11"/>
  <c r="J14" i="13"/>
  <c r="J13" i="11"/>
  <c r="J41" i="11"/>
  <c r="J15" i="13"/>
  <c r="J14" i="11"/>
  <c r="J42" i="11"/>
  <c r="J16" i="13"/>
  <c r="J15" i="11"/>
  <c r="J43" i="11"/>
  <c r="J17" i="13"/>
  <c r="J16" i="11"/>
  <c r="J44" i="11"/>
  <c r="J18" i="13"/>
  <c r="J17" i="11"/>
  <c r="J45" i="11"/>
  <c r="J19" i="13"/>
  <c r="J18" i="11"/>
  <c r="J46" i="11"/>
  <c r="J20" i="13"/>
  <c r="J19" i="11"/>
  <c r="J47" i="11"/>
  <c r="J48" i="11"/>
  <c r="J22" i="13"/>
  <c r="J21" i="11"/>
  <c r="J172" i="11"/>
  <c r="J49" i="11"/>
  <c r="J54" i="11"/>
  <c r="J55" i="11"/>
  <c r="E194" i="11"/>
  <c r="E195" i="11"/>
  <c r="E196" i="11"/>
  <c r="J112" i="11"/>
  <c r="E197" i="11"/>
  <c r="E199" i="11"/>
  <c r="J24" i="13"/>
  <c r="J25" i="11"/>
  <c r="J66" i="11"/>
  <c r="J156" i="11"/>
  <c r="J25" i="13"/>
  <c r="J26" i="11"/>
  <c r="J67" i="11"/>
  <c r="J157" i="11"/>
  <c r="J27" i="13"/>
  <c r="J28" i="11"/>
  <c r="J83" i="11"/>
  <c r="J158" i="11"/>
  <c r="J159" i="11"/>
  <c r="J160" i="11"/>
  <c r="E200" i="11"/>
  <c r="E201" i="11"/>
  <c r="E203" i="11"/>
  <c r="K39" i="11"/>
  <c r="K14" i="13"/>
  <c r="K13" i="11"/>
  <c r="K41" i="11"/>
  <c r="K15" i="13"/>
  <c r="K14" i="11"/>
  <c r="K42" i="11"/>
  <c r="K16" i="13"/>
  <c r="K15" i="11"/>
  <c r="K43" i="11"/>
  <c r="K17" i="13"/>
  <c r="K16" i="11"/>
  <c r="K44" i="11"/>
  <c r="K18" i="13"/>
  <c r="K17" i="11"/>
  <c r="K45" i="11"/>
  <c r="K19" i="13"/>
  <c r="K18" i="11"/>
  <c r="K46" i="11"/>
  <c r="K20" i="13"/>
  <c r="K19" i="11"/>
  <c r="K47" i="11"/>
  <c r="K48" i="11"/>
  <c r="K22" i="13"/>
  <c r="K21" i="11"/>
  <c r="K172" i="11"/>
  <c r="K49" i="11"/>
  <c r="K54" i="11"/>
  <c r="K55" i="11"/>
  <c r="F194" i="11"/>
  <c r="F195" i="11"/>
  <c r="F196" i="11"/>
  <c r="K112" i="11"/>
  <c r="F197" i="11"/>
  <c r="F199" i="11"/>
  <c r="K24" i="13"/>
  <c r="K25" i="11"/>
  <c r="K66" i="11"/>
  <c r="K156" i="11"/>
  <c r="K25" i="13"/>
  <c r="K26" i="11"/>
  <c r="K67" i="11"/>
  <c r="K157" i="11"/>
  <c r="K27" i="13"/>
  <c r="K28" i="11"/>
  <c r="K83" i="11"/>
  <c r="K158" i="11"/>
  <c r="K159" i="11"/>
  <c r="K160" i="11"/>
  <c r="F200" i="11"/>
  <c r="F201" i="11"/>
  <c r="F203" i="11"/>
  <c r="L55" i="11"/>
  <c r="G194" i="11"/>
  <c r="G195" i="11"/>
  <c r="G196" i="11"/>
  <c r="L112" i="11"/>
  <c r="G197" i="11"/>
  <c r="G199" i="11"/>
  <c r="L160" i="11"/>
  <c r="G200" i="11"/>
  <c r="G201" i="11"/>
  <c r="G203" i="11"/>
  <c r="H203" i="11"/>
  <c r="C208" i="11"/>
  <c r="D198" i="11"/>
  <c r="C190" i="11"/>
  <c r="D190" i="11"/>
  <c r="D192" i="11"/>
  <c r="I23" i="13"/>
  <c r="I22" i="11"/>
  <c r="I57" i="11"/>
  <c r="I58" i="11"/>
  <c r="I111" i="11"/>
  <c r="I31" i="13"/>
  <c r="I32" i="11"/>
  <c r="I140" i="11"/>
  <c r="I100" i="11"/>
  <c r="J23" i="13"/>
  <c r="J22" i="11"/>
  <c r="J57" i="11"/>
  <c r="J58" i="11"/>
  <c r="J111" i="11"/>
  <c r="J31" i="13"/>
  <c r="J32" i="11"/>
  <c r="J140" i="11"/>
  <c r="J100" i="11"/>
  <c r="K23" i="13"/>
  <c r="K22" i="11"/>
  <c r="K57" i="11"/>
  <c r="K58" i="11"/>
  <c r="K111" i="11"/>
  <c r="K31" i="13"/>
  <c r="K32" i="11"/>
  <c r="K140" i="11"/>
  <c r="K100" i="11"/>
  <c r="L23" i="13"/>
  <c r="L22" i="11"/>
  <c r="L57" i="11"/>
  <c r="L58" i="11"/>
  <c r="L111" i="11"/>
  <c r="L31" i="13"/>
  <c r="L32" i="11"/>
  <c r="L140" i="11"/>
  <c r="L100" i="11"/>
  <c r="M23" i="13"/>
  <c r="M22" i="11"/>
  <c r="M57" i="11"/>
  <c r="M58" i="11"/>
  <c r="M111" i="11"/>
  <c r="M31" i="13"/>
  <c r="M32" i="11"/>
  <c r="M140" i="11"/>
  <c r="M100" i="11"/>
  <c r="J120" i="11"/>
  <c r="K120" i="11"/>
  <c r="L120" i="11"/>
  <c r="M120" i="11"/>
  <c r="J101" i="11"/>
  <c r="K101" i="11"/>
  <c r="L101" i="11"/>
  <c r="M101" i="11"/>
  <c r="I101" i="11"/>
  <c r="I120" i="11"/>
  <c r="I163" i="11"/>
  <c r="H95" i="11"/>
  <c r="I87" i="11"/>
  <c r="I90" i="11"/>
  <c r="I95" i="11"/>
  <c r="J90" i="11"/>
  <c r="K90" i="11"/>
  <c r="L90" i="11"/>
  <c r="M90" i="11"/>
  <c r="I135" i="11"/>
  <c r="I136" i="11"/>
  <c r="I30" i="13"/>
  <c r="I31" i="11"/>
  <c r="I139" i="11"/>
  <c r="I145" i="11"/>
  <c r="I128" i="11"/>
  <c r="I132" i="11"/>
  <c r="I115" i="11"/>
  <c r="I121" i="11"/>
  <c r="I124" i="11"/>
  <c r="I147" i="11"/>
  <c r="H145" i="11"/>
  <c r="H147" i="11"/>
  <c r="G145" i="11"/>
  <c r="G147" i="11"/>
  <c r="F145" i="11"/>
  <c r="F147" i="11"/>
  <c r="E145" i="11"/>
  <c r="E147" i="11"/>
  <c r="E149" i="11"/>
  <c r="F148" i="11"/>
  <c r="F149" i="11"/>
  <c r="G148" i="11"/>
  <c r="G149" i="11"/>
  <c r="H148" i="11"/>
  <c r="H149" i="11"/>
  <c r="I148" i="11"/>
  <c r="I149" i="11"/>
  <c r="I64" i="11"/>
  <c r="I69" i="11"/>
  <c r="I75" i="11"/>
  <c r="I80" i="11"/>
  <c r="I99" i="11"/>
  <c r="I102" i="11"/>
  <c r="I103" i="11"/>
  <c r="H103" i="11"/>
  <c r="K87" i="11"/>
  <c r="K95" i="11"/>
  <c r="J30" i="13"/>
  <c r="J31" i="11"/>
  <c r="J139" i="11"/>
  <c r="J99" i="11"/>
  <c r="K30" i="13"/>
  <c r="K31" i="11"/>
  <c r="K139" i="11"/>
  <c r="K99" i="11"/>
  <c r="K102" i="11"/>
  <c r="K103" i="11"/>
  <c r="K75" i="11"/>
  <c r="K135" i="11"/>
  <c r="K136" i="11"/>
  <c r="K145" i="11"/>
  <c r="K128" i="11"/>
  <c r="K132" i="11"/>
  <c r="K115" i="11"/>
  <c r="K121" i="11"/>
  <c r="K124" i="11"/>
  <c r="K147" i="11"/>
  <c r="J135" i="11"/>
  <c r="J136" i="11"/>
  <c r="J145" i="11"/>
  <c r="J128" i="11"/>
  <c r="J132" i="11"/>
  <c r="J115" i="11"/>
  <c r="J121" i="11"/>
  <c r="J124" i="11"/>
  <c r="J147" i="11"/>
  <c r="J148" i="11"/>
  <c r="J149" i="11"/>
  <c r="K148" i="11"/>
  <c r="K149" i="11"/>
  <c r="K64" i="11"/>
  <c r="K69" i="11"/>
  <c r="K80" i="11"/>
  <c r="K105" i="11"/>
  <c r="J87" i="11"/>
  <c r="J95" i="11"/>
  <c r="J102" i="11"/>
  <c r="J103" i="11"/>
  <c r="J75" i="11"/>
  <c r="J64" i="11"/>
  <c r="J69" i="11"/>
  <c r="J80" i="11"/>
  <c r="J105" i="11"/>
  <c r="L87" i="11"/>
  <c r="L95" i="11"/>
  <c r="L30" i="13"/>
  <c r="L31" i="11"/>
  <c r="L139" i="11"/>
  <c r="L99" i="11"/>
  <c r="L102" i="11"/>
  <c r="L103" i="11"/>
  <c r="L75" i="11"/>
  <c r="L135" i="11"/>
  <c r="L136" i="11"/>
  <c r="L145" i="11"/>
  <c r="L128" i="11"/>
  <c r="L132" i="11"/>
  <c r="L115" i="11"/>
  <c r="L121" i="11"/>
  <c r="L124" i="11"/>
  <c r="L147" i="11"/>
  <c r="L148" i="11"/>
  <c r="L149" i="11"/>
  <c r="L64" i="11"/>
  <c r="L69" i="11"/>
  <c r="L80" i="11"/>
  <c r="L105" i="11"/>
  <c r="M87" i="11"/>
  <c r="M95" i="11"/>
  <c r="M30" i="13"/>
  <c r="M31" i="11"/>
  <c r="M139" i="11"/>
  <c r="M99" i="11"/>
  <c r="M102" i="11"/>
  <c r="M103" i="11"/>
  <c r="M166" i="11"/>
  <c r="M75" i="11"/>
  <c r="M135" i="11"/>
  <c r="M136" i="11"/>
  <c r="M145" i="11"/>
  <c r="M128" i="11"/>
  <c r="M132" i="11"/>
  <c r="M115" i="11"/>
  <c r="M121" i="11"/>
  <c r="M124" i="11"/>
  <c r="M147" i="11"/>
  <c r="M148" i="11"/>
  <c r="M149" i="11"/>
  <c r="M64" i="11"/>
  <c r="M69" i="11"/>
  <c r="M80" i="11"/>
  <c r="M105" i="11"/>
  <c r="I105" i="11"/>
  <c r="J116" i="11"/>
  <c r="K116" i="11"/>
  <c r="L116" i="11"/>
  <c r="M116" i="11"/>
  <c r="J122" i="11"/>
  <c r="K122" i="11"/>
  <c r="L122" i="11"/>
  <c r="M122" i="11"/>
  <c r="J97" i="11"/>
  <c r="K97" i="11"/>
  <c r="L97" i="11"/>
  <c r="M97" i="11"/>
  <c r="J98" i="11"/>
  <c r="K98" i="11"/>
  <c r="L98" i="11"/>
  <c r="M98" i="11"/>
  <c r="J91" i="11"/>
  <c r="K91" i="11"/>
  <c r="L91" i="11"/>
  <c r="M91" i="11"/>
  <c r="J92" i="11"/>
  <c r="K92" i="11"/>
  <c r="L92" i="11"/>
  <c r="M92" i="11"/>
  <c r="J93" i="11"/>
  <c r="K93" i="11"/>
  <c r="L93" i="11"/>
  <c r="M93" i="11"/>
  <c r="J94" i="11"/>
  <c r="K94" i="11"/>
  <c r="L94" i="11"/>
  <c r="M94" i="11"/>
  <c r="J76" i="11"/>
  <c r="K76" i="11"/>
  <c r="L76" i="11"/>
  <c r="M76" i="11"/>
  <c r="J77" i="11"/>
  <c r="K77" i="11"/>
  <c r="L77" i="11"/>
  <c r="M77" i="11"/>
  <c r="J79" i="11"/>
  <c r="K79" i="11"/>
  <c r="L79" i="11"/>
  <c r="M79" i="11"/>
  <c r="J65" i="11"/>
  <c r="K65" i="11"/>
  <c r="L65" i="11"/>
  <c r="M65" i="11"/>
  <c r="J68" i="11"/>
  <c r="K68" i="11"/>
  <c r="L68" i="11"/>
  <c r="M68" i="11"/>
  <c r="I94" i="11"/>
  <c r="I93" i="11"/>
  <c r="I91" i="11"/>
  <c r="I98" i="11"/>
  <c r="I97" i="11"/>
  <c r="I79" i="11"/>
  <c r="I77" i="11"/>
  <c r="I76" i="11"/>
  <c r="I68" i="11"/>
  <c r="I65" i="11"/>
  <c r="I116" i="11"/>
  <c r="I92" i="11"/>
  <c r="I122" i="11"/>
  <c r="E32" i="11"/>
  <c r="F32" i="11"/>
  <c r="G32" i="11"/>
  <c r="H32" i="11"/>
  <c r="D32" i="11"/>
  <c r="J86" i="11"/>
  <c r="K86" i="11"/>
  <c r="L86" i="11"/>
  <c r="M86" i="11"/>
  <c r="I86" i="11"/>
  <c r="J84" i="11"/>
  <c r="K84" i="11"/>
  <c r="L84" i="11"/>
  <c r="M84" i="11"/>
  <c r="I84" i="11"/>
  <c r="H26" i="11"/>
  <c r="G25" i="11"/>
  <c r="F25" i="11"/>
  <c r="E25" i="11"/>
  <c r="D25" i="11"/>
  <c r="H25" i="11"/>
  <c r="G26" i="11"/>
  <c r="F26" i="11"/>
  <c r="I169" i="11"/>
  <c r="E172" i="11"/>
  <c r="F172" i="11"/>
  <c r="G172" i="11"/>
  <c r="H172" i="11"/>
  <c r="D172" i="11"/>
  <c r="E21" i="11"/>
  <c r="F21" i="11"/>
  <c r="G21" i="11"/>
  <c r="H21" i="11"/>
  <c r="D21" i="11"/>
  <c r="D19" i="11"/>
  <c r="J26" i="13"/>
  <c r="J27" i="11"/>
  <c r="K26" i="13"/>
  <c r="K27" i="11"/>
  <c r="L26" i="13"/>
  <c r="L27" i="11"/>
  <c r="M26" i="13"/>
  <c r="M27" i="11"/>
  <c r="I26" i="13"/>
  <c r="I27" i="11"/>
  <c r="M84" i="13"/>
  <c r="L84" i="13"/>
  <c r="K84" i="13"/>
  <c r="J84" i="13"/>
  <c r="I84" i="13"/>
  <c r="M83" i="13"/>
  <c r="L83" i="13"/>
  <c r="K83" i="13"/>
  <c r="J83" i="13"/>
  <c r="I83" i="13"/>
  <c r="M82" i="13"/>
  <c r="L82" i="13"/>
  <c r="K82" i="13"/>
  <c r="J82" i="13"/>
  <c r="I82" i="13"/>
  <c r="M81" i="13"/>
  <c r="L81" i="13"/>
  <c r="K81" i="13"/>
  <c r="J81" i="13"/>
  <c r="I81" i="13"/>
  <c r="J57" i="13"/>
  <c r="K57" i="13"/>
  <c r="L57" i="13"/>
  <c r="M57" i="13"/>
  <c r="J58" i="13"/>
  <c r="K58" i="13"/>
  <c r="L58" i="13"/>
  <c r="M58" i="13"/>
  <c r="J59" i="13"/>
  <c r="K59" i="13"/>
  <c r="L59" i="13"/>
  <c r="M59" i="13"/>
  <c r="J60" i="13"/>
  <c r="K60" i="13"/>
  <c r="L60" i="13"/>
  <c r="M60" i="13"/>
  <c r="I60" i="13"/>
  <c r="I59" i="13"/>
  <c r="I58" i="13"/>
  <c r="I57" i="13"/>
  <c r="E11" i="11"/>
  <c r="E9" i="11"/>
  <c r="D9" i="11"/>
  <c r="F9" i="11"/>
  <c r="G9" i="11"/>
  <c r="H9" i="11"/>
  <c r="D10" i="11"/>
  <c r="E10" i="11"/>
  <c r="F10" i="11"/>
  <c r="G10" i="11"/>
  <c r="H10" i="11"/>
  <c r="D11" i="11"/>
  <c r="F11" i="11"/>
  <c r="G11" i="11"/>
  <c r="H11" i="11"/>
  <c r="D8" i="11"/>
  <c r="H8" i="11"/>
  <c r="G8" i="11"/>
  <c r="F8" i="11"/>
  <c r="E8" i="11"/>
  <c r="M99" i="13"/>
  <c r="L99" i="13"/>
  <c r="K99" i="13"/>
  <c r="J99" i="13"/>
  <c r="I99" i="13"/>
  <c r="M98" i="13"/>
  <c r="L98" i="13"/>
  <c r="K98" i="13"/>
  <c r="J98" i="13"/>
  <c r="M97" i="13"/>
  <c r="L97" i="13"/>
  <c r="K97" i="13"/>
  <c r="J97" i="13"/>
  <c r="M96" i="13"/>
  <c r="L96" i="13"/>
  <c r="K96" i="13"/>
  <c r="J96" i="13"/>
  <c r="I93" i="13"/>
  <c r="J93" i="13"/>
  <c r="K93" i="13"/>
  <c r="L93" i="13"/>
  <c r="M93" i="13"/>
  <c r="I95" i="13"/>
  <c r="J95" i="13"/>
  <c r="K95" i="13"/>
  <c r="L95" i="13"/>
  <c r="M95" i="13"/>
  <c r="I69" i="13"/>
  <c r="J69" i="13"/>
  <c r="K69" i="13"/>
  <c r="L69" i="13"/>
  <c r="M69" i="13"/>
  <c r="I71" i="13"/>
  <c r="J71" i="13"/>
  <c r="K71" i="13"/>
  <c r="L71" i="13"/>
  <c r="M71" i="13"/>
  <c r="E2" i="13"/>
  <c r="F2" i="13"/>
  <c r="G2" i="13"/>
  <c r="H2" i="13"/>
  <c r="I2" i="13"/>
  <c r="J2" i="13"/>
  <c r="K2" i="13"/>
  <c r="L2" i="13"/>
  <c r="M2" i="13"/>
  <c r="D30" i="11"/>
  <c r="E170" i="11"/>
  <c r="F170" i="11"/>
  <c r="G170" i="11"/>
  <c r="H170" i="11"/>
  <c r="D170" i="11"/>
  <c r="E171" i="11"/>
  <c r="F171" i="11"/>
  <c r="G171" i="11"/>
  <c r="H171" i="11"/>
  <c r="D171" i="11"/>
  <c r="E169" i="11"/>
  <c r="F169" i="11"/>
  <c r="G169" i="11"/>
  <c r="H169" i="11"/>
  <c r="E163" i="11"/>
  <c r="F163" i="11"/>
  <c r="G163" i="11"/>
  <c r="H163" i="11"/>
  <c r="E164" i="11"/>
  <c r="F164" i="11"/>
  <c r="G164" i="11"/>
  <c r="H164" i="11"/>
  <c r="E165" i="11"/>
  <c r="F165" i="11"/>
  <c r="G165" i="11"/>
  <c r="H165" i="11"/>
  <c r="D165" i="11"/>
  <c r="D164" i="11"/>
  <c r="D163" i="11"/>
  <c r="E156" i="11"/>
  <c r="F156" i="11"/>
  <c r="G156" i="11"/>
  <c r="H156" i="11"/>
  <c r="E157" i="11"/>
  <c r="F157" i="11"/>
  <c r="G157" i="11"/>
  <c r="H157" i="11"/>
  <c r="E158" i="11"/>
  <c r="F158" i="11"/>
  <c r="G158" i="11"/>
  <c r="H158" i="11"/>
  <c r="D158" i="11"/>
  <c r="D157" i="11"/>
  <c r="D156" i="11"/>
  <c r="E30" i="11"/>
  <c r="F30" i="11"/>
  <c r="G30" i="11"/>
  <c r="H30" i="11"/>
  <c r="E31" i="11"/>
  <c r="F31" i="11"/>
  <c r="G31" i="11"/>
  <c r="H31" i="11"/>
  <c r="D31" i="11"/>
  <c r="E29" i="11"/>
  <c r="F29" i="11"/>
  <c r="G29" i="11"/>
  <c r="H29" i="11"/>
  <c r="D29" i="11"/>
  <c r="D28" i="11"/>
  <c r="E27" i="11"/>
  <c r="F27" i="11"/>
  <c r="G27" i="11"/>
  <c r="H27" i="11"/>
  <c r="D27" i="11"/>
  <c r="E26" i="11"/>
  <c r="D26" i="11"/>
  <c r="E28" i="11"/>
  <c r="F28" i="11"/>
  <c r="G28" i="11"/>
  <c r="H28" i="11"/>
  <c r="F39" i="11"/>
  <c r="G39" i="11"/>
  <c r="H39" i="11"/>
  <c r="E20" i="11"/>
  <c r="F20" i="11"/>
  <c r="G20" i="11"/>
  <c r="H20" i="11"/>
  <c r="D20" i="11"/>
  <c r="E132" i="11"/>
  <c r="E39" i="11"/>
  <c r="E54" i="11"/>
  <c r="E55" i="11"/>
  <c r="E58" i="11"/>
  <c r="E111" i="11"/>
  <c r="E124" i="11"/>
  <c r="E148" i="11"/>
  <c r="F132" i="11"/>
  <c r="F54" i="11"/>
  <c r="F55" i="11"/>
  <c r="F58" i="11"/>
  <c r="F111" i="11"/>
  <c r="F124" i="11"/>
  <c r="G132" i="11"/>
  <c r="G54" i="11"/>
  <c r="G55" i="11"/>
  <c r="G58" i="11"/>
  <c r="G111" i="11"/>
  <c r="G124" i="11"/>
  <c r="H132" i="11"/>
  <c r="H54" i="11"/>
  <c r="H55" i="11"/>
  <c r="H58" i="11"/>
  <c r="H111" i="11"/>
  <c r="H124" i="11"/>
  <c r="D145" i="11"/>
  <c r="D132" i="11"/>
  <c r="D39" i="11"/>
  <c r="D54" i="11"/>
  <c r="D55" i="11"/>
  <c r="D58" i="11"/>
  <c r="D111" i="11"/>
  <c r="D124" i="11"/>
  <c r="D147" i="11"/>
  <c r="E87" i="11"/>
  <c r="E95" i="11"/>
  <c r="E102" i="11"/>
  <c r="E103" i="11"/>
  <c r="F87" i="11"/>
  <c r="F95" i="11"/>
  <c r="F102" i="11"/>
  <c r="F103" i="11"/>
  <c r="G87" i="11"/>
  <c r="G95" i="11"/>
  <c r="G102" i="11"/>
  <c r="G103" i="11"/>
  <c r="H87" i="11"/>
  <c r="H102" i="11"/>
  <c r="D87" i="11"/>
  <c r="D95" i="11"/>
  <c r="D102" i="11"/>
  <c r="D103" i="11"/>
  <c r="E69" i="11"/>
  <c r="E80" i="11"/>
  <c r="F69" i="11"/>
  <c r="F80" i="11"/>
  <c r="G69" i="11"/>
  <c r="G80" i="11"/>
  <c r="H69" i="11"/>
  <c r="H80" i="11"/>
  <c r="D69" i="11"/>
  <c r="D80" i="11"/>
  <c r="F16" i="11"/>
  <c r="D14" i="11"/>
  <c r="E14" i="11"/>
  <c r="F14" i="11"/>
  <c r="G14" i="11"/>
  <c r="H14" i="11"/>
  <c r="D15" i="11"/>
  <c r="E15" i="11"/>
  <c r="F15" i="11"/>
  <c r="G15" i="11"/>
  <c r="H15" i="11"/>
  <c r="D16" i="11"/>
  <c r="E16" i="11"/>
  <c r="G16" i="11"/>
  <c r="H16" i="11"/>
  <c r="D17" i="11"/>
  <c r="E17" i="11"/>
  <c r="F17" i="11"/>
  <c r="G17" i="11"/>
  <c r="H17" i="11"/>
  <c r="D18" i="11"/>
  <c r="E18" i="11"/>
  <c r="F18" i="11"/>
  <c r="G18" i="11"/>
  <c r="H18" i="11"/>
  <c r="E19" i="11"/>
  <c r="F19" i="11"/>
  <c r="G19" i="11"/>
  <c r="H19" i="11"/>
  <c r="E13" i="11"/>
  <c r="F13" i="11"/>
  <c r="G13" i="11"/>
  <c r="H13" i="11"/>
  <c r="D13" i="11"/>
  <c r="D17" i="12"/>
  <c r="D15" i="12"/>
  <c r="D9" i="12"/>
  <c r="G140" i="12"/>
  <c r="G145" i="12"/>
  <c r="L152" i="12"/>
  <c r="I25" i="12"/>
  <c r="J25" i="12"/>
  <c r="K25" i="12"/>
  <c r="L25" i="12"/>
  <c r="M25" i="12"/>
  <c r="M26" i="12"/>
  <c r="M27" i="12"/>
  <c r="M29" i="12"/>
  <c r="M30" i="12"/>
  <c r="H98" i="12"/>
  <c r="I95" i="12"/>
  <c r="I96" i="12"/>
  <c r="I97" i="12"/>
  <c r="I98" i="12"/>
  <c r="J95" i="12"/>
  <c r="J96" i="12"/>
  <c r="J97" i="12"/>
  <c r="J98" i="12"/>
  <c r="K95" i="12"/>
  <c r="K96" i="12"/>
  <c r="K97" i="12"/>
  <c r="K98" i="12"/>
  <c r="L95" i="12"/>
  <c r="L96" i="12"/>
  <c r="L97" i="12"/>
  <c r="L98" i="12"/>
  <c r="M95" i="12"/>
  <c r="M97" i="12"/>
  <c r="M31" i="12"/>
  <c r="H103" i="12"/>
  <c r="I101" i="12"/>
  <c r="I102" i="12"/>
  <c r="I103" i="12"/>
  <c r="J101" i="12"/>
  <c r="J102" i="12"/>
  <c r="J103" i="12"/>
  <c r="K101" i="12"/>
  <c r="K102" i="12"/>
  <c r="K103" i="12"/>
  <c r="L101" i="12"/>
  <c r="L102" i="12"/>
  <c r="L103" i="12"/>
  <c r="M101" i="12"/>
  <c r="M102" i="12"/>
  <c r="M103" i="12"/>
  <c r="M104" i="12"/>
  <c r="M32" i="12"/>
  <c r="M33" i="12"/>
  <c r="M34" i="12"/>
  <c r="H126" i="12"/>
  <c r="H127" i="12"/>
  <c r="H128" i="12"/>
  <c r="M66" i="12"/>
  <c r="H129" i="12"/>
  <c r="M96" i="12"/>
  <c r="H131" i="12"/>
  <c r="M44" i="12"/>
  <c r="M88" i="12"/>
  <c r="M45" i="12"/>
  <c r="M89" i="12"/>
  <c r="M50" i="12"/>
  <c r="M90" i="12"/>
  <c r="M91" i="12"/>
  <c r="L44" i="12"/>
  <c r="L88" i="12"/>
  <c r="L26" i="12"/>
  <c r="L45" i="12"/>
  <c r="L89" i="12"/>
  <c r="L50" i="12"/>
  <c r="L90" i="12"/>
  <c r="L91" i="12"/>
  <c r="M92" i="12"/>
  <c r="H132" i="12"/>
  <c r="H133" i="12"/>
  <c r="C122" i="12"/>
  <c r="E123" i="12"/>
  <c r="F123" i="12"/>
  <c r="G123" i="12"/>
  <c r="G122" i="12"/>
  <c r="H123" i="12"/>
  <c r="H122" i="12"/>
  <c r="H124" i="12"/>
  <c r="H135" i="12"/>
  <c r="H137" i="12"/>
  <c r="H152" i="12"/>
  <c r="L27" i="12"/>
  <c r="L29" i="12"/>
  <c r="L30" i="12"/>
  <c r="L31" i="12"/>
  <c r="L104" i="12"/>
  <c r="L32" i="12"/>
  <c r="L33" i="12"/>
  <c r="L34" i="12"/>
  <c r="G126" i="12"/>
  <c r="G127" i="12"/>
  <c r="G128" i="12"/>
  <c r="L66" i="12"/>
  <c r="G129" i="12"/>
  <c r="G131" i="12"/>
  <c r="K44" i="12"/>
  <c r="K88" i="12"/>
  <c r="K26" i="12"/>
  <c r="K45" i="12"/>
  <c r="K89" i="12"/>
  <c r="K50" i="12"/>
  <c r="K90" i="12"/>
  <c r="K91" i="12"/>
  <c r="L92" i="12"/>
  <c r="G132" i="12"/>
  <c r="G133" i="12"/>
  <c r="F122" i="12"/>
  <c r="G124" i="12"/>
  <c r="G135" i="12"/>
  <c r="G137" i="12"/>
  <c r="G152" i="12"/>
  <c r="K27" i="12"/>
  <c r="K29" i="12"/>
  <c r="K30" i="12"/>
  <c r="K31" i="12"/>
  <c r="K104" i="12"/>
  <c r="K32" i="12"/>
  <c r="K33" i="12"/>
  <c r="K34" i="12"/>
  <c r="F126" i="12"/>
  <c r="F127" i="12"/>
  <c r="F128" i="12"/>
  <c r="K66" i="12"/>
  <c r="F129" i="12"/>
  <c r="F131" i="12"/>
  <c r="J44" i="12"/>
  <c r="J88" i="12"/>
  <c r="J26" i="12"/>
  <c r="J45" i="12"/>
  <c r="J89" i="12"/>
  <c r="J50" i="12"/>
  <c r="J90" i="12"/>
  <c r="J91" i="12"/>
  <c r="K92" i="12"/>
  <c r="F132" i="12"/>
  <c r="F133" i="12"/>
  <c r="E122" i="12"/>
  <c r="F124" i="12"/>
  <c r="F135" i="12"/>
  <c r="F137" i="12"/>
  <c r="F152" i="12"/>
  <c r="J27" i="12"/>
  <c r="J29" i="12"/>
  <c r="J30" i="12"/>
  <c r="J31" i="12"/>
  <c r="J104" i="12"/>
  <c r="J32" i="12"/>
  <c r="J33" i="12"/>
  <c r="J34" i="12"/>
  <c r="E126" i="12"/>
  <c r="E127" i="12"/>
  <c r="E128" i="12"/>
  <c r="J66" i="12"/>
  <c r="E129" i="12"/>
  <c r="E131" i="12"/>
  <c r="I44" i="12"/>
  <c r="I88" i="12"/>
  <c r="I26" i="12"/>
  <c r="I45" i="12"/>
  <c r="I89" i="12"/>
  <c r="I50" i="12"/>
  <c r="I90" i="12"/>
  <c r="I91" i="12"/>
  <c r="J92" i="12"/>
  <c r="E132" i="12"/>
  <c r="E133" i="12"/>
  <c r="D122" i="12"/>
  <c r="E124" i="12"/>
  <c r="E135" i="12"/>
  <c r="E137" i="12"/>
  <c r="E152" i="12"/>
  <c r="I27" i="12"/>
  <c r="I29" i="12"/>
  <c r="I30" i="12"/>
  <c r="I31" i="12"/>
  <c r="I104" i="12"/>
  <c r="I32" i="12"/>
  <c r="I33" i="12"/>
  <c r="I34" i="12"/>
  <c r="D126" i="12"/>
  <c r="D127" i="12"/>
  <c r="D128" i="12"/>
  <c r="I66" i="12"/>
  <c r="D129" i="12"/>
  <c r="D131" i="12"/>
  <c r="H91" i="12"/>
  <c r="I92" i="12"/>
  <c r="D132" i="12"/>
  <c r="D133" i="12"/>
  <c r="D124" i="12"/>
  <c r="D135" i="12"/>
  <c r="D137" i="12"/>
  <c r="D152" i="12"/>
  <c r="H151" i="12"/>
  <c r="G151" i="12"/>
  <c r="F151" i="12"/>
  <c r="E151" i="12"/>
  <c r="D151" i="12"/>
  <c r="C142" i="12"/>
  <c r="G141" i="12"/>
  <c r="C141" i="12"/>
  <c r="G142" i="12"/>
  <c r="G143" i="12"/>
  <c r="C137" i="12"/>
  <c r="I122" i="12"/>
  <c r="H130" i="12"/>
  <c r="M122" i="12"/>
  <c r="M123" i="12"/>
  <c r="M124" i="12"/>
  <c r="I133" i="12"/>
  <c r="I135" i="12"/>
  <c r="I137" i="12"/>
  <c r="K143" i="12"/>
  <c r="K140" i="12"/>
  <c r="G130" i="12"/>
  <c r="F130" i="12"/>
  <c r="E130" i="12"/>
  <c r="D130" i="12"/>
  <c r="D121" i="12"/>
  <c r="E121" i="12"/>
  <c r="F121" i="12"/>
  <c r="G121" i="12"/>
  <c r="H121" i="12"/>
  <c r="G103" i="12"/>
  <c r="F103" i="12"/>
  <c r="E103" i="12"/>
  <c r="D103" i="12"/>
  <c r="M98" i="12"/>
  <c r="G98" i="12"/>
  <c r="F98" i="12"/>
  <c r="E98" i="12"/>
  <c r="D98" i="12"/>
  <c r="G91" i="12"/>
  <c r="H92" i="12"/>
  <c r="F91" i="12"/>
  <c r="G92" i="12"/>
  <c r="E91" i="12"/>
  <c r="F92" i="12"/>
  <c r="D91" i="12"/>
  <c r="E92" i="12"/>
  <c r="D92" i="12"/>
  <c r="M36" i="12"/>
  <c r="M37" i="12"/>
  <c r="M65" i="12"/>
  <c r="M67" i="12"/>
  <c r="M68" i="12"/>
  <c r="M71" i="12"/>
  <c r="M72" i="12"/>
  <c r="M75" i="12"/>
  <c r="M76" i="12"/>
  <c r="M77" i="12"/>
  <c r="M79" i="12"/>
  <c r="L36" i="12"/>
  <c r="L37" i="12"/>
  <c r="L65" i="12"/>
  <c r="L67" i="12"/>
  <c r="L68" i="12"/>
  <c r="L71" i="12"/>
  <c r="L72" i="12"/>
  <c r="L75" i="12"/>
  <c r="L76" i="12"/>
  <c r="L77" i="12"/>
  <c r="L79" i="12"/>
  <c r="K36" i="12"/>
  <c r="K37" i="12"/>
  <c r="K65" i="12"/>
  <c r="K67" i="12"/>
  <c r="K68" i="12"/>
  <c r="K71" i="12"/>
  <c r="K72" i="12"/>
  <c r="K75" i="12"/>
  <c r="K76" i="12"/>
  <c r="K77" i="12"/>
  <c r="K79" i="12"/>
  <c r="J36" i="12"/>
  <c r="J37" i="12"/>
  <c r="J65" i="12"/>
  <c r="J67" i="12"/>
  <c r="J68" i="12"/>
  <c r="J71" i="12"/>
  <c r="J72" i="12"/>
  <c r="J75" i="12"/>
  <c r="J76" i="12"/>
  <c r="J77" i="12"/>
  <c r="J79" i="12"/>
  <c r="I36" i="12"/>
  <c r="I37" i="12"/>
  <c r="I65" i="12"/>
  <c r="I67" i="12"/>
  <c r="I68" i="12"/>
  <c r="I71" i="12"/>
  <c r="I72" i="12"/>
  <c r="I75" i="12"/>
  <c r="I76" i="12"/>
  <c r="I77" i="12"/>
  <c r="I79" i="12"/>
  <c r="H68" i="12"/>
  <c r="H72" i="12"/>
  <c r="H77" i="12"/>
  <c r="H79" i="12"/>
  <c r="H81" i="12"/>
  <c r="I80" i="12"/>
  <c r="I81" i="12"/>
  <c r="J80" i="12"/>
  <c r="J81" i="12"/>
  <c r="K80" i="12"/>
  <c r="K81" i="12"/>
  <c r="L80" i="12"/>
  <c r="L81" i="12"/>
  <c r="M80" i="12"/>
  <c r="M81" i="12"/>
  <c r="G68" i="12"/>
  <c r="G72" i="12"/>
  <c r="G77" i="12"/>
  <c r="G79" i="12"/>
  <c r="G81" i="12"/>
  <c r="F68" i="12"/>
  <c r="F72" i="12"/>
  <c r="F77" i="12"/>
  <c r="F79" i="12"/>
  <c r="F81" i="12"/>
  <c r="E68" i="12"/>
  <c r="E72" i="12"/>
  <c r="E77" i="12"/>
  <c r="E79" i="12"/>
  <c r="E81" i="12"/>
  <c r="D68" i="12"/>
  <c r="D72" i="12"/>
  <c r="D77" i="12"/>
  <c r="D79" i="12"/>
  <c r="D81" i="12"/>
  <c r="I54" i="12"/>
  <c r="J54" i="12"/>
  <c r="K54" i="12"/>
  <c r="L54" i="12"/>
  <c r="M54" i="12"/>
  <c r="I55" i="12"/>
  <c r="J55" i="12"/>
  <c r="K55" i="12"/>
  <c r="L55" i="12"/>
  <c r="M55" i="12"/>
  <c r="M56" i="12"/>
  <c r="M51" i="12"/>
  <c r="M52" i="12"/>
  <c r="M57" i="12"/>
  <c r="M43" i="12"/>
  <c r="M46" i="12"/>
  <c r="M47" i="12"/>
  <c r="M59" i="12"/>
  <c r="L56" i="12"/>
  <c r="L51" i="12"/>
  <c r="L52" i="12"/>
  <c r="L57" i="12"/>
  <c r="L43" i="12"/>
  <c r="L46" i="12"/>
  <c r="L47" i="12"/>
  <c r="L59" i="12"/>
  <c r="K56" i="12"/>
  <c r="K51" i="12"/>
  <c r="K52" i="12"/>
  <c r="K57" i="12"/>
  <c r="K43" i="12"/>
  <c r="K46" i="12"/>
  <c r="K47" i="12"/>
  <c r="K59" i="12"/>
  <c r="J56" i="12"/>
  <c r="J51" i="12"/>
  <c r="J52" i="12"/>
  <c r="J57" i="12"/>
  <c r="J43" i="12"/>
  <c r="J46" i="12"/>
  <c r="J47" i="12"/>
  <c r="J59" i="12"/>
  <c r="I56" i="12"/>
  <c r="I51" i="12"/>
  <c r="I52" i="12"/>
  <c r="I57" i="12"/>
  <c r="I43" i="12"/>
  <c r="I46" i="12"/>
  <c r="I47" i="12"/>
  <c r="I59" i="12"/>
  <c r="H52" i="12"/>
  <c r="H56" i="12"/>
  <c r="H57" i="12"/>
  <c r="H47" i="12"/>
  <c r="H59" i="12"/>
  <c r="G52" i="12"/>
  <c r="G56" i="12"/>
  <c r="G57" i="12"/>
  <c r="G47" i="12"/>
  <c r="G59" i="12"/>
  <c r="F52" i="12"/>
  <c r="F56" i="12"/>
  <c r="F57" i="12"/>
  <c r="F47" i="12"/>
  <c r="F59" i="12"/>
  <c r="E52" i="12"/>
  <c r="E56" i="12"/>
  <c r="E57" i="12"/>
  <c r="E47" i="12"/>
  <c r="E59" i="12"/>
  <c r="D52" i="12"/>
  <c r="D56" i="12"/>
  <c r="D57" i="12"/>
  <c r="D47" i="12"/>
  <c r="D59" i="12"/>
  <c r="H27" i="12"/>
  <c r="H33" i="12"/>
  <c r="H34" i="12"/>
  <c r="H37" i="12"/>
  <c r="G27" i="12"/>
  <c r="G33" i="12"/>
  <c r="G34" i="12"/>
  <c r="G37" i="12"/>
  <c r="F27" i="12"/>
  <c r="F33" i="12"/>
  <c r="F34" i="12"/>
  <c r="F37" i="12"/>
  <c r="E27" i="12"/>
  <c r="E33" i="12"/>
  <c r="E34" i="12"/>
  <c r="E37" i="12"/>
  <c r="D27" i="12"/>
  <c r="D33" i="12"/>
  <c r="D34" i="12"/>
  <c r="D37" i="12"/>
  <c r="H20" i="12"/>
  <c r="G20" i="12"/>
  <c r="F20" i="12"/>
  <c r="E20" i="12"/>
  <c r="D20" i="12"/>
  <c r="H19" i="12"/>
  <c r="G19" i="12"/>
  <c r="F19" i="12"/>
  <c r="E19" i="12"/>
  <c r="D19" i="12"/>
  <c r="H18" i="12"/>
  <c r="G18" i="12"/>
  <c r="F18" i="12"/>
  <c r="E18" i="12"/>
  <c r="D18" i="12"/>
  <c r="H17" i="12"/>
  <c r="G17" i="12"/>
  <c r="F17" i="12"/>
  <c r="E17" i="12"/>
  <c r="H16" i="12"/>
  <c r="G16" i="12"/>
  <c r="F16" i="12"/>
  <c r="E16" i="12"/>
  <c r="D16" i="12"/>
  <c r="H15" i="12"/>
  <c r="G15" i="12"/>
  <c r="F15" i="12"/>
  <c r="E15" i="12"/>
  <c r="H14" i="12"/>
  <c r="G14" i="12"/>
  <c r="F14" i="12"/>
  <c r="E14" i="12"/>
  <c r="D14" i="12"/>
  <c r="H13" i="12"/>
  <c r="G13" i="12"/>
  <c r="F13" i="12"/>
  <c r="E13" i="12"/>
  <c r="D13" i="12"/>
  <c r="H12" i="12"/>
  <c r="G12" i="12"/>
  <c r="F12" i="12"/>
  <c r="E12" i="12"/>
  <c r="D12" i="12"/>
  <c r="H11" i="12"/>
  <c r="G11" i="12"/>
  <c r="F11" i="12"/>
  <c r="E11" i="12"/>
  <c r="D11" i="12"/>
  <c r="H10" i="12"/>
  <c r="G10" i="12"/>
  <c r="F10" i="12"/>
  <c r="E10" i="12"/>
  <c r="D10" i="12"/>
  <c r="H9" i="12"/>
  <c r="G9" i="12"/>
  <c r="F9" i="12"/>
  <c r="E9" i="12"/>
  <c r="H8" i="12"/>
  <c r="G8" i="12"/>
  <c r="F8" i="12"/>
  <c r="E8" i="12"/>
  <c r="D8" i="12"/>
  <c r="M3" i="12"/>
  <c r="L3" i="12"/>
  <c r="K3" i="12"/>
  <c r="J3" i="12"/>
  <c r="I3" i="12"/>
  <c r="H3" i="12"/>
  <c r="G3" i="12"/>
  <c r="F3" i="12"/>
  <c r="E3" i="12"/>
  <c r="D3" i="12"/>
  <c r="E2" i="12"/>
  <c r="F2" i="12"/>
  <c r="G2" i="12"/>
  <c r="H2" i="12"/>
  <c r="I2" i="12"/>
  <c r="J2" i="12"/>
  <c r="K2" i="12"/>
  <c r="L2" i="12"/>
  <c r="M2" i="12"/>
  <c r="D22" i="11"/>
  <c r="E12" i="11"/>
  <c r="D12" i="11"/>
  <c r="H166" i="11"/>
  <c r="G6" i="4"/>
  <c r="I6" i="4"/>
  <c r="G7" i="4"/>
  <c r="I7" i="4"/>
  <c r="G8" i="4"/>
  <c r="I8" i="4"/>
  <c r="G14" i="4"/>
  <c r="I14" i="4"/>
  <c r="G15" i="4"/>
  <c r="I15" i="4"/>
  <c r="G16" i="4"/>
  <c r="I16" i="4"/>
  <c r="E2" i="11"/>
  <c r="F2" i="11"/>
  <c r="G2" i="11"/>
  <c r="H2" i="11"/>
  <c r="I2" i="11"/>
  <c r="J2" i="11"/>
  <c r="K2" i="11"/>
  <c r="L2" i="11"/>
  <c r="M2" i="11"/>
  <c r="F12" i="11"/>
  <c r="G12" i="11"/>
  <c r="H12" i="11"/>
  <c r="E22" i="11"/>
  <c r="E105" i="11"/>
  <c r="E3" i="11"/>
  <c r="D159" i="11"/>
  <c r="E159" i="11"/>
  <c r="F159" i="11"/>
  <c r="F160" i="11"/>
  <c r="G159" i="11"/>
  <c r="H159" i="11"/>
  <c r="H160" i="11"/>
  <c r="D166" i="11"/>
  <c r="E166" i="11"/>
  <c r="F166" i="11"/>
  <c r="G166" i="11"/>
  <c r="D189" i="11"/>
  <c r="E189" i="11"/>
  <c r="F189" i="11"/>
  <c r="G189" i="11"/>
  <c r="H189" i="11"/>
  <c r="E191" i="11"/>
  <c r="F191" i="11"/>
  <c r="G191" i="11"/>
  <c r="G208" i="11"/>
  <c r="K208" i="11"/>
  <c r="G210" i="11"/>
  <c r="G209" i="11"/>
  <c r="C205" i="11"/>
  <c r="G213" i="11"/>
  <c r="L220" i="11"/>
  <c r="K6" i="1"/>
  <c r="L6" i="1"/>
  <c r="M6" i="1"/>
  <c r="K7" i="1"/>
  <c r="L7" i="1"/>
  <c r="M7" i="1"/>
  <c r="K8" i="1"/>
  <c r="L8" i="1"/>
  <c r="M8" i="1"/>
  <c r="K9" i="1"/>
  <c r="L9" i="1"/>
  <c r="M9" i="1"/>
  <c r="K10" i="1"/>
  <c r="L10" i="1"/>
  <c r="M10" i="1"/>
  <c r="K11" i="1"/>
  <c r="L11" i="1"/>
  <c r="M11" i="1"/>
  <c r="E8" i="5"/>
  <c r="O8" i="5"/>
  <c r="E9" i="5"/>
  <c r="O9" i="5"/>
  <c r="E10" i="5"/>
  <c r="O10" i="5"/>
  <c r="G10" i="5"/>
  <c r="M10" i="5"/>
  <c r="E11" i="5"/>
  <c r="G11" i="5"/>
  <c r="O11" i="5"/>
  <c r="E12" i="5"/>
  <c r="O12" i="5"/>
  <c r="G12" i="5"/>
  <c r="M12" i="5"/>
  <c r="L14" i="1"/>
  <c r="D219" i="11"/>
  <c r="F105" i="11"/>
  <c r="F3" i="11"/>
  <c r="H105" i="11"/>
  <c r="H3" i="11"/>
  <c r="G8" i="5"/>
  <c r="G105" i="11"/>
  <c r="G3" i="11"/>
  <c r="K14" i="1"/>
  <c r="E160" i="11"/>
  <c r="M13" i="1"/>
  <c r="D16" i="4"/>
  <c r="F16" i="4"/>
  <c r="H16" i="4"/>
  <c r="J16" i="4"/>
  <c r="F190" i="11"/>
  <c r="L13" i="1"/>
  <c r="D15" i="4"/>
  <c r="F15" i="4"/>
  <c r="H15" i="4"/>
  <c r="J15" i="4"/>
  <c r="E190" i="11"/>
  <c r="D105" i="11"/>
  <c r="D3" i="11"/>
  <c r="N12" i="5"/>
  <c r="G9" i="5"/>
  <c r="H191" i="11"/>
  <c r="H190" i="11"/>
  <c r="G190" i="11"/>
  <c r="G22" i="11"/>
  <c r="G192" i="11"/>
  <c r="N11" i="5"/>
  <c r="M11" i="5"/>
  <c r="O15" i="5"/>
  <c r="O14" i="5"/>
  <c r="D8" i="4"/>
  <c r="H8" i="4"/>
  <c r="H22" i="11"/>
  <c r="K13" i="1"/>
  <c r="D14" i="4"/>
  <c r="F14" i="4"/>
  <c r="H14" i="4"/>
  <c r="J14" i="4"/>
  <c r="M14" i="1"/>
  <c r="G160" i="11"/>
  <c r="N10" i="5"/>
  <c r="F219" i="11"/>
  <c r="N9" i="5"/>
  <c r="M9" i="5"/>
  <c r="M8" i="5"/>
  <c r="M14" i="5"/>
  <c r="D6" i="4"/>
  <c r="F6" i="4"/>
  <c r="H6" i="4"/>
  <c r="J6" i="4"/>
  <c r="N8" i="5"/>
  <c r="N15" i="5"/>
  <c r="F22" i="11"/>
  <c r="E219" i="11"/>
  <c r="F192" i="11"/>
  <c r="E192" i="11"/>
  <c r="M15" i="5"/>
  <c r="J19" i="4"/>
  <c r="J18" i="4"/>
  <c r="H192" i="11"/>
  <c r="G219" i="11"/>
  <c r="J8" i="4"/>
  <c r="F8" i="4"/>
  <c r="H219" i="11"/>
  <c r="I190" i="11"/>
  <c r="N14" i="5"/>
  <c r="D7" i="4"/>
  <c r="F7" i="4"/>
  <c r="H7" i="4"/>
  <c r="J7" i="4"/>
  <c r="J10" i="4"/>
  <c r="N16" i="4"/>
  <c r="O16" i="4"/>
  <c r="P16" i="4"/>
  <c r="Q16" i="4"/>
  <c r="N15" i="4"/>
  <c r="O15" i="4"/>
  <c r="J11" i="4"/>
  <c r="Q15" i="4"/>
  <c r="P15" i="4"/>
  <c r="E198" i="11"/>
  <c r="E205" i="11"/>
  <c r="J3" i="11"/>
  <c r="E220" i="11"/>
  <c r="F198" i="11"/>
  <c r="F205" i="11"/>
  <c r="K3" i="11"/>
  <c r="F220" i="11"/>
  <c r="G198" i="11"/>
  <c r="G205" i="11"/>
  <c r="G220" i="11"/>
  <c r="L3" i="11"/>
  <c r="M3" i="11"/>
  <c r="I205" i="11"/>
  <c r="H205" i="11"/>
  <c r="H220" i="11"/>
  <c r="C140" i="12"/>
  <c r="C143" i="12"/>
  <c r="C145" i="12"/>
  <c r="K141" i="12"/>
  <c r="K142" i="12"/>
  <c r="L154" i="12"/>
  <c r="L153" i="12"/>
  <c r="I3" i="11"/>
  <c r="D205" i="11"/>
  <c r="D220" i="11"/>
  <c r="C211" i="11"/>
  <c r="C213" i="11"/>
  <c r="L222" i="11"/>
  <c r="L221" i="11"/>
  <c r="K209" i="11"/>
  <c r="K210" i="11"/>
  <c r="K211" i="11"/>
  <c r="I52" i="14"/>
  <c r="C208" i="17"/>
  <c r="C211" i="17"/>
  <c r="C213" i="17"/>
  <c r="K209" i="17"/>
  <c r="K210" i="17"/>
  <c r="L222" i="17"/>
  <c r="L221" i="17"/>
</calcChain>
</file>

<file path=xl/comments1.xml><?xml version="1.0" encoding="utf-8"?>
<comments xmlns="http://schemas.openxmlformats.org/spreadsheetml/2006/main">
  <authors>
    <author>Author</author>
  </authors>
  <commentList>
    <comment ref="C190"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comments2.xml><?xml version="1.0" encoding="utf-8"?>
<comments xmlns="http://schemas.openxmlformats.org/spreadsheetml/2006/main">
  <authors>
    <author>Author</author>
  </authors>
  <commentList>
    <comment ref="C190"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comments3.xml><?xml version="1.0" encoding="utf-8"?>
<comments xmlns="http://schemas.openxmlformats.org/spreadsheetml/2006/main">
  <authors>
    <author>Author</author>
  </authors>
  <commentList>
    <comment ref="C122" authorId="0">
      <text>
        <r>
          <rPr>
            <b/>
            <sz val="9"/>
            <color indexed="81"/>
            <rFont val="Tahoma"/>
            <family val="2"/>
          </rPr>
          <t>CFI:</t>
        </r>
        <r>
          <rPr>
            <sz val="9"/>
            <color indexed="81"/>
            <rFont val="Tahoma"/>
            <family val="2"/>
          </rPr>
          <t xml:space="preserve">
The transaction date should be between the end date of last available historical results (12/31/2017) and the end of first forecast year (12/31/2018)</t>
        </r>
      </text>
    </comment>
  </commentList>
</comments>
</file>

<file path=xl/sharedStrings.xml><?xml version="1.0" encoding="utf-8"?>
<sst xmlns="http://schemas.openxmlformats.org/spreadsheetml/2006/main" count="1348" uniqueCount="474">
  <si>
    <t>Company Name</t>
  </si>
  <si>
    <t>Date</t>
  </si>
  <si>
    <t>Target</t>
  </si>
  <si>
    <t>Buyers</t>
  </si>
  <si>
    <t>Valuation</t>
  </si>
  <si>
    <t>EV/Sales</t>
  </si>
  <si>
    <t>EV/EBITDA</t>
  </si>
  <si>
    <t>EV/EBIT</t>
  </si>
  <si>
    <t>Average</t>
  </si>
  <si>
    <t>Median</t>
  </si>
  <si>
    <t>52 wk hi/lo</t>
  </si>
  <si>
    <t>DCF - blue sky</t>
  </si>
  <si>
    <t>DCF - base case</t>
  </si>
  <si>
    <t>Precedents</t>
  </si>
  <si>
    <t>Comps</t>
  </si>
  <si>
    <t>Market Data</t>
  </si>
  <si>
    <t>Financial Data (FY+1)</t>
  </si>
  <si>
    <t>Valuation (FY+1)</t>
  </si>
  <si>
    <t>Price</t>
  </si>
  <si>
    <t>Shares</t>
  </si>
  <si>
    <t>Market Cap</t>
  </si>
  <si>
    <t>Net Debt</t>
  </si>
  <si>
    <t>EV</t>
  </si>
  <si>
    <t>Sales</t>
  </si>
  <si>
    <t>EBITDA</t>
  </si>
  <si>
    <t>EBIT</t>
  </si>
  <si>
    <t>Earnings</t>
  </si>
  <si>
    <t>P/E</t>
  </si>
  <si>
    <t>($/share)</t>
  </si>
  <si>
    <t>(M)</t>
  </si>
  <si>
    <t>($M)</t>
  </si>
  <si>
    <t>x</t>
  </si>
  <si>
    <t>Transaction</t>
  </si>
  <si>
    <t>Value ($M)</t>
  </si>
  <si>
    <t>Bohemeth Industires</t>
  </si>
  <si>
    <t>Micro Partners</t>
  </si>
  <si>
    <t>Junior Enterprises</t>
  </si>
  <si>
    <t>Minature Company</t>
  </si>
  <si>
    <t>Average Limited</t>
  </si>
  <si>
    <t>Other Group</t>
  </si>
  <si>
    <t>Current Ltd</t>
  </si>
  <si>
    <t>Recent Inc</t>
  </si>
  <si>
    <t>Past Co</t>
  </si>
  <si>
    <t>Historical LLP</t>
  </si>
  <si>
    <t>Old Group</t>
  </si>
  <si>
    <t>Dated Enterprises</t>
  </si>
  <si>
    <t>Current Price</t>
  </si>
  <si>
    <t>Equity Value</t>
  </si>
  <si>
    <t>Revenue</t>
  </si>
  <si>
    <t>Lo</t>
  </si>
  <si>
    <t>Hi</t>
  </si>
  <si>
    <t>EV/Revenue</t>
  </si>
  <si>
    <t>Share Price</t>
  </si>
  <si>
    <t>Shares Outstanding (000)</t>
  </si>
  <si>
    <t>Debt ($000)</t>
  </si>
  <si>
    <t>Cash ($000)</t>
  </si>
  <si>
    <t>Metric</t>
  </si>
  <si>
    <t>Football Field Data</t>
  </si>
  <si>
    <t>Valuation Summary</t>
  </si>
  <si>
    <t>Financial Data ($M)</t>
  </si>
  <si>
    <t>© Corporate Finance Institute. All rights reserved.</t>
  </si>
  <si>
    <t>Historical Results</t>
  </si>
  <si>
    <t xml:space="preserve"> Forecast Period</t>
  </si>
  <si>
    <t>FINANCIAL STATEMENTS</t>
  </si>
  <si>
    <t>Balance Sheet Check</t>
  </si>
  <si>
    <t>LIVE SCENARIO</t>
  </si>
  <si>
    <t>Assumptions</t>
  </si>
  <si>
    <t>Revenue Growth (% Change)</t>
  </si>
  <si>
    <t>Cost of Goods Sold (% of Revenue)</t>
  </si>
  <si>
    <t>Salaries and Benefits (% of Revenue)</t>
  </si>
  <si>
    <t>Rent and Overhead ($000's)</t>
  </si>
  <si>
    <t>Depreciation &amp; Amortization (% of PP&amp;E)</t>
  </si>
  <si>
    <t>Interest (% of Debt)</t>
  </si>
  <si>
    <t>Tax Rate (% of Earnings Before Tax)</t>
  </si>
  <si>
    <t>Accounts Receivable (Days)</t>
  </si>
  <si>
    <t>Inventory (Days)</t>
  </si>
  <si>
    <t>Accounts Payable (Days)</t>
  </si>
  <si>
    <t>Capital Expenditures ($000's)</t>
  </si>
  <si>
    <t>Debt Issuance (Repayment) ($000's)</t>
  </si>
  <si>
    <t>Equity Issued (Repaid) ($000's)</t>
  </si>
  <si>
    <t>Income Statement</t>
  </si>
  <si>
    <t>Reveneue</t>
  </si>
  <si>
    <t>Cost of Goods Sold (COGS)</t>
  </si>
  <si>
    <t>Gross Profit</t>
  </si>
  <si>
    <t>Expenses</t>
  </si>
  <si>
    <t>Salaries and Benefits</t>
  </si>
  <si>
    <t>Rent and Overhead</t>
  </si>
  <si>
    <t>Depreciation &amp; Amortization</t>
  </si>
  <si>
    <t>Interest</t>
  </si>
  <si>
    <t>Total Expenses</t>
  </si>
  <si>
    <t>Earnings Before Tax</t>
  </si>
  <si>
    <t>Taxes</t>
  </si>
  <si>
    <t>Net Earnings</t>
  </si>
  <si>
    <t>Balance Sheet</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</si>
  <si>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</si>
  <si>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</si>
  <si>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</si>
  <si>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</si>
  <si>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</si>
  <si>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</si>
  <si>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</si>
  <si>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</si>
  <si>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</si>
  <si>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</si>
  <si>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</si>
  <si>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</si>
  <si>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</si>
  <si>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</si>
  <si>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</si>
  <si>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Cash Flow Statement</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</si>
  <si>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</si>
  <si>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</si>
  <si>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</si>
  <si>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</si>
  <si>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</si>
  <si>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</si>
  <si>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</si>
  <si>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</si>
  <si>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</si>
  <si>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</si>
  <si>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</si>
  <si>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</si>
  <si>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</si>
  <si>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</si>
  <si>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Supporting Schedules</t>
  </si>
  <si>
    <t>Working Capital Schedule</t>
  </si>
  <si>
    <t>Net Working Capital (NWC)</t>
  </si>
  <si>
    <t>Change in NWC</t>
  </si>
  <si>
    <t>Depreciation Schedule</t>
  </si>
  <si>
    <t>PPE Opening</t>
  </si>
  <si>
    <t>Plus Capex</t>
  </si>
  <si>
    <t>Less Depreciation</t>
  </si>
  <si>
    <t>PPE Closing</t>
  </si>
  <si>
    <t>Debt &amp; Interest Schedule</t>
  </si>
  <si>
    <t>Debt Opening</t>
  </si>
  <si>
    <t>Issuance (repayment)</t>
  </si>
  <si>
    <t>Debt Closing</t>
  </si>
  <si>
    <t>Interest Expense</t>
  </si>
  <si>
    <t>DCF Model</t>
  </si>
  <si>
    <t>Tax Rate</t>
  </si>
  <si>
    <t>Discount Rate</t>
  </si>
  <si>
    <t>Perpetural Growth Rate</t>
  </si>
  <si>
    <t>EV/EBITDA Mulltiple</t>
  </si>
  <si>
    <t>Transaction Date</t>
  </si>
  <si>
    <t>Shares Outstanding</t>
  </si>
  <si>
    <t>Key Assumptions - Valuation Co. Inc.</t>
  </si>
  <si>
    <t>Valuation Model</t>
  </si>
  <si>
    <t>DCF</t>
  </si>
  <si>
    <t>This Excel model is for educational purposes only and should not be used for any other reason.</t>
  </si>
  <si>
    <t>All content is Copyright material of CFI Education Inc.</t>
  </si>
  <si>
    <t>https://corporatefinanceinstitute.com/</t>
  </si>
  <si>
    <t>Notes</t>
  </si>
  <si>
    <t>lo (bar)</t>
  </si>
  <si>
    <t>lo  (label)</t>
  </si>
  <si>
    <t>hi (bar)</t>
  </si>
  <si>
    <t>hi (label)</t>
  </si>
  <si>
    <t>Fiscal Year End</t>
  </si>
  <si>
    <t>Charts and Graphs</t>
  </si>
  <si>
    <t>Summary - Football Field</t>
  </si>
  <si>
    <t>Discounted Cash Flow</t>
  </si>
  <si>
    <t>Entry</t>
  </si>
  <si>
    <t>Exit</t>
  </si>
  <si>
    <t>Terminal Value</t>
  </si>
  <si>
    <t>Less: Cash Taxes</t>
  </si>
  <si>
    <t>NOPAT</t>
  </si>
  <si>
    <t>Plus: D&amp;A</t>
  </si>
  <si>
    <t>Less: Capex</t>
  </si>
  <si>
    <t>Less: Changes in NWC</t>
  </si>
  <si>
    <t>Transaction FCFF</t>
  </si>
  <si>
    <t>IRR FCFF</t>
  </si>
  <si>
    <t>Intrinsic Value</t>
  </si>
  <si>
    <t>Market Value</t>
  </si>
  <si>
    <t>Rate of Return</t>
  </si>
  <si>
    <t>Enterprise Value</t>
  </si>
  <si>
    <t>Plus: Cash</t>
  </si>
  <si>
    <t>Plus: Debt</t>
  </si>
  <si>
    <t>Target Price</t>
  </si>
  <si>
    <t>Less: Debt</t>
  </si>
  <si>
    <t>Less: Cash</t>
  </si>
  <si>
    <t>IRR</t>
  </si>
  <si>
    <t>Equity Value/Share</t>
  </si>
  <si>
    <t>Market Value vs Intrinsic Value</t>
  </si>
  <si>
    <t>FCFF</t>
  </si>
  <si>
    <t>Upside</t>
  </si>
  <si>
    <t>Time periods</t>
  </si>
  <si>
    <t>Perp. Growth</t>
  </si>
  <si>
    <t>Year frac.</t>
  </si>
  <si>
    <t>Unlevered FCFF</t>
  </si>
  <si>
    <t>TP Upside</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</si>
  <si>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</si>
  <si>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</si>
  <si>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</si>
  <si>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</si>
  <si>
    <t>Table of Contents</t>
  </si>
  <si>
    <t>Strictly Confidential</t>
  </si>
  <si>
    <t xml:space="preserve">© Corporate Finance Institute. All rights reserved.  </t>
  </si>
  <si>
    <t>Comps Table</t>
  </si>
  <si>
    <t>Precedent M&amp;A Transaction</t>
  </si>
  <si>
    <t>Valuation Summary - Football Field</t>
  </si>
  <si>
    <t xml:space="preserve">  Freight</t>
  </si>
  <si>
    <t xml:space="preserve">  Passenger</t>
  </si>
  <si>
    <t xml:space="preserve">  Special Revenue Adjustment</t>
  </si>
  <si>
    <t>-</t>
  </si>
  <si>
    <t xml:space="preserve">  Others</t>
  </si>
  <si>
    <t xml:space="preserve">  Salaries, Wages &amp; Benefits</t>
  </si>
  <si>
    <t xml:space="preserve">  Maintenance, Materials and Repairs</t>
  </si>
  <si>
    <t xml:space="preserve">  Fuel &amp; Oil</t>
  </si>
  <si>
    <t xml:space="preserve">  Landing Fees and Other Rentals</t>
  </si>
  <si>
    <t xml:space="preserve">  Landing Fees and Airport Rentals</t>
  </si>
  <si>
    <t xml:space="preserve">  Aircraft Rentals</t>
  </si>
  <si>
    <t xml:space="preserve">  Other Operating Expenses</t>
  </si>
  <si>
    <t xml:space="preserve">  Depreciation and Amortization</t>
  </si>
  <si>
    <t xml:space="preserve">  Interest Expense</t>
  </si>
  <si>
    <t xml:space="preserve">  Capitalized Interest</t>
  </si>
  <si>
    <t xml:space="preserve">  Interest Income</t>
  </si>
  <si>
    <t xml:space="preserve">  Other Gain/(Loss), Net</t>
  </si>
  <si>
    <t xml:space="preserve">  Acquisition Integration</t>
  </si>
  <si>
    <t>Maintenance, Materials and Repairs</t>
  </si>
  <si>
    <t>Fuel &amp; Oil</t>
  </si>
  <si>
    <t>Landing Fees and Other Rentals</t>
  </si>
  <si>
    <t>Landing Fees and Airport Rentals</t>
  </si>
  <si>
    <t>Aircraft Rentals</t>
  </si>
  <si>
    <t>Other Operating Expenses</t>
  </si>
  <si>
    <t xml:space="preserve">  Cash and Cash Equivalents</t>
  </si>
  <si>
    <t xml:space="preserve">  Short-term Investments</t>
  </si>
  <si>
    <t xml:space="preserve">  Accounts and Other Receivables</t>
  </si>
  <si>
    <t xml:space="preserve">  Inventories of Parts and Supplies, At Cost</t>
  </si>
  <si>
    <t xml:space="preserve">  Prepaid Expenses and Other Current Assets</t>
  </si>
  <si>
    <t>Total Current Assets</t>
  </si>
  <si>
    <t>Noncurrent Assets</t>
  </si>
  <si>
    <t xml:space="preserve">  Ground Property and Equipment</t>
  </si>
  <si>
    <t xml:space="preserve">  Accumulated Depreciation</t>
  </si>
  <si>
    <t xml:space="preserve">  Flight Equipment</t>
  </si>
  <si>
    <t xml:space="preserve">  Less Allowance for Depreciation</t>
  </si>
  <si>
    <t xml:space="preserve">  Assets Constructed for Others</t>
  </si>
  <si>
    <t xml:space="preserve">  Goodwill</t>
  </si>
  <si>
    <t xml:space="preserve">  Other Assets</t>
  </si>
  <si>
    <t xml:space="preserve">  Deposits on Flight Equipment Purchase Contracts</t>
  </si>
  <si>
    <t>Current Liabilities</t>
  </si>
  <si>
    <t>Total Current Liabilities</t>
  </si>
  <si>
    <t xml:space="preserve">  Accounts Payable</t>
  </si>
  <si>
    <t xml:space="preserve">  Accrued Liabilities</t>
  </si>
  <si>
    <t xml:space="preserve">  Current Maturities of Long-term Debt</t>
  </si>
  <si>
    <t xml:space="preserve">  Air Traffic Liability</t>
  </si>
  <si>
    <t>Noncurrent Liabilities</t>
  </si>
  <si>
    <t xml:space="preserve">  Long-term Debt-less Current Maturities</t>
  </si>
  <si>
    <t xml:space="preserve">  Air Traffic Liability - Loyalty Noncurrent</t>
  </si>
  <si>
    <t xml:space="preserve">  Deferred Income Taxes</t>
  </si>
  <si>
    <t xml:space="preserve">  Other Non-current Liabilities</t>
  </si>
  <si>
    <t xml:space="preserve">  Construction Obligations</t>
  </si>
  <si>
    <t xml:space="preserve">  Common Stock - Par Value</t>
  </si>
  <si>
    <t xml:space="preserve">  Additional Paid in Capital</t>
  </si>
  <si>
    <t xml:space="preserve">  Treasury Stock - Common</t>
  </si>
  <si>
    <t xml:space="preserve">  Retained Earnings</t>
  </si>
  <si>
    <t xml:space="preserve">  Accumulated Other Comprehensive Income (Loss)</t>
  </si>
  <si>
    <t>Total Shareholder's Equity</t>
  </si>
  <si>
    <t xml:space="preserve">  Loss on Asset Impairments</t>
  </si>
  <si>
    <t xml:space="preserve">  Other Net</t>
  </si>
  <si>
    <t xml:space="preserve">  Unrealized Gain/(Loss) on Derivatives</t>
  </si>
  <si>
    <t xml:space="preserve">  Unrealized/realized Gain/loss on Fuel Derivative Instruments</t>
  </si>
  <si>
    <t xml:space="preserve">  Aircraft Grounding Charge</t>
  </si>
  <si>
    <t xml:space="preserve">  Change in Accounts and Other Receivables</t>
  </si>
  <si>
    <t xml:space="preserve">  Accounts Payable and Accrued Liabilities</t>
  </si>
  <si>
    <t xml:space="preserve">  Changes in AIR Traffic Liability</t>
  </si>
  <si>
    <t xml:space="preserve">  Cash Collateral Received from (provided To) Derivative Counterparties</t>
  </si>
  <si>
    <t xml:space="preserve">  Capital Expenditures</t>
  </si>
  <si>
    <t xml:space="preserve">  Purchases of Short-term Investment</t>
  </si>
  <si>
    <t xml:space="preserve">  Proceeds from Sale of Short-term and Other Investments</t>
  </si>
  <si>
    <t xml:space="preserve">  Payments of Long-term Debt and Capital Lease Obligations</t>
  </si>
  <si>
    <t xml:space="preserve">  Proceeds from Issuance of Long-term Debt</t>
  </si>
  <si>
    <t xml:space="preserve">  Payments of Convertible Debt</t>
  </si>
  <si>
    <t xml:space="preserve">  Proceeds from Employee Stock Plans</t>
  </si>
  <si>
    <t xml:space="preserve">  Purchase of Treasury Stock</t>
  </si>
  <si>
    <t xml:space="preserve">  Payment of Cash Dividend</t>
  </si>
  <si>
    <t xml:space="preserve">  Proceeds from Termination of Interest Rate Derivative Instrument</t>
  </si>
  <si>
    <t xml:space="preserve">  Repayment of Construction Obligation</t>
  </si>
  <si>
    <t xml:space="preserve">  Reimbursement for Assets Constructed for Others</t>
  </si>
  <si>
    <t>Maintenance Materials (Days)</t>
  </si>
  <si>
    <t>Fuel (Days)</t>
  </si>
  <si>
    <t>LIVE CASE</t>
  </si>
  <si>
    <t>BULL CASE</t>
  </si>
  <si>
    <t>BEAR CASE</t>
  </si>
  <si>
    <t>NA</t>
  </si>
  <si>
    <t>Name</t>
  </si>
  <si>
    <t>Description</t>
  </si>
  <si>
    <t>Number</t>
  </si>
  <si>
    <t>Live Case -&gt;</t>
  </si>
  <si>
    <t>Consensus</t>
  </si>
  <si>
    <t>Bull</t>
  </si>
  <si>
    <t>NPV $/Sh</t>
  </si>
  <si>
    <t>Bear</t>
  </si>
  <si>
    <t>Freight</t>
  </si>
  <si>
    <t>Passenger</t>
  </si>
  <si>
    <t>Special Revenue Adjustment</t>
  </si>
  <si>
    <t>Others</t>
  </si>
  <si>
    <t>Dividend Payments</t>
  </si>
  <si>
    <t xml:space="preserve">  PP&amp;E Less Depreciation</t>
  </si>
  <si>
    <t xml:space="preserve">  Total Debt</t>
  </si>
  <si>
    <t>Year ended December 31,</t>
  </si>
  <si>
    <t xml:space="preserve"> (in millions)</t>
  </si>
  <si>
    <t>Passenger non-loyalty</t>
  </si>
  <si>
    <t>Passenger loyalty - air transportation</t>
  </si>
  <si>
    <t>Passenger ancillary sold separately</t>
  </si>
  <si>
    <t>Total passenger revenues</t>
  </si>
  <si>
    <t>LONG-TERM DEBT</t>
  </si>
  <si>
    <t>(in millions)</t>
  </si>
  <si>
    <t>French Credit Agreements due June 2018 - 2.54%</t>
  </si>
  <si>
    <t>Fixed-rate 737 Aircraft Notes payable through January 2018 - 7.03%</t>
  </si>
  <si>
    <t>2.75% Notes due November 2019</t>
  </si>
  <si>
    <t>Term Loan Agreement payable through May 2019 - 6.315%</t>
  </si>
  <si>
    <t>Term Loan Agreement payable through July 2019 - 4.84%</t>
  </si>
  <si>
    <t>2.65% Notes due 2020</t>
  </si>
  <si>
    <t>Term Loan Agreement payable through 2020 - 5.223%</t>
  </si>
  <si>
    <t>737 Aircraft Notes payable through 2020</t>
  </si>
  <si>
    <t>2.75% Notes due 2022</t>
  </si>
  <si>
    <t>Pass Through Certificates due 2022 - 6.24%</t>
  </si>
  <si>
    <t>Term Loan Agreement payable through 2026 - 3.88%</t>
  </si>
  <si>
    <t>3.00% Notes due 2026</t>
  </si>
  <si>
    <t>3.45% Notes due 2027</t>
  </si>
  <si>
    <t>7.375% Debentures due 2027</t>
  </si>
  <si>
    <t>Capital leases</t>
  </si>
  <si>
    <t>Less current maturities</t>
  </si>
  <si>
    <t>Less debt discount and issuance costs</t>
  </si>
  <si>
    <t>Passenger Distribution</t>
  </si>
  <si>
    <t>Operating Metrics</t>
  </si>
  <si>
    <t>Revenue passengers carried</t>
  </si>
  <si>
    <t>Enplaned passengers</t>
  </si>
  <si>
    <t>Revenue passenger miles (RPMs) (000s) (a)</t>
  </si>
  <si>
    <t>Available seat miles (ASMs) (000s) (b)</t>
  </si>
  <si>
    <t>Average length of passenger haul (miles)</t>
  </si>
  <si>
    <t>Average aircraft stage length (miles)</t>
  </si>
  <si>
    <t>Trips flown</t>
  </si>
  <si>
    <t>Seats flown (d)</t>
  </si>
  <si>
    <t>Seats per trip (e)</t>
  </si>
  <si>
    <t>Average passenger fare</t>
  </si>
  <si>
    <t>Passenger revenue yield per RPM (cents) (f)</t>
  </si>
  <si>
    <t>RASM (cents) (g)</t>
  </si>
  <si>
    <t>PRASM (cents) (h)</t>
  </si>
  <si>
    <t>CASM (cents) (i)</t>
  </si>
  <si>
    <t>CASM, excluding special items (cents)</t>
  </si>
  <si>
    <t>CASM, excluding Fuel and oil expense, special items, and profitsharing expense (cents)</t>
  </si>
  <si>
    <t>Active fulltime equivalent Employees</t>
  </si>
  <si>
    <t>Fuel costs per gallon, including fuel tax (unhedged)</t>
  </si>
  <si>
    <t>Fuel costs per gallon, including fuel tax (economic)</t>
  </si>
  <si>
    <t>CASM, excluding Fuel and oil expense and special items (cents)</t>
  </si>
  <si>
    <t xml:space="preserve">Fuel costs per gallon, including fuel tax </t>
  </si>
  <si>
    <t>Fuel consumed, in gallons (millions)</t>
  </si>
  <si>
    <t>Planes in Fleet</t>
  </si>
  <si>
    <t>(a) A revenue passenger mile is one paying passenger flown one mile. Also referred to as "traffic," which is a measure of demand for a given period.</t>
  </si>
  <si>
    <t>(b) An available seat mile is one seat (empty or full) flown one mile. Also referred to as "capacity," which is a measure of the space available to carry passengers in a given period.</t>
  </si>
  <si>
    <t>(c) Revenue passenger miles divided by available seat miles.</t>
  </si>
  <si>
    <t>(d) Seats flown is calculated using total number of seats available by aircraft type multiplied by the total trips flown by the same aircraft type during a particular period.</t>
  </si>
  <si>
    <t>(e) Seats per trip is calculated using seats flown divided by trips flown. Also referred to as “gauge.”</t>
  </si>
  <si>
    <t>(f) Calculated as passenger revenue divided by revenue passenger miles. Also referred to as "yield," this is the average cost paid by a paying passenger to fly one mile, which is a measure of revenue production and fares.</t>
  </si>
  <si>
    <t>(g) RASM (unit revenue) - Operating revenue yield per ASM, calculated as operating revenue divided by available seat miles. Also referred to as "operating unit revenues," this is a measure of operating revenue production based on the total available seat miles flown during a particular period.</t>
  </si>
  <si>
    <t>(h) PRASM (Passenger unit revenue) - Passenger revenue yield per ASM, calculated as passenger revenue divided by available seat miles. Also referred to as “passenger unit revenues,” this is a measure of passenger revenue production based on the total available seat miles flown during a particular period.</t>
  </si>
  <si>
    <t xml:space="preserve">(i) CASM (unit costs) - Operating expenses per ASM, calculated as operating expenses divided by available seat miles. Also referred to as "unit costs" or "cost per available seat mile," this is the average cost to fly an aircraft seat (empty or full) one mile, which is a measure of cost efficiencies. </t>
  </si>
  <si>
    <t>3-3.5% increase (1.5% in salaries, wages, and benefits, 1% airport cost .5% maintenance costs)</t>
  </si>
  <si>
    <t>Management Forecasts</t>
  </si>
  <si>
    <t>Cap Ex</t>
  </si>
  <si>
    <t>1.9-2.0 (B)</t>
  </si>
  <si>
    <t>Repaid Debt and Capital Lease Obligations</t>
  </si>
  <si>
    <t>590 (M)</t>
  </si>
  <si>
    <t>Remain Repurchase Agreement</t>
  </si>
  <si>
    <t>1.35 (B)</t>
  </si>
  <si>
    <t>Southwest Airlines Co. 737 Delivery Schedule As of December 31, 2018</t>
  </si>
  <si>
    <t xml:space="preserve"> MAX 7 Firm Orders</t>
  </si>
  <si>
    <t>MAX 8 Firm Orders</t>
  </si>
  <si>
    <t>MAX 8 Options</t>
  </si>
  <si>
    <t>Additional MAX 8s</t>
  </si>
  <si>
    <t>Total</t>
  </si>
  <si>
    <t>(a) The Company has flexibility to substitute 737 MAX 7 in lieu of 737 MAX 8 firm orders beginning in 2019 . (b) To be acquired in leases from various third parties.</t>
  </si>
  <si>
    <t>19 (b)</t>
  </si>
  <si>
    <t>Plane Orders</t>
  </si>
  <si>
    <t>219 (a)</t>
  </si>
  <si>
    <t xml:space="preserve">$1.65 - $1.75 </t>
  </si>
  <si>
    <t>Average Brent Crude Oil price per barrel</t>
  </si>
  <si>
    <t>Estimated fuel hedging premium expense per gallon (b)</t>
  </si>
  <si>
    <t>Period</t>
  </si>
  <si>
    <t>Beyond 2021</t>
  </si>
  <si>
    <t>Estimated economic fuel price per gallon, including taxes and fuel hedging premiums (e)</t>
  </si>
  <si>
    <t xml:space="preserve">  1Q 2019 (c)</t>
  </si>
  <si>
    <t>Full Year 2019 (d)</t>
  </si>
  <si>
    <t>$2.00 - $2.10</t>
  </si>
  <si>
    <t>$2.35 - $2.45</t>
  </si>
  <si>
    <t>Maximum percent of estimated fuel consumption covered by fuel derivative contracts at varying WTI/Brent Crude Oil, Heating Oil, and Gulf Coast Jet Fuel-equivalent price levels</t>
  </si>
  <si>
    <t>less than 5%</t>
  </si>
  <si>
    <t>Current Market (a)</t>
  </si>
  <si>
    <t>$2.30 - $2.35</t>
  </si>
  <si>
    <t>$2.25 - $2.30</t>
  </si>
  <si>
    <t xml:space="preserve">$1.85 - $1.90 </t>
  </si>
  <si>
    <t xml:space="preserve">$2.15 - $2.20 </t>
  </si>
  <si>
    <t xml:space="preserve">$2.00 - $2.05 </t>
  </si>
  <si>
    <t xml:space="preserve">$1.75 - $1.80 </t>
  </si>
  <si>
    <t xml:space="preserve">$1.80 - $1.90 </t>
  </si>
  <si>
    <t>$2.20 - $2.30</t>
  </si>
  <si>
    <t>$2.50 - $2.60</t>
  </si>
  <si>
    <t>Fuel Hedging</t>
  </si>
  <si>
    <t xml:space="preserve">(d) Based on the Company's existing fuel derivative contracts and market prices as of January 18, 2019 , annual 2019 GAAP and economic fuel costs are estimated to be in the $2.00 to $2.10 per gallon range, including fuel hedging premium expense of approximately $95 million, or $.04 per gallon, and an estimated $.01 per gallon in favorable cash settlements from fuel derivative contracts. See Note Regarding Use of Non-GAAP Financial Measures. </t>
  </si>
  <si>
    <t xml:space="preserve">(c) Based on the Company's existing fuel derivative contracts and market prices as of January 18, 2019 , first quarter 2019 GAAP and economic fuel costs are estimated to be in the $2.00 to $2.05 per gallon range, including fuel hedging premium expense of approximately $28 million , or $.06 per gallon, and an estimated $.02 per gallon in favorable cash settlements from fuel derivative contracts. See Note Regarding Use of Non-GAAP Financial Measures. </t>
  </si>
  <si>
    <t>4-5%</t>
  </si>
  <si>
    <t>&gt;=5%</t>
  </si>
  <si>
    <t>Revenue passenger miles / Available seat miles (Load factor)</t>
  </si>
  <si>
    <t>Seats per plane (gauge)</t>
  </si>
  <si>
    <t>Average fare</t>
  </si>
  <si>
    <t>Revenue per passenger mile</t>
  </si>
  <si>
    <t>Fuel gallons per flight</t>
  </si>
  <si>
    <t>Fuel efficiency</t>
  </si>
  <si>
    <t>** Internet approximation says a 737 burns around 750 gallons of fuel per hour</t>
  </si>
  <si>
    <t>Flights per plane per day</t>
  </si>
  <si>
    <t>Planes in fleet</t>
  </si>
  <si>
    <t>Expects to add</t>
  </si>
  <si>
    <t xml:space="preserve">Estimates </t>
  </si>
  <si>
    <t>2.00-2.10</t>
  </si>
  <si>
    <t>Guidance</t>
  </si>
  <si>
    <t>Revenues</t>
  </si>
  <si>
    <t>Load factor (c) ((Industry Avg: 84% - Motly Fool))</t>
  </si>
  <si>
    <t>ASM</t>
  </si>
  <si>
    <t>Revenue passenger growth</t>
  </si>
  <si>
    <t>Enplaned % of Rev Passengers</t>
  </si>
  <si>
    <t>Revenue miles / Revenue passengers</t>
  </si>
  <si>
    <t>Revenue schedule</t>
  </si>
  <si>
    <t>Trips Flown</t>
  </si>
  <si>
    <t>(Seats per trip * Load factor)</t>
  </si>
  <si>
    <t>Trips</t>
  </si>
  <si>
    <t>ASM growth</t>
  </si>
  <si>
    <t>RASM growth</t>
  </si>
  <si>
    <t>CASM</t>
  </si>
  <si>
    <t>CASM, excluding Fuel and oil expense growth</t>
  </si>
  <si>
    <t>Managements Guidance: Average</t>
  </si>
  <si>
    <t>Planes added (net)</t>
  </si>
  <si>
    <t>Fuel cost per gal</t>
  </si>
  <si>
    <t>ASM (000s)</t>
  </si>
  <si>
    <t xml:space="preserve">Planes </t>
  </si>
  <si>
    <t>Seats per trip</t>
  </si>
  <si>
    <t>Seats flown</t>
  </si>
  <si>
    <t>Load factor</t>
  </si>
  <si>
    <t>Average length of passenger haul</t>
  </si>
  <si>
    <t>Revenue passenger miles (000s)</t>
  </si>
  <si>
    <t>Passenger revenue growth</t>
  </si>
  <si>
    <t>Income Projection</t>
  </si>
  <si>
    <t>Passenger yield</t>
  </si>
  <si>
    <t>Passenger revenue (M)</t>
  </si>
  <si>
    <t>RASM</t>
  </si>
  <si>
    <t>PRASM</t>
  </si>
  <si>
    <t>2018 operating expense</t>
  </si>
  <si>
    <t>CASM, excluding fuel and oil expense (cents)</t>
  </si>
  <si>
    <t>Operating profit</t>
  </si>
  <si>
    <t>Operating expenses excluding fuel and oil</t>
  </si>
  <si>
    <t>Fuel cost</t>
  </si>
  <si>
    <t>Total operating expenses</t>
  </si>
  <si>
    <t>Fuel</t>
  </si>
  <si>
    <t>ASM per gallon</t>
  </si>
  <si>
    <t>Fuel gallons (millions)</t>
  </si>
  <si>
    <t>Revenue segments to passenger revenue</t>
  </si>
  <si>
    <t>Total Revenue</t>
  </si>
  <si>
    <t>CASM, excluding Fuel and oil expense</t>
  </si>
  <si>
    <t>YoY Growth</t>
  </si>
  <si>
    <t>BASE CASE</t>
  </si>
  <si>
    <t>EBT</t>
  </si>
  <si>
    <t>Fuel gallons consumed</t>
  </si>
  <si>
    <t>Management</t>
  </si>
  <si>
    <t>*** NEED TO WORK ON CALCULATING FUEL COSTS</t>
  </si>
  <si>
    <t>Type</t>
  </si>
  <si>
    <t>737-700</t>
  </si>
  <si>
    <t>737-800</t>
  </si>
  <si>
    <t>737 MAX 8</t>
  </si>
  <si>
    <t>Totals</t>
  </si>
  <si>
    <t>Seats</t>
  </si>
  <si>
    <t>Average Age (Yrs)</t>
  </si>
  <si>
    <t>Number of Number Aircraft Owned (a)</t>
  </si>
  <si>
    <t>Number Leased</t>
  </si>
  <si>
    <t>PLANE FLEET</t>
  </si>
  <si>
    <t>Number of Aircraft</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</si>
</sst>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00_-;\-* #,##0.00_-;_-* &quot;-&quot;??_-;_-@_-"/>
    <numFmt numFmtId="165" formatCode="mm/dd/yyyy"/>
    <numFmt numFmtId="166" formatCode="_(* #,##0_);_(* \(#,##0\)_)\ ;_(* 0_)"/>
    <numFmt numFmtId="167" formatCode="0.0\x"/>
    <numFmt numFmtId="168" formatCode="_-* #,##0_-;\(#,##0\)_-;_-* &quot;-&quot;_-;_-@_-"/>
    <numFmt numFmtId="169" formatCode="_(* #,##0_);_(* \(#,##0\);_(* &quot;-&quot;??_);_(@_)"/>
    <numFmt numFmtId="170" formatCode="_-* #,##0_-;\-* #,##0_-;_-* &quot;-&quot;??_-;_-@_-"/>
    <numFmt numFmtId="171" formatCode="0.0%"/>
    <numFmt numFmtId="172" formatCode="0.0000_ ;\-0.0000\ "/>
    <numFmt numFmtId="173" formatCode="_-* #,##0.00_-;\(#,##0.00\)_-;_-* &quot;-&quot;_-;_-@_-"/>
    <numFmt numFmtId="174" formatCode="&quot;$&quot;#,##0.00"/>
    <numFmt numFmtId="186" formatCode="_(&quot;$&quot;* #,##0_);_(&quot;$&quot;* \(#,##0\);_(&quot;$&quot;* &quot;-&quot;??_);_(@_)"/>
    <numFmt numFmtId="193" formatCode="_(* #,##0.0000000_);_(* \(#,##0.0000000\);_(* &quot;-&quot;??_);_(@_)"/>
  </numFmts>
  <fonts count="64" x14ac:knownFonts="1">
    <font>
      <sz val="10"/>
      <name val="Arial"/>
      <family val="2"/>
    </font>
    <font>
      <sz val="11"/>
      <color theme="1"/>
      <name val="Calibri"/>
      <family val="2"/>
      <scheme val="minor"/>
    </font>
    <font>
      <sz val="11"/>
      <color theme="1"/>
      <name val="Calibri"/>
      <family val="2"/>
      <scheme val="minor"/>
    </font>
    <font>
      <sz val="11"/>
      <color theme="1"/>
      <name val="Arial Narrow"/>
      <family val="2"/>
    </font>
    <font>
      <sz val="11"/>
      <color theme="1"/>
      <name val="Arial Narrow"/>
      <family val="2"/>
    </font>
    <font>
      <sz val="11"/>
      <color theme="1"/>
      <name val="Arial Narrow"/>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b/>
      <sz val="11"/>
      <color theme="0"/>
      <name val="Arial Narrow"/>
      <family val="2"/>
    </font>
    <font>
      <sz val="11"/>
      <color theme="0"/>
      <name val="Arial Narrow"/>
      <family val="2"/>
    </font>
    <font>
      <sz val="11"/>
      <color theme="1"/>
      <name val="Calibri"/>
      <family val="2"/>
      <scheme val="minor"/>
    </font>
    <font>
      <b/>
      <sz val="11"/>
      <color theme="1"/>
      <name val="Arial Narrow"/>
      <family val="2"/>
    </font>
    <font>
      <i/>
      <sz val="11"/>
      <color theme="0"/>
      <name val="Arial Narrow"/>
      <family val="2"/>
    </font>
    <font>
      <sz val="11"/>
      <name val="Arial Narrow"/>
      <family val="2"/>
    </font>
    <font>
      <sz val="11"/>
      <color indexed="8"/>
      <name val="Arial Narrow"/>
      <family val="2"/>
    </font>
    <font>
      <b/>
      <sz val="11"/>
      <name val="Arial Narrow"/>
      <family val="2"/>
    </font>
    <font>
      <sz val="12"/>
      <color theme="1"/>
      <name val="Arial Narrow"/>
      <family val="2"/>
    </font>
    <font>
      <sz val="12"/>
      <color rgb="FF0000FF"/>
      <name val="Arial Narrow"/>
      <family val="2"/>
    </font>
    <font>
      <sz val="11"/>
      <color rgb="FF0000FF"/>
      <name val="Arial Narrow"/>
      <family val="2"/>
    </font>
    <font>
      <sz val="8"/>
      <color theme="0"/>
      <name val="Arial Narrow"/>
      <family val="2"/>
    </font>
    <font>
      <b/>
      <sz val="12"/>
      <color theme="0"/>
      <name val="Arial Narrow"/>
      <family val="2"/>
    </font>
    <font>
      <sz val="12"/>
      <color theme="0"/>
      <name val="Arial Narrow"/>
      <family val="2"/>
    </font>
    <font>
      <b/>
      <sz val="16"/>
      <color theme="0"/>
      <name val="Arial Narrow"/>
      <family val="2"/>
    </font>
    <font>
      <b/>
      <sz val="14"/>
      <color theme="0"/>
      <name val="Arial Narrow"/>
      <family val="2"/>
    </font>
    <font>
      <sz val="14"/>
      <color theme="1"/>
      <name val="Arial Narrow"/>
      <family val="2"/>
    </font>
    <font>
      <i/>
      <sz val="12"/>
      <color theme="1"/>
      <name val="Arial Narrow"/>
      <family val="2"/>
    </font>
    <font>
      <sz val="12"/>
      <name val="Arial Narrow"/>
      <family val="2"/>
    </font>
    <font>
      <b/>
      <sz val="12"/>
      <color theme="1"/>
      <name val="Arial Narrow"/>
      <family val="2"/>
    </font>
    <font>
      <b/>
      <sz val="12"/>
      <name val="Arial Narrow"/>
      <family val="2"/>
    </font>
    <font>
      <b/>
      <sz val="12"/>
      <color rgb="FF0000FF"/>
      <name val="Arial Narrow"/>
      <family val="2"/>
    </font>
    <font>
      <sz val="20"/>
      <color theme="1"/>
      <name val="Arial Narrow"/>
      <family val="2"/>
    </font>
    <font>
      <u/>
      <sz val="10"/>
      <color theme="10"/>
      <name val="Arial"/>
      <family val="2"/>
    </font>
    <font>
      <sz val="11"/>
      <color rgb="FF00B050"/>
      <name val="Arial Narrow"/>
      <family val="2"/>
    </font>
    <font>
      <i/>
      <sz val="12"/>
      <color rgb="FF0000FF"/>
      <name val="Arial Narrow"/>
      <family val="2"/>
    </font>
    <font>
      <sz val="11"/>
      <color theme="2"/>
      <name val="Arial Narrow"/>
      <family val="2"/>
    </font>
    <font>
      <u/>
      <sz val="10"/>
      <color theme="2"/>
      <name val="Arial"/>
      <family val="2"/>
    </font>
    <font>
      <b/>
      <sz val="9"/>
      <color indexed="81"/>
      <name val="Tahoma"/>
      <family val="2"/>
    </font>
    <font>
      <sz val="9"/>
      <color indexed="81"/>
      <name val="Tahoma"/>
      <family val="2"/>
    </font>
    <font>
      <u/>
      <sz val="10"/>
      <color theme="1"/>
      <name val="Arial"/>
      <family val="2"/>
    </font>
    <font>
      <b/>
      <sz val="22"/>
      <color theme="1"/>
      <name val="Arial Narrow"/>
      <family val="2"/>
    </font>
    <font>
      <sz val="8"/>
      <color theme="0"/>
      <name val="Open Sans"/>
      <family val="2"/>
    </font>
    <font>
      <b/>
      <sz val="14"/>
      <color rgb="FFFFFFFF"/>
      <name val="Arial Narrow"/>
      <family val="2"/>
    </font>
    <font>
      <sz val="10"/>
      <name val="Arial"/>
      <family val="2"/>
    </font>
    <font>
      <u/>
      <sz val="10"/>
      <color theme="11"/>
      <name val="Arial"/>
      <family val="2"/>
    </font>
    <font>
      <b/>
      <sz val="11"/>
      <color rgb="FF000000"/>
      <name val="Arial Narrow"/>
      <family val="2"/>
    </font>
    <font>
      <sz val="11"/>
      <color rgb="FF000000"/>
      <name val="Arial Narrow"/>
      <family val="2"/>
    </font>
    <font>
      <sz val="12"/>
      <color rgb="FF00B050"/>
      <name val="Arial Narrow"/>
      <family val="2"/>
    </font>
    <font>
      <sz val="12"/>
      <name val="Arial"/>
      <family val="2"/>
    </font>
    <font>
      <b/>
      <sz val="12"/>
      <name val="Arial"/>
      <family val="2"/>
    </font>
    <font>
      <sz val="12"/>
      <color theme="1"/>
      <name val="Arial"/>
      <family val="2"/>
    </font>
    <font>
      <b/>
      <u/>
      <sz val="12"/>
      <name val="Arial"/>
      <family val="2"/>
    </font>
    <font>
      <u/>
      <sz val="12"/>
      <name val="Arial"/>
      <family val="2"/>
    </font>
  </fonts>
  <fills count="16">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ED942D"/>
        <bgColor indexed="64"/>
      </patternFill>
    </fill>
    <fill>
      <patternFill patternType="solid">
        <fgColor rgb="FF132E57"/>
        <bgColor indexed="64"/>
      </patternFill>
    </fill>
    <fill>
      <patternFill patternType="solid">
        <fgColor rgb="FF1E8496"/>
        <bgColor indexed="64"/>
      </patternFill>
    </fill>
    <fill>
      <patternFill patternType="solid">
        <fgColor theme="0"/>
        <bgColor indexed="64"/>
      </patternFill>
    </fill>
    <fill>
      <patternFill patternType="solid">
        <fgColor rgb="FFFA621C"/>
        <bgColor indexed="64"/>
      </patternFill>
    </fill>
    <fill>
      <patternFill patternType="solid">
        <fgColor rgb="FFFFFF00"/>
        <bgColor indexed="64"/>
      </patternFill>
    </fill>
    <fill>
      <patternFill patternType="solid">
        <fgColor theme="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2" tint="0.79998168889431442"/>
        <bgColor indexed="64"/>
      </patternFill>
    </fill>
  </fills>
  <borders count="8">
    <border>
      <left/>
      <right/>
      <top/>
      <bottom/>
      <diagonal/>
    </border>
    <border>
      <left/>
      <right/>
      <top/>
      <bottom style="thin">
        <color theme="0"/>
      </bottom>
      <diagonal/>
    </border>
    <border>
      <left/>
      <right/>
      <top style="thin">
        <color theme="0"/>
      </top>
      <bottom/>
      <diagonal/>
    </border>
    <border>
      <left/>
      <right/>
      <top style="thin">
        <color auto="1"/>
      </top>
      <bottom/>
      <diagonal/>
    </border>
    <border>
      <left/>
      <right/>
      <top/>
      <bottom style="thin">
        <color auto="1"/>
      </bottom>
      <diagonal/>
    </border>
    <border>
      <left/>
      <right/>
      <top style="thin">
        <color auto="1"/>
      </top>
      <bottom style="double">
        <color auto="1"/>
      </bottom>
      <diagonal/>
    </border>
    <border>
      <left/>
      <right/>
      <top style="thin">
        <color auto="1"/>
      </top>
      <bottom style="thin">
        <color auto="1"/>
      </bottom>
      <diagonal/>
    </border>
    <border>
      <left style="dashed">
        <color auto="1"/>
      </left>
      <right style="dashed">
        <color auto="1"/>
      </right>
      <top style="thin">
        <color auto="1"/>
      </top>
      <bottom style="dashed">
        <color auto="1"/>
      </bottom>
      <diagonal/>
    </border>
  </borders>
  <cellStyleXfs count="42">
    <xf numFmtId="0" fontId="0" fillId="0" borderId="0"/>
    <xf numFmtId="0" fontId="6" fillId="0" borderId="0" applyAlignment="0"/>
    <xf numFmtId="0" fontId="7" fillId="0" borderId="0" applyAlignment="0"/>
    <xf numFmtId="0" fontId="8" fillId="2" borderId="0" applyAlignment="0"/>
    <xf numFmtId="0" fontId="9" fillId="3" borderId="0" applyAlignment="0"/>
    <xf numFmtId="0" fontId="10" fillId="4" borderId="0" applyAlignment="0"/>
    <xf numFmtId="0" fontId="11" fillId="5" borderId="0" applyAlignment="0"/>
    <xf numFmtId="0" fontId="12" fillId="0" borderId="0" applyAlignment="0"/>
    <xf numFmtId="0" fontId="13" fillId="0" borderId="0" applyAlignment="0"/>
    <xf numFmtId="0" fontId="14" fillId="0" borderId="0" applyAlignment="0"/>
    <xf numFmtId="0" fontId="15" fillId="0" borderId="0" applyAlignment="0"/>
    <xf numFmtId="0" fontId="16" fillId="0" borderId="0" applyAlignment="0"/>
    <xf numFmtId="0" fontId="15" fillId="0" borderId="0" applyAlignment="0">
      <alignment wrapText="1"/>
    </xf>
    <xf numFmtId="0" fontId="17" fillId="0" borderId="0" applyAlignment="0"/>
    <xf numFmtId="0" fontId="18" fillId="0" borderId="0" applyAlignment="0"/>
    <xf numFmtId="0" fontId="19" fillId="0" borderId="0" applyAlignment="0"/>
    <xf numFmtId="0" fontId="22" fillId="0" borderId="0"/>
    <xf numFmtId="164" fontId="22" fillId="0" borderId="0" applyFont="0" applyFill="0" applyBorder="0" applyAlignment="0" applyProtection="0"/>
    <xf numFmtId="9" fontId="22"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43" fillId="0" borderId="0" applyNumberForma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0" fontId="2" fillId="0" borderId="0"/>
    <xf numFmtId="0" fontId="1" fillId="0" borderId="0"/>
    <xf numFmtId="0" fontId="43" fillId="0" borderId="0" applyNumberFormat="0" applyFill="0" applyBorder="0" applyAlignment="0" applyProtection="0"/>
    <xf numFmtId="43" fontId="54" fillId="0" borderId="0" applyFont="0" applyFill="0" applyBorder="0" applyAlignment="0" applyProtection="0"/>
    <xf numFmtId="44" fontId="54" fillId="0" borderId="0" applyFont="0" applyFill="0" applyBorder="0" applyAlignment="0" applyProtection="0"/>
    <xf numFmtId="9" fontId="54" fillId="0" borderId="0" applyFont="0" applyFill="0" applyBorder="0" applyAlignment="0" applyProtection="0"/>
    <xf numFmtId="0" fontId="55"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461">
    <xf numFmtId="0" fontId="0" fillId="0" borderId="0" xfId="0" applyFont="1"/>
    <xf numFmtId="0" fontId="5" fillId="0" borderId="0" xfId="16" applyFont="1"/>
    <xf numFmtId="0" fontId="23" fillId="0" borderId="0" xfId="16" applyFont="1" applyAlignment="1">
      <alignment horizontal="right"/>
    </xf>
    <xf numFmtId="0" fontId="25" fillId="0" borderId="0" xfId="0" applyFont="1"/>
    <xf numFmtId="0" fontId="26" fillId="0" borderId="0" xfId="7" applyFont="1" applyAlignment="1">
      <alignment vertical="center" wrapText="1"/>
    </xf>
    <xf numFmtId="166" fontId="25" fillId="0" borderId="0" xfId="0" applyNumberFormat="1" applyFont="1" applyAlignment="1">
      <alignment vertical="center" wrapText="1"/>
    </xf>
    <xf numFmtId="0" fontId="25" fillId="0" borderId="0" xfId="0" applyFont="1" applyAlignment="1">
      <alignment vertical="center"/>
    </xf>
    <xf numFmtId="168" fontId="28" fillId="0" borderId="0" xfId="17" applyNumberFormat="1" applyFont="1"/>
    <xf numFmtId="170" fontId="29" fillId="0" borderId="0" xfId="17" applyNumberFormat="1" applyFont="1" applyAlignment="1">
      <alignment horizontal="right"/>
    </xf>
    <xf numFmtId="164" fontId="29" fillId="0" borderId="0" xfId="17" applyFont="1" applyAlignment="1">
      <alignment horizontal="right"/>
    </xf>
    <xf numFmtId="170" fontId="5" fillId="0" borderId="0" xfId="16" applyNumberFormat="1" applyFont="1"/>
    <xf numFmtId="0" fontId="5" fillId="0" borderId="0" xfId="16" applyFont="1" applyAlignment="1">
      <alignment horizontal="right"/>
    </xf>
    <xf numFmtId="167" fontId="5" fillId="0" borderId="0" xfId="16" applyNumberFormat="1" applyFont="1"/>
    <xf numFmtId="164" fontId="5" fillId="0" borderId="0" xfId="16" applyNumberFormat="1" applyFont="1"/>
    <xf numFmtId="164" fontId="30" fillId="0" borderId="0" xfId="16" applyNumberFormat="1" applyFont="1"/>
    <xf numFmtId="0" fontId="21" fillId="7" borderId="0" xfId="16" applyFont="1" applyFill="1" applyAlignment="1">
      <alignment vertical="center"/>
    </xf>
    <xf numFmtId="0" fontId="20" fillId="7" borderId="0" xfId="16" applyFont="1" applyFill="1" applyAlignment="1">
      <alignment horizontal="centerContinuous" vertical="center"/>
    </xf>
    <xf numFmtId="0" fontId="21" fillId="7" borderId="0" xfId="16" applyFont="1" applyFill="1" applyAlignment="1">
      <alignment horizontal="centerContinuous" vertical="center"/>
    </xf>
    <xf numFmtId="0" fontId="20" fillId="7" borderId="0" xfId="16" applyFont="1" applyFill="1" applyAlignment="1">
      <alignment horizontal="centerContinuous"/>
    </xf>
    <xf numFmtId="0" fontId="20" fillId="7" borderId="0" xfId="16" applyFont="1" applyFill="1" applyAlignment="1">
      <alignment vertical="center"/>
    </xf>
    <xf numFmtId="0" fontId="20" fillId="7" borderId="2" xfId="16" applyFont="1" applyFill="1" applyBorder="1" applyAlignment="1">
      <alignment horizontal="right" vertical="center"/>
    </xf>
    <xf numFmtId="0" fontId="20" fillId="7" borderId="0" xfId="16" applyFont="1" applyFill="1" applyAlignment="1">
      <alignment horizontal="right" vertical="center"/>
    </xf>
    <xf numFmtId="0" fontId="21" fillId="7" borderId="0" xfId="16" applyFont="1" applyFill="1" applyAlignment="1">
      <alignment horizontal="right" vertical="center"/>
    </xf>
    <xf numFmtId="0" fontId="21" fillId="7" borderId="2" xfId="16" applyFont="1" applyFill="1" applyBorder="1" applyAlignment="1">
      <alignment horizontal="right"/>
    </xf>
    <xf numFmtId="0" fontId="24" fillId="7" borderId="0" xfId="16" applyFont="1" applyFill="1" applyBorder="1" applyAlignment="1">
      <alignment horizontal="right" vertical="center"/>
    </xf>
    <xf numFmtId="0" fontId="24" fillId="7" borderId="0" xfId="16" quotePrefix="1" applyFont="1" applyFill="1" applyBorder="1" applyAlignment="1">
      <alignment horizontal="right" vertical="center"/>
    </xf>
    <xf numFmtId="0" fontId="21" fillId="7" borderId="0" xfId="16" applyFont="1" applyFill="1" applyBorder="1" applyAlignment="1">
      <alignment horizontal="right" vertical="center"/>
    </xf>
    <xf numFmtId="0" fontId="21" fillId="7" borderId="0" xfId="16" applyFont="1" applyFill="1" applyBorder="1" applyAlignment="1">
      <alignment horizontal="right"/>
    </xf>
    <xf numFmtId="0" fontId="20" fillId="7" borderId="0" xfId="0" applyFont="1" applyFill="1" applyAlignment="1">
      <alignment vertical="center"/>
    </xf>
    <xf numFmtId="0" fontId="20" fillId="7" borderId="0" xfId="0" applyFont="1" applyFill="1" applyAlignment="1">
      <alignment horizontal="right" vertical="center"/>
    </xf>
    <xf numFmtId="0" fontId="20" fillId="7" borderId="1" xfId="0" applyFont="1" applyFill="1" applyBorder="1" applyAlignment="1">
      <alignment horizontal="centerContinuous" vertical="center"/>
    </xf>
    <xf numFmtId="0" fontId="20" fillId="7" borderId="0" xfId="6" applyFont="1" applyFill="1" applyAlignment="1">
      <alignment horizontal="left" vertical="center" wrapText="1"/>
    </xf>
    <xf numFmtId="0" fontId="20" fillId="7" borderId="0" xfId="6" applyFont="1" applyFill="1" applyAlignment="1">
      <alignment horizontal="right" vertical="center" wrapText="1"/>
    </xf>
    <xf numFmtId="0" fontId="27" fillId="6" borderId="0" xfId="0" applyFont="1" applyFill="1" applyAlignment="1">
      <alignment vertical="center"/>
    </xf>
    <xf numFmtId="167" fontId="27" fillId="6" borderId="0" xfId="0" applyNumberFormat="1" applyFont="1" applyFill="1" applyAlignment="1">
      <alignment vertical="center"/>
    </xf>
    <xf numFmtId="0" fontId="20" fillId="7" borderId="0" xfId="16" applyFont="1" applyFill="1"/>
    <xf numFmtId="0" fontId="20" fillId="7" borderId="0" xfId="16" applyFont="1" applyFill="1" applyAlignment="1">
      <alignment horizontal="right"/>
    </xf>
    <xf numFmtId="0" fontId="20" fillId="7" borderId="0" xfId="16" applyFont="1" applyFill="1" applyAlignment="1">
      <alignment horizontal="left"/>
    </xf>
    <xf numFmtId="0" fontId="23" fillId="0" borderId="0" xfId="16" applyFont="1"/>
    <xf numFmtId="0" fontId="5" fillId="7" borderId="0" xfId="16" applyFont="1" applyFill="1" applyAlignment="1">
      <alignment vertical="center"/>
    </xf>
    <xf numFmtId="0" fontId="4" fillId="0" borderId="0" xfId="16" applyFont="1"/>
    <xf numFmtId="0" fontId="4" fillId="0" borderId="0" xfId="16" applyFont="1" applyAlignment="1">
      <alignment vertical="center"/>
    </xf>
    <xf numFmtId="7" fontId="30" fillId="0" borderId="0" xfId="16" applyNumberFormat="1" applyFont="1" applyAlignment="1">
      <alignment vertical="center"/>
    </xf>
    <xf numFmtId="37" fontId="30" fillId="0" borderId="0" xfId="16" applyNumberFormat="1" applyFont="1" applyAlignment="1">
      <alignment vertical="center"/>
    </xf>
    <xf numFmtId="5" fontId="4" fillId="0" borderId="0" xfId="16" applyNumberFormat="1" applyFont="1" applyAlignment="1">
      <alignment vertical="center"/>
    </xf>
    <xf numFmtId="5" fontId="30" fillId="0" borderId="0" xfId="16" applyNumberFormat="1" applyFont="1" applyAlignment="1">
      <alignment vertical="center"/>
    </xf>
    <xf numFmtId="167" fontId="4" fillId="0" borderId="0" xfId="16" applyNumberFormat="1" applyFont="1" applyAlignment="1">
      <alignment vertical="center"/>
    </xf>
    <xf numFmtId="0" fontId="4" fillId="6" borderId="0" xfId="16" applyFont="1" applyFill="1" applyAlignment="1">
      <alignment vertical="center"/>
    </xf>
    <xf numFmtId="167" fontId="4" fillId="6" borderId="0" xfId="16" applyNumberFormat="1" applyFont="1" applyFill="1" applyAlignment="1">
      <alignment vertical="center"/>
    </xf>
    <xf numFmtId="7" fontId="4" fillId="0" borderId="0" xfId="16" applyNumberFormat="1" applyFont="1"/>
    <xf numFmtId="7" fontId="25" fillId="0" borderId="0" xfId="16" applyNumberFormat="1" applyFont="1"/>
    <xf numFmtId="37" fontId="25" fillId="0" borderId="0" xfId="16" applyNumberFormat="1" applyFont="1" applyAlignment="1">
      <alignment vertical="center"/>
    </xf>
    <xf numFmtId="5" fontId="25" fillId="0" borderId="0" xfId="16" applyNumberFormat="1" applyFont="1" applyAlignment="1">
      <alignment vertical="center"/>
    </xf>
    <xf numFmtId="5" fontId="25" fillId="0" borderId="0" xfId="16" applyNumberFormat="1" applyFont="1"/>
    <xf numFmtId="0" fontId="25" fillId="0" borderId="0" xfId="16" applyFont="1"/>
    <xf numFmtId="165" fontId="30" fillId="0" borderId="0" xfId="7" applyNumberFormat="1" applyFont="1" applyAlignment="1">
      <alignment horizontal="left" vertical="center"/>
    </xf>
    <xf numFmtId="166" fontId="30" fillId="0" borderId="0" xfId="0" applyNumberFormat="1" applyFont="1" applyAlignment="1">
      <alignment vertical="center" wrapText="1"/>
    </xf>
    <xf numFmtId="169" fontId="30" fillId="0" borderId="0" xfId="7" applyNumberFormat="1" applyFont="1" applyAlignment="1">
      <alignment vertical="center" wrapText="1"/>
    </xf>
    <xf numFmtId="167" fontId="25" fillId="0" borderId="0" xfId="0" applyNumberFormat="1" applyFont="1" applyAlignment="1">
      <alignment horizontal="right" vertical="center" wrapText="1"/>
    </xf>
    <xf numFmtId="167" fontId="44" fillId="0" borderId="0" xfId="16" applyNumberFormat="1" applyFont="1" applyAlignment="1">
      <alignment horizontal="right"/>
    </xf>
    <xf numFmtId="167" fontId="44" fillId="0" borderId="0" xfId="16" applyNumberFormat="1" applyFont="1"/>
    <xf numFmtId="0" fontId="3" fillId="6" borderId="0" xfId="16" applyFont="1" applyFill="1"/>
    <xf numFmtId="0" fontId="3" fillId="9" borderId="0" xfId="16" applyFont="1" applyFill="1" applyBorder="1"/>
    <xf numFmtId="0" fontId="42" fillId="9" borderId="0" xfId="16" applyFont="1" applyFill="1" applyBorder="1"/>
    <xf numFmtId="168" fontId="31" fillId="7" borderId="0" xfId="23" applyNumberFormat="1" applyFont="1" applyFill="1" applyProtection="1">
      <protection locked="0"/>
    </xf>
    <xf numFmtId="168" fontId="28" fillId="7" borderId="0" xfId="23" applyNumberFormat="1" applyFont="1" applyFill="1" applyProtection="1">
      <protection locked="0"/>
    </xf>
    <xf numFmtId="168" fontId="28" fillId="7" borderId="0" xfId="23" applyNumberFormat="1" applyFont="1" applyFill="1" applyAlignment="1" applyProtection="1">
      <alignment horizontal="center"/>
      <protection locked="0"/>
    </xf>
    <xf numFmtId="168" fontId="32" fillId="8" borderId="0" xfId="23" applyNumberFormat="1" applyFont="1" applyFill="1" applyAlignment="1" applyProtection="1">
      <alignment horizontal="centerContinuous"/>
      <protection locked="0"/>
    </xf>
    <xf numFmtId="168" fontId="33" fillId="8" borderId="0" xfId="23" applyNumberFormat="1" applyFont="1" applyFill="1" applyAlignment="1" applyProtection="1">
      <alignment horizontal="centerContinuous"/>
      <protection locked="0"/>
    </xf>
    <xf numFmtId="168" fontId="32" fillId="7" borderId="0" xfId="23" applyNumberFormat="1" applyFont="1" applyFill="1" applyAlignment="1" applyProtection="1">
      <alignment horizontal="centerContinuous"/>
      <protection locked="0"/>
    </xf>
    <xf numFmtId="168" fontId="33" fillId="7" borderId="0" xfId="23" applyNumberFormat="1" applyFont="1" applyFill="1" applyAlignment="1" applyProtection="1">
      <alignment horizontal="centerContinuous"/>
      <protection locked="0"/>
    </xf>
    <xf numFmtId="168" fontId="28" fillId="0" borderId="0" xfId="23" applyNumberFormat="1" applyFont="1" applyProtection="1">
      <protection locked="0"/>
    </xf>
    <xf numFmtId="168" fontId="34" fillId="7" borderId="0" xfId="23" applyNumberFormat="1" applyFont="1" applyFill="1" applyAlignment="1" applyProtection="1">
      <protection locked="0"/>
    </xf>
    <xf numFmtId="168" fontId="35" fillId="7" borderId="0" xfId="23" applyNumberFormat="1" applyFont="1" applyFill="1" applyAlignment="1" applyProtection="1">
      <protection locked="0"/>
    </xf>
    <xf numFmtId="168" fontId="35" fillId="7" borderId="0" xfId="23" applyNumberFormat="1" applyFont="1" applyFill="1" applyAlignment="1" applyProtection="1">
      <alignment horizontal="center"/>
      <protection locked="0"/>
    </xf>
    <xf numFmtId="0" fontId="35" fillId="8" borderId="0" xfId="23" applyNumberFormat="1" applyFont="1" applyFill="1" applyAlignment="1" applyProtection="1">
      <protection locked="0"/>
    </xf>
    <xf numFmtId="0" fontId="35" fillId="7" borderId="0" xfId="23" applyNumberFormat="1" applyFont="1" applyFill="1" applyAlignment="1" applyProtection="1">
      <protection locked="0"/>
    </xf>
    <xf numFmtId="168" fontId="36" fillId="0" borderId="0" xfId="23" applyNumberFormat="1" applyFont="1" applyAlignment="1" applyProtection="1">
      <protection locked="0"/>
    </xf>
    <xf numFmtId="168" fontId="28" fillId="0" borderId="0" xfId="23" applyNumberFormat="1" applyFont="1" applyAlignment="1" applyProtection="1">
      <alignment horizontal="center"/>
      <protection locked="0"/>
    </xf>
    <xf numFmtId="168" fontId="37" fillId="0" borderId="0" xfId="23" applyNumberFormat="1" applyFont="1" applyAlignment="1" applyProtection="1">
      <alignment horizontal="right"/>
      <protection locked="0"/>
    </xf>
    <xf numFmtId="168" fontId="34" fillId="6" borderId="0" xfId="23" applyNumberFormat="1" applyFont="1" applyFill="1" applyBorder="1" applyProtection="1">
      <protection locked="0"/>
    </xf>
    <xf numFmtId="168" fontId="38" fillId="6" borderId="0" xfId="23" applyNumberFormat="1" applyFont="1" applyFill="1" applyBorder="1" applyProtection="1">
      <protection locked="0"/>
    </xf>
    <xf numFmtId="168" fontId="38" fillId="6" borderId="0" xfId="23" applyNumberFormat="1" applyFont="1" applyFill="1" applyBorder="1" applyAlignment="1" applyProtection="1">
      <alignment horizontal="center"/>
      <protection locked="0"/>
    </xf>
    <xf numFmtId="168" fontId="38" fillId="0" borderId="0" xfId="23" applyNumberFormat="1" applyFont="1" applyFill="1" applyProtection="1">
      <protection locked="0"/>
    </xf>
    <xf numFmtId="168" fontId="29" fillId="0" borderId="0" xfId="23" applyNumberFormat="1" applyFont="1" applyFill="1" applyProtection="1">
      <protection locked="0"/>
    </xf>
    <xf numFmtId="168" fontId="39" fillId="0" borderId="0" xfId="23" applyNumberFormat="1" applyFont="1" applyProtection="1">
      <protection locked="0"/>
    </xf>
    <xf numFmtId="168" fontId="28" fillId="0" borderId="3" xfId="23" applyNumberFormat="1" applyFont="1" applyBorder="1" applyProtection="1">
      <protection locked="0"/>
    </xf>
    <xf numFmtId="168" fontId="39" fillId="0" borderId="3" xfId="23" applyNumberFormat="1" applyFont="1" applyBorder="1" applyProtection="1">
      <protection locked="0"/>
    </xf>
    <xf numFmtId="168" fontId="39" fillId="0" borderId="3" xfId="23" applyNumberFormat="1" applyFont="1" applyBorder="1" applyAlignment="1" applyProtection="1">
      <alignment horizontal="center"/>
      <protection locked="0"/>
    </xf>
    <xf numFmtId="168" fontId="28" fillId="0" borderId="0" xfId="23" applyNumberFormat="1" applyFont="1" applyBorder="1" applyProtection="1">
      <protection locked="0"/>
    </xf>
    <xf numFmtId="168" fontId="28" fillId="0" borderId="0" xfId="23" applyNumberFormat="1" applyFont="1" applyBorder="1" applyAlignment="1" applyProtection="1">
      <alignment horizontal="center"/>
      <protection locked="0"/>
    </xf>
    <xf numFmtId="171" fontId="38" fillId="0" borderId="0" xfId="24" applyNumberFormat="1" applyFont="1" applyFill="1" applyBorder="1" applyProtection="1">
      <protection locked="0"/>
    </xf>
    <xf numFmtId="168" fontId="38" fillId="0" borderId="0" xfId="23" applyNumberFormat="1" applyFont="1" applyFill="1" applyBorder="1" applyProtection="1">
      <protection locked="0"/>
    </xf>
    <xf numFmtId="168" fontId="37" fillId="0" borderId="0" xfId="23" applyNumberFormat="1" applyFont="1" applyBorder="1" applyProtection="1">
      <protection locked="0"/>
    </xf>
    <xf numFmtId="168" fontId="37" fillId="0" borderId="0" xfId="23" applyNumberFormat="1" applyFont="1" applyBorder="1" applyAlignment="1" applyProtection="1">
      <alignment horizontal="center"/>
      <protection locked="0"/>
    </xf>
    <xf numFmtId="9" fontId="29" fillId="0" borderId="0" xfId="24" applyFont="1" applyFill="1" applyAlignment="1" applyProtection="1">
      <alignment horizontal="center"/>
      <protection locked="0"/>
    </xf>
    <xf numFmtId="168" fontId="39" fillId="0" borderId="0" xfId="23" applyNumberFormat="1" applyFont="1" applyBorder="1" applyProtection="1">
      <protection locked="0"/>
    </xf>
    <xf numFmtId="168" fontId="39" fillId="0" borderId="0" xfId="23" applyNumberFormat="1" applyFont="1" applyBorder="1" applyAlignment="1" applyProtection="1">
      <alignment horizontal="center"/>
      <protection locked="0"/>
    </xf>
    <xf numFmtId="168" fontId="41" fillId="0" borderId="0" xfId="23" applyNumberFormat="1" applyFont="1" applyBorder="1" applyProtection="1">
      <protection locked="0"/>
    </xf>
    <xf numFmtId="168" fontId="40" fillId="0" borderId="0" xfId="23" applyNumberFormat="1" applyFont="1" applyBorder="1" applyProtection="1">
      <protection locked="0"/>
    </xf>
    <xf numFmtId="168" fontId="39" fillId="0" borderId="0" xfId="23" applyNumberFormat="1" applyFont="1" applyAlignment="1" applyProtection="1">
      <alignment horizontal="center"/>
      <protection locked="0"/>
    </xf>
    <xf numFmtId="168" fontId="29" fillId="0" borderId="0" xfId="23" applyNumberFormat="1" applyFont="1" applyBorder="1" applyProtection="1">
      <protection locked="0"/>
    </xf>
    <xf numFmtId="168" fontId="40" fillId="0" borderId="3" xfId="23" applyNumberFormat="1" applyFont="1" applyBorder="1" applyProtection="1">
      <protection locked="0"/>
    </xf>
    <xf numFmtId="9" fontId="41" fillId="0" borderId="0" xfId="24" applyFont="1" applyBorder="1" applyProtection="1">
      <protection locked="0"/>
    </xf>
    <xf numFmtId="168" fontId="29" fillId="0" borderId="0" xfId="23" applyNumberFormat="1" applyFont="1" applyProtection="1">
      <protection locked="0"/>
    </xf>
    <xf numFmtId="168" fontId="28" fillId="0" borderId="4" xfId="23" applyNumberFormat="1" applyFont="1" applyBorder="1" applyProtection="1">
      <protection locked="0"/>
    </xf>
    <xf numFmtId="168" fontId="28" fillId="0" borderId="4" xfId="23" applyNumberFormat="1" applyFont="1" applyBorder="1" applyAlignment="1" applyProtection="1">
      <alignment horizontal="center"/>
      <protection locked="0"/>
    </xf>
    <xf numFmtId="168" fontId="38" fillId="0" borderId="4" xfId="23" applyNumberFormat="1" applyFont="1" applyBorder="1" applyProtection="1">
      <protection locked="0"/>
    </xf>
    <xf numFmtId="169" fontId="28" fillId="0" borderId="0" xfId="23" applyNumberFormat="1" applyFont="1" applyFill="1" applyProtection="1">
      <protection locked="0"/>
    </xf>
    <xf numFmtId="168" fontId="39" fillId="0" borderId="5" xfId="23" applyNumberFormat="1" applyFont="1" applyBorder="1" applyProtection="1">
      <protection locked="0"/>
    </xf>
    <xf numFmtId="168" fontId="39" fillId="0" borderId="5" xfId="23" applyNumberFormat="1" applyFont="1" applyBorder="1" applyAlignment="1" applyProtection="1">
      <alignment horizontal="center"/>
      <protection locked="0"/>
    </xf>
    <xf numFmtId="168" fontId="40" fillId="0" borderId="5" xfId="23" applyNumberFormat="1" applyFont="1" applyBorder="1" applyProtection="1">
      <protection locked="0"/>
    </xf>
    <xf numFmtId="0" fontId="2" fillId="0" borderId="0" xfId="25" applyProtection="1">
      <protection locked="0"/>
    </xf>
    <xf numFmtId="170" fontId="28" fillId="0" borderId="0" xfId="23" applyNumberFormat="1" applyFont="1" applyProtection="1">
      <protection locked="0"/>
    </xf>
    <xf numFmtId="168" fontId="39" fillId="0" borderId="6" xfId="23" applyNumberFormat="1" applyFont="1" applyBorder="1" applyProtection="1">
      <protection locked="0"/>
    </xf>
    <xf numFmtId="168" fontId="39" fillId="0" borderId="6" xfId="23" applyNumberFormat="1" applyFont="1" applyBorder="1" applyAlignment="1" applyProtection="1">
      <alignment horizontal="center"/>
      <protection locked="0"/>
    </xf>
    <xf numFmtId="168" fontId="40" fillId="0" borderId="6" xfId="23" applyNumberFormat="1" applyFont="1" applyBorder="1" applyProtection="1">
      <protection locked="0"/>
    </xf>
    <xf numFmtId="168" fontId="37" fillId="0" borderId="0" xfId="23" applyNumberFormat="1" applyFont="1" applyProtection="1">
      <protection locked="0"/>
    </xf>
    <xf numFmtId="172" fontId="37" fillId="0" borderId="0" xfId="23" applyNumberFormat="1" applyFont="1" applyProtection="1">
      <protection locked="0"/>
    </xf>
    <xf numFmtId="172" fontId="37" fillId="0" borderId="0" xfId="23" applyNumberFormat="1" applyFont="1" applyAlignment="1" applyProtection="1">
      <alignment horizontal="center"/>
      <protection locked="0"/>
    </xf>
    <xf numFmtId="168" fontId="28" fillId="0" borderId="3" xfId="23" applyNumberFormat="1" applyFont="1" applyBorder="1" applyAlignment="1" applyProtection="1">
      <alignment horizontal="center"/>
      <protection locked="0"/>
    </xf>
    <xf numFmtId="168" fontId="38" fillId="0" borderId="0" xfId="23" applyNumberFormat="1" applyFont="1" applyBorder="1" applyProtection="1">
      <protection locked="0"/>
    </xf>
    <xf numFmtId="168" fontId="28" fillId="0" borderId="0" xfId="23" applyNumberFormat="1" applyFont="1" applyProtection="1"/>
    <xf numFmtId="168" fontId="38" fillId="0" borderId="3" xfId="23" applyNumberFormat="1" applyFont="1" applyBorder="1" applyProtection="1">
      <protection locked="0"/>
    </xf>
    <xf numFmtId="168" fontId="38" fillId="0" borderId="3" xfId="23" applyNumberFormat="1" applyFont="1" applyBorder="1" applyProtection="1"/>
    <xf numFmtId="168" fontId="38" fillId="0" borderId="0" xfId="23" applyNumberFormat="1" applyFont="1" applyProtection="1">
      <protection locked="0"/>
    </xf>
    <xf numFmtId="168" fontId="38" fillId="0" borderId="0" xfId="23" applyNumberFormat="1" applyFont="1" applyFill="1" applyProtection="1"/>
    <xf numFmtId="168" fontId="28" fillId="0" borderId="3" xfId="23" applyNumberFormat="1" applyFont="1" applyBorder="1" applyProtection="1"/>
    <xf numFmtId="168" fontId="40" fillId="0" borderId="0" xfId="23" applyNumberFormat="1" applyFont="1" applyProtection="1">
      <protection locked="0"/>
    </xf>
    <xf numFmtId="168" fontId="29" fillId="0" borderId="3" xfId="23" applyNumberFormat="1" applyFont="1" applyBorder="1" applyProtection="1">
      <protection locked="0"/>
    </xf>
    <xf numFmtId="9" fontId="29" fillId="0" borderId="3" xfId="24" applyFont="1" applyBorder="1" applyAlignment="1" applyProtection="1">
      <alignment horizontal="right"/>
      <protection locked="0"/>
    </xf>
    <xf numFmtId="9" fontId="29" fillId="0" borderId="0" xfId="24" applyFont="1" applyAlignment="1" applyProtection="1">
      <alignment horizontal="right"/>
      <protection locked="0"/>
    </xf>
    <xf numFmtId="167" fontId="29" fillId="0" borderId="0" xfId="23" applyNumberFormat="1" applyFont="1" applyAlignment="1" applyProtection="1">
      <alignment horizontal="right"/>
      <protection locked="0"/>
    </xf>
    <xf numFmtId="14" fontId="29" fillId="0" borderId="0" xfId="23" applyNumberFormat="1" applyFont="1" applyProtection="1">
      <protection locked="0"/>
    </xf>
    <xf numFmtId="164" fontId="29" fillId="0" borderId="0" xfId="23" applyFont="1" applyAlignment="1" applyProtection="1">
      <alignment horizontal="right"/>
      <protection locked="0"/>
    </xf>
    <xf numFmtId="170" fontId="29" fillId="0" borderId="0" xfId="23" applyNumberFormat="1" applyFont="1" applyAlignment="1" applyProtection="1">
      <alignment horizontal="right"/>
      <protection locked="0"/>
    </xf>
    <xf numFmtId="14" fontId="29" fillId="0" borderId="0" xfId="23" applyNumberFormat="1" applyFont="1" applyBorder="1" applyProtection="1">
      <protection locked="0"/>
    </xf>
    <xf numFmtId="168" fontId="39" fillId="0" borderId="0" xfId="23" applyNumberFormat="1" applyFont="1" applyFill="1" applyBorder="1" applyProtection="1">
      <protection locked="0"/>
    </xf>
    <xf numFmtId="168" fontId="28" fillId="0" borderId="0" xfId="23" applyNumberFormat="1" applyFont="1" applyFill="1" applyBorder="1" applyProtection="1">
      <protection locked="0"/>
    </xf>
    <xf numFmtId="168" fontId="39" fillId="0" borderId="0" xfId="23" applyNumberFormat="1" applyFont="1" applyFill="1" applyBorder="1" applyAlignment="1" applyProtection="1">
      <alignment horizontal="right"/>
      <protection locked="0"/>
    </xf>
    <xf numFmtId="0" fontId="39" fillId="0" borderId="0" xfId="23" applyNumberFormat="1" applyFont="1" applyFill="1" applyBorder="1" applyAlignment="1" applyProtection="1">
      <alignment horizontal="right"/>
      <protection locked="0"/>
    </xf>
    <xf numFmtId="14" fontId="37" fillId="0" borderId="0" xfId="23" applyNumberFormat="1" applyFont="1" applyBorder="1" applyProtection="1">
      <protection locked="0"/>
    </xf>
    <xf numFmtId="169" fontId="28" fillId="0" borderId="0" xfId="23" applyNumberFormat="1" applyFont="1" applyBorder="1" applyProtection="1">
      <protection locked="0"/>
    </xf>
    <xf numFmtId="0" fontId="45" fillId="0" borderId="0" xfId="23" applyNumberFormat="1" applyFont="1" applyBorder="1" applyProtection="1">
      <protection locked="0"/>
    </xf>
    <xf numFmtId="0" fontId="37" fillId="0" borderId="0" xfId="23" applyNumberFormat="1" applyFont="1" applyBorder="1" applyProtection="1">
      <protection locked="0"/>
    </xf>
    <xf numFmtId="173" fontId="37" fillId="0" borderId="0" xfId="23" applyNumberFormat="1" applyFont="1" applyBorder="1" applyProtection="1">
      <protection locked="0"/>
    </xf>
    <xf numFmtId="173" fontId="28" fillId="0" borderId="0" xfId="23" applyNumberFormat="1" applyFont="1" applyBorder="1" applyProtection="1">
      <protection locked="0"/>
    </xf>
    <xf numFmtId="174" fontId="28" fillId="0" borderId="0" xfId="23" applyNumberFormat="1" applyFont="1" applyProtection="1">
      <protection locked="0"/>
    </xf>
    <xf numFmtId="0" fontId="46" fillId="9" borderId="0" xfId="16" applyFont="1" applyFill="1" applyBorder="1"/>
    <xf numFmtId="0" fontId="47" fillId="9" borderId="0" xfId="22" applyFont="1" applyFill="1" applyBorder="1"/>
    <xf numFmtId="168" fontId="37" fillId="0" borderId="3" xfId="23" applyNumberFormat="1" applyFont="1" applyBorder="1" applyProtection="1">
      <protection locked="0"/>
    </xf>
    <xf numFmtId="14" fontId="37" fillId="0" borderId="3" xfId="23" applyNumberFormat="1" applyFont="1" applyBorder="1" applyProtection="1">
      <protection locked="0"/>
    </xf>
    <xf numFmtId="169" fontId="28" fillId="0" borderId="3" xfId="23" applyNumberFormat="1" applyFont="1" applyBorder="1" applyProtection="1">
      <protection locked="0"/>
    </xf>
    <xf numFmtId="168" fontId="39" fillId="0" borderId="3" xfId="23" applyNumberFormat="1" applyFont="1" applyFill="1" applyBorder="1" applyProtection="1">
      <protection locked="0"/>
    </xf>
    <xf numFmtId="0" fontId="28" fillId="0" borderId="0" xfId="23" applyNumberFormat="1" applyFont="1" applyProtection="1">
      <protection locked="0"/>
    </xf>
    <xf numFmtId="173" fontId="45" fillId="0" borderId="0" xfId="23" applyNumberFormat="1" applyFont="1" applyBorder="1" applyProtection="1">
      <protection locked="0"/>
    </xf>
    <xf numFmtId="168" fontId="40" fillId="0" borderId="0" xfId="23" applyNumberFormat="1" applyFont="1" applyFill="1" applyBorder="1" applyProtection="1">
      <protection locked="0"/>
    </xf>
    <xf numFmtId="168" fontId="41" fillId="0" borderId="0" xfId="23" applyNumberFormat="1" applyFont="1" applyFill="1" applyBorder="1" applyProtection="1">
      <protection locked="0"/>
    </xf>
    <xf numFmtId="43" fontId="38" fillId="0" borderId="0" xfId="23" applyNumberFormat="1" applyFont="1" applyFill="1" applyBorder="1" applyProtection="1">
      <protection locked="0"/>
    </xf>
    <xf numFmtId="9" fontId="38" fillId="0" borderId="0" xfId="24" applyFont="1" applyFill="1" applyBorder="1" applyProtection="1">
      <protection locked="0"/>
    </xf>
    <xf numFmtId="168" fontId="38" fillId="0" borderId="3" xfId="23" applyNumberFormat="1" applyFont="1" applyFill="1" applyBorder="1" applyProtection="1">
      <protection locked="0"/>
    </xf>
    <xf numFmtId="164" fontId="38" fillId="0" borderId="3" xfId="24" applyNumberFormat="1" applyFont="1" applyFill="1" applyBorder="1" applyProtection="1">
      <protection locked="0"/>
    </xf>
    <xf numFmtId="164" fontId="38" fillId="0" borderId="0" xfId="23" applyFont="1" applyFill="1" applyBorder="1" applyProtection="1">
      <protection locked="0"/>
    </xf>
    <xf numFmtId="173" fontId="38" fillId="0" borderId="0" xfId="23" applyNumberFormat="1" applyFont="1" applyFill="1" applyBorder="1" applyProtection="1">
      <protection locked="0"/>
    </xf>
    <xf numFmtId="173" fontId="32" fillId="10" borderId="0" xfId="23" applyNumberFormat="1" applyFont="1" applyFill="1" applyBorder="1" applyProtection="1">
      <protection locked="0"/>
    </xf>
    <xf numFmtId="173" fontId="40" fillId="0" borderId="0" xfId="23" applyNumberFormat="1" applyFont="1" applyFill="1" applyBorder="1" applyProtection="1">
      <protection locked="0"/>
    </xf>
    <xf numFmtId="174" fontId="28" fillId="0" borderId="3" xfId="23" applyNumberFormat="1" applyFont="1" applyBorder="1" applyProtection="1">
      <protection locked="0"/>
    </xf>
    <xf numFmtId="0" fontId="3" fillId="0" borderId="0" xfId="26" applyFont="1" applyFill="1" applyBorder="1"/>
    <xf numFmtId="0" fontId="3" fillId="0" borderId="3" xfId="26" applyFont="1" applyFill="1" applyBorder="1"/>
    <xf numFmtId="0" fontId="50" fillId="0" borderId="0" xfId="27" applyFont="1" applyFill="1" applyBorder="1"/>
    <xf numFmtId="0" fontId="21" fillId="7" borderId="0" xfId="26" applyFont="1" applyFill="1" applyBorder="1"/>
    <xf numFmtId="0" fontId="3" fillId="7" borderId="0" xfId="26" applyFont="1" applyFill="1" applyBorder="1"/>
    <xf numFmtId="0" fontId="3" fillId="9" borderId="0" xfId="26" applyFont="1" applyFill="1"/>
    <xf numFmtId="0" fontId="21" fillId="7" borderId="0" xfId="26" applyFont="1" applyFill="1"/>
    <xf numFmtId="0" fontId="23" fillId="0" borderId="4" xfId="26" applyFont="1" applyFill="1" applyBorder="1" applyProtection="1">
      <protection locked="0"/>
    </xf>
    <xf numFmtId="0" fontId="3" fillId="9" borderId="0" xfId="26" applyFont="1" applyFill="1" applyBorder="1"/>
    <xf numFmtId="0" fontId="23" fillId="0" borderId="0" xfId="26" applyFont="1" applyFill="1" applyBorder="1" applyAlignment="1">
      <alignment horizontal="right"/>
    </xf>
    <xf numFmtId="0" fontId="51" fillId="9" borderId="0" xfId="16" applyFont="1" applyFill="1" applyBorder="1"/>
    <xf numFmtId="0" fontId="52" fillId="7" borderId="0" xfId="0" applyFont="1" applyFill="1"/>
    <xf numFmtId="0" fontId="3" fillId="0" borderId="0" xfId="26" applyFont="1"/>
    <xf numFmtId="0" fontId="53" fillId="7" borderId="0" xfId="0" applyFont="1" applyFill="1" applyBorder="1" applyAlignment="1">
      <alignment horizontal="left" vertical="center" readingOrder="1"/>
    </xf>
    <xf numFmtId="168" fontId="31" fillId="7" borderId="0" xfId="32" applyNumberFormat="1" applyFont="1" applyFill="1" applyProtection="1">
      <protection locked="0"/>
    </xf>
    <xf numFmtId="168" fontId="28" fillId="7" borderId="0" xfId="32" applyNumberFormat="1" applyFont="1" applyFill="1" applyProtection="1">
      <protection locked="0"/>
    </xf>
    <xf numFmtId="168" fontId="28" fillId="7" borderId="0" xfId="32" applyNumberFormat="1" applyFont="1" applyFill="1" applyAlignment="1" applyProtection="1">
      <alignment horizontal="center"/>
      <protection locked="0"/>
    </xf>
    <xf numFmtId="168" fontId="32" fillId="8" borderId="0" xfId="32" applyNumberFormat="1" applyFont="1" applyFill="1" applyAlignment="1" applyProtection="1">
      <alignment horizontal="centerContinuous"/>
      <protection locked="0"/>
    </xf>
    <xf numFmtId="168" fontId="33" fillId="8" borderId="0" xfId="32" applyNumberFormat="1" applyFont="1" applyFill="1" applyAlignment="1" applyProtection="1">
      <alignment horizontal="centerContinuous"/>
      <protection locked="0"/>
    </xf>
    <xf numFmtId="168" fontId="32" fillId="7" borderId="0" xfId="32" applyNumberFormat="1" applyFont="1" applyFill="1" applyAlignment="1" applyProtection="1">
      <alignment horizontal="centerContinuous"/>
      <protection locked="0"/>
    </xf>
    <xf numFmtId="168" fontId="33" fillId="7" borderId="0" xfId="32" applyNumberFormat="1" applyFont="1" applyFill="1" applyAlignment="1" applyProtection="1">
      <alignment horizontal="centerContinuous"/>
      <protection locked="0"/>
    </xf>
    <xf numFmtId="168" fontId="28" fillId="0" borderId="0" xfId="32" applyNumberFormat="1" applyFont="1" applyProtection="1">
      <protection locked="0"/>
    </xf>
    <xf numFmtId="168" fontId="34" fillId="7" borderId="0" xfId="32" applyNumberFormat="1" applyFont="1" applyFill="1" applyAlignment="1" applyProtection="1">
      <protection locked="0"/>
    </xf>
    <xf numFmtId="168" fontId="35" fillId="7" borderId="0" xfId="32" applyNumberFormat="1" applyFont="1" applyFill="1" applyAlignment="1" applyProtection="1">
      <protection locked="0"/>
    </xf>
    <xf numFmtId="168" fontId="35" fillId="7" borderId="0" xfId="32" applyNumberFormat="1" applyFont="1" applyFill="1" applyAlignment="1" applyProtection="1">
      <alignment horizontal="center"/>
      <protection locked="0"/>
    </xf>
    <xf numFmtId="0" fontId="35" fillId="8" borderId="0" xfId="32" applyNumberFormat="1" applyFont="1" applyFill="1" applyAlignment="1" applyProtection="1">
      <protection locked="0"/>
    </xf>
    <xf numFmtId="0" fontId="35" fillId="7" borderId="0" xfId="32" applyNumberFormat="1" applyFont="1" applyFill="1" applyAlignment="1" applyProtection="1">
      <protection locked="0"/>
    </xf>
    <xf numFmtId="168" fontId="36" fillId="0" borderId="0" xfId="32" applyNumberFormat="1" applyFont="1" applyAlignment="1" applyProtection="1">
      <protection locked="0"/>
    </xf>
    <xf numFmtId="168" fontId="28" fillId="0" borderId="0" xfId="32" applyNumberFormat="1" applyFont="1" applyAlignment="1" applyProtection="1">
      <alignment horizontal="center"/>
      <protection locked="0"/>
    </xf>
    <xf numFmtId="168" fontId="37" fillId="0" borderId="0" xfId="32" applyNumberFormat="1" applyFont="1" applyAlignment="1" applyProtection="1">
      <alignment horizontal="right"/>
      <protection locked="0"/>
    </xf>
    <xf numFmtId="168" fontId="34" fillId="6" borderId="0" xfId="32" applyNumberFormat="1" applyFont="1" applyFill="1" applyBorder="1" applyProtection="1">
      <protection locked="0"/>
    </xf>
    <xf numFmtId="168" fontId="38" fillId="6" borderId="0" xfId="32" applyNumberFormat="1" applyFont="1" applyFill="1" applyBorder="1" applyProtection="1">
      <protection locked="0"/>
    </xf>
    <xf numFmtId="168" fontId="38" fillId="6" borderId="0" xfId="32" applyNumberFormat="1" applyFont="1" applyFill="1" applyBorder="1" applyAlignment="1" applyProtection="1">
      <alignment horizontal="center"/>
      <protection locked="0"/>
    </xf>
    <xf numFmtId="168" fontId="38" fillId="0" borderId="0" xfId="32" applyNumberFormat="1" applyFont="1" applyFill="1" applyProtection="1">
      <protection locked="0"/>
    </xf>
    <xf numFmtId="168" fontId="29" fillId="0" borderId="0" xfId="32" applyNumberFormat="1" applyFont="1" applyFill="1" applyProtection="1">
      <protection locked="0"/>
    </xf>
    <xf numFmtId="168" fontId="39" fillId="0" borderId="0" xfId="32" applyNumberFormat="1" applyFont="1" applyProtection="1">
      <protection locked="0"/>
    </xf>
    <xf numFmtId="168" fontId="28" fillId="0" borderId="3" xfId="32" applyNumberFormat="1" applyFont="1" applyBorder="1" applyProtection="1">
      <protection locked="0"/>
    </xf>
    <xf numFmtId="168" fontId="39" fillId="0" borderId="3" xfId="32" applyNumberFormat="1" applyFont="1" applyBorder="1" applyProtection="1">
      <protection locked="0"/>
    </xf>
    <xf numFmtId="168" fontId="39" fillId="0" borderId="3" xfId="32" applyNumberFormat="1" applyFont="1" applyBorder="1" applyAlignment="1" applyProtection="1">
      <alignment horizontal="center"/>
      <protection locked="0"/>
    </xf>
    <xf numFmtId="171" fontId="38" fillId="0" borderId="3" xfId="33" applyNumberFormat="1" applyFont="1" applyFill="1" applyBorder="1" applyProtection="1">
      <protection locked="0"/>
    </xf>
    <xf numFmtId="171" fontId="29" fillId="0" borderId="3" xfId="33" applyNumberFormat="1" applyFont="1" applyFill="1" applyBorder="1" applyProtection="1">
      <protection locked="0"/>
    </xf>
    <xf numFmtId="168" fontId="28" fillId="0" borderId="0" xfId="32" applyNumberFormat="1" applyFont="1" applyBorder="1" applyProtection="1">
      <protection locked="0"/>
    </xf>
    <xf numFmtId="168" fontId="28" fillId="0" borderId="0" xfId="32" applyNumberFormat="1" applyFont="1" applyBorder="1" applyAlignment="1" applyProtection="1">
      <alignment horizontal="center"/>
      <protection locked="0"/>
    </xf>
    <xf numFmtId="171" fontId="38" fillId="0" borderId="0" xfId="33" applyNumberFormat="1" applyFont="1" applyFill="1" applyBorder="1" applyProtection="1">
      <protection locked="0"/>
    </xf>
    <xf numFmtId="171" fontId="29" fillId="0" borderId="0" xfId="33" applyNumberFormat="1" applyFont="1" applyFill="1" applyBorder="1" applyProtection="1">
      <protection locked="0"/>
    </xf>
    <xf numFmtId="168" fontId="38" fillId="0" borderId="0" xfId="32" applyNumberFormat="1" applyFont="1" applyFill="1" applyBorder="1" applyProtection="1">
      <protection locked="0"/>
    </xf>
    <xf numFmtId="168" fontId="29" fillId="0" borderId="0" xfId="32" applyNumberFormat="1" applyFont="1" applyFill="1" applyBorder="1" applyProtection="1">
      <protection locked="0"/>
    </xf>
    <xf numFmtId="168" fontId="37" fillId="0" borderId="0" xfId="32" applyNumberFormat="1" applyFont="1" applyBorder="1" applyProtection="1">
      <protection locked="0"/>
    </xf>
    <xf numFmtId="168" fontId="37" fillId="0" borderId="0" xfId="32" applyNumberFormat="1" applyFont="1" applyBorder="1" applyAlignment="1" applyProtection="1">
      <alignment horizontal="center"/>
      <protection locked="0"/>
    </xf>
    <xf numFmtId="9" fontId="29" fillId="0" borderId="0" xfId="33" applyFont="1" applyFill="1" applyAlignment="1" applyProtection="1">
      <alignment horizontal="center"/>
      <protection locked="0"/>
    </xf>
    <xf numFmtId="168" fontId="39" fillId="0" borderId="0" xfId="32" applyNumberFormat="1" applyFont="1" applyBorder="1" applyProtection="1">
      <protection locked="0"/>
    </xf>
    <xf numFmtId="168" fontId="39" fillId="0" borderId="0" xfId="32" applyNumberFormat="1" applyFont="1" applyBorder="1" applyAlignment="1" applyProtection="1">
      <alignment horizontal="center"/>
      <protection locked="0"/>
    </xf>
    <xf numFmtId="168" fontId="41" fillId="0" borderId="0" xfId="32" applyNumberFormat="1" applyFont="1" applyBorder="1" applyProtection="1">
      <protection locked="0"/>
    </xf>
    <xf numFmtId="168" fontId="40" fillId="0" borderId="0" xfId="32" applyNumberFormat="1" applyFont="1" applyBorder="1" applyProtection="1">
      <protection locked="0"/>
    </xf>
    <xf numFmtId="168" fontId="39" fillId="0" borderId="0" xfId="32" applyNumberFormat="1" applyFont="1" applyAlignment="1" applyProtection="1">
      <alignment horizontal="center"/>
      <protection locked="0"/>
    </xf>
    <xf numFmtId="168" fontId="41" fillId="0" borderId="0" xfId="32" applyNumberFormat="1" applyFont="1" applyProtection="1">
      <protection locked="0"/>
    </xf>
    <xf numFmtId="168" fontId="39" fillId="0" borderId="0" xfId="32" applyNumberFormat="1" applyFont="1" applyFill="1" applyProtection="1">
      <protection locked="0"/>
    </xf>
    <xf numFmtId="168" fontId="29" fillId="0" borderId="0" xfId="32" applyNumberFormat="1" applyFont="1" applyBorder="1" applyProtection="1">
      <protection locked="0"/>
    </xf>
    <xf numFmtId="169" fontId="28" fillId="0" borderId="0" xfId="32" applyNumberFormat="1" applyFont="1" applyFill="1" applyBorder="1" applyProtection="1">
      <protection locked="0"/>
    </xf>
    <xf numFmtId="168" fontId="40" fillId="0" borderId="3" xfId="32" applyNumberFormat="1" applyFont="1" applyBorder="1" applyProtection="1">
      <protection locked="0"/>
    </xf>
    <xf numFmtId="9" fontId="41" fillId="0" borderId="0" xfId="33" applyFont="1" applyBorder="1" applyProtection="1">
      <protection locked="0"/>
    </xf>
    <xf numFmtId="168" fontId="29" fillId="0" borderId="0" xfId="32" applyNumberFormat="1" applyFont="1" applyProtection="1">
      <protection locked="0"/>
    </xf>
    <xf numFmtId="168" fontId="28" fillId="0" borderId="0" xfId="32" applyNumberFormat="1" applyFont="1" applyFill="1" applyProtection="1">
      <protection locked="0"/>
    </xf>
    <xf numFmtId="168" fontId="28" fillId="0" borderId="4" xfId="32" applyNumberFormat="1" applyFont="1" applyBorder="1" applyProtection="1">
      <protection locked="0"/>
    </xf>
    <xf numFmtId="168" fontId="28" fillId="0" borderId="4" xfId="32" applyNumberFormat="1" applyFont="1" applyBorder="1" applyAlignment="1" applyProtection="1">
      <alignment horizontal="center"/>
      <protection locked="0"/>
    </xf>
    <xf numFmtId="168" fontId="29" fillId="0" borderId="4" xfId="32" applyNumberFormat="1" applyFont="1" applyBorder="1" applyProtection="1">
      <protection locked="0"/>
    </xf>
    <xf numFmtId="168" fontId="38" fillId="0" borderId="4" xfId="32" applyNumberFormat="1" applyFont="1" applyBorder="1" applyProtection="1">
      <protection locked="0"/>
    </xf>
    <xf numFmtId="169" fontId="28" fillId="0" borderId="0" xfId="32" applyNumberFormat="1" applyFont="1" applyFill="1" applyProtection="1">
      <protection locked="0"/>
    </xf>
    <xf numFmtId="168" fontId="39" fillId="0" borderId="5" xfId="32" applyNumberFormat="1" applyFont="1" applyBorder="1" applyProtection="1">
      <protection locked="0"/>
    </xf>
    <xf numFmtId="168" fontId="39" fillId="0" borderId="5" xfId="32" applyNumberFormat="1" applyFont="1" applyBorder="1" applyAlignment="1" applyProtection="1">
      <alignment horizontal="center"/>
      <protection locked="0"/>
    </xf>
    <xf numFmtId="168" fontId="40" fillId="0" borderId="5" xfId="32" applyNumberFormat="1" applyFont="1" applyBorder="1" applyProtection="1">
      <protection locked="0"/>
    </xf>
    <xf numFmtId="0" fontId="1" fillId="0" borderId="0" xfId="34" applyProtection="1">
      <protection locked="0"/>
    </xf>
    <xf numFmtId="170" fontId="28" fillId="0" borderId="0" xfId="32" applyNumberFormat="1" applyFont="1" applyProtection="1">
      <protection locked="0"/>
    </xf>
    <xf numFmtId="168" fontId="39" fillId="0" borderId="6" xfId="32" applyNumberFormat="1" applyFont="1" applyBorder="1" applyProtection="1">
      <protection locked="0"/>
    </xf>
    <xf numFmtId="168" fontId="39" fillId="0" borderId="6" xfId="32" applyNumberFormat="1" applyFont="1" applyBorder="1" applyAlignment="1" applyProtection="1">
      <alignment horizontal="center"/>
      <protection locked="0"/>
    </xf>
    <xf numFmtId="168" fontId="40" fillId="0" borderId="6" xfId="32" applyNumberFormat="1" applyFont="1" applyBorder="1" applyProtection="1">
      <protection locked="0"/>
    </xf>
    <xf numFmtId="168" fontId="37" fillId="0" borderId="0" xfId="32" applyNumberFormat="1" applyFont="1" applyProtection="1">
      <protection locked="0"/>
    </xf>
    <xf numFmtId="172" fontId="37" fillId="0" borderId="0" xfId="32" applyNumberFormat="1" applyFont="1" applyProtection="1">
      <protection locked="0"/>
    </xf>
    <xf numFmtId="172" fontId="37" fillId="0" borderId="0" xfId="32" applyNumberFormat="1" applyFont="1" applyAlignment="1" applyProtection="1">
      <alignment horizontal="center"/>
      <protection locked="0"/>
    </xf>
    <xf numFmtId="168" fontId="28" fillId="0" borderId="3" xfId="32" applyNumberFormat="1" applyFont="1" applyBorder="1" applyAlignment="1" applyProtection="1">
      <alignment horizontal="center"/>
      <protection locked="0"/>
    </xf>
    <xf numFmtId="168" fontId="38" fillId="0" borderId="0" xfId="32" applyNumberFormat="1" applyFont="1" applyBorder="1" applyProtection="1">
      <protection locked="0"/>
    </xf>
    <xf numFmtId="168" fontId="28" fillId="0" borderId="0" xfId="32" applyNumberFormat="1" applyFont="1" applyProtection="1"/>
    <xf numFmtId="168" fontId="38" fillId="0" borderId="3" xfId="32" applyNumberFormat="1" applyFont="1" applyBorder="1" applyProtection="1">
      <protection locked="0"/>
    </xf>
    <xf numFmtId="168" fontId="38" fillId="0" borderId="3" xfId="32" applyNumberFormat="1" applyFont="1" applyBorder="1" applyProtection="1"/>
    <xf numFmtId="168" fontId="38" fillId="0" borderId="0" xfId="32" applyNumberFormat="1" applyFont="1" applyProtection="1">
      <protection locked="0"/>
    </xf>
    <xf numFmtId="169" fontId="28" fillId="0" borderId="0" xfId="32" applyNumberFormat="1" applyFont="1" applyProtection="1"/>
    <xf numFmtId="43" fontId="28" fillId="0" borderId="0" xfId="32" applyNumberFormat="1" applyFont="1" applyProtection="1"/>
    <xf numFmtId="168" fontId="38" fillId="0" borderId="0" xfId="32" applyNumberFormat="1" applyFont="1" applyFill="1" applyProtection="1"/>
    <xf numFmtId="168" fontId="28" fillId="0" borderId="3" xfId="32" applyNumberFormat="1" applyFont="1" applyBorder="1" applyProtection="1"/>
    <xf numFmtId="168" fontId="40" fillId="0" borderId="0" xfId="32" applyNumberFormat="1" applyFont="1" applyProtection="1">
      <protection locked="0"/>
    </xf>
    <xf numFmtId="168" fontId="29" fillId="0" borderId="3" xfId="32" applyNumberFormat="1" applyFont="1" applyBorder="1" applyProtection="1">
      <protection locked="0"/>
    </xf>
    <xf numFmtId="9" fontId="29" fillId="0" borderId="3" xfId="33" applyFont="1" applyBorder="1" applyAlignment="1" applyProtection="1">
      <alignment horizontal="right"/>
      <protection locked="0"/>
    </xf>
    <xf numFmtId="9" fontId="29" fillId="0" borderId="0" xfId="33" applyFont="1" applyAlignment="1" applyProtection="1">
      <alignment horizontal="right"/>
      <protection locked="0"/>
    </xf>
    <xf numFmtId="167" fontId="29" fillId="0" borderId="0" xfId="32" applyNumberFormat="1" applyFont="1" applyAlignment="1" applyProtection="1">
      <alignment horizontal="right"/>
      <protection locked="0"/>
    </xf>
    <xf numFmtId="14" fontId="29" fillId="0" borderId="0" xfId="32" applyNumberFormat="1" applyFont="1" applyProtection="1">
      <protection locked="0"/>
    </xf>
    <xf numFmtId="164" fontId="29" fillId="0" borderId="0" xfId="32" applyFont="1" applyAlignment="1" applyProtection="1">
      <alignment horizontal="right"/>
      <protection locked="0"/>
    </xf>
    <xf numFmtId="170" fontId="29" fillId="0" borderId="0" xfId="32" applyNumberFormat="1" applyFont="1" applyAlignment="1" applyProtection="1">
      <alignment horizontal="right"/>
      <protection locked="0"/>
    </xf>
    <xf numFmtId="14" fontId="29" fillId="0" borderId="0" xfId="32" applyNumberFormat="1" applyFont="1" applyBorder="1" applyProtection="1">
      <protection locked="0"/>
    </xf>
    <xf numFmtId="168" fontId="39" fillId="0" borderId="0" xfId="32" applyNumberFormat="1" applyFont="1" applyFill="1" applyBorder="1" applyProtection="1">
      <protection locked="0"/>
    </xf>
    <xf numFmtId="168" fontId="28" fillId="0" borderId="0" xfId="32" applyNumberFormat="1" applyFont="1" applyFill="1" applyBorder="1" applyProtection="1">
      <protection locked="0"/>
    </xf>
    <xf numFmtId="168" fontId="39" fillId="0" borderId="0" xfId="32" applyNumberFormat="1" applyFont="1" applyFill="1" applyBorder="1" applyAlignment="1" applyProtection="1">
      <alignment horizontal="right"/>
      <protection locked="0"/>
    </xf>
    <xf numFmtId="0" fontId="39" fillId="0" borderId="0" xfId="32" applyNumberFormat="1" applyFont="1" applyFill="1" applyBorder="1" applyAlignment="1" applyProtection="1">
      <alignment horizontal="right"/>
      <protection locked="0"/>
    </xf>
    <xf numFmtId="168" fontId="37" fillId="0" borderId="3" xfId="32" applyNumberFormat="1" applyFont="1" applyBorder="1" applyProtection="1">
      <protection locked="0"/>
    </xf>
    <xf numFmtId="14" fontId="37" fillId="0" borderId="3" xfId="32" applyNumberFormat="1" applyFont="1" applyBorder="1" applyProtection="1">
      <protection locked="0"/>
    </xf>
    <xf numFmtId="169" fontId="28" fillId="0" borderId="3" xfId="32" applyNumberFormat="1" applyFont="1" applyBorder="1" applyProtection="1">
      <protection locked="0"/>
    </xf>
    <xf numFmtId="14" fontId="37" fillId="0" borderId="0" xfId="32" applyNumberFormat="1" applyFont="1" applyBorder="1" applyProtection="1">
      <protection locked="0"/>
    </xf>
    <xf numFmtId="0" fontId="45" fillId="0" borderId="0" xfId="32" applyNumberFormat="1" applyFont="1" applyBorder="1" applyProtection="1">
      <protection locked="0"/>
    </xf>
    <xf numFmtId="0" fontId="37" fillId="0" borderId="0" xfId="32" applyNumberFormat="1" applyFont="1" applyBorder="1" applyProtection="1">
      <protection locked="0"/>
    </xf>
    <xf numFmtId="169" fontId="28" fillId="0" borderId="0" xfId="32" applyNumberFormat="1" applyFont="1" applyBorder="1" applyProtection="1">
      <protection locked="0"/>
    </xf>
    <xf numFmtId="173" fontId="37" fillId="0" borderId="0" xfId="32" applyNumberFormat="1" applyFont="1" applyBorder="1" applyProtection="1">
      <protection locked="0"/>
    </xf>
    <xf numFmtId="173" fontId="45" fillId="0" borderId="0" xfId="32" applyNumberFormat="1" applyFont="1" applyBorder="1" applyProtection="1">
      <protection locked="0"/>
    </xf>
    <xf numFmtId="173" fontId="28" fillId="0" borderId="0" xfId="32" applyNumberFormat="1" applyFont="1" applyBorder="1" applyProtection="1">
      <protection locked="0"/>
    </xf>
    <xf numFmtId="168" fontId="39" fillId="0" borderId="3" xfId="32" applyNumberFormat="1" applyFont="1" applyFill="1" applyBorder="1" applyProtection="1">
      <protection locked="0"/>
    </xf>
    <xf numFmtId="168" fontId="40" fillId="0" borderId="0" xfId="32" applyNumberFormat="1" applyFont="1" applyFill="1" applyBorder="1" applyProtection="1">
      <protection locked="0"/>
    </xf>
    <xf numFmtId="168" fontId="41" fillId="0" borderId="0" xfId="32" applyNumberFormat="1" applyFont="1" applyFill="1" applyBorder="1" applyProtection="1">
      <protection locked="0"/>
    </xf>
    <xf numFmtId="43" fontId="38" fillId="0" borderId="0" xfId="32" applyNumberFormat="1" applyFont="1" applyFill="1" applyBorder="1" applyProtection="1">
      <protection locked="0"/>
    </xf>
    <xf numFmtId="9" fontId="38" fillId="0" borderId="0" xfId="33" applyFont="1" applyFill="1" applyBorder="1" applyProtection="1">
      <protection locked="0"/>
    </xf>
    <xf numFmtId="168" fontId="38" fillId="0" borderId="3" xfId="32" applyNumberFormat="1" applyFont="1" applyFill="1" applyBorder="1" applyProtection="1">
      <protection locked="0"/>
    </xf>
    <xf numFmtId="164" fontId="38" fillId="0" borderId="3" xfId="33" applyNumberFormat="1" applyFont="1" applyFill="1" applyBorder="1" applyProtection="1">
      <protection locked="0"/>
    </xf>
    <xf numFmtId="164" fontId="38" fillId="0" borderId="0" xfId="32" applyFont="1" applyFill="1" applyBorder="1" applyProtection="1">
      <protection locked="0"/>
    </xf>
    <xf numFmtId="173" fontId="38" fillId="0" borderId="0" xfId="32" applyNumberFormat="1" applyFont="1" applyFill="1" applyBorder="1" applyProtection="1">
      <protection locked="0"/>
    </xf>
    <xf numFmtId="173" fontId="32" fillId="10" borderId="0" xfId="32" applyNumberFormat="1" applyFont="1" applyFill="1" applyBorder="1" applyProtection="1">
      <protection locked="0"/>
    </xf>
    <xf numFmtId="173" fontId="40" fillId="0" borderId="0" xfId="32" applyNumberFormat="1" applyFont="1" applyFill="1" applyBorder="1" applyProtection="1">
      <protection locked="0"/>
    </xf>
    <xf numFmtId="0" fontId="28" fillId="0" borderId="0" xfId="32" applyNumberFormat="1" applyFont="1" applyProtection="1">
      <protection locked="0"/>
    </xf>
    <xf numFmtId="174" fontId="28" fillId="0" borderId="3" xfId="32" applyNumberFormat="1" applyFont="1" applyBorder="1" applyProtection="1">
      <protection locked="0"/>
    </xf>
    <xf numFmtId="174" fontId="28" fillId="0" borderId="0" xfId="32" applyNumberFormat="1" applyFont="1" applyProtection="1">
      <protection locked="0"/>
    </xf>
    <xf numFmtId="171" fontId="38" fillId="0" borderId="3" xfId="24" applyNumberFormat="1" applyFont="1" applyFill="1" applyBorder="1" applyAlignment="1" applyProtection="1">
      <alignment horizontal="right"/>
      <protection locked="0"/>
    </xf>
    <xf numFmtId="171" fontId="38" fillId="0" borderId="0" xfId="24" applyNumberFormat="1" applyFont="1" applyFill="1" applyBorder="1" applyAlignment="1" applyProtection="1">
      <alignment horizontal="right"/>
      <protection locked="0"/>
    </xf>
    <xf numFmtId="168" fontId="29" fillId="0" borderId="0" xfId="23" applyNumberFormat="1" applyFont="1" applyAlignment="1" applyProtection="1">
      <alignment horizontal="right"/>
      <protection locked="0"/>
    </xf>
    <xf numFmtId="168" fontId="29" fillId="0" borderId="0" xfId="23" applyNumberFormat="1" applyFont="1" applyBorder="1" applyAlignment="1" applyProtection="1">
      <alignment horizontal="right"/>
      <protection locked="0"/>
    </xf>
    <xf numFmtId="168" fontId="39" fillId="0" borderId="0" xfId="23" applyNumberFormat="1" applyFont="1" applyAlignment="1" applyProtection="1">
      <alignment horizontal="right"/>
      <protection locked="0"/>
    </xf>
    <xf numFmtId="9" fontId="41" fillId="0" borderId="0" xfId="24" applyFont="1" applyBorder="1" applyAlignment="1" applyProtection="1">
      <alignment horizontal="right"/>
      <protection locked="0"/>
    </xf>
    <xf numFmtId="168" fontId="29" fillId="0" borderId="4" xfId="23" applyNumberFormat="1" applyFont="1" applyBorder="1" applyAlignment="1" applyProtection="1">
      <alignment horizontal="right"/>
      <protection locked="0"/>
    </xf>
    <xf numFmtId="168" fontId="28" fillId="0" borderId="0" xfId="23" applyNumberFormat="1" applyFont="1" applyAlignment="1" applyProtection="1">
      <alignment horizontal="right"/>
      <protection locked="0"/>
    </xf>
    <xf numFmtId="168" fontId="40" fillId="0" borderId="3" xfId="23" applyNumberFormat="1" applyFont="1" applyBorder="1" applyAlignment="1" applyProtection="1">
      <alignment horizontal="right"/>
      <protection locked="0"/>
    </xf>
    <xf numFmtId="168" fontId="41" fillId="0" borderId="0" xfId="23" applyNumberFormat="1" applyFont="1" applyBorder="1" applyAlignment="1" applyProtection="1">
      <alignment horizontal="right"/>
      <protection locked="0"/>
    </xf>
    <xf numFmtId="168" fontId="28" fillId="0" borderId="0" xfId="23" applyNumberFormat="1" applyFont="1" applyBorder="1" applyAlignment="1" applyProtection="1">
      <protection locked="0"/>
    </xf>
    <xf numFmtId="168" fontId="40" fillId="0" borderId="3" xfId="23" applyNumberFormat="1" applyFont="1" applyBorder="1" applyAlignment="1" applyProtection="1">
      <protection locked="0"/>
    </xf>
    <xf numFmtId="168" fontId="39" fillId="0" borderId="3" xfId="23" applyNumberFormat="1" applyFont="1" applyBorder="1" applyAlignment="1" applyProtection="1">
      <protection locked="0"/>
    </xf>
    <xf numFmtId="168" fontId="41" fillId="0" borderId="0" xfId="23" applyNumberFormat="1" applyFont="1" applyBorder="1" applyAlignment="1" applyProtection="1">
      <protection locked="0"/>
    </xf>
    <xf numFmtId="168" fontId="39" fillId="0" borderId="0" xfId="23" applyNumberFormat="1" applyFont="1" applyBorder="1" applyAlignment="1" applyProtection="1">
      <protection locked="0"/>
    </xf>
    <xf numFmtId="168" fontId="29" fillId="0" borderId="0" xfId="23" applyNumberFormat="1" applyFont="1" applyAlignment="1" applyProtection="1">
      <protection locked="0"/>
    </xf>
    <xf numFmtId="168" fontId="28" fillId="0" borderId="0" xfId="23" applyNumberFormat="1" applyFont="1" applyAlignment="1" applyProtection="1">
      <protection locked="0"/>
    </xf>
    <xf numFmtId="168" fontId="38" fillId="0" borderId="0" xfId="23" applyNumberFormat="1" applyFont="1" applyBorder="1" applyAlignment="1" applyProtection="1">
      <alignment horizontal="right"/>
      <protection locked="0"/>
    </xf>
    <xf numFmtId="168" fontId="28" fillId="0" borderId="0" xfId="23" applyNumberFormat="1" applyFont="1" applyBorder="1" applyAlignment="1" applyProtection="1">
      <alignment horizontal="right"/>
      <protection locked="0"/>
    </xf>
    <xf numFmtId="0" fontId="0" fillId="0" borderId="0" xfId="0" applyFont="1" applyBorder="1"/>
    <xf numFmtId="169" fontId="28" fillId="0" borderId="0" xfId="23" applyNumberFormat="1" applyFont="1" applyAlignment="1" applyProtection="1">
      <alignment horizontal="right"/>
    </xf>
    <xf numFmtId="168" fontId="28" fillId="0" borderId="0" xfId="23" applyNumberFormat="1" applyFont="1" applyAlignment="1" applyProtection="1"/>
    <xf numFmtId="0" fontId="20" fillId="12" borderId="0" xfId="0" applyFont="1" applyFill="1"/>
    <xf numFmtId="0" fontId="20" fillId="0" borderId="0" xfId="0" applyFont="1" applyFill="1"/>
    <xf numFmtId="0" fontId="20" fillId="12" borderId="0" xfId="0" applyFont="1" applyFill="1" applyBorder="1"/>
    <xf numFmtId="171" fontId="25" fillId="13" borderId="0" xfId="30" applyNumberFormat="1" applyFont="1" applyFill="1"/>
    <xf numFmtId="171" fontId="25" fillId="13" borderId="0" xfId="30" applyNumberFormat="1" applyFont="1" applyFill="1" applyAlignment="1">
      <alignment horizontal="right"/>
    </xf>
    <xf numFmtId="1" fontId="25" fillId="13" borderId="0" xfId="30" applyNumberFormat="1" applyFont="1" applyFill="1"/>
    <xf numFmtId="0" fontId="30" fillId="0" borderId="3" xfId="0" applyFont="1" applyBorder="1"/>
    <xf numFmtId="0" fontId="30" fillId="0" borderId="0" xfId="0" applyFont="1"/>
    <xf numFmtId="0" fontId="56" fillId="0" borderId="0" xfId="0" applyFont="1"/>
    <xf numFmtId="0" fontId="57" fillId="0" borderId="0" xfId="0" applyFont="1"/>
    <xf numFmtId="0" fontId="57" fillId="0" borderId="3" xfId="0" applyFont="1" applyBorder="1"/>
    <xf numFmtId="0" fontId="57" fillId="14" borderId="7" xfId="0" applyFont="1" applyFill="1" applyBorder="1" applyAlignment="1">
      <alignment horizontal="center"/>
    </xf>
    <xf numFmtId="5" fontId="57" fillId="0" borderId="0" xfId="0" applyNumberFormat="1" applyFont="1" applyAlignment="1">
      <alignment horizontal="center"/>
    </xf>
    <xf numFmtId="0" fontId="35" fillId="0" borderId="0" xfId="23" applyNumberFormat="1" applyFont="1" applyFill="1" applyAlignment="1" applyProtection="1">
      <protection locked="0"/>
    </xf>
    <xf numFmtId="1" fontId="25" fillId="13" borderId="0" xfId="30" applyNumberFormat="1" applyFont="1" applyFill="1" applyAlignment="1">
      <alignment horizontal="right"/>
    </xf>
    <xf numFmtId="0" fontId="20" fillId="0" borderId="0" xfId="0" applyFont="1" applyFill="1" applyBorder="1"/>
    <xf numFmtId="0" fontId="5" fillId="0" borderId="0" xfId="16" applyFont="1" applyFill="1" applyBorder="1"/>
    <xf numFmtId="168" fontId="58" fillId="0" borderId="0" xfId="23" applyNumberFormat="1" applyFont="1" applyFill="1" applyAlignment="1" applyProtection="1">
      <alignment horizontal="right"/>
      <protection locked="0"/>
    </xf>
    <xf numFmtId="0" fontId="20" fillId="0" borderId="4" xfId="0" applyFont="1" applyFill="1" applyBorder="1"/>
    <xf numFmtId="171" fontId="25" fillId="13" borderId="4" xfId="30" applyNumberFormat="1" applyFont="1" applyFill="1" applyBorder="1" applyAlignment="1">
      <alignment horizontal="right"/>
    </xf>
    <xf numFmtId="168" fontId="39" fillId="0" borderId="4" xfId="23" applyNumberFormat="1" applyFont="1" applyBorder="1" applyProtection="1">
      <protection locked="0"/>
    </xf>
    <xf numFmtId="168" fontId="39" fillId="0" borderId="4" xfId="23" applyNumberFormat="1" applyFont="1" applyBorder="1" applyAlignment="1" applyProtection="1">
      <alignment horizontal="center"/>
      <protection locked="0"/>
    </xf>
    <xf numFmtId="169" fontId="38" fillId="0" borderId="0" xfId="23" applyNumberFormat="1" applyFont="1" applyBorder="1" applyProtection="1">
      <protection locked="0"/>
    </xf>
    <xf numFmtId="171" fontId="58" fillId="0" borderId="0" xfId="30" applyNumberFormat="1" applyFont="1" applyFill="1" applyAlignment="1" applyProtection="1">
      <alignment horizontal="right"/>
      <protection locked="0"/>
    </xf>
    <xf numFmtId="171" fontId="58" fillId="0" borderId="4" xfId="30" applyNumberFormat="1" applyFont="1" applyFill="1" applyBorder="1" applyAlignment="1" applyProtection="1">
      <alignment horizontal="right"/>
      <protection locked="0"/>
    </xf>
    <xf numFmtId="169" fontId="38" fillId="0" borderId="4" xfId="23" applyNumberFormat="1" applyFont="1" applyBorder="1" applyProtection="1">
      <protection locked="0"/>
    </xf>
    <xf numFmtId="168" fontId="0" fillId="0" borderId="0" xfId="0" applyNumberFormat="1" applyFont="1"/>
    <xf numFmtId="171" fontId="25" fillId="14" borderId="0" xfId="0" applyNumberFormat="1" applyFont="1" applyFill="1" applyAlignment="1">
      <alignment horizontal="right"/>
    </xf>
    <xf numFmtId="0" fontId="59" fillId="0" borderId="0" xfId="0" applyFont="1"/>
    <xf numFmtId="0" fontId="60" fillId="0" borderId="0" xfId="0" applyFont="1"/>
    <xf numFmtId="3" fontId="59" fillId="0" borderId="0" xfId="0" applyNumberFormat="1" applyFont="1"/>
    <xf numFmtId="3" fontId="61" fillId="0" borderId="0" xfId="0" applyNumberFormat="1" applyFont="1"/>
    <xf numFmtId="0" fontId="61" fillId="0" borderId="0" xfId="0" applyFont="1"/>
    <xf numFmtId="0" fontId="59" fillId="0" borderId="5" xfId="0" applyFont="1" applyBorder="1"/>
    <xf numFmtId="3" fontId="60" fillId="0" borderId="5" xfId="0" applyNumberFormat="1" applyFont="1" applyBorder="1"/>
    <xf numFmtId="0" fontId="59" fillId="0" borderId="4" xfId="0" applyFont="1" applyBorder="1"/>
    <xf numFmtId="0" fontId="60" fillId="0" borderId="5" xfId="0" applyFont="1" applyBorder="1"/>
    <xf numFmtId="6" fontId="59" fillId="0" borderId="0" xfId="0" applyNumberFormat="1" applyFont="1"/>
    <xf numFmtId="8" fontId="59" fillId="0" borderId="0" xfId="0" applyNumberFormat="1" applyFont="1"/>
    <xf numFmtId="9" fontId="59" fillId="0" borderId="0" xfId="0" applyNumberFormat="1" applyFont="1"/>
    <xf numFmtId="0" fontId="59" fillId="0" borderId="0" xfId="0" applyFont="1" applyAlignment="1">
      <alignment horizontal="right"/>
    </xf>
    <xf numFmtId="8" fontId="59" fillId="0" borderId="0" xfId="0" applyNumberFormat="1" applyFont="1" applyAlignment="1">
      <alignment horizontal="right"/>
    </xf>
    <xf numFmtId="9" fontId="59" fillId="0" borderId="0" xfId="0" applyNumberFormat="1" applyFont="1" applyAlignment="1">
      <alignment horizontal="right"/>
    </xf>
    <xf numFmtId="0" fontId="59" fillId="0" borderId="3" xfId="0" applyFont="1" applyBorder="1"/>
    <xf numFmtId="2" fontId="59" fillId="0" borderId="0" xfId="0" applyNumberFormat="1" applyFont="1"/>
    <xf numFmtId="1" fontId="59" fillId="0" borderId="0" xfId="0" applyNumberFormat="1" applyFont="1"/>
    <xf numFmtId="44" fontId="59" fillId="0" borderId="0" xfId="29" applyFont="1"/>
    <xf numFmtId="186" fontId="59" fillId="0" borderId="0" xfId="29" applyNumberFormat="1" applyFont="1"/>
    <xf numFmtId="0" fontId="59" fillId="13" borderId="0" xfId="0" applyFont="1" applyFill="1"/>
    <xf numFmtId="171" fontId="59" fillId="0" borderId="0" xfId="30" applyNumberFormat="1" applyFont="1"/>
    <xf numFmtId="0" fontId="62" fillId="0" borderId="0" xfId="0" applyFont="1"/>
    <xf numFmtId="43" fontId="59" fillId="13" borderId="0" xfId="28" applyFont="1" applyFill="1"/>
    <xf numFmtId="169" fontId="59" fillId="13" borderId="0" xfId="28" applyNumberFormat="1" applyFont="1" applyFill="1"/>
    <xf numFmtId="169" fontId="59" fillId="0" borderId="0" xfId="0" applyNumberFormat="1" applyFont="1"/>
    <xf numFmtId="43" fontId="59" fillId="0" borderId="0" xfId="0" applyNumberFormat="1" applyFont="1"/>
    <xf numFmtId="169" fontId="59" fillId="13" borderId="0" xfId="0" applyNumberFormat="1" applyFont="1" applyFill="1"/>
    <xf numFmtId="43" fontId="59" fillId="13" borderId="0" xfId="0" applyNumberFormat="1" applyFont="1" applyFill="1"/>
    <xf numFmtId="43" fontId="59" fillId="0" borderId="0" xfId="28" applyFont="1"/>
    <xf numFmtId="10" fontId="59" fillId="13" borderId="0" xfId="0" applyNumberFormat="1" applyFont="1" applyFill="1"/>
    <xf numFmtId="10" fontId="61" fillId="0" borderId="0" xfId="0" applyNumberFormat="1" applyFont="1"/>
    <xf numFmtId="10" fontId="59" fillId="0" borderId="0" xfId="0" applyNumberFormat="1" applyFont="1"/>
    <xf numFmtId="169" fontId="59" fillId="0" borderId="0" xfId="28" applyNumberFormat="1" applyFont="1"/>
    <xf numFmtId="44" fontId="61" fillId="0" borderId="0" xfId="29" applyFont="1"/>
    <xf numFmtId="44" fontId="59" fillId="13" borderId="0" xfId="29" applyFont="1" applyFill="1"/>
    <xf numFmtId="193" fontId="59" fillId="0" borderId="0" xfId="0" applyNumberFormat="1" applyFont="1"/>
    <xf numFmtId="0" fontId="60" fillId="0" borderId="4" xfId="0" applyFont="1" applyBorder="1"/>
    <xf numFmtId="43" fontId="59" fillId="0" borderId="4" xfId="0" applyNumberFormat="1" applyFont="1" applyBorder="1"/>
    <xf numFmtId="169" fontId="60" fillId="0" borderId="5" xfId="0" applyNumberFormat="1" applyFont="1" applyBorder="1"/>
    <xf numFmtId="0" fontId="59" fillId="0" borderId="0" xfId="0" applyFont="1" applyBorder="1"/>
    <xf numFmtId="10" fontId="59" fillId="0" borderId="0" xfId="30" applyNumberFormat="1" applyFont="1"/>
    <xf numFmtId="171" fontId="59" fillId="0" borderId="5" xfId="30" applyNumberFormat="1" applyFont="1" applyBorder="1"/>
    <xf numFmtId="169" fontId="59" fillId="0" borderId="5" xfId="0" applyNumberFormat="1" applyFont="1" applyBorder="1"/>
    <xf numFmtId="3" fontId="59" fillId="0" borderId="5" xfId="0" applyNumberFormat="1" applyFont="1" applyBorder="1"/>
    <xf numFmtId="44" fontId="59" fillId="0" borderId="0" xfId="0" applyNumberFormat="1" applyFont="1"/>
    <xf numFmtId="2" fontId="59" fillId="15" borderId="0" xfId="0" applyNumberFormat="1" applyFont="1" applyFill="1"/>
    <xf numFmtId="0" fontId="59" fillId="15" borderId="0" xfId="0" applyFont="1" applyFill="1"/>
    <xf numFmtId="43" fontId="59" fillId="15" borderId="0" xfId="0" applyNumberFormat="1" applyFont="1" applyFill="1"/>
    <xf numFmtId="0" fontId="59" fillId="0" borderId="0" xfId="0" applyFont="1" applyAlignment="1">
      <alignment horizontal="left"/>
    </xf>
    <xf numFmtId="44" fontId="59" fillId="15" borderId="0" xfId="0" applyNumberFormat="1" applyFont="1" applyFill="1" applyAlignment="1">
      <alignment horizontal="center" vertical="center" wrapText="1"/>
    </xf>
    <xf numFmtId="9" fontId="59" fillId="15" borderId="0" xfId="0" applyNumberFormat="1" applyFont="1" applyFill="1"/>
    <xf numFmtId="43" fontId="59" fillId="0" borderId="0" xfId="28" applyNumberFormat="1" applyFont="1"/>
    <xf numFmtId="0" fontId="63" fillId="0" borderId="0" xfId="0" applyFont="1"/>
    <xf numFmtId="169" fontId="59" fillId="0" borderId="0" xfId="0" applyNumberFormat="1" applyFont="1" applyBorder="1"/>
    <xf numFmtId="44" fontId="60" fillId="0" borderId="0" xfId="0" applyNumberFormat="1" applyFont="1"/>
    <xf numFmtId="0" fontId="59" fillId="0" borderId="0" xfId="0" applyFont="1" applyFill="1"/>
    <xf numFmtId="169" fontId="59" fillId="0" borderId="0" xfId="0" applyNumberFormat="1" applyFont="1" applyFill="1"/>
    <xf numFmtId="43" fontId="59" fillId="0" borderId="0" xfId="0" applyNumberFormat="1" applyFont="1" applyFill="1"/>
    <xf numFmtId="10" fontId="59" fillId="0" borderId="5" xfId="0" applyNumberFormat="1" applyFont="1" applyBorder="1"/>
    <xf numFmtId="2" fontId="59" fillId="0" borderId="4" xfId="0" applyNumberFormat="1" applyFont="1" applyBorder="1"/>
    <xf numFmtId="0" fontId="60" fillId="0" borderId="6" xfId="0" applyFont="1" applyBorder="1"/>
    <xf numFmtId="169" fontId="60" fillId="0" borderId="6" xfId="28" applyNumberFormat="1" applyFont="1" applyBorder="1"/>
    <xf numFmtId="0" fontId="60" fillId="0" borderId="0" xfId="0" applyFont="1" applyBorder="1"/>
    <xf numFmtId="43" fontId="60" fillId="0" borderId="0" xfId="0" applyNumberFormat="1" applyFont="1" applyBorder="1"/>
    <xf numFmtId="2" fontId="59" fillId="0" borderId="0" xfId="0" applyNumberFormat="1" applyFont="1" applyFill="1"/>
    <xf numFmtId="0" fontId="61" fillId="0" borderId="0" xfId="0" applyFont="1" applyFill="1"/>
    <xf numFmtId="0" fontId="61" fillId="13" borderId="0" xfId="0" applyFont="1" applyFill="1"/>
    <xf numFmtId="2" fontId="59" fillId="0" borderId="0" xfId="0" applyNumberFormat="1" applyFont="1" applyBorder="1"/>
    <xf numFmtId="3" fontId="59" fillId="0" borderId="4" xfId="0" applyNumberFormat="1" applyFont="1" applyBorder="1"/>
    <xf numFmtId="10" fontId="59" fillId="0" borderId="4" xfId="30" applyNumberFormat="1" applyFont="1" applyBorder="1"/>
    <xf numFmtId="3" fontId="59" fillId="11" borderId="0" xfId="0" applyNumberFormat="1" applyFont="1" applyFill="1"/>
    <xf numFmtId="44" fontId="60" fillId="15" borderId="0" xfId="0" applyNumberFormat="1" applyFont="1" applyFill="1" applyBorder="1" applyAlignment="1">
      <alignment vertical="center"/>
    </xf>
    <xf numFmtId="44" fontId="60" fillId="15" borderId="4" xfId="0" applyNumberFormat="1" applyFont="1" applyFill="1" applyBorder="1" applyAlignment="1">
      <alignment vertical="center"/>
    </xf>
    <xf numFmtId="0" fontId="3" fillId="0" borderId="0" xfId="16" applyFont="1" applyFill="1" applyBorder="1"/>
    <xf numFmtId="0" fontId="3" fillId="0" borderId="0" xfId="16" applyFont="1"/>
    <xf numFmtId="171" fontId="58" fillId="0" borderId="0" xfId="30" applyNumberFormat="1" applyFont="1" applyFill="1" applyBorder="1" applyAlignment="1" applyProtection="1">
      <alignment horizontal="right"/>
      <protection locked="0"/>
    </xf>
    <xf numFmtId="171" fontId="38" fillId="0" borderId="4" xfId="24" applyNumberFormat="1" applyFont="1" applyFill="1" applyBorder="1" applyAlignment="1" applyProtection="1">
      <alignment horizontal="right"/>
      <protection locked="0"/>
    </xf>
    <xf numFmtId="168" fontId="28" fillId="0" borderId="5" xfId="23" applyNumberFormat="1" applyFont="1" applyBorder="1" applyProtection="1">
      <protection locked="0"/>
    </xf>
    <xf numFmtId="168" fontId="28" fillId="0" borderId="5" xfId="23" applyNumberFormat="1" applyFont="1" applyBorder="1" applyAlignment="1" applyProtection="1">
      <alignment horizontal="center"/>
      <protection locked="0"/>
    </xf>
    <xf numFmtId="171" fontId="38" fillId="0" borderId="5" xfId="24" applyNumberFormat="1" applyFont="1" applyFill="1" applyBorder="1" applyProtection="1">
      <protection locked="0"/>
    </xf>
    <xf numFmtId="171" fontId="58" fillId="0" borderId="5" xfId="30" applyNumberFormat="1" applyFont="1" applyFill="1" applyBorder="1" applyAlignment="1" applyProtection="1">
      <alignment horizontal="right"/>
      <protection locked="0"/>
    </xf>
    <xf numFmtId="168" fontId="28" fillId="13" borderId="0" xfId="23" applyNumberFormat="1" applyFont="1" applyFill="1" applyBorder="1" applyProtection="1">
      <protection locked="0"/>
    </xf>
    <xf numFmtId="168" fontId="28" fillId="13" borderId="5" xfId="23" applyNumberFormat="1" applyFont="1" applyFill="1" applyBorder="1" applyProtection="1">
      <protection locked="0"/>
    </xf>
    <xf numFmtId="43" fontId="28" fillId="0" borderId="0" xfId="28" applyFont="1" applyBorder="1" applyProtection="1">
      <protection locked="0"/>
    </xf>
    <xf numFmtId="10" fontId="61" fillId="0" borderId="0" xfId="30" applyNumberFormat="1" applyFont="1" applyFill="1"/>
    <xf numFmtId="10" fontId="28" fillId="0" borderId="0" xfId="30" applyNumberFormat="1" applyFont="1" applyBorder="1" applyProtection="1">
      <protection locked="0"/>
    </xf>
    <xf numFmtId="10" fontId="28" fillId="0" borderId="4" xfId="30" applyNumberFormat="1" applyFont="1" applyBorder="1" applyProtection="1">
      <protection locked="0"/>
    </xf>
    <xf numFmtId="169" fontId="28" fillId="0" borderId="0" xfId="28" applyNumberFormat="1" applyFont="1" applyBorder="1" applyProtection="1">
      <protection locked="0"/>
    </xf>
    <xf numFmtId="43" fontId="28" fillId="13" borderId="0" xfId="28" applyFont="1" applyFill="1" applyBorder="1" applyProtection="1">
      <protection locked="0"/>
    </xf>
    <xf numFmtId="10" fontId="28" fillId="13" borderId="0" xfId="30" applyNumberFormat="1" applyFont="1" applyFill="1" applyBorder="1" applyProtection="1">
      <protection locked="0"/>
    </xf>
    <xf numFmtId="10" fontId="28" fillId="13" borderId="4" xfId="30" applyNumberFormat="1" applyFont="1" applyFill="1" applyBorder="1" applyProtection="1">
      <protection locked="0"/>
    </xf>
    <xf numFmtId="43" fontId="58" fillId="0" borderId="0" xfId="28" applyFont="1" applyFill="1" applyBorder="1" applyAlignment="1" applyProtection="1">
      <alignment horizontal="right"/>
      <protection locked="0"/>
    </xf>
    <xf numFmtId="169" fontId="58" fillId="0" borderId="0" xfId="28" applyNumberFormat="1" applyFont="1" applyFill="1" applyBorder="1" applyAlignment="1" applyProtection="1">
      <alignment horizontal="right"/>
      <protection locked="0"/>
    </xf>
    <xf numFmtId="10" fontId="59" fillId="13" borderId="0" xfId="30" applyNumberFormat="1" applyFont="1" applyFill="1"/>
    <xf numFmtId="10" fontId="59" fillId="13" borderId="4" xfId="30" applyNumberFormat="1" applyFont="1" applyFill="1" applyBorder="1"/>
    <xf numFmtId="10" fontId="61" fillId="0" borderId="4" xfId="30" applyNumberFormat="1" applyFont="1" applyFill="1" applyBorder="1"/>
    <xf numFmtId="10" fontId="59" fillId="15" borderId="0" xfId="0" applyNumberFormat="1" applyFont="1" applyFill="1"/>
    <xf numFmtId="171" fontId="59" fillId="0" borderId="0" xfId="30" applyNumberFormat="1" applyFont="1" applyBorder="1"/>
    <xf numFmtId="43" fontId="59" fillId="0" borderId="0" xfId="0" applyNumberFormat="1" applyFont="1" applyBorder="1"/>
    <xf numFmtId="3" fontId="59" fillId="0" borderId="0" xfId="0" applyNumberFormat="1" applyFont="1" applyBorder="1"/>
    <xf numFmtId="3" fontId="61" fillId="0" borderId="0" xfId="0" applyNumberFormat="1" applyFont="1" applyBorder="1"/>
    <xf numFmtId="10" fontId="59" fillId="0" borderId="0" xfId="0" applyNumberFormat="1" applyFont="1" applyBorder="1"/>
    <xf numFmtId="10" fontId="61" fillId="0" borderId="0" xfId="0" applyNumberFormat="1" applyFont="1" applyBorder="1"/>
    <xf numFmtId="0" fontId="61" fillId="0" borderId="0" xfId="0" applyFont="1" applyBorder="1"/>
    <xf numFmtId="169" fontId="59" fillId="0" borderId="0" xfId="28" applyNumberFormat="1" applyFont="1" applyBorder="1"/>
    <xf numFmtId="43" fontId="59" fillId="0" borderId="0" xfId="28" applyFont="1" applyBorder="1"/>
    <xf numFmtId="193" fontId="59" fillId="0" borderId="0" xfId="0" applyNumberFormat="1" applyFont="1" applyBorder="1"/>
    <xf numFmtId="10" fontId="59" fillId="0" borderId="0" xfId="30" applyNumberFormat="1" applyFont="1" applyBorder="1"/>
    <xf numFmtId="1" fontId="59" fillId="0" borderId="0" xfId="0" applyNumberFormat="1" applyFont="1" applyBorder="1"/>
    <xf numFmtId="186" fontId="59" fillId="0" borderId="0" xfId="29" applyNumberFormat="1" applyFont="1" applyBorder="1"/>
    <xf numFmtId="0" fontId="59" fillId="13" borderId="0" xfId="0" applyFont="1" applyFill="1" applyBorder="1"/>
    <xf numFmtId="44" fontId="59" fillId="0" borderId="0" xfId="29" applyFont="1" applyBorder="1"/>
    <xf numFmtId="0" fontId="59" fillId="0" borderId="4" xfId="0" applyFont="1" applyBorder="1" applyAlignment="1">
      <alignment horizontal="right" indent="1"/>
    </xf>
    <xf numFmtId="0" fontId="59" fillId="0" borderId="0" xfId="0" applyFont="1" applyBorder="1" applyAlignment="1">
      <alignment horizontal="right" indent="1"/>
    </xf>
    <xf numFmtId="169" fontId="59" fillId="0" borderId="0" xfId="28" applyNumberFormat="1" applyFont="1" applyBorder="1" applyAlignment="1">
      <alignment horizontal="right" indent="1"/>
    </xf>
    <xf numFmtId="169" fontId="59" fillId="0" borderId="0" xfId="0" applyNumberFormat="1" applyFont="1" applyBorder="1" applyAlignment="1">
      <alignment horizontal="right" indent="1"/>
    </xf>
    <xf numFmtId="0" fontId="59" fillId="0" borderId="5" xfId="0" applyFont="1" applyBorder="1" applyAlignment="1">
      <alignment horizontal="right" indent="1"/>
    </xf>
  </cellXfs>
  <cellStyles count="42">
    <cellStyle name="ChartingText" xfId="14"/>
    <cellStyle name="CHPTop" xfId="15"/>
    <cellStyle name="ColumnHeaderNormal" xfId="6"/>
    <cellStyle name="Comma" xfId="28" builtinId="3"/>
    <cellStyle name="Comma 2" xfId="17"/>
    <cellStyle name="Comma 3" xfId="19"/>
    <cellStyle name="Comma 4" xfId="23"/>
    <cellStyle name="Comma 4 2" xfId="32"/>
    <cellStyle name="Currency" xfId="29" builtinId="4"/>
    <cellStyle name="Followed Hyperlink" xfId="31"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Hyperlink" xfId="22" builtinId="8"/>
    <cellStyle name="Hyperlink 2 2" xfId="27"/>
    <cellStyle name="Invisible" xfId="13"/>
    <cellStyle name="NewColumnHeaderNormal" xfId="4"/>
    <cellStyle name="NewSectionHeaderNormal" xfId="3"/>
    <cellStyle name="NewTitleNormal" xfId="2"/>
    <cellStyle name="Normal" xfId="0" builtinId="0"/>
    <cellStyle name="Normal 2" xfId="16"/>
    <cellStyle name="Normal 2 2" xfId="26"/>
    <cellStyle name="Normal 3" xfId="21"/>
    <cellStyle name="Normal 4" xfId="25"/>
    <cellStyle name="Normal 4 2" xfId="34"/>
    <cellStyle name="Percent" xfId="30" builtinId="5"/>
    <cellStyle name="Percent 2" xfId="18"/>
    <cellStyle name="Percent 3" xfId="20"/>
    <cellStyle name="Percent 4" xfId="24"/>
    <cellStyle name="Percent 4 2" xfId="33"/>
    <cellStyle name="SectionHeaderNormal" xfId="5"/>
    <cellStyle name="SubScript" xfId="9"/>
    <cellStyle name="SuperScript" xfId="8"/>
    <cellStyle name="TextBold" xfId="10"/>
    <cellStyle name="TextItalic" xfId="11"/>
    <cellStyle name="TextNormal" xfId="7"/>
    <cellStyle name="TitleNormal" xfId="1"/>
    <cellStyle name="Total" xfId="12" builtinId="25" customBuiltin="1"/>
  </cellStyles>
  <dxfs count="6">
    <dxf>
      <font>
        <color rgb="FF9C0006"/>
      </font>
      <fill>
        <patternFill>
          <bgColor rgb="FFFFC7CE"/>
        </patternFill>
      </fill>
    </dxf>
    <dxf>
      <font>
        <color rgb="FF006100"/>
      </font>
      <fill>
        <patternFill patternType="none">
          <bgColor auto="1"/>
        </patternFill>
      </fill>
    </dxf>
    <dxf>
      <font>
        <color rgb="FF9C0006"/>
      </font>
      <fill>
        <patternFill>
          <bgColor rgb="FFFFC7CE"/>
        </patternFill>
      </fill>
    </dxf>
    <dxf>
      <font>
        <color rgb="FF006100"/>
      </font>
      <fill>
        <patternFill patternType="none">
          <bgColor auto="1"/>
        </patternFill>
      </fill>
    </dxf>
    <dxf>
      <font>
        <color rgb="FF9C0006"/>
      </font>
      <fill>
        <patternFill>
          <bgColor rgb="FFFFC7CE"/>
        </patternFill>
      </fill>
    </dxf>
    <dxf>
      <font>
        <color rgb="FF006100"/>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0000FF"/>
      <color rgb="FFFA621C"/>
      <color rgb="FF132E57"/>
      <color rgb="FFED94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Ex1.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'DCF-N (2)'!$A$220</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'DCF-N (2)'!$D$219:$H$219</c:f>
              <c:numCache>
                <c:formatCode>General</c:formatCode>
                <c:ptCount val="5"/>
                <c:pt idx="0">
                  <c:v>2019.0</c:v>
                </c:pt>
                <c:pt idx="1">
                  <c:v>2020.0</c:v>
                </c:pt>
                <c:pt idx="2">
                  <c:v>2021.0</c:v>
                </c:pt>
                <c:pt idx="3">
                  <c:v>2022.0</c:v>
                </c:pt>
                <c:pt idx="4">
                  <c:v>2023.0</c:v>
                </c:pt>
              </c:numCache>
            </c:numRef>
          </c:cat>
          <c:val>
            <c:numRef>
              <c:f>'DCF-N (2)'!$D$220:$H$220</c:f>
              <c:numCache>
                <c:formatCode>_-* #,##0_-;\(#,##0\)_-;_-* "-"_-;_-@_-</c:formatCode>
                <c:ptCount val="5"/>
                <c:pt idx="0">
                  <c:v>969.3891674487909</c:v>
                </c:pt>
                <c:pt idx="1">
                  <c:v>546.2983726300008</c:v>
                </c:pt>
                <c:pt idx="2">
                  <c:v>546.2983726300008</c:v>
                </c:pt>
                <c:pt idx="3">
                  <c:v>546.2983726300008</c:v>
                </c:pt>
                <c:pt idx="4">
                  <c:v>546.2983726300008</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62504080"/>
        <c:axId val="-1362501760"/>
      </c:barChart>
      <c:catAx>
        <c:axId val="-1362504080"/>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62501760"/>
        <c:crosses val="autoZero"/>
        <c:auto val="1"/>
        <c:lblAlgn val="ctr"/>
        <c:lblOffset val="100"/>
        <c:noMultiLvlLbl val="1"/>
      </c:catAx>
      <c:valAx>
        <c:axId val="-1362501760"/>
        <c:scaling>
          <c:orientation val="minMax"/>
        </c:scaling>
        <c:delete val="1"/>
        <c:axPos val="l"/>
        <c:numFmt formatCode="&quot;$&quot;#,##0" sourceLinked="0"/>
        <c:majorTickMark val="none"/>
        <c:minorTickMark val="none"/>
        <c:tickLblPos val="nextTo"/>
        <c:crossAx val="-1362504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'DCF-N'!$A$220</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'DCF-N'!$D$219:$H$219</c:f>
              <c:numCache>
                <c:formatCode>General</c:formatCode>
                <c:ptCount val="5"/>
                <c:pt idx="0">
                  <c:v>2019.0</c:v>
                </c:pt>
                <c:pt idx="1">
                  <c:v>2020.0</c:v>
                </c:pt>
                <c:pt idx="2">
                  <c:v>2021.0</c:v>
                </c:pt>
                <c:pt idx="3">
                  <c:v>2022.0</c:v>
                </c:pt>
                <c:pt idx="4">
                  <c:v>2023.0</c:v>
                </c:pt>
              </c:numCache>
            </c:numRef>
          </c:cat>
          <c:val>
            <c:numRef>
              <c:f>'DCF-N'!$D$220:$H$220</c:f>
              <c:numCache>
                <c:formatCode>_-* #,##0_-;\(#,##0\)_-;_-* "-"_-;_-@_-</c:formatCode>
                <c:ptCount val="5"/>
                <c:pt idx="0">
                  <c:v>2272.16699276225</c:v>
                </c:pt>
                <c:pt idx="1">
                  <c:v>2392.540936674752</c:v>
                </c:pt>
                <c:pt idx="2">
                  <c:v>2534.708896504259</c:v>
                </c:pt>
                <c:pt idx="3">
                  <c:v>2680.94735149833</c:v>
                </c:pt>
                <c:pt idx="4">
                  <c:v>2831.465924096023</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493369824"/>
        <c:axId val="-1431280400"/>
      </c:barChart>
      <c:catAx>
        <c:axId val="-1493369824"/>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431280400"/>
        <c:crosses val="autoZero"/>
        <c:auto val="1"/>
        <c:lblAlgn val="ctr"/>
        <c:lblOffset val="100"/>
        <c:noMultiLvlLbl val="1"/>
      </c:catAx>
      <c:valAx>
        <c:axId val="-1431280400"/>
        <c:scaling>
          <c:orientation val="minMax"/>
        </c:scaling>
        <c:delete val="1"/>
        <c:axPos val="l"/>
        <c:numFmt formatCode="&quot;$&quot;#,##0" sourceLinked="0"/>
        <c:majorTickMark val="none"/>
        <c:minorTickMark val="none"/>
        <c:tickLblPos val="nextTo"/>
        <c:crossAx val="-14933698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Summary - Equity Value per Share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Field'!$N$15:$N$19</c:f>
              <c:numCache>
                <c:formatCode>_-* #,##0.00_-;\-* #,##0.00_-;_-* "-"??_-;_-@_-</c:formatCode>
                <c:ptCount val="5"/>
                <c:pt idx="0">
                  <c:v>22.39516301427119</c:v>
                </c:pt>
                <c:pt idx="1">
                  <c:v>24.80499999999999</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0-7E7A-41C9-970B-B9B45B225BA4}"/>
            </c:ext>
          </c:extLst>
        </c:ser>
        <c:ser>
          <c:idx val="1"/>
          <c:order val="1"/>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Field'!$O$15:$O$19</c:f>
              <c:numCache>
                <c:formatCode>_-* #,##0.00_-;\-* #,##0.00_-;_-* "-"??_-;_-@_-</c:formatCode>
                <c:ptCount val="5"/>
                <c:pt idx="0">
                  <c:v>22.39516301427119</c:v>
                </c:pt>
                <c:pt idx="1">
                  <c:v>24.80499999999999</c:v>
                </c:pt>
                <c:pt idx="2">
                  <c:v>28.0</c:v>
                </c:pt>
                <c:pt idx="3">
                  <c:v>36.0</c:v>
                </c:pt>
                <c:pt idx="4">
                  <c:v>22.0</c:v>
                </c:pt>
              </c:numCache>
            </c:numRef>
          </c:val>
          <c:smooth val="0"/>
          <c:extLst xmlns:c16r2="http://schemas.microsoft.com/office/drawing/2015/06/chart">
            <c:ext xmlns:c16="http://schemas.microsoft.com/office/drawing/2014/chart" uri="{C3380CC4-5D6E-409C-BE32-E72D297353CC}">
              <c16:uniqueId val="{00000001-7E7A-41C9-970B-B9B45B225BA4}"/>
            </c:ext>
          </c:extLst>
        </c:ser>
        <c:ser>
          <c:idx val="2"/>
          <c:order val="2"/>
          <c:spPr>
            <a:ln w="28575" cap="rnd">
              <a:noFill/>
              <a:round/>
            </a:ln>
            <a:effectLst/>
          </c:spPr>
          <c:marker>
            <c:symbol val="none"/>
          </c:marker>
          <c:cat>
            <c:strRef>
              <c:f>'Summary - Football Field'!$L$15:$L$19</c:f>
              <c:strCache>
                <c:ptCount val="5"/>
                <c:pt idx="0">
                  <c:v>Comps</c:v>
                </c:pt>
                <c:pt idx="1">
                  <c:v>Precedents</c:v>
                </c:pt>
                <c:pt idx="2">
                  <c:v>DCF - base case</c:v>
                </c:pt>
                <c:pt idx="3">
                  <c:v>DCF - blue sky</c:v>
                </c:pt>
                <c:pt idx="4">
                  <c:v>52 wk hi/lo</c:v>
                </c:pt>
              </c:strCache>
            </c:strRef>
          </c:cat>
          <c:val>
            <c:numRef>
              <c:f>'Summary - Football Field'!$P$15:$P$19</c:f>
              <c:numCache>
                <c:formatCode>_-* #,##0.00_-;\-* #,##0.00_-;_-* "-"??_-;_-@_-</c:formatCode>
                <c:ptCount val="5"/>
                <c:pt idx="0">
                  <c:v>49.21072003997051</c:v>
                </c:pt>
                <c:pt idx="1">
                  <c:v>38.08333333333333</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2-7E7A-41C9-970B-B9B45B225BA4}"/>
            </c:ext>
          </c:extLst>
        </c:ser>
        <c:ser>
          <c:idx val="3"/>
          <c:order val="3"/>
          <c:spPr>
            <a:ln w="28575" cap="rnd">
              <a:noFill/>
              <a:round/>
            </a:ln>
            <a:effectLst/>
          </c:spPr>
          <c:marker>
            <c:symbol val="none"/>
          </c:marker>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 Football Field'!$L$15:$L$19</c:f>
              <c:strCache>
                <c:ptCount val="5"/>
                <c:pt idx="0">
                  <c:v>Comps</c:v>
                </c:pt>
                <c:pt idx="1">
                  <c:v>Precedents</c:v>
                </c:pt>
                <c:pt idx="2">
                  <c:v>DCF - base case</c:v>
                </c:pt>
                <c:pt idx="3">
                  <c:v>DCF - blue sky</c:v>
                </c:pt>
                <c:pt idx="4">
                  <c:v>52 wk hi/lo</c:v>
                </c:pt>
              </c:strCache>
            </c:strRef>
          </c:cat>
          <c:val>
            <c:numRef>
              <c:f>'Summary - Football Field'!$Q$15:$Q$19</c:f>
              <c:numCache>
                <c:formatCode>_-* #,##0.00_-;\-* #,##0.00_-;_-* "-"??_-;_-@_-</c:formatCode>
                <c:ptCount val="5"/>
                <c:pt idx="0">
                  <c:v>49.21072003997051</c:v>
                </c:pt>
                <c:pt idx="1">
                  <c:v>38.08333333333333</c:v>
                </c:pt>
                <c:pt idx="2">
                  <c:v>36.0</c:v>
                </c:pt>
                <c:pt idx="3">
                  <c:v>44.0</c:v>
                </c:pt>
                <c:pt idx="4">
                  <c:v>30.0</c:v>
                </c:pt>
              </c:numCache>
            </c:numRef>
          </c:val>
          <c:smooth val="0"/>
          <c:extLst xmlns:c16r2="http://schemas.microsoft.com/office/drawing/2015/06/chart">
            <c:ext xmlns:c16="http://schemas.microsoft.com/office/drawing/2014/chart" uri="{C3380CC4-5D6E-409C-BE32-E72D297353CC}">
              <c16:uniqueId val="{00000003-7E7A-41C9-970B-B9B45B225BA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accent3"/>
              </a:solidFill>
              <a:ln w="9525" cap="flat" cmpd="sng" algn="ctr">
                <a:no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408556928"/>
        <c:axId val="-1408554608"/>
      </c:stockChart>
      <c:catAx>
        <c:axId val="-140855692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4608"/>
        <c:crosses val="autoZero"/>
        <c:auto val="1"/>
        <c:lblAlgn val="ctr"/>
        <c:lblOffset val="100"/>
        <c:noMultiLvlLbl val="0"/>
      </c:catAx>
      <c:valAx>
        <c:axId val="-1408554608"/>
        <c:scaling>
          <c:orientation val="minMax"/>
          <c:min val="10.0"/>
        </c:scaling>
        <c:delete val="0"/>
        <c:axPos val="l"/>
        <c:numFmt formatCode="_(* #,##0.00_);_(* \(#,##0.00\);_(* &quot;-&quot;??_);_(@_)"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t>FCFF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barChart>
        <c:barDir val="col"/>
        <c:grouping val="stacked"/>
        <c:varyColors val="0"/>
        <c:ser>
          <c:idx val="0"/>
          <c:order val="0"/>
          <c:tx>
            <c:strRef>
              <c:f>DCF!$A$152</c:f>
              <c:strCache>
                <c:ptCount val="1"/>
                <c:pt idx="0">
                  <c:v>FCFF</c:v>
                </c:pt>
              </c:strCache>
            </c:strRef>
          </c:tx>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DCF!$D$151:$H$151</c:f>
              <c:numCache>
                <c:formatCode>General</c:formatCode>
                <c:ptCount val="5"/>
                <c:pt idx="0">
                  <c:v>2018.0</c:v>
                </c:pt>
                <c:pt idx="1">
                  <c:v>2019.0</c:v>
                </c:pt>
                <c:pt idx="2">
                  <c:v>2020.0</c:v>
                </c:pt>
                <c:pt idx="3">
                  <c:v>2021.0</c:v>
                </c:pt>
                <c:pt idx="4">
                  <c:v>2022.0</c:v>
                </c:pt>
              </c:numCache>
            </c:numRef>
          </c:cat>
          <c:val>
            <c:numRef>
              <c:f>DCF!$D$152:$H$152</c:f>
              <c:numCache>
                <c:formatCode>_-* #,##0_-;\(#,##0\)_-;_-* "-"_-;_-@_-</c:formatCode>
                <c:ptCount val="5"/>
                <c:pt idx="0">
                  <c:v>18642.2465083048</c:v>
                </c:pt>
                <c:pt idx="1">
                  <c:v>21391.45927710617</c:v>
                </c:pt>
                <c:pt idx="2">
                  <c:v>21202.50337814641</c:v>
                </c:pt>
                <c:pt idx="3">
                  <c:v>57797.14491537465</c:v>
                </c:pt>
                <c:pt idx="4">
                  <c:v>62790.64900961585</c:v>
                </c:pt>
              </c:numCache>
            </c:numRef>
          </c:val>
          <c:extLst xmlns:c16r2="http://schemas.microsoft.com/office/drawing/2015/06/chart">
            <c:ext xmlns:c16="http://schemas.microsoft.com/office/drawing/2014/chart" uri="{C3380CC4-5D6E-409C-BE32-E72D297353CC}">
              <c16:uniqueId val="{00000000-5924-4F74-8E37-2FBCED949945}"/>
            </c:ext>
          </c:extLst>
        </c:ser>
        <c:dLbls>
          <c:showLegendKey val="0"/>
          <c:showVal val="0"/>
          <c:showCatName val="0"/>
          <c:showSerName val="0"/>
          <c:showPercent val="0"/>
          <c:showBubbleSize val="0"/>
        </c:dLbls>
        <c:gapWidth val="50"/>
        <c:overlap val="100"/>
        <c:axId val="-1391965536"/>
        <c:axId val="-1391962784"/>
      </c:barChart>
      <c:catAx>
        <c:axId val="-1391965536"/>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391962784"/>
        <c:crosses val="autoZero"/>
        <c:auto val="1"/>
        <c:lblAlgn val="ctr"/>
        <c:lblOffset val="100"/>
        <c:noMultiLvlLbl val="1"/>
      </c:catAx>
      <c:valAx>
        <c:axId val="-1391962784"/>
        <c:scaling>
          <c:orientation val="minMax"/>
        </c:scaling>
        <c:delete val="1"/>
        <c:axPos val="l"/>
        <c:numFmt formatCode="&quot;$&quot;#,##0" sourceLinked="0"/>
        <c:majorTickMark val="none"/>
        <c:minorTickMark val="none"/>
        <c:tickLblPos val="nextTo"/>
        <c:crossAx val="-139196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Market Value vs Intrinsic Value</cx:v>
        </cx:txData>
      </cx:tx>
      <cx:txPr>
        <a:bodyPr spcFirstLastPara="1" vertOverflow="ellipsis" horzOverflow="overflow" wrap="square" lIns="0" tIns="0" rIns="0" bIns="0" anchor="ctr" anchorCtr="1"/>
        <a:lstStyle/>
        <a:p>
          <a:pPr algn="ctr" rtl="0">
            <a:defRPr>
              <a:latin typeface="Arial Narrow" panose="020B0606020202030204" pitchFamily="34" charset="0"/>
              <a:ea typeface="Arial Narrow" panose="020B0606020202030204" pitchFamily="34" charset="0"/>
              <a:cs typeface="Arial Narrow" panose="020B0606020202030204" pitchFamily="34" charset="0"/>
            </a:defRPr>
          </a:pPr>
          <a:r>
            <a:rPr lang="en-US" sz="1400" b="0" i="0" u="none" strike="noStrike" baseline="0">
              <a:solidFill>
                <a:sysClr val="windowText" lastClr="000000">
                  <a:lumMod val="65000"/>
                  <a:lumOff val="35000"/>
                </a:sysClr>
              </a:solidFill>
              <a:latin typeface="Arial Narrow" panose="020B0606020202030204" pitchFamily="34" charset="0"/>
            </a:rPr>
            <a:t>Market Value vs Intrinsic Value</a:t>
          </a:r>
        </a:p>
      </cx:txPr>
    </cx:title>
    <cx:plotArea>
      <cx:plotAreaRegion>
        <cx:plotSurface>
          <cx:spPr>
            <a:noFill/>
            <a:ln>
              <a:noFill/>
            </a:ln>
          </cx:spPr>
        </cx:plotSurface>
        <cx:series layoutId="waterfall" uniqueId="{E3FC3406-74EE-4FB8-A022-E30EBF20B419}" formatIdx="0">
          <cx:tx>
            <cx:txData>
              <cx:f>_xlchart.v1.0</cx:f>
              <cx:v> Market Value vs Intrinsic Value </cx:v>
            </cx:txData>
          </cx:tx>
          <cx:dataPt idx="0">
            <cx:spPr>
              <a:solidFill>
                <a:srgbClr val="132E57"/>
              </a:solidFill>
            </cx:spPr>
          </cx:dataPt>
          <cx:dataPt idx="1">
            <cx:spPr>
              <a:solidFill>
                <a:srgbClr val="1E8496"/>
              </a:solidFill>
            </cx:spPr>
          </cx:dataPt>
          <cx:dataPt idx="2">
            <cx:spPr>
              <a:solidFill>
                <a:srgbClr val="F57A16"/>
              </a:solidFill>
            </cx:spPr>
          </cx:dataPt>
          <cx:dataLabels pos="outEnd">
            <cx:txPr>
              <a:bodyPr vertOverflow="overflow" horzOverflow="overflow" wrap="square" lIns="0" tIns="0" rIns="0" bIns="0"/>
              <a:lstStyle/>
              <a:p>
                <a:pPr algn="ctr" rtl="0">
                  <a:defRPr sz="1000" b="0">
                    <a:solidFill>
                      <a:srgbClr val="595959"/>
                    </a:solidFill>
                    <a:latin typeface="Arial Narrow" panose="020B0606020202030204" pitchFamily="34" charset="0"/>
                    <a:ea typeface="Arial Narrow" panose="020B0606020202030204" pitchFamily="34" charset="0"/>
                    <a:cs typeface="Arial Narrow" panose="020B0606020202030204" pitchFamily="34" charset="0"/>
                  </a:defRPr>
                </a:pPr>
                <a:endParaRPr lang="en-US" sz="1000">
                  <a:latin typeface="Arial Narrow" panose="020B0606020202030204" pitchFamily="34" charset="0"/>
                </a:endParaRPr>
              </a:p>
            </cx:txPr>
            <cx:visibility seriesName="0" categoryName="0" value="1"/>
          </cx:dataLabels>
          <cx:dataId val="0"/>
          <cx:layoutPr>
            <cx:subtotals>
              <cx:idx val="2"/>
            </cx:subtotals>
          </cx:layoutPr>
        </cx:series>
      </cx:plotAreaRegion>
      <cx:axis id="0">
        <cx:catScaling/>
        <cx:tickLabels/>
      </cx:axis>
      <cx:axis id="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7" dropStyle="combo" dx="16" fmlaLink="$L$4" fmlaRange="$D$4:$D$6"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533399</xdr:colOff>
      <xdr:row>4</xdr:row>
      <xdr:rowOff>0</xdr:rowOff>
    </xdr:from>
    <xdr:to>
      <xdr:col>4</xdr:col>
      <xdr:colOff>154940</xdr:colOff>
      <xdr:row>10</xdr:row>
      <xdr:rowOff>32385</xdr:rowOff>
    </xdr:to>
    <xdr:pic>
      <xdr:nvPicPr>
        <xdr:cNvPr id="3" name="Picture 2">
          <a:extLst>
            <a:ext uri="{FF2B5EF4-FFF2-40B4-BE49-F238E27FC236}">
              <a16:creationId xmlns:a16="http://schemas.microsoft.com/office/drawing/2014/main" xmlns="" id="{323AAFE5-1D2B-445D-A422-7ECC1F9970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2049" y="685800"/>
          <a:ext cx="2743201" cy="12934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441325</xdr:colOff>
      <xdr:row>223</xdr:row>
      <xdr:rowOff>193675</xdr:rowOff>
    </xdr:from>
    <xdr:to>
      <xdr:col>6</xdr:col>
      <xdr:colOff>346075</xdr:colOff>
      <xdr:row>237</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224</xdr:row>
      <xdr:rowOff>20637</xdr:rowOff>
    </xdr:from>
    <xdr:to>
      <xdr:col>12</xdr:col>
      <xdr:colOff>631825</xdr:colOff>
      <xdr:row>237</xdr:row>
      <xdr:rowOff>160337</xdr:rowOff>
    </xdr:to>
    <xdr:sp macro="" textlink="">
      <xdr:nvSpPr>
        <xdr:cNvPr id="3" name="Rectangle 2"/>
        <xdr:cNvSpPr>
          <a:spLocks noTextEdit="1"/>
        </xdr:cNvSpPr>
      </xdr:nvSpPr>
      <xdr:spPr>
        <a:xfrm>
          <a:off x="7610475" y="460073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441325</xdr:colOff>
      <xdr:row>223</xdr:row>
      <xdr:rowOff>193675</xdr:rowOff>
    </xdr:from>
    <xdr:to>
      <xdr:col>6</xdr:col>
      <xdr:colOff>346075</xdr:colOff>
      <xdr:row>237</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224</xdr:row>
      <xdr:rowOff>20637</xdr:rowOff>
    </xdr:from>
    <xdr:to>
      <xdr:col>12</xdr:col>
      <xdr:colOff>631825</xdr:colOff>
      <xdr:row>237</xdr:row>
      <xdr:rowOff>160337</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7E33EBBB-86A6-4DB8-A241-0E5F156139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5559425" y="31252477"/>
              <a:ext cx="4707890" cy="240919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812800</xdr:colOff>
          <xdr:row>0</xdr:row>
          <xdr:rowOff>0</xdr:rowOff>
        </xdr:from>
        <xdr:to>
          <xdr:col>3</xdr:col>
          <xdr:colOff>1899920</xdr:colOff>
          <xdr:row>0</xdr:row>
          <xdr:rowOff>335280</xdr:rowOff>
        </xdr:to>
        <xdr:sp macro="" textlink="">
          <xdr:nvSpPr>
            <xdr:cNvPr id="11267" name="Drop Down 3" hidden="1">
              <a:extLst>
                <a:ext uri="{63B3BB69-23CF-44E3-9099-C40C66FF867C}">
                  <a14:compatExt spid="_x0000_s11267"/>
                </a:ext>
              </a:extLst>
            </xdr:cNvPr>
            <xdr:cNvSpPr/>
          </xdr:nvSpPr>
          <xdr:spPr bwMode="auto">
            <a:xfrm>
              <a:off x="0" y="0"/>
              <a:ext cx="0" cy="0"/>
            </a:xfrm>
            <a:prstGeom prst="rect">
              <a:avLst/>
            </a:prstGeom>
            <a:noFill/>
            <a:ln>
              <a:noFill/>
            </a:ln>
            <a:extLst>
              <a:ext uri="{91240B29-F687-4F45-9708-019B960494DF}">
                <a14:hiddenLine w="9525">
                  <a:noFill/>
                  <a:miter lim="800000"/>
                  <a:headEnd type="none" w="med" len="med"/>
                  <a:tailEnd type="none" w="med" len="me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13805</xdr:colOff>
      <xdr:row>21</xdr:row>
      <xdr:rowOff>69574</xdr:rowOff>
    </xdr:from>
    <xdr:to>
      <xdr:col>10</xdr:col>
      <xdr:colOff>5522</xdr:colOff>
      <xdr:row>41</xdr:row>
      <xdr:rowOff>27609</xdr:rowOff>
    </xdr:to>
    <xdr:graphicFrame macro="">
      <xdr:nvGraphicFramePr>
        <xdr:cNvPr id="2" name="Chart 1">
          <a:extLst>
            <a:ext uri="{FF2B5EF4-FFF2-40B4-BE49-F238E27FC236}">
              <a16:creationId xmlns:a16="http://schemas.microsoft.com/office/drawing/2014/main" xmlns="" id="{102E4F66-101C-435A-BF48-5FA85DA4A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513522</xdr:colOff>
      <xdr:row>32</xdr:row>
      <xdr:rowOff>160130</xdr:rowOff>
    </xdr:from>
    <xdr:to>
      <xdr:col>9</xdr:col>
      <xdr:colOff>706783</xdr:colOff>
      <xdr:row>32</xdr:row>
      <xdr:rowOff>171173</xdr:rowOff>
    </xdr:to>
    <xdr:cxnSp macro="">
      <xdr:nvCxnSpPr>
        <xdr:cNvPr id="4" name="Straight Connector 3">
          <a:extLst>
            <a:ext uri="{FF2B5EF4-FFF2-40B4-BE49-F238E27FC236}">
              <a16:creationId xmlns:a16="http://schemas.microsoft.com/office/drawing/2014/main" xmlns="" id="{0425D018-0FDD-4B56-86DB-AB632A8A4A2D}"/>
            </a:ext>
          </a:extLst>
        </xdr:cNvPr>
        <xdr:cNvCxnSpPr/>
      </xdr:nvCxnSpPr>
      <xdr:spPr bwMode="auto">
        <a:xfrm flipV="1">
          <a:off x="1054652" y="5461000"/>
          <a:ext cx="6521174" cy="11043"/>
        </a:xfrm>
        <a:prstGeom prst="line">
          <a:avLst/>
        </a:prstGeom>
        <a:solidFill>
          <a:srgbClr xmlns:mc="http://schemas.openxmlformats.org/markup-compatibility/2006" xmlns:a14="http://schemas.microsoft.com/office/drawing/2010/main" val="FFFFFF" mc:Ignorable="a14" a14:legacySpreadsheetColorIndex="65"/>
        </a:solidFill>
        <a:ln w="15875" cap="flat" cmpd="sng" algn="ctr">
          <a:solidFill>
            <a:srgbClr val="FA621C"/>
          </a:solid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441325</xdr:colOff>
      <xdr:row>155</xdr:row>
      <xdr:rowOff>193675</xdr:rowOff>
    </xdr:from>
    <xdr:to>
      <xdr:col>6</xdr:col>
      <xdr:colOff>346075</xdr:colOff>
      <xdr:row>169</xdr:row>
      <xdr:rowOff>146050</xdr:rowOff>
    </xdr:to>
    <xdr:graphicFrame macro="">
      <xdr:nvGraphicFramePr>
        <xdr:cNvPr id="2" name="Chart 1">
          <a:extLst>
            <a:ext uri="{FF2B5EF4-FFF2-40B4-BE49-F238E27FC236}">
              <a16:creationId xmlns:a16="http://schemas.microsoft.com/office/drawing/2014/main" xmlns="" id="{CA10DD73-2AD9-4164-869E-48B071D32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688975</xdr:colOff>
      <xdr:row>156</xdr:row>
      <xdr:rowOff>20637</xdr:rowOff>
    </xdr:from>
    <xdr:to>
      <xdr:col>12</xdr:col>
      <xdr:colOff>631825</xdr:colOff>
      <xdr:row>169</xdr:row>
      <xdr:rowOff>160337</xdr:rowOff>
    </xdr:to>
    <xdr:sp macro="" textlink="">
      <xdr:nvSpPr>
        <xdr:cNvPr id="3" name="Rectangle 2"/>
        <xdr:cNvSpPr>
          <a:spLocks noTextEdit="1"/>
        </xdr:cNvSpPr>
      </xdr:nvSpPr>
      <xdr:spPr>
        <a:xfrm>
          <a:off x="6086475" y="32177037"/>
          <a:ext cx="5200650" cy="24384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visvandusseldorp/Downloads/ValuationModelCompsPrecedentsDCFFootballFieldComplete-15470592934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mps"/>
      <sheetName val="Precedents"/>
      <sheetName val="DCF"/>
      <sheetName val="Summary - Football Field"/>
    </sheetNames>
    <sheetDataSet>
      <sheetData sheetId="0"/>
      <sheetData sheetId="1"/>
      <sheetData sheetId="2"/>
      <sheetData sheetId="3">
        <row r="151">
          <cell r="D151">
            <v>2018</v>
          </cell>
          <cell r="E151">
            <v>2019</v>
          </cell>
          <cell r="F151">
            <v>2020</v>
          </cell>
          <cell r="G151">
            <v>2021</v>
          </cell>
          <cell r="H151">
            <v>2022</v>
          </cell>
        </row>
        <row r="152">
          <cell r="A152" t="str">
            <v>FCFF</v>
          </cell>
          <cell r="D152">
            <v>18642.246508304797</v>
          </cell>
          <cell r="E152">
            <v>21391.459277106165</v>
          </cell>
          <cell r="F152">
            <v>21202.503378146412</v>
          </cell>
          <cell r="G152">
            <v>57797.144915374651</v>
          </cell>
          <cell r="H152">
            <v>62790.649009615852</v>
          </cell>
        </row>
      </sheetData>
      <sheetData sheetId="4"/>
    </sheetDataSet>
  </externalBook>
</externalLink>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rporatefinanceinstitute.com/"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3.xml"/><Relationship Id="rId1" Type="http://schemas.openxmlformats.org/officeDocument/2006/relationships/printerSettings" Target="../printerSettings/printerSettings7.bin"/><Relationship Id="rId2"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printerSettings" Target="../printerSettings/printerSettings5.bin"/><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3"/>
  <sheetViews>
    <sheetView showGridLines="0" workbookViewId="0"/>
  </sheetViews>
  <sheetFormatPr baseColWidth="10" defaultColWidth="9.1640625" defaultRowHeight="14" x14ac:dyDescent="0.15"/>
  <cols>
    <col min="1" max="2" width="9.1640625" style="61"/>
    <col min="3" max="3" width="24.1640625" style="61" customWidth="1"/>
    <col min="4" max="14" width="11.83203125" style="61" customWidth="1"/>
    <col min="15" max="15" width="10" style="61" customWidth="1"/>
    <col min="16" max="16384" width="9.1640625" style="61"/>
  </cols>
  <sheetData>
    <row r="4" spans="2:15" ht="16.75" customHeight="1" x14ac:dyDescent="0.15">
      <c r="B4" s="62"/>
      <c r="C4" s="62"/>
      <c r="D4" s="62"/>
      <c r="E4" s="62"/>
      <c r="F4" s="62"/>
      <c r="G4" s="62"/>
      <c r="H4" s="62"/>
      <c r="I4" s="62"/>
      <c r="J4" s="62"/>
      <c r="K4" s="62"/>
      <c r="L4" s="62"/>
      <c r="M4" s="62"/>
      <c r="N4" s="62"/>
      <c r="O4" s="62"/>
    </row>
    <row r="5" spans="2:15" ht="16.75" customHeight="1" x14ac:dyDescent="0.15">
      <c r="B5" s="62"/>
      <c r="C5" s="62"/>
      <c r="D5" s="62"/>
      <c r="E5" s="62"/>
      <c r="F5" s="62"/>
      <c r="G5" s="62"/>
      <c r="H5" s="62"/>
      <c r="I5" s="62"/>
      <c r="J5" s="62"/>
      <c r="K5" s="62"/>
      <c r="L5" s="62"/>
      <c r="M5" s="62"/>
      <c r="N5" s="62"/>
      <c r="O5" s="62"/>
    </row>
    <row r="6" spans="2:15" ht="16.75" customHeight="1" x14ac:dyDescent="0.15">
      <c r="B6" s="62"/>
      <c r="C6" s="62"/>
      <c r="D6" s="62"/>
      <c r="E6" s="62"/>
      <c r="F6" s="62"/>
      <c r="G6" s="62"/>
      <c r="H6" s="62"/>
      <c r="I6" s="62"/>
      <c r="J6" s="62"/>
      <c r="K6" s="62"/>
      <c r="L6" s="62"/>
      <c r="M6" s="62"/>
      <c r="N6" s="62"/>
      <c r="O6" s="62"/>
    </row>
    <row r="7" spans="2:15" ht="16.75" customHeight="1" x14ac:dyDescent="0.15">
      <c r="B7" s="62"/>
      <c r="C7" s="62"/>
      <c r="D7" s="62"/>
      <c r="E7" s="62"/>
      <c r="F7" s="62"/>
      <c r="G7" s="62"/>
      <c r="H7" s="62"/>
      <c r="I7" s="62"/>
      <c r="J7" s="62"/>
      <c r="K7" s="62"/>
      <c r="L7" s="62"/>
      <c r="M7" s="62"/>
      <c r="N7" s="62"/>
      <c r="O7" s="62"/>
    </row>
    <row r="8" spans="2:15" ht="16.75" customHeight="1" x14ac:dyDescent="0.15">
      <c r="B8" s="62"/>
      <c r="C8" s="62"/>
      <c r="D8" s="62"/>
      <c r="E8" s="62"/>
      <c r="F8" s="62"/>
      <c r="G8" s="62"/>
      <c r="H8" s="62"/>
      <c r="I8" s="62"/>
      <c r="J8" s="62"/>
      <c r="K8" s="62"/>
      <c r="L8" s="62"/>
      <c r="M8" s="62"/>
      <c r="N8" s="62"/>
      <c r="O8" s="62"/>
    </row>
    <row r="9" spans="2:15" ht="16.75" customHeight="1" x14ac:dyDescent="0.15">
      <c r="B9" s="62"/>
      <c r="C9" s="62"/>
      <c r="D9" s="62"/>
      <c r="E9" s="62"/>
      <c r="F9" s="62"/>
      <c r="G9" s="62"/>
      <c r="H9" s="62"/>
      <c r="I9" s="62"/>
      <c r="J9" s="62"/>
      <c r="K9" s="62"/>
      <c r="L9" s="62"/>
      <c r="M9" s="62"/>
      <c r="N9" s="62"/>
      <c r="O9" s="62"/>
    </row>
    <row r="10" spans="2:15" ht="16.75" customHeight="1" x14ac:dyDescent="0.15">
      <c r="B10" s="62"/>
      <c r="C10" s="62"/>
      <c r="D10" s="62"/>
      <c r="E10" s="62"/>
      <c r="F10" s="62"/>
      <c r="G10" s="62"/>
      <c r="H10" s="62"/>
      <c r="I10" s="62"/>
      <c r="J10" s="62"/>
      <c r="K10" s="62"/>
      <c r="L10" s="62"/>
      <c r="M10" s="62"/>
      <c r="N10" s="62"/>
      <c r="O10" s="62"/>
    </row>
    <row r="11" spans="2:15" ht="16.75" customHeight="1" x14ac:dyDescent="0.15">
      <c r="B11" s="62"/>
      <c r="C11" s="62"/>
      <c r="D11" s="62"/>
      <c r="E11" s="62"/>
      <c r="F11" s="62"/>
      <c r="G11" s="62"/>
      <c r="H11" s="62"/>
      <c r="I11" s="62"/>
      <c r="J11" s="62"/>
      <c r="K11" s="62"/>
      <c r="L11" s="62"/>
      <c r="M11" s="62"/>
      <c r="N11" s="62"/>
      <c r="O11" s="62"/>
    </row>
    <row r="12" spans="2:15" ht="16.75" customHeight="1" x14ac:dyDescent="0.15">
      <c r="B12" s="62"/>
      <c r="C12" s="62"/>
      <c r="D12" s="62"/>
      <c r="E12" s="62"/>
      <c r="F12" s="62"/>
      <c r="G12" s="62"/>
      <c r="H12" s="62"/>
      <c r="I12" s="62"/>
      <c r="J12" s="62"/>
      <c r="K12" s="62"/>
      <c r="L12" s="62"/>
      <c r="M12" s="62"/>
      <c r="N12" s="62"/>
      <c r="O12" s="62"/>
    </row>
    <row r="13" spans="2:15" ht="28" x14ac:dyDescent="0.3">
      <c r="B13" s="62"/>
      <c r="C13" s="177" t="s">
        <v>146</v>
      </c>
      <c r="D13" s="62"/>
      <c r="E13" s="62"/>
      <c r="F13" s="62"/>
      <c r="G13" s="62"/>
      <c r="H13" s="62"/>
      <c r="I13" s="62"/>
      <c r="J13" s="62"/>
      <c r="K13" s="62"/>
      <c r="L13" s="62"/>
      <c r="M13" s="62"/>
      <c r="N13" s="62"/>
      <c r="O13" s="62"/>
    </row>
    <row r="14" spans="2:15" ht="16.75" customHeight="1" x14ac:dyDescent="0.25">
      <c r="B14" s="62"/>
      <c r="C14" s="63"/>
      <c r="D14" s="62"/>
      <c r="E14" s="62"/>
      <c r="F14" s="62"/>
      <c r="G14" s="62"/>
      <c r="H14" s="62"/>
      <c r="I14" s="62"/>
      <c r="J14" s="62"/>
      <c r="K14" s="62"/>
      <c r="L14" s="62"/>
      <c r="M14" s="62"/>
      <c r="N14" s="62"/>
      <c r="O14" s="62"/>
    </row>
    <row r="15" spans="2:15" ht="16.75" customHeight="1" x14ac:dyDescent="0.15">
      <c r="B15" s="62"/>
      <c r="C15" s="174" t="s">
        <v>193</v>
      </c>
      <c r="D15" s="175"/>
      <c r="E15" s="175"/>
      <c r="F15" s="175"/>
      <c r="G15" s="175"/>
      <c r="H15" s="175"/>
      <c r="I15" s="175"/>
      <c r="J15" s="175"/>
      <c r="K15" s="175"/>
      <c r="L15" s="175"/>
      <c r="M15" s="175"/>
      <c r="N15" s="176" t="s">
        <v>194</v>
      </c>
      <c r="O15" s="62"/>
    </row>
    <row r="16" spans="2:15" ht="16.75" customHeight="1" x14ac:dyDescent="0.15">
      <c r="B16" s="148"/>
      <c r="C16" s="149" t="s">
        <v>14</v>
      </c>
      <c r="D16" s="62"/>
      <c r="E16" s="62"/>
      <c r="F16" s="62"/>
      <c r="G16" s="62"/>
      <c r="H16" s="62"/>
      <c r="I16" s="62"/>
      <c r="J16" s="62"/>
      <c r="K16" s="62"/>
      <c r="L16" s="62"/>
      <c r="M16" s="62"/>
      <c r="N16" s="62"/>
      <c r="O16" s="62"/>
    </row>
    <row r="17" spans="2:15" ht="16.75" customHeight="1" x14ac:dyDescent="0.15">
      <c r="B17" s="148"/>
      <c r="C17" s="149" t="s">
        <v>13</v>
      </c>
      <c r="D17" s="62"/>
      <c r="E17" s="62"/>
      <c r="F17" s="62"/>
      <c r="G17" s="62"/>
      <c r="H17" s="62"/>
      <c r="I17" s="62"/>
      <c r="J17" s="62"/>
      <c r="K17" s="62"/>
      <c r="L17" s="62"/>
      <c r="M17" s="62"/>
      <c r="N17" s="62"/>
      <c r="O17" s="62"/>
    </row>
    <row r="18" spans="2:15" ht="16.75" customHeight="1" x14ac:dyDescent="0.15">
      <c r="B18" s="148"/>
      <c r="C18" s="149" t="s">
        <v>147</v>
      </c>
      <c r="D18" s="62"/>
      <c r="E18" s="62"/>
      <c r="F18" s="62"/>
      <c r="G18" s="62"/>
      <c r="H18" s="62"/>
      <c r="I18" s="62"/>
      <c r="J18" s="62"/>
      <c r="K18" s="62"/>
      <c r="L18" s="62"/>
      <c r="M18" s="62"/>
      <c r="N18" s="62"/>
      <c r="O18" s="62"/>
    </row>
    <row r="19" spans="2:15" ht="16.75" customHeight="1" x14ac:dyDescent="0.15">
      <c r="B19" s="148"/>
      <c r="C19" s="149" t="s">
        <v>158</v>
      </c>
      <c r="D19" s="62"/>
      <c r="E19" s="62"/>
      <c r="F19" s="62"/>
      <c r="G19" s="62"/>
      <c r="H19" s="62"/>
      <c r="I19" s="62"/>
      <c r="J19" s="62"/>
      <c r="K19" s="62"/>
      <c r="L19" s="62"/>
      <c r="M19" s="62"/>
      <c r="N19" s="62"/>
      <c r="O19" s="62"/>
    </row>
    <row r="20" spans="2:15" ht="16.75" customHeight="1" x14ac:dyDescent="0.15">
      <c r="B20" s="148"/>
      <c r="C20" s="148"/>
      <c r="D20" s="62"/>
      <c r="E20" s="62"/>
      <c r="F20" s="62"/>
      <c r="G20" s="62"/>
      <c r="H20" s="62"/>
      <c r="I20" s="62"/>
      <c r="J20" s="62"/>
      <c r="K20" s="62"/>
      <c r="L20" s="62"/>
      <c r="M20" s="62"/>
      <c r="N20" s="62"/>
      <c r="O20" s="62"/>
    </row>
    <row r="21" spans="2:15" ht="16.75" customHeight="1" x14ac:dyDescent="0.15">
      <c r="B21" s="62"/>
      <c r="C21" s="62"/>
      <c r="D21" s="62"/>
      <c r="E21" s="62"/>
      <c r="F21" s="62"/>
      <c r="G21" s="62"/>
      <c r="H21" s="62"/>
      <c r="I21" s="62"/>
      <c r="J21" s="62"/>
      <c r="K21" s="62"/>
      <c r="L21" s="62"/>
      <c r="M21" s="62"/>
      <c r="N21" s="62"/>
      <c r="O21" s="62"/>
    </row>
    <row r="22" spans="2:15" ht="16.75" customHeight="1" x14ac:dyDescent="0.15">
      <c r="B22" s="62"/>
      <c r="C22" s="62"/>
      <c r="D22" s="62"/>
      <c r="E22" s="62"/>
      <c r="F22" s="62"/>
      <c r="G22" s="62"/>
      <c r="H22" s="62"/>
      <c r="I22" s="62"/>
      <c r="J22" s="62"/>
      <c r="K22" s="62"/>
      <c r="L22" s="62"/>
      <c r="M22" s="62"/>
      <c r="N22" s="62"/>
      <c r="O22" s="62"/>
    </row>
    <row r="23" spans="2:15" ht="16.75" customHeight="1" x14ac:dyDescent="0.15">
      <c r="B23" s="167"/>
      <c r="C23" s="167" t="s">
        <v>151</v>
      </c>
      <c r="D23" s="167"/>
      <c r="E23" s="167"/>
      <c r="F23" s="167"/>
      <c r="G23" s="167"/>
      <c r="H23" s="167"/>
      <c r="I23" s="167"/>
      <c r="J23" s="167"/>
      <c r="K23" s="167"/>
      <c r="L23" s="167"/>
      <c r="M23" s="167"/>
      <c r="N23" s="167"/>
      <c r="O23" s="167"/>
    </row>
    <row r="24" spans="2:15" ht="16.75" customHeight="1" x14ac:dyDescent="0.15">
      <c r="B24" s="167"/>
      <c r="C24" s="168" t="s">
        <v>148</v>
      </c>
      <c r="D24" s="168"/>
      <c r="E24" s="168"/>
      <c r="F24" s="168"/>
      <c r="G24" s="168"/>
      <c r="H24" s="168"/>
      <c r="I24" s="168"/>
      <c r="J24" s="168"/>
      <c r="K24" s="168"/>
      <c r="L24" s="168"/>
      <c r="M24" s="168"/>
      <c r="N24" s="168"/>
      <c r="O24" s="167"/>
    </row>
    <row r="25" spans="2:15" ht="16.75" customHeight="1" x14ac:dyDescent="0.15">
      <c r="B25" s="167"/>
      <c r="C25" s="167" t="s">
        <v>149</v>
      </c>
      <c r="D25" s="167"/>
      <c r="E25" s="167"/>
      <c r="F25" s="167"/>
      <c r="G25" s="167"/>
      <c r="H25" s="167"/>
      <c r="I25" s="167"/>
      <c r="J25" s="167"/>
      <c r="K25" s="167"/>
      <c r="L25" s="167"/>
      <c r="M25" s="167"/>
      <c r="N25" s="167"/>
      <c r="O25" s="167"/>
    </row>
    <row r="26" spans="2:15" ht="16.75" customHeight="1" x14ac:dyDescent="0.15">
      <c r="B26" s="167"/>
      <c r="C26" s="169" t="s">
        <v>150</v>
      </c>
      <c r="D26" s="167"/>
      <c r="E26" s="167"/>
      <c r="F26" s="167"/>
      <c r="G26" s="167"/>
      <c r="H26" s="167"/>
      <c r="I26" s="167"/>
      <c r="J26" s="167"/>
      <c r="K26" s="167"/>
      <c r="L26" s="167"/>
      <c r="M26" s="167"/>
      <c r="N26" s="167"/>
      <c r="O26" s="167"/>
    </row>
    <row r="27" spans="2:15" ht="16.75" customHeight="1" x14ac:dyDescent="0.15">
      <c r="B27" s="167"/>
      <c r="C27" s="169"/>
      <c r="D27" s="167"/>
      <c r="E27" s="167"/>
      <c r="F27" s="167"/>
      <c r="G27" s="167"/>
      <c r="H27" s="167"/>
      <c r="I27" s="167"/>
      <c r="J27" s="167"/>
      <c r="K27" s="167"/>
      <c r="L27" s="167"/>
      <c r="M27" s="167"/>
      <c r="N27" s="167"/>
      <c r="O27" s="167"/>
    </row>
    <row r="28" spans="2:15" ht="16.75" customHeight="1" x14ac:dyDescent="0.15">
      <c r="B28" s="167"/>
      <c r="C28" s="170" t="s">
        <v>189</v>
      </c>
      <c r="D28" s="171"/>
      <c r="E28" s="171"/>
      <c r="F28" s="171"/>
      <c r="G28" s="171"/>
      <c r="H28" s="171"/>
      <c r="I28" s="171"/>
      <c r="J28" s="171"/>
      <c r="K28" s="171"/>
      <c r="L28" s="171"/>
      <c r="M28" s="171"/>
      <c r="N28" s="171"/>
      <c r="O28" s="167"/>
    </row>
    <row r="29" spans="2:15" ht="16.75" customHeight="1" x14ac:dyDescent="0.15">
      <c r="B29" s="172"/>
      <c r="C29" s="173" t="s">
        <v>190</v>
      </c>
      <c r="D29" s="173"/>
      <c r="E29" s="173"/>
      <c r="F29" s="173"/>
      <c r="G29" s="173"/>
      <c r="H29" s="173"/>
      <c r="I29" s="173"/>
      <c r="J29" s="173"/>
      <c r="K29" s="173"/>
      <c r="L29" s="173"/>
      <c r="M29" s="173"/>
      <c r="N29" s="173"/>
      <c r="O29" s="172"/>
    </row>
    <row r="30" spans="2:15" ht="16.75" customHeight="1" x14ac:dyDescent="0.15">
      <c r="B30" s="172"/>
      <c r="C30" s="173" t="s">
        <v>191</v>
      </c>
      <c r="D30" s="173"/>
      <c r="E30" s="173"/>
      <c r="F30" s="173"/>
      <c r="G30" s="173"/>
      <c r="H30" s="173"/>
      <c r="I30" s="173"/>
      <c r="J30" s="173"/>
      <c r="K30" s="173"/>
      <c r="L30" s="173"/>
      <c r="M30" s="173"/>
      <c r="N30" s="173"/>
      <c r="O30" s="172"/>
    </row>
    <row r="31" spans="2:15" ht="16.75" customHeight="1" x14ac:dyDescent="0.15">
      <c r="B31" s="172"/>
      <c r="C31" s="173" t="s">
        <v>192</v>
      </c>
      <c r="D31" s="173"/>
      <c r="E31" s="173"/>
      <c r="F31" s="173"/>
      <c r="G31" s="173"/>
      <c r="H31" s="173"/>
      <c r="I31" s="173"/>
      <c r="J31" s="173"/>
      <c r="K31" s="173"/>
      <c r="L31" s="173"/>
      <c r="M31" s="173"/>
      <c r="N31" s="173"/>
      <c r="O31" s="172"/>
    </row>
    <row r="32" spans="2:15" ht="16.75" customHeight="1" x14ac:dyDescent="0.15">
      <c r="B32" s="172"/>
      <c r="C32" s="173"/>
      <c r="D32" s="173"/>
      <c r="E32" s="173"/>
      <c r="F32" s="173"/>
      <c r="G32" s="173"/>
      <c r="H32" s="173"/>
      <c r="I32" s="173"/>
      <c r="J32" s="173"/>
      <c r="K32" s="173"/>
      <c r="L32" s="173"/>
      <c r="M32" s="173"/>
      <c r="N32" s="173"/>
      <c r="O32" s="172"/>
    </row>
    <row r="33" spans="2:15" ht="16.75" customHeight="1" x14ac:dyDescent="0.15">
      <c r="B33" s="172"/>
      <c r="C33" s="172"/>
      <c r="D33" s="172"/>
      <c r="E33" s="172"/>
      <c r="F33" s="172"/>
      <c r="G33" s="172"/>
      <c r="H33" s="172"/>
      <c r="I33" s="172"/>
      <c r="J33" s="172"/>
      <c r="K33" s="172"/>
      <c r="L33" s="172"/>
      <c r="M33" s="172"/>
      <c r="N33" s="172"/>
      <c r="O33" s="172"/>
    </row>
  </sheetData>
  <hyperlinks>
    <hyperlink ref="C16" location="Comps!A1" display="Comps"/>
    <hyperlink ref="C17" location="Precedents!A1" display="Precedents"/>
    <hyperlink ref="C18" location="DCF!A1" display="DCF"/>
    <hyperlink ref="C19" location="'Summary - Football Field'!A1" display="Summary"/>
    <hyperlink ref="C26" r:id="rId1"/>
  </hyperlinks>
  <pageMargins left="0.7" right="0.7" top="0.75" bottom="0.75" header="0.3" footer="0.3"/>
  <pageSetup scale="91"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Q21"/>
  <sheetViews>
    <sheetView showGridLines="0" workbookViewId="0">
      <selection activeCell="L31" sqref="L31"/>
    </sheetView>
  </sheetViews>
  <sheetFormatPr baseColWidth="10" defaultColWidth="9.1640625" defaultRowHeight="14" x14ac:dyDescent="0.15"/>
  <cols>
    <col min="1" max="1" width="7.83203125" style="1" customWidth="1"/>
    <col min="2" max="7" width="11" style="1" customWidth="1"/>
    <col min="8" max="10" width="12.33203125" style="1" customWidth="1"/>
    <col min="11" max="11" width="7.83203125" style="1" customWidth="1"/>
    <col min="12" max="12" width="12.33203125" style="1" customWidth="1"/>
    <col min="13" max="21" width="11" style="1" customWidth="1"/>
    <col min="22" max="16384" width="9.1640625" style="1"/>
  </cols>
  <sheetData>
    <row r="1" spans="1:17" x14ac:dyDescent="0.15">
      <c r="A1" s="178" t="s">
        <v>195</v>
      </c>
      <c r="B1" s="178"/>
      <c r="C1" s="178"/>
      <c r="D1" s="178"/>
      <c r="E1" s="178"/>
      <c r="F1" s="178"/>
      <c r="G1" s="178"/>
      <c r="H1" s="178"/>
      <c r="I1" s="178"/>
      <c r="J1" s="178"/>
      <c r="K1" s="178"/>
      <c r="L1" s="178"/>
      <c r="M1" s="178"/>
      <c r="N1" s="178"/>
      <c r="O1" s="178"/>
      <c r="P1" s="178"/>
      <c r="Q1" s="178"/>
    </row>
    <row r="2" spans="1:17" ht="18" x14ac:dyDescent="0.15">
      <c r="A2" s="180" t="s">
        <v>198</v>
      </c>
      <c r="B2" s="180"/>
      <c r="C2" s="180"/>
      <c r="D2" s="180"/>
      <c r="E2" s="180"/>
      <c r="F2" s="180"/>
      <c r="G2" s="180"/>
      <c r="H2" s="180"/>
      <c r="I2" s="180"/>
      <c r="J2" s="180"/>
      <c r="K2" s="180"/>
      <c r="L2" s="180"/>
      <c r="M2" s="180"/>
      <c r="N2" s="180"/>
      <c r="O2" s="180"/>
      <c r="P2" s="180"/>
      <c r="Q2" s="180"/>
    </row>
    <row r="3" spans="1:17" customFormat="1" ht="13" x14ac:dyDescent="0.15"/>
    <row r="4" spans="1:17" x14ac:dyDescent="0.15">
      <c r="B4" s="38" t="s">
        <v>14</v>
      </c>
      <c r="F4" s="11"/>
    </row>
    <row r="5" spans="1:17" x14ac:dyDescent="0.15">
      <c r="B5" s="35" t="s">
        <v>56</v>
      </c>
      <c r="C5" s="35"/>
      <c r="D5" s="36" t="s">
        <v>14</v>
      </c>
      <c r="E5" s="35"/>
      <c r="F5" s="36" t="s">
        <v>22</v>
      </c>
      <c r="G5" s="36" t="s">
        <v>21</v>
      </c>
      <c r="H5" s="36" t="s">
        <v>47</v>
      </c>
      <c r="I5" s="36" t="s">
        <v>19</v>
      </c>
      <c r="J5" s="36" t="s">
        <v>52</v>
      </c>
      <c r="L5" s="37" t="s">
        <v>145</v>
      </c>
      <c r="M5" s="36"/>
      <c r="N5" s="36"/>
      <c r="O5" s="36"/>
      <c r="P5" s="36"/>
      <c r="Q5" s="36"/>
    </row>
    <row r="6" spans="1:17" ht="16" x14ac:dyDescent="0.2">
      <c r="B6" s="1" t="s">
        <v>51</v>
      </c>
      <c r="D6" s="59">
        <f>Comps!M14</f>
        <v>2.8980360019985252</v>
      </c>
      <c r="F6" s="10">
        <f>D6*$Q$6</f>
        <v>1159214.4007994102</v>
      </c>
      <c r="G6" s="10">
        <f>$N$8-$N$9</f>
        <v>175000</v>
      </c>
      <c r="H6" s="10">
        <f>F6-G6</f>
        <v>984214.40079941018</v>
      </c>
      <c r="I6" s="10">
        <f>$N$7</f>
        <v>20000</v>
      </c>
      <c r="J6" s="13">
        <f>H6/I6</f>
        <v>49.210720039970511</v>
      </c>
      <c r="L6" s="7" t="s">
        <v>46</v>
      </c>
      <c r="M6" s="7"/>
      <c r="N6" s="9">
        <v>25</v>
      </c>
      <c r="P6" s="1" t="s">
        <v>48</v>
      </c>
      <c r="Q6" s="8">
        <v>400000</v>
      </c>
    </row>
    <row r="7" spans="1:17" ht="16" x14ac:dyDescent="0.2">
      <c r="B7" s="1" t="s">
        <v>6</v>
      </c>
      <c r="D7" s="59">
        <f>Comps!N14</f>
        <v>13.571112578810878</v>
      </c>
      <c r="F7" s="10">
        <f>D7*$Q$7</f>
        <v>814266.75472865265</v>
      </c>
      <c r="G7" s="10">
        <f t="shared" ref="G7:G8" si="0">$N$8-$N$9</f>
        <v>175000</v>
      </c>
      <c r="H7" s="10">
        <f>F7-G7</f>
        <v>639266.75472865265</v>
      </c>
      <c r="I7" s="10">
        <f t="shared" ref="I7:I8" si="1">$N$7</f>
        <v>20000</v>
      </c>
      <c r="J7" s="13">
        <f t="shared" ref="J7:J8" si="2">H7/I7</f>
        <v>31.963337736432631</v>
      </c>
      <c r="L7" s="7" t="s">
        <v>53</v>
      </c>
      <c r="M7" s="7"/>
      <c r="N7" s="8">
        <v>20000</v>
      </c>
      <c r="P7" s="1" t="s">
        <v>24</v>
      </c>
      <c r="Q7" s="8">
        <v>60000</v>
      </c>
    </row>
    <row r="8" spans="1:17" ht="16" x14ac:dyDescent="0.2">
      <c r="B8" s="1" t="s">
        <v>27</v>
      </c>
      <c r="D8" s="59">
        <f>Comps!O14</f>
        <v>22.395163014271191</v>
      </c>
      <c r="F8" s="10">
        <f>H8+G8</f>
        <v>622903.26028542384</v>
      </c>
      <c r="G8" s="10">
        <f t="shared" si="0"/>
        <v>175000</v>
      </c>
      <c r="H8" s="10">
        <f>D8*$Q$9</f>
        <v>447903.26028542384</v>
      </c>
      <c r="I8" s="10">
        <f t="shared" si="1"/>
        <v>20000</v>
      </c>
      <c r="J8" s="13">
        <f t="shared" si="2"/>
        <v>22.395163014271191</v>
      </c>
      <c r="L8" s="7" t="s">
        <v>54</v>
      </c>
      <c r="M8" s="7"/>
      <c r="N8" s="8">
        <v>250000</v>
      </c>
      <c r="P8" s="1" t="s">
        <v>25</v>
      </c>
      <c r="Q8" s="8">
        <v>45000</v>
      </c>
    </row>
    <row r="9" spans="1:17" ht="16" x14ac:dyDescent="0.2">
      <c r="D9" s="59"/>
      <c r="F9" s="10"/>
      <c r="G9" s="10"/>
      <c r="H9" s="10"/>
      <c r="I9" s="10"/>
      <c r="J9" s="13"/>
      <c r="L9" s="7" t="s">
        <v>55</v>
      </c>
      <c r="M9" s="7"/>
      <c r="N9" s="8">
        <v>75000</v>
      </c>
      <c r="P9" s="1" t="s">
        <v>26</v>
      </c>
      <c r="Q9" s="8">
        <v>20000</v>
      </c>
    </row>
    <row r="10" spans="1:17" x14ac:dyDescent="0.15">
      <c r="B10" s="1" t="s">
        <v>49</v>
      </c>
      <c r="D10" s="12"/>
      <c r="F10" s="10"/>
      <c r="G10" s="10"/>
      <c r="H10" s="10"/>
      <c r="I10" s="10"/>
      <c r="J10" s="13">
        <f>MIN(J6:J8)</f>
        <v>22.395163014271191</v>
      </c>
      <c r="M10" s="10"/>
    </row>
    <row r="11" spans="1:17" x14ac:dyDescent="0.15">
      <c r="B11" s="1" t="s">
        <v>50</v>
      </c>
      <c r="D11" s="12"/>
      <c r="F11" s="10"/>
      <c r="G11" s="10"/>
      <c r="H11" s="10"/>
      <c r="I11" s="10"/>
      <c r="J11" s="13">
        <f>MAX(J6:J8)</f>
        <v>49.210720039970511</v>
      </c>
      <c r="M11" s="10"/>
    </row>
    <row r="12" spans="1:17" x14ac:dyDescent="0.15">
      <c r="B12" s="38" t="s">
        <v>13</v>
      </c>
      <c r="D12" s="12"/>
      <c r="F12" s="10"/>
      <c r="G12" s="10"/>
      <c r="H12" s="10"/>
      <c r="I12" s="10"/>
      <c r="J12" s="13"/>
      <c r="M12" s="10"/>
    </row>
    <row r="13" spans="1:17" x14ac:dyDescent="0.15">
      <c r="B13" s="35" t="s">
        <v>56</v>
      </c>
      <c r="C13" s="35"/>
      <c r="D13" s="36" t="s">
        <v>13</v>
      </c>
      <c r="E13" s="35"/>
      <c r="F13" s="36" t="s">
        <v>22</v>
      </c>
      <c r="G13" s="36" t="s">
        <v>21</v>
      </c>
      <c r="H13" s="36" t="s">
        <v>47</v>
      </c>
      <c r="I13" s="36" t="s">
        <v>19</v>
      </c>
      <c r="J13" s="36" t="s">
        <v>52</v>
      </c>
      <c r="L13" s="37" t="s">
        <v>57</v>
      </c>
      <c r="M13" s="36"/>
      <c r="N13" s="36"/>
      <c r="O13" s="36"/>
      <c r="P13" s="36"/>
      <c r="Q13" s="36"/>
    </row>
    <row r="14" spans="1:17" x14ac:dyDescent="0.15">
      <c r="B14" s="1" t="s">
        <v>51</v>
      </c>
      <c r="D14" s="60">
        <f>Precedents!K13</f>
        <v>2.3416666666666663</v>
      </c>
      <c r="F14" s="10">
        <f>D14*$Q$6</f>
        <v>936666.66666666651</v>
      </c>
      <c r="G14" s="10">
        <f>$N$8-$N$9</f>
        <v>175000</v>
      </c>
      <c r="H14" s="10">
        <f>F14-G14</f>
        <v>761666.66666666651</v>
      </c>
      <c r="I14" s="10">
        <f>$N$7</f>
        <v>20000</v>
      </c>
      <c r="J14" s="13">
        <f>H14/I14</f>
        <v>38.083333333333329</v>
      </c>
      <c r="N14" s="2" t="s">
        <v>152</v>
      </c>
      <c r="O14" s="2" t="s">
        <v>153</v>
      </c>
      <c r="P14" s="2" t="s">
        <v>154</v>
      </c>
      <c r="Q14" s="2" t="s">
        <v>155</v>
      </c>
    </row>
    <row r="15" spans="1:17" x14ac:dyDescent="0.15">
      <c r="B15" s="1" t="s">
        <v>6</v>
      </c>
      <c r="D15" s="60">
        <f>Precedents!L13</f>
        <v>11.184999999999999</v>
      </c>
      <c r="F15" s="10">
        <f>D15*$Q$7</f>
        <v>671099.99999999988</v>
      </c>
      <c r="G15" s="10">
        <f t="shared" ref="G15:G16" si="3">$N$8-$N$9</f>
        <v>175000</v>
      </c>
      <c r="H15" s="10">
        <f>F15-G15</f>
        <v>496099.99999999988</v>
      </c>
      <c r="I15" s="10">
        <f t="shared" ref="I15:I16" si="4">$N$7</f>
        <v>20000</v>
      </c>
      <c r="J15" s="13">
        <f t="shared" ref="J15:J16" si="5">H15/I15</f>
        <v>24.804999999999993</v>
      </c>
      <c r="L15" s="1" t="s">
        <v>14</v>
      </c>
      <c r="N15" s="13">
        <f>$J$10</f>
        <v>22.395163014271191</v>
      </c>
      <c r="O15" s="13">
        <f>$J$10</f>
        <v>22.395163014271191</v>
      </c>
      <c r="P15" s="13">
        <f>$J$11</f>
        <v>49.210720039970511</v>
      </c>
      <c r="Q15" s="13">
        <f>$J$11</f>
        <v>49.210720039970511</v>
      </c>
    </row>
    <row r="16" spans="1:17" x14ac:dyDescent="0.15">
      <c r="B16" s="1" t="s">
        <v>7</v>
      </c>
      <c r="D16" s="60">
        <f>Precedents!M13</f>
        <v>15.413333333333334</v>
      </c>
      <c r="F16" s="10">
        <f>D16*$Q$8</f>
        <v>693600</v>
      </c>
      <c r="G16" s="10">
        <f t="shared" si="3"/>
        <v>175000</v>
      </c>
      <c r="H16" s="10">
        <f>F16-G16</f>
        <v>518600</v>
      </c>
      <c r="I16" s="10">
        <f t="shared" si="4"/>
        <v>20000</v>
      </c>
      <c r="J16" s="13">
        <f t="shared" si="5"/>
        <v>25.93</v>
      </c>
      <c r="L16" s="1" t="s">
        <v>13</v>
      </c>
      <c r="N16" s="13">
        <f>$J$18</f>
        <v>24.804999999999993</v>
      </c>
      <c r="O16" s="13">
        <f>$J$18</f>
        <v>24.804999999999993</v>
      </c>
      <c r="P16" s="13">
        <f>$J$19</f>
        <v>38.083333333333329</v>
      </c>
      <c r="Q16" s="13">
        <f>$J$19</f>
        <v>38.083333333333329</v>
      </c>
    </row>
    <row r="17" spans="2:17" x14ac:dyDescent="0.15">
      <c r="D17" s="60"/>
      <c r="F17" s="10"/>
      <c r="G17" s="10"/>
      <c r="H17" s="10"/>
      <c r="I17" s="10"/>
      <c r="J17" s="13"/>
      <c r="L17" s="1" t="s">
        <v>12</v>
      </c>
      <c r="N17" s="14">
        <v>28</v>
      </c>
      <c r="O17" s="14">
        <v>28</v>
      </c>
      <c r="P17" s="14">
        <v>36</v>
      </c>
      <c r="Q17" s="14">
        <v>36</v>
      </c>
    </row>
    <row r="18" spans="2:17" x14ac:dyDescent="0.15">
      <c r="B18" s="1" t="s">
        <v>49</v>
      </c>
      <c r="D18" s="12"/>
      <c r="F18" s="10"/>
      <c r="G18" s="10"/>
      <c r="H18" s="10"/>
      <c r="I18" s="10"/>
      <c r="J18" s="13">
        <f>MIN(J14:J16)</f>
        <v>24.804999999999993</v>
      </c>
      <c r="L18" s="1" t="s">
        <v>11</v>
      </c>
      <c r="N18" s="14">
        <v>36</v>
      </c>
      <c r="O18" s="14">
        <v>36</v>
      </c>
      <c r="P18" s="14">
        <v>44</v>
      </c>
      <c r="Q18" s="14">
        <v>44</v>
      </c>
    </row>
    <row r="19" spans="2:17" x14ac:dyDescent="0.15">
      <c r="B19" s="1" t="s">
        <v>50</v>
      </c>
      <c r="F19" s="10"/>
      <c r="G19" s="10"/>
      <c r="H19" s="10"/>
      <c r="I19" s="10"/>
      <c r="J19" s="13">
        <f>MAX(J14:J16)</f>
        <v>38.083333333333329</v>
      </c>
      <c r="L19" s="1" t="s">
        <v>10</v>
      </c>
      <c r="N19" s="14">
        <v>22</v>
      </c>
      <c r="O19" s="14">
        <v>22</v>
      </c>
      <c r="P19" s="14">
        <v>30</v>
      </c>
      <c r="Q19" s="14">
        <v>30</v>
      </c>
    </row>
    <row r="20" spans="2:17" x14ac:dyDescent="0.15">
      <c r="H20" s="10"/>
      <c r="I20" s="10"/>
      <c r="J20" s="10"/>
      <c r="K20" s="10"/>
      <c r="L20" s="10"/>
      <c r="M20" s="10"/>
    </row>
    <row r="21" spans="2:17" ht="21" customHeight="1" x14ac:dyDescent="0.15">
      <c r="B21" s="19" t="s">
        <v>58</v>
      </c>
      <c r="C21" s="39"/>
      <c r="D21" s="39"/>
      <c r="E21" s="39"/>
      <c r="F21" s="39"/>
      <c r="G21" s="39"/>
      <c r="H21" s="39"/>
      <c r="I21" s="39"/>
      <c r="J21" s="39"/>
    </row>
  </sheetData>
  <pageMargins left="0.7" right="0.7" top="0.75" bottom="0.75" header="0.3" footer="0.3"/>
  <pageSetup scale="68" orientation="landscape"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1"/>
  <sheetViews>
    <sheetView showGridLines="0" workbookViewId="0">
      <pane ySplit="3" topLeftCell="A4" activePane="bottomLeft" state="frozen"/>
      <selection pane="bottomLeft" activeCell="E1" sqref="E1"/>
    </sheetView>
  </sheetViews>
  <sheetFormatPr baseColWidth="10" defaultColWidth="9.1640625" defaultRowHeight="13" outlineLevelRow="1" x14ac:dyDescent="0.15"/>
  <cols>
    <col min="1" max="1" width="12.6640625" customWidth="1"/>
    <col min="2" max="2" width="12.33203125" customWidth="1"/>
    <col min="3" max="3" width="11.33203125" customWidth="1"/>
    <col min="4" max="13" width="11.5" customWidth="1"/>
  </cols>
  <sheetData>
    <row r="1" spans="1:16" ht="16" x14ac:dyDescent="0.2">
      <c r="A1" s="181" t="s">
        <v>60</v>
      </c>
      <c r="B1" s="182"/>
      <c r="C1" s="183"/>
      <c r="D1" s="184" t="s">
        <v>61</v>
      </c>
      <c r="E1" s="185"/>
      <c r="F1" s="185"/>
      <c r="G1" s="185"/>
      <c r="H1" s="185"/>
      <c r="I1" s="186" t="s">
        <v>62</v>
      </c>
      <c r="J1" s="187"/>
      <c r="K1" s="187"/>
      <c r="L1" s="187"/>
      <c r="M1" s="187"/>
      <c r="N1" s="188"/>
      <c r="O1" s="188"/>
      <c r="P1" s="188"/>
    </row>
    <row r="2" spans="1:16" ht="21" customHeight="1" x14ac:dyDescent="0.2">
      <c r="A2" s="189" t="s">
        <v>63</v>
      </c>
      <c r="B2" s="190"/>
      <c r="C2" s="191"/>
      <c r="D2" s="192">
        <v>2013</v>
      </c>
      <c r="E2" s="192">
        <f>+D2+1</f>
        <v>2014</v>
      </c>
      <c r="F2" s="192">
        <f t="shared" ref="F2:M2" si="0">+E2+1</f>
        <v>2015</v>
      </c>
      <c r="G2" s="192">
        <f t="shared" si="0"/>
        <v>2016</v>
      </c>
      <c r="H2" s="192">
        <f t="shared" si="0"/>
        <v>2017</v>
      </c>
      <c r="I2" s="193">
        <f t="shared" si="0"/>
        <v>2018</v>
      </c>
      <c r="J2" s="193">
        <f t="shared" si="0"/>
        <v>2019</v>
      </c>
      <c r="K2" s="193">
        <f t="shared" si="0"/>
        <v>2020</v>
      </c>
      <c r="L2" s="193">
        <f t="shared" si="0"/>
        <v>2021</v>
      </c>
      <c r="M2" s="193">
        <f t="shared" si="0"/>
        <v>2022</v>
      </c>
      <c r="N2" s="194"/>
      <c r="O2" s="194"/>
      <c r="P2" s="194"/>
    </row>
    <row r="3" spans="1:16" ht="16" x14ac:dyDescent="0.2">
      <c r="A3" s="188" t="s">
        <v>64</v>
      </c>
      <c r="B3" s="188"/>
      <c r="C3" s="195"/>
      <c r="D3" s="196" t="str">
        <f t="shared" ref="D3:H3" si="1">IFERROR(IF(ABS(D59)&gt;1,"ERROR","OK"),"OK")</f>
        <v>OK</v>
      </c>
      <c r="E3" s="196" t="str">
        <f t="shared" si="1"/>
        <v>OK</v>
      </c>
      <c r="F3" s="196" t="str">
        <f t="shared" si="1"/>
        <v>OK</v>
      </c>
      <c r="G3" s="196" t="str">
        <f t="shared" si="1"/>
        <v>OK</v>
      </c>
      <c r="H3" s="196" t="str">
        <f t="shared" si="1"/>
        <v>OK</v>
      </c>
      <c r="I3" s="196" t="str">
        <f>IFERROR(IF(ABS(I59)&gt;1,"ERROR","OK"),"OK")</f>
        <v>OK</v>
      </c>
      <c r="J3" s="196" t="str">
        <f t="shared" ref="J3:M3" si="2">IFERROR(IF(ABS(J59)&gt;1,"ERROR","OK"),"OK")</f>
        <v>OK</v>
      </c>
      <c r="K3" s="196" t="str">
        <f t="shared" si="2"/>
        <v>OK</v>
      </c>
      <c r="L3" s="196" t="str">
        <f t="shared" si="2"/>
        <v>OK</v>
      </c>
      <c r="M3" s="196" t="str">
        <f t="shared" si="2"/>
        <v>OK</v>
      </c>
      <c r="N3" s="188"/>
      <c r="O3" s="188"/>
      <c r="P3" s="188"/>
    </row>
    <row r="5" spans="1:16" ht="20" x14ac:dyDescent="0.2">
      <c r="A5" s="197" t="s">
        <v>66</v>
      </c>
      <c r="B5" s="198"/>
      <c r="C5" s="199"/>
      <c r="D5" s="198"/>
      <c r="E5" s="198"/>
      <c r="F5" s="198"/>
      <c r="G5" s="198"/>
      <c r="H5" s="198"/>
      <c r="I5" s="198"/>
      <c r="J5" s="198"/>
      <c r="K5" s="198"/>
      <c r="L5" s="198"/>
      <c r="M5" s="198"/>
      <c r="N5" s="188"/>
      <c r="O5" s="188"/>
      <c r="P5" s="188"/>
    </row>
    <row r="6" spans="1:16" ht="16" outlineLevel="1" x14ac:dyDescent="0.2">
      <c r="A6" s="188"/>
      <c r="B6" s="188"/>
      <c r="C6" s="195"/>
      <c r="D6" s="200"/>
      <c r="E6" s="200"/>
      <c r="F6" s="200"/>
      <c r="G6" s="200"/>
      <c r="H6" s="200"/>
      <c r="I6" s="201"/>
      <c r="J6" s="201"/>
      <c r="K6" s="201"/>
      <c r="L6" s="201"/>
      <c r="M6" s="201"/>
      <c r="N6" s="188"/>
      <c r="O6" s="188"/>
      <c r="P6" s="188"/>
    </row>
    <row r="7" spans="1:16" ht="16" outlineLevel="1" x14ac:dyDescent="0.2">
      <c r="A7" s="202" t="s">
        <v>65</v>
      </c>
      <c r="B7" s="188"/>
      <c r="C7" s="195"/>
      <c r="D7" s="200"/>
      <c r="E7" s="200"/>
      <c r="F7" s="200"/>
      <c r="G7" s="200"/>
      <c r="H7" s="200"/>
      <c r="I7" s="201"/>
      <c r="J7" s="201"/>
      <c r="K7" s="201"/>
      <c r="L7" s="201"/>
      <c r="M7" s="201"/>
      <c r="N7" s="188"/>
      <c r="O7" s="188"/>
      <c r="P7" s="188"/>
    </row>
    <row r="8" spans="1:16" ht="16" outlineLevel="1" x14ac:dyDescent="0.2">
      <c r="A8" s="203" t="s">
        <v>67</v>
      </c>
      <c r="B8" s="204"/>
      <c r="C8" s="205"/>
      <c r="D8" s="206">
        <f>IFERROR(D25/C25-1,0)</f>
        <v>0</v>
      </c>
      <c r="E8" s="206">
        <f t="shared" ref="E8:H8" si="3">IFERROR(E25/D25-1,0)</f>
        <v>0.15762643740135474</v>
      </c>
      <c r="F8" s="206">
        <f t="shared" si="3"/>
        <v>0.1122825737174602</v>
      </c>
      <c r="G8" s="206">
        <f t="shared" si="3"/>
        <v>8.3718451406600947E-2</v>
      </c>
      <c r="H8" s="206">
        <f t="shared" si="3"/>
        <v>5.9231001608812672E-2</v>
      </c>
      <c r="I8" s="207">
        <v>0.1</v>
      </c>
      <c r="J8" s="207">
        <v>0.1</v>
      </c>
      <c r="K8" s="207">
        <v>0.1</v>
      </c>
      <c r="L8" s="207">
        <v>0.1</v>
      </c>
      <c r="M8" s="207">
        <v>0.1</v>
      </c>
      <c r="N8" s="188"/>
      <c r="O8" s="188"/>
      <c r="P8" s="188"/>
    </row>
    <row r="9" spans="1:16" ht="16" outlineLevel="1" x14ac:dyDescent="0.2">
      <c r="A9" s="208" t="s">
        <v>68</v>
      </c>
      <c r="B9" s="208"/>
      <c r="C9" s="209"/>
      <c r="D9" s="210">
        <f>D26/D25</f>
        <v>0.38255217779172018</v>
      </c>
      <c r="E9" s="210">
        <f t="shared" ref="E9:H9" si="4">E26/E25</f>
        <v>0.40651728401334619</v>
      </c>
      <c r="F9" s="210">
        <f t="shared" si="4"/>
        <v>0.37399977159389397</v>
      </c>
      <c r="G9" s="210">
        <f t="shared" si="4"/>
        <v>0.369914501092447</v>
      </c>
      <c r="H9" s="210">
        <f t="shared" si="4"/>
        <v>0.37613084657628737</v>
      </c>
      <c r="I9" s="211">
        <v>0.42</v>
      </c>
      <c r="J9" s="211">
        <v>0.47</v>
      </c>
      <c r="K9" s="211">
        <v>0.5</v>
      </c>
      <c r="L9" s="211">
        <v>0.36</v>
      </c>
      <c r="M9" s="211">
        <v>0.35</v>
      </c>
      <c r="N9" s="188"/>
      <c r="O9" s="188"/>
      <c r="P9" s="188"/>
    </row>
    <row r="10" spans="1:16" ht="16" outlineLevel="1" x14ac:dyDescent="0.2">
      <c r="A10" s="208" t="s">
        <v>69</v>
      </c>
      <c r="B10" s="208"/>
      <c r="C10" s="209"/>
      <c r="D10" s="210">
        <f>D29/D25</f>
        <v>0.25907045594910155</v>
      </c>
      <c r="E10" s="210">
        <f t="shared" ref="E10:H10" si="5">E29/E25</f>
        <v>0.19187710651559034</v>
      </c>
      <c r="F10" s="210">
        <f t="shared" si="5"/>
        <v>0.18175035212608018</v>
      </c>
      <c r="G10" s="210">
        <f t="shared" si="5"/>
        <v>0.16159785304304453</v>
      </c>
      <c r="H10" s="210">
        <f t="shared" si="5"/>
        <v>0.16743825113416283</v>
      </c>
      <c r="I10" s="211">
        <v>0.17</v>
      </c>
      <c r="J10" s="211">
        <v>0.17</v>
      </c>
      <c r="K10" s="211">
        <v>0.17</v>
      </c>
      <c r="L10" s="211">
        <v>0.17</v>
      </c>
      <c r="M10" s="211">
        <v>0.17</v>
      </c>
      <c r="N10" s="188"/>
      <c r="O10" s="188"/>
      <c r="P10" s="188"/>
    </row>
    <row r="11" spans="1:16" ht="16" outlineLevel="1" x14ac:dyDescent="0.2">
      <c r="A11" s="208" t="s">
        <v>70</v>
      </c>
      <c r="B11" s="208"/>
      <c r="C11" s="209"/>
      <c r="D11" s="212">
        <f>D30</f>
        <v>10963</v>
      </c>
      <c r="E11" s="212">
        <f t="shared" ref="E11:H11" si="6">E30</f>
        <v>10125</v>
      </c>
      <c r="F11" s="212">
        <f t="shared" si="6"/>
        <v>10087</v>
      </c>
      <c r="G11" s="212">
        <f t="shared" si="6"/>
        <v>11020</v>
      </c>
      <c r="H11" s="212">
        <f t="shared" si="6"/>
        <v>11412</v>
      </c>
      <c r="I11" s="213">
        <v>15000</v>
      </c>
      <c r="J11" s="213">
        <v>15000</v>
      </c>
      <c r="K11" s="213">
        <v>15000</v>
      </c>
      <c r="L11" s="213">
        <v>15000</v>
      </c>
      <c r="M11" s="213">
        <v>15000</v>
      </c>
      <c r="N11" s="188"/>
      <c r="O11" s="188"/>
      <c r="P11" s="188"/>
    </row>
    <row r="12" spans="1:16" ht="16" outlineLevel="1" x14ac:dyDescent="0.2">
      <c r="A12" s="208" t="s">
        <v>71</v>
      </c>
      <c r="B12" s="208"/>
      <c r="C12" s="209"/>
      <c r="D12" s="210">
        <f>D31/D46</f>
        <v>0.42857142857142855</v>
      </c>
      <c r="E12" s="210">
        <f t="shared" ref="E12:H12" si="7">E31/E46</f>
        <v>0.42857142857142855</v>
      </c>
      <c r="F12" s="210">
        <f t="shared" si="7"/>
        <v>0.42857142857142855</v>
      </c>
      <c r="G12" s="210">
        <f t="shared" si="7"/>
        <v>0.42857142857142855</v>
      </c>
      <c r="H12" s="210">
        <f t="shared" si="7"/>
        <v>0.42857142857142849</v>
      </c>
      <c r="I12" s="211">
        <v>0.35</v>
      </c>
      <c r="J12" s="211">
        <v>0.35</v>
      </c>
      <c r="K12" s="211">
        <v>0.35</v>
      </c>
      <c r="L12" s="211">
        <v>0.35</v>
      </c>
      <c r="M12" s="211">
        <v>0.35</v>
      </c>
      <c r="N12" s="188"/>
      <c r="O12" s="188"/>
      <c r="P12" s="188"/>
    </row>
    <row r="13" spans="1:16" ht="16" outlineLevel="1" x14ac:dyDescent="0.2">
      <c r="A13" s="208" t="s">
        <v>72</v>
      </c>
      <c r="B13" s="208"/>
      <c r="C13" s="209"/>
      <c r="D13" s="210">
        <f>D32/D51</f>
        <v>0.05</v>
      </c>
      <c r="E13" s="210">
        <f t="shared" ref="E13:H13" si="8">E32/E51</f>
        <v>0.05</v>
      </c>
      <c r="F13" s="210">
        <f t="shared" si="8"/>
        <v>0.05</v>
      </c>
      <c r="G13" s="210">
        <f t="shared" si="8"/>
        <v>0.05</v>
      </c>
      <c r="H13" s="210">
        <f t="shared" si="8"/>
        <v>0.05</v>
      </c>
      <c r="I13" s="211">
        <v>0.1</v>
      </c>
      <c r="J13" s="211">
        <v>0.1</v>
      </c>
      <c r="K13" s="211">
        <v>0.1</v>
      </c>
      <c r="L13" s="211">
        <v>0.1</v>
      </c>
      <c r="M13" s="211">
        <v>0.1</v>
      </c>
      <c r="N13" s="188"/>
      <c r="O13" s="188"/>
      <c r="P13" s="188"/>
    </row>
    <row r="14" spans="1:16" ht="16" outlineLevel="1" x14ac:dyDescent="0.2">
      <c r="A14" s="208" t="s">
        <v>73</v>
      </c>
      <c r="B14" s="214"/>
      <c r="C14" s="215"/>
      <c r="D14" s="210">
        <f>D36/D34</f>
        <v>0.31167801892042296</v>
      </c>
      <c r="E14" s="210">
        <f t="shared" ref="E14:H14" si="9">E36/E34</f>
        <v>0.29180230056592171</v>
      </c>
      <c r="F14" s="210">
        <f t="shared" si="9"/>
        <v>0.28698850107817436</v>
      </c>
      <c r="G14" s="210">
        <f t="shared" si="9"/>
        <v>0.2899411500446471</v>
      </c>
      <c r="H14" s="210">
        <f t="shared" si="9"/>
        <v>0.29121899033183596</v>
      </c>
      <c r="I14" s="211">
        <v>0.28000000000000003</v>
      </c>
      <c r="J14" s="211">
        <v>0.28000000000000003</v>
      </c>
      <c r="K14" s="211">
        <v>0.28000000000000003</v>
      </c>
      <c r="L14" s="211">
        <v>0.28000000000000003</v>
      </c>
      <c r="M14" s="211">
        <v>0.28000000000000003</v>
      </c>
      <c r="N14" s="188"/>
      <c r="O14" s="188"/>
      <c r="P14" s="188"/>
    </row>
    <row r="15" spans="1:16" ht="16" outlineLevel="1" x14ac:dyDescent="0.2">
      <c r="A15" s="188" t="s">
        <v>74</v>
      </c>
      <c r="B15" s="188"/>
      <c r="C15" s="216"/>
      <c r="D15" s="200">
        <f>D44/D25*365</f>
        <v>18.25</v>
      </c>
      <c r="E15" s="200">
        <f t="shared" ref="E15:H16" si="10">E44/E25*365</f>
        <v>18.25</v>
      </c>
      <c r="F15" s="200">
        <f t="shared" si="10"/>
        <v>18.25</v>
      </c>
      <c r="G15" s="200">
        <f t="shared" si="10"/>
        <v>18.25</v>
      </c>
      <c r="H15" s="200">
        <f t="shared" si="10"/>
        <v>18.25</v>
      </c>
      <c r="I15" s="201">
        <v>18</v>
      </c>
      <c r="J15" s="201">
        <v>18</v>
      </c>
      <c r="K15" s="201">
        <v>18</v>
      </c>
      <c r="L15" s="201">
        <v>18</v>
      </c>
      <c r="M15" s="201">
        <v>18</v>
      </c>
      <c r="N15" s="188"/>
      <c r="O15" s="188"/>
      <c r="P15" s="188"/>
    </row>
    <row r="16" spans="1:16" ht="16" outlineLevel="1" x14ac:dyDescent="0.2">
      <c r="A16" s="188" t="s">
        <v>75</v>
      </c>
      <c r="B16" s="188"/>
      <c r="C16" s="216"/>
      <c r="D16" s="200">
        <f>D45/D26*365</f>
        <v>73</v>
      </c>
      <c r="E16" s="200">
        <f t="shared" si="10"/>
        <v>73</v>
      </c>
      <c r="F16" s="200">
        <f t="shared" si="10"/>
        <v>73</v>
      </c>
      <c r="G16" s="200">
        <f t="shared" si="10"/>
        <v>73</v>
      </c>
      <c r="H16" s="200">
        <f t="shared" si="10"/>
        <v>73</v>
      </c>
      <c r="I16" s="201">
        <v>80</v>
      </c>
      <c r="J16" s="201">
        <v>90</v>
      </c>
      <c r="K16" s="201">
        <v>100</v>
      </c>
      <c r="L16" s="201">
        <v>100</v>
      </c>
      <c r="M16" s="201">
        <v>100</v>
      </c>
      <c r="N16" s="188"/>
      <c r="O16" s="188"/>
      <c r="P16" s="188"/>
    </row>
    <row r="17" spans="1:13" ht="16" outlineLevel="1" x14ac:dyDescent="0.2">
      <c r="A17" s="188" t="s">
        <v>76</v>
      </c>
      <c r="B17" s="188"/>
      <c r="C17" s="216"/>
      <c r="D17" s="200">
        <f>D50/D26*365</f>
        <v>36.5</v>
      </c>
      <c r="E17" s="200">
        <f t="shared" ref="E17:H17" si="11">E50/E26*365</f>
        <v>36.5</v>
      </c>
      <c r="F17" s="200">
        <f t="shared" si="11"/>
        <v>36.5</v>
      </c>
      <c r="G17" s="200">
        <f t="shared" si="11"/>
        <v>36.5</v>
      </c>
      <c r="H17" s="200">
        <f t="shared" si="11"/>
        <v>36.5</v>
      </c>
      <c r="I17" s="201">
        <v>37</v>
      </c>
      <c r="J17" s="201">
        <v>37</v>
      </c>
      <c r="K17" s="201">
        <v>37</v>
      </c>
      <c r="L17" s="201">
        <v>37</v>
      </c>
      <c r="M17" s="201">
        <v>37</v>
      </c>
    </row>
    <row r="18" spans="1:13" ht="16" outlineLevel="1" x14ac:dyDescent="0.2">
      <c r="A18" s="188" t="s">
        <v>77</v>
      </c>
      <c r="B18" s="188"/>
      <c r="C18" s="195"/>
      <c r="D18" s="200">
        <f>D71</f>
        <v>15000</v>
      </c>
      <c r="E18" s="200">
        <f t="shared" ref="E18:H18" si="12">E71</f>
        <v>15000</v>
      </c>
      <c r="F18" s="200">
        <f t="shared" si="12"/>
        <v>15000</v>
      </c>
      <c r="G18" s="200">
        <f t="shared" si="12"/>
        <v>15000</v>
      </c>
      <c r="H18" s="200">
        <f t="shared" si="12"/>
        <v>15000</v>
      </c>
      <c r="I18" s="201">
        <v>15000</v>
      </c>
      <c r="J18" s="201">
        <v>15000</v>
      </c>
      <c r="K18" s="201">
        <v>15000</v>
      </c>
      <c r="L18" s="201">
        <v>15000</v>
      </c>
      <c r="M18" s="201">
        <v>15000</v>
      </c>
    </row>
    <row r="19" spans="1:13" ht="16" outlineLevel="1" x14ac:dyDescent="0.2">
      <c r="A19" s="188" t="s">
        <v>78</v>
      </c>
      <c r="B19" s="188"/>
      <c r="C19" s="195"/>
      <c r="D19" s="200">
        <f>D75</f>
        <v>0</v>
      </c>
      <c r="E19" s="200">
        <f t="shared" ref="E19:H20" si="13">E75</f>
        <v>0</v>
      </c>
      <c r="F19" s="200">
        <f t="shared" si="13"/>
        <v>-20000</v>
      </c>
      <c r="G19" s="200">
        <f t="shared" si="13"/>
        <v>0</v>
      </c>
      <c r="H19" s="200">
        <f t="shared" si="13"/>
        <v>0</v>
      </c>
      <c r="I19" s="201">
        <v>0</v>
      </c>
      <c r="J19" s="201">
        <v>0</v>
      </c>
      <c r="K19" s="201">
        <v>-20000</v>
      </c>
      <c r="L19" s="201">
        <v>0</v>
      </c>
      <c r="M19" s="201">
        <v>0</v>
      </c>
    </row>
    <row r="20" spans="1:13" ht="16" outlineLevel="1" x14ac:dyDescent="0.2">
      <c r="A20" s="188" t="s">
        <v>79</v>
      </c>
      <c r="B20" s="188"/>
      <c r="C20" s="195"/>
      <c r="D20" s="200">
        <f>D76</f>
        <v>70000</v>
      </c>
      <c r="E20" s="200">
        <f t="shared" si="13"/>
        <v>0</v>
      </c>
      <c r="F20" s="200">
        <f t="shared" si="13"/>
        <v>0</v>
      </c>
      <c r="G20" s="200">
        <f t="shared" si="13"/>
        <v>0</v>
      </c>
      <c r="H20" s="200">
        <f t="shared" si="13"/>
        <v>0</v>
      </c>
      <c r="I20" s="201">
        <v>0</v>
      </c>
      <c r="J20" s="201">
        <v>0</v>
      </c>
      <c r="K20" s="201">
        <v>0</v>
      </c>
      <c r="L20" s="201">
        <v>0</v>
      </c>
      <c r="M20" s="201">
        <v>0</v>
      </c>
    </row>
    <row r="21" spans="1:13" ht="16" outlineLevel="1" x14ac:dyDescent="0.2">
      <c r="A21" s="188"/>
      <c r="B21" s="188"/>
      <c r="C21" s="195"/>
      <c r="D21" s="200"/>
      <c r="E21" s="200"/>
      <c r="F21" s="200"/>
      <c r="G21" s="200"/>
      <c r="H21" s="200"/>
      <c r="I21" s="201"/>
      <c r="J21" s="201"/>
      <c r="K21" s="201"/>
      <c r="L21" s="201"/>
      <c r="M21" s="201"/>
    </row>
    <row r="22" spans="1:13" ht="16" x14ac:dyDescent="0.2">
      <c r="A22" s="188"/>
      <c r="B22" s="188"/>
      <c r="C22" s="195"/>
      <c r="D22" s="200"/>
      <c r="E22" s="200"/>
      <c r="F22" s="200"/>
      <c r="G22" s="200"/>
      <c r="H22" s="200"/>
      <c r="I22" s="201"/>
      <c r="J22" s="201"/>
      <c r="K22" s="201"/>
      <c r="L22" s="201"/>
      <c r="M22" s="201"/>
    </row>
    <row r="23" spans="1:13" ht="20" x14ac:dyDescent="0.2">
      <c r="A23" s="197" t="s">
        <v>80</v>
      </c>
      <c r="B23" s="198"/>
      <c r="C23" s="199"/>
      <c r="D23" s="198"/>
      <c r="E23" s="198"/>
      <c r="F23" s="198"/>
      <c r="G23" s="198"/>
      <c r="H23" s="198"/>
      <c r="I23" s="198"/>
      <c r="J23" s="198"/>
      <c r="K23" s="198"/>
      <c r="L23" s="198"/>
      <c r="M23" s="198"/>
    </row>
    <row r="24" spans="1:13" ht="16" outlineLevel="1" x14ac:dyDescent="0.2">
      <c r="A24" s="217"/>
      <c r="B24" s="217"/>
      <c r="C24" s="218"/>
      <c r="D24" s="219"/>
      <c r="E24" s="219"/>
      <c r="F24" s="219"/>
      <c r="G24" s="219"/>
      <c r="H24" s="219"/>
      <c r="I24" s="220"/>
      <c r="J24" s="220"/>
      <c r="K24" s="220"/>
      <c r="L24" s="220"/>
      <c r="M24" s="220"/>
    </row>
    <row r="25" spans="1:13" ht="16" outlineLevel="1" x14ac:dyDescent="0.2">
      <c r="A25" s="202" t="s">
        <v>81</v>
      </c>
      <c r="B25" s="202"/>
      <c r="C25" s="221"/>
      <c r="D25" s="222">
        <v>102007</v>
      </c>
      <c r="E25" s="222">
        <v>118086</v>
      </c>
      <c r="F25" s="222">
        <v>131345</v>
      </c>
      <c r="G25" s="222">
        <v>142341</v>
      </c>
      <c r="H25" s="222">
        <v>150772</v>
      </c>
      <c r="I25" s="223">
        <f>H25*((1+I8))</f>
        <v>165849.20000000001</v>
      </c>
      <c r="J25" s="223">
        <f t="shared" ref="J25:M25" si="14">I25*((1+J8))</f>
        <v>182434.12000000002</v>
      </c>
      <c r="K25" s="223">
        <f t="shared" si="14"/>
        <v>200677.53200000004</v>
      </c>
      <c r="L25" s="223">
        <f t="shared" si="14"/>
        <v>220745.28520000007</v>
      </c>
      <c r="M25" s="223">
        <f t="shared" si="14"/>
        <v>242819.81372000009</v>
      </c>
    </row>
    <row r="26" spans="1:13" ht="16" outlineLevel="1" x14ac:dyDescent="0.2">
      <c r="A26" s="208" t="s">
        <v>82</v>
      </c>
      <c r="B26" s="208"/>
      <c r="C26" s="209"/>
      <c r="D26" s="224">
        <v>39023</v>
      </c>
      <c r="E26" s="224">
        <v>48004</v>
      </c>
      <c r="F26" s="224">
        <v>49123</v>
      </c>
      <c r="G26" s="224">
        <v>52654</v>
      </c>
      <c r="H26" s="224">
        <v>56710</v>
      </c>
      <c r="I26" s="225">
        <f>I25*(I9)</f>
        <v>69656.664000000004</v>
      </c>
      <c r="J26" s="225">
        <f t="shared" ref="J26:M26" si="15">J25*(J9)</f>
        <v>85744.036400000012</v>
      </c>
      <c r="K26" s="225">
        <f t="shared" si="15"/>
        <v>100338.76600000002</v>
      </c>
      <c r="L26" s="225">
        <f t="shared" si="15"/>
        <v>79468.30267200002</v>
      </c>
      <c r="M26" s="225">
        <f t="shared" si="15"/>
        <v>84986.934802000033</v>
      </c>
    </row>
    <row r="27" spans="1:13" ht="16" outlineLevel="1" x14ac:dyDescent="0.2">
      <c r="A27" s="204" t="s">
        <v>83</v>
      </c>
      <c r="B27" s="204"/>
      <c r="C27" s="205"/>
      <c r="D27" s="226">
        <f>D25-D26</f>
        <v>62984</v>
      </c>
      <c r="E27" s="226">
        <f t="shared" ref="E27:M27" si="16">E25-E26</f>
        <v>70082</v>
      </c>
      <c r="F27" s="226">
        <f t="shared" si="16"/>
        <v>82222</v>
      </c>
      <c r="G27" s="226">
        <f t="shared" si="16"/>
        <v>89687</v>
      </c>
      <c r="H27" s="226">
        <f t="shared" si="16"/>
        <v>94062</v>
      </c>
      <c r="I27" s="226">
        <f t="shared" si="16"/>
        <v>96192.536000000007</v>
      </c>
      <c r="J27" s="226">
        <f t="shared" si="16"/>
        <v>96690.083600000013</v>
      </c>
      <c r="K27" s="226">
        <f t="shared" si="16"/>
        <v>100338.76600000002</v>
      </c>
      <c r="L27" s="226">
        <f t="shared" si="16"/>
        <v>141276.98252800005</v>
      </c>
      <c r="M27" s="226">
        <f t="shared" si="16"/>
        <v>157832.87891800006</v>
      </c>
    </row>
    <row r="28" spans="1:13" ht="16" outlineLevel="1" x14ac:dyDescent="0.2">
      <c r="A28" s="217" t="s">
        <v>84</v>
      </c>
      <c r="B28" s="217"/>
      <c r="C28" s="218"/>
      <c r="D28" s="227"/>
      <c r="E28" s="227"/>
      <c r="F28" s="227"/>
      <c r="G28" s="227"/>
      <c r="H28" s="227"/>
      <c r="I28" s="227"/>
      <c r="J28" s="227"/>
      <c r="K28" s="227"/>
      <c r="L28" s="220"/>
      <c r="M28" s="220"/>
    </row>
    <row r="29" spans="1:13" ht="16" outlineLevel="1" x14ac:dyDescent="0.2">
      <c r="A29" s="188" t="s">
        <v>85</v>
      </c>
      <c r="B29" s="188"/>
      <c r="C29" s="195"/>
      <c r="D29" s="228">
        <v>26427</v>
      </c>
      <c r="E29" s="228">
        <v>22658</v>
      </c>
      <c r="F29" s="228">
        <v>23872</v>
      </c>
      <c r="G29" s="228">
        <v>23002</v>
      </c>
      <c r="H29" s="228">
        <v>25245</v>
      </c>
      <c r="I29" s="229">
        <f>I25*I10</f>
        <v>28194.364000000005</v>
      </c>
      <c r="J29" s="229">
        <f>J25*J10</f>
        <v>31013.800400000007</v>
      </c>
      <c r="K29" s="229">
        <f>K25*K10</f>
        <v>34115.180440000011</v>
      </c>
      <c r="L29" s="229">
        <f>L25*L10</f>
        <v>37526.698484000015</v>
      </c>
      <c r="M29" s="229">
        <f>M25*M10</f>
        <v>41279.368332400016</v>
      </c>
    </row>
    <row r="30" spans="1:13" ht="16" outlineLevel="1" x14ac:dyDescent="0.2">
      <c r="A30" s="188" t="s">
        <v>86</v>
      </c>
      <c r="B30" s="188"/>
      <c r="C30" s="195"/>
      <c r="D30" s="228">
        <v>10963</v>
      </c>
      <c r="E30" s="228">
        <v>10125</v>
      </c>
      <c r="F30" s="228">
        <v>10087</v>
      </c>
      <c r="G30" s="228">
        <v>11020</v>
      </c>
      <c r="H30" s="228">
        <v>11412</v>
      </c>
      <c r="I30" s="229">
        <f>I11</f>
        <v>15000</v>
      </c>
      <c r="J30" s="229">
        <f>J11</f>
        <v>15000</v>
      </c>
      <c r="K30" s="229">
        <f>K11</f>
        <v>15000</v>
      </c>
      <c r="L30" s="229">
        <f>L11</f>
        <v>15000</v>
      </c>
      <c r="M30" s="229">
        <f>M11</f>
        <v>15000</v>
      </c>
    </row>
    <row r="31" spans="1:13" ht="16" outlineLevel="1" x14ac:dyDescent="0.2">
      <c r="A31" s="188" t="s">
        <v>87</v>
      </c>
      <c r="B31" s="188"/>
      <c r="C31" s="195"/>
      <c r="D31" s="228">
        <v>19500</v>
      </c>
      <c r="E31" s="228">
        <v>18150</v>
      </c>
      <c r="F31" s="228">
        <v>17205</v>
      </c>
      <c r="G31" s="228">
        <v>16543.5</v>
      </c>
      <c r="H31" s="228">
        <v>16080.449999999999</v>
      </c>
      <c r="I31" s="229">
        <f>+I97</f>
        <v>13132.3675</v>
      </c>
      <c r="J31" s="229">
        <f t="shared" ref="J31:M31" si="17">+J97</f>
        <v>13786.038875</v>
      </c>
      <c r="K31" s="229">
        <f t="shared" si="17"/>
        <v>14210.925268750001</v>
      </c>
      <c r="L31" s="229">
        <f t="shared" si="17"/>
        <v>14487.101424687498</v>
      </c>
      <c r="M31" s="229">
        <f t="shared" si="17"/>
        <v>14666.615926046874</v>
      </c>
    </row>
    <row r="32" spans="1:13" ht="16" outlineLevel="1" x14ac:dyDescent="0.2">
      <c r="A32" s="230" t="s">
        <v>88</v>
      </c>
      <c r="B32" s="230"/>
      <c r="C32" s="231"/>
      <c r="D32" s="232">
        <v>2500</v>
      </c>
      <c r="E32" s="232">
        <v>2500</v>
      </c>
      <c r="F32" s="232">
        <v>1500</v>
      </c>
      <c r="G32" s="232">
        <v>1500</v>
      </c>
      <c r="H32" s="232">
        <v>1500</v>
      </c>
      <c r="I32" s="233">
        <f>I104</f>
        <v>3000</v>
      </c>
      <c r="J32" s="233">
        <f t="shared" ref="J32:M32" si="18">J104</f>
        <v>3000</v>
      </c>
      <c r="K32" s="233">
        <f t="shared" si="18"/>
        <v>1000</v>
      </c>
      <c r="L32" s="233">
        <f t="shared" si="18"/>
        <v>1000</v>
      </c>
      <c r="M32" s="233">
        <f t="shared" si="18"/>
        <v>1000</v>
      </c>
    </row>
    <row r="33" spans="1:13" ht="16" outlineLevel="1" x14ac:dyDescent="0.2">
      <c r="A33" s="217" t="s">
        <v>89</v>
      </c>
      <c r="B33" s="208"/>
      <c r="C33" s="209"/>
      <c r="D33" s="220">
        <f>SUM(D29:D32)</f>
        <v>59390</v>
      </c>
      <c r="E33" s="220">
        <f t="shared" ref="E33:M33" si="19">SUM(E29:E32)</f>
        <v>53433</v>
      </c>
      <c r="F33" s="220">
        <f t="shared" si="19"/>
        <v>52664</v>
      </c>
      <c r="G33" s="220">
        <f t="shared" si="19"/>
        <v>52065.5</v>
      </c>
      <c r="H33" s="220">
        <f t="shared" si="19"/>
        <v>54237.45</v>
      </c>
      <c r="I33" s="220">
        <f t="shared" si="19"/>
        <v>59326.731500000002</v>
      </c>
      <c r="J33" s="220">
        <f t="shared" si="19"/>
        <v>62799.839275000006</v>
      </c>
      <c r="K33" s="220">
        <f t="shared" si="19"/>
        <v>64326.105708750008</v>
      </c>
      <c r="L33" s="220">
        <f t="shared" si="19"/>
        <v>68013.799908687506</v>
      </c>
      <c r="M33" s="220">
        <f t="shared" si="19"/>
        <v>71945.984258446886</v>
      </c>
    </row>
    <row r="34" spans="1:13" ht="16" outlineLevel="1" x14ac:dyDescent="0.2">
      <c r="A34" s="204" t="s">
        <v>90</v>
      </c>
      <c r="B34" s="204"/>
      <c r="C34" s="205"/>
      <c r="D34" s="226">
        <f>D27-D33</f>
        <v>3594</v>
      </c>
      <c r="E34" s="226">
        <f t="shared" ref="E34:M34" si="20">E27-E33</f>
        <v>16649</v>
      </c>
      <c r="F34" s="226">
        <f t="shared" si="20"/>
        <v>29558</v>
      </c>
      <c r="G34" s="226">
        <f t="shared" si="20"/>
        <v>37621.5</v>
      </c>
      <c r="H34" s="226">
        <f t="shared" si="20"/>
        <v>39824.550000000003</v>
      </c>
      <c r="I34" s="226">
        <f t="shared" si="20"/>
        <v>36865.804500000006</v>
      </c>
      <c r="J34" s="226">
        <f t="shared" si="20"/>
        <v>33890.244325000007</v>
      </c>
      <c r="K34" s="226">
        <f t="shared" si="20"/>
        <v>36012.660291250009</v>
      </c>
      <c r="L34" s="226">
        <f t="shared" si="20"/>
        <v>73263.182619312545</v>
      </c>
      <c r="M34" s="226">
        <f t="shared" si="20"/>
        <v>85886.894659553174</v>
      </c>
    </row>
    <row r="35" spans="1:13" ht="16" outlineLevel="1" x14ac:dyDescent="0.2">
      <c r="A35" s="217"/>
      <c r="B35" s="217"/>
      <c r="C35" s="218"/>
      <c r="D35" s="219"/>
      <c r="E35" s="219"/>
      <c r="F35" s="219"/>
      <c r="G35" s="219"/>
      <c r="H35" s="219"/>
      <c r="I35" s="220"/>
      <c r="J35" s="220"/>
      <c r="K35" s="220"/>
      <c r="L35" s="220"/>
      <c r="M35" s="220"/>
    </row>
    <row r="36" spans="1:13" ht="16" outlineLevel="1" x14ac:dyDescent="0.2">
      <c r="A36" s="208" t="s">
        <v>91</v>
      </c>
      <c r="B36" s="208"/>
      <c r="C36" s="209"/>
      <c r="D36" s="228">
        <v>1120.1708000000001</v>
      </c>
      <c r="E36" s="228">
        <v>4858.2165021220308</v>
      </c>
      <c r="F36" s="228">
        <v>8482.8061148686775</v>
      </c>
      <c r="G36" s="228">
        <v>10908.02097640469</v>
      </c>
      <c r="H36" s="228">
        <v>11597.665241419718</v>
      </c>
      <c r="I36" s="234">
        <f>I34*I14</f>
        <v>10322.425260000002</v>
      </c>
      <c r="J36" s="234">
        <f>J34*J14</f>
        <v>9489.2684110000027</v>
      </c>
      <c r="K36" s="234">
        <f>K34*K14</f>
        <v>10083.544881550004</v>
      </c>
      <c r="L36" s="234">
        <f>L34*L14</f>
        <v>20513.691133407516</v>
      </c>
      <c r="M36" s="234">
        <f>M34*M14</f>
        <v>24048.33050467489</v>
      </c>
    </row>
    <row r="37" spans="1:13" ht="17" outlineLevel="1" thickBot="1" x14ac:dyDescent="0.25">
      <c r="A37" s="235" t="s">
        <v>92</v>
      </c>
      <c r="B37" s="235"/>
      <c r="C37" s="236"/>
      <c r="D37" s="237">
        <f>D34-D36</f>
        <v>2473.8292000000001</v>
      </c>
      <c r="E37" s="237">
        <f t="shared" ref="E37:M37" si="21">E34-E36</f>
        <v>11790.783497877968</v>
      </c>
      <c r="F37" s="237">
        <f t="shared" si="21"/>
        <v>21075.193885131324</v>
      </c>
      <c r="G37" s="237">
        <f t="shared" si="21"/>
        <v>26713.479023595311</v>
      </c>
      <c r="H37" s="237">
        <f t="shared" si="21"/>
        <v>28226.884758580287</v>
      </c>
      <c r="I37" s="237">
        <f t="shared" si="21"/>
        <v>26543.379240000002</v>
      </c>
      <c r="J37" s="237">
        <f t="shared" si="21"/>
        <v>24400.975914000002</v>
      </c>
      <c r="K37" s="237">
        <f t="shared" si="21"/>
        <v>25929.115409700004</v>
      </c>
      <c r="L37" s="237">
        <f t="shared" si="21"/>
        <v>52749.491485905033</v>
      </c>
      <c r="M37" s="237">
        <f t="shared" si="21"/>
        <v>61838.564154878288</v>
      </c>
    </row>
    <row r="38" spans="1:13" ht="17" outlineLevel="1" collapsed="1" thickTop="1" x14ac:dyDescent="0.2">
      <c r="A38" s="188"/>
      <c r="B38" s="188"/>
      <c r="C38" s="195"/>
      <c r="D38" s="228"/>
      <c r="E38" s="228"/>
      <c r="F38" s="228"/>
      <c r="G38" s="228"/>
      <c r="H38" s="228"/>
      <c r="I38" s="188"/>
      <c r="J38" s="188"/>
      <c r="K38" s="188"/>
      <c r="L38" s="188"/>
      <c r="M38" s="188"/>
    </row>
    <row r="39" spans="1:13" ht="16" x14ac:dyDescent="0.2">
      <c r="A39" s="188"/>
      <c r="B39" s="188"/>
      <c r="C39" s="195"/>
      <c r="D39" s="228"/>
      <c r="E39" s="228"/>
      <c r="F39" s="228"/>
      <c r="G39" s="228"/>
      <c r="H39" s="228"/>
      <c r="I39" s="188"/>
      <c r="J39" s="188"/>
      <c r="K39" s="188"/>
      <c r="L39" s="188"/>
      <c r="M39" s="188"/>
    </row>
    <row r="40" spans="1:13" ht="20" x14ac:dyDescent="0.2">
      <c r="A40" s="197" t="s">
        <v>93</v>
      </c>
      <c r="B40" s="198"/>
      <c r="C40" s="199"/>
      <c r="D40" s="198"/>
      <c r="E40" s="198"/>
      <c r="F40" s="198"/>
      <c r="G40" s="198"/>
      <c r="H40" s="198"/>
      <c r="I40" s="198"/>
      <c r="J40" s="198"/>
      <c r="K40" s="198"/>
      <c r="L40" s="198"/>
      <c r="M40" s="198"/>
    </row>
    <row r="41" spans="1:13" ht="16" outlineLevel="1" x14ac:dyDescent="0.2">
      <c r="A41" s="188"/>
      <c r="B41" s="188"/>
      <c r="C41" s="195"/>
      <c r="D41" s="228"/>
      <c r="E41" s="228"/>
      <c r="F41" s="228"/>
      <c r="G41" s="228"/>
      <c r="H41" s="228"/>
      <c r="I41" s="188"/>
      <c r="J41" s="188"/>
      <c r="K41" s="188"/>
      <c r="L41" s="188"/>
      <c r="M41" s="188"/>
    </row>
    <row r="42" spans="1:13" ht="16" outlineLevel="1" x14ac:dyDescent="0.2">
      <c r="A42" s="202" t="s">
        <v>94</v>
      </c>
      <c r="B42" s="188"/>
      <c r="C42" s="195"/>
      <c r="D42" s="228"/>
      <c r="E42" s="228"/>
      <c r="F42" s="228"/>
      <c r="G42" s="228"/>
      <c r="H42" s="228"/>
      <c r="I42" s="188"/>
      <c r="J42" s="188"/>
      <c r="K42" s="188"/>
      <c r="L42" s="188"/>
      <c r="M42" s="188"/>
    </row>
    <row r="43" spans="1:13" ht="16" outlineLevel="1" x14ac:dyDescent="0.2">
      <c r="A43" s="188" t="s">
        <v>95</v>
      </c>
      <c r="B43" s="188"/>
      <c r="C43" s="238"/>
      <c r="D43" s="228">
        <v>67971.179200000013</v>
      </c>
      <c r="E43" s="228">
        <v>81209.912697877968</v>
      </c>
      <c r="F43" s="228">
        <v>83715.256583009294</v>
      </c>
      <c r="G43" s="228">
        <v>111069.33560660461</v>
      </c>
      <c r="H43" s="228">
        <v>139549.5203651849</v>
      </c>
      <c r="I43" s="188">
        <f>I81</f>
        <v>161049.87490792462</v>
      </c>
      <c r="J43" s="188">
        <f t="shared" ref="J43:M43" si="22">J81</f>
        <v>179174.62685528077</v>
      </c>
      <c r="K43" s="188">
        <f t="shared" si="22"/>
        <v>178546.75042468967</v>
      </c>
      <c r="L43" s="188">
        <f t="shared" si="22"/>
        <v>233395.99986148495</v>
      </c>
      <c r="M43" s="188">
        <f t="shared" si="22"/>
        <v>292860.04203131422</v>
      </c>
    </row>
    <row r="44" spans="1:13" ht="16" outlineLevel="1" x14ac:dyDescent="0.2">
      <c r="A44" s="188" t="s">
        <v>96</v>
      </c>
      <c r="B44" s="188"/>
      <c r="C44" s="238"/>
      <c r="D44" s="228">
        <v>5100.3500000000004</v>
      </c>
      <c r="E44" s="228">
        <v>5904.3</v>
      </c>
      <c r="F44" s="228">
        <v>6567.25</v>
      </c>
      <c r="G44" s="228">
        <v>7117.05</v>
      </c>
      <c r="H44" s="228">
        <v>7538.6</v>
      </c>
      <c r="I44" s="239">
        <f t="shared" ref="I44:M45" si="23">I25*I15/365</f>
        <v>8178.8646575342473</v>
      </c>
      <c r="J44" s="239">
        <f t="shared" si="23"/>
        <v>8996.7511232876732</v>
      </c>
      <c r="K44" s="239">
        <f t="shared" si="23"/>
        <v>9896.42623561644</v>
      </c>
      <c r="L44" s="239">
        <f t="shared" si="23"/>
        <v>10886.068859178085</v>
      </c>
      <c r="M44" s="239">
        <f t="shared" si="23"/>
        <v>11974.675745095894</v>
      </c>
    </row>
    <row r="45" spans="1:13" ht="16" outlineLevel="1" x14ac:dyDescent="0.2">
      <c r="A45" s="188" t="s">
        <v>97</v>
      </c>
      <c r="B45" s="188"/>
      <c r="C45" s="238"/>
      <c r="D45" s="228">
        <v>7804.6</v>
      </c>
      <c r="E45" s="228">
        <v>9600.8000000000011</v>
      </c>
      <c r="F45" s="228">
        <v>9824.6</v>
      </c>
      <c r="G45" s="228">
        <v>10530.800000000001</v>
      </c>
      <c r="H45" s="228">
        <v>11342</v>
      </c>
      <c r="I45" s="188">
        <f t="shared" si="23"/>
        <v>15267.21402739726</v>
      </c>
      <c r="J45" s="188">
        <f t="shared" si="23"/>
        <v>21142.365139726033</v>
      </c>
      <c r="K45" s="188">
        <f t="shared" si="23"/>
        <v>27490.072876712333</v>
      </c>
      <c r="L45" s="188">
        <f t="shared" si="23"/>
        <v>21772.137718356171</v>
      </c>
      <c r="M45" s="188">
        <f t="shared" si="23"/>
        <v>23284.091726575352</v>
      </c>
    </row>
    <row r="46" spans="1:13" ht="16" outlineLevel="1" x14ac:dyDescent="0.2">
      <c r="A46" s="188" t="s">
        <v>98</v>
      </c>
      <c r="B46" s="188"/>
      <c r="C46" s="195"/>
      <c r="D46" s="228">
        <v>45500</v>
      </c>
      <c r="E46" s="228">
        <v>42350</v>
      </c>
      <c r="F46" s="228">
        <v>40145</v>
      </c>
      <c r="G46" s="228">
        <v>38601.5</v>
      </c>
      <c r="H46" s="228">
        <v>37521.050000000003</v>
      </c>
      <c r="I46" s="188">
        <f t="shared" ref="I46:M46" si="24">I98</f>
        <v>39388.682500000003</v>
      </c>
      <c r="J46" s="188">
        <f t="shared" si="24"/>
        <v>40602.643625000004</v>
      </c>
      <c r="K46" s="188">
        <f t="shared" si="24"/>
        <v>41391.718356249999</v>
      </c>
      <c r="L46" s="188">
        <f t="shared" si="24"/>
        <v>41904.616931562501</v>
      </c>
      <c r="M46" s="188">
        <f t="shared" si="24"/>
        <v>42238.001005515631</v>
      </c>
    </row>
    <row r="47" spans="1:13" ht="17" outlineLevel="1" thickBot="1" x14ac:dyDescent="0.25">
      <c r="A47" s="235" t="s">
        <v>99</v>
      </c>
      <c r="B47" s="235"/>
      <c r="C47" s="236"/>
      <c r="D47" s="237">
        <f>SUM(D43:D46)</f>
        <v>126376.12920000002</v>
      </c>
      <c r="E47" s="237">
        <f t="shared" ref="E47:M47" si="25">SUM(E43:E46)</f>
        <v>139065.01269787797</v>
      </c>
      <c r="F47" s="237">
        <f t="shared" si="25"/>
        <v>140252.1065830093</v>
      </c>
      <c r="G47" s="237">
        <f t="shared" si="25"/>
        <v>167318.68560660462</v>
      </c>
      <c r="H47" s="237">
        <f t="shared" si="25"/>
        <v>195951.17036518489</v>
      </c>
      <c r="I47" s="235">
        <f t="shared" si="25"/>
        <v>223884.63609285612</v>
      </c>
      <c r="J47" s="235">
        <f t="shared" si="25"/>
        <v>249916.38674329448</v>
      </c>
      <c r="K47" s="235">
        <f t="shared" si="25"/>
        <v>257324.96789326845</v>
      </c>
      <c r="L47" s="235">
        <f t="shared" si="25"/>
        <v>307958.82337058167</v>
      </c>
      <c r="M47" s="235">
        <f t="shared" si="25"/>
        <v>370356.81050850108</v>
      </c>
    </row>
    <row r="48" spans="1:13" ht="17" outlineLevel="1" thickTop="1" x14ac:dyDescent="0.2">
      <c r="A48" s="217"/>
      <c r="B48" s="217"/>
      <c r="C48" s="218"/>
      <c r="D48" s="219"/>
      <c r="E48" s="219"/>
      <c r="F48" s="219"/>
      <c r="G48" s="219"/>
      <c r="H48" s="219"/>
      <c r="I48" s="217"/>
      <c r="J48" s="217"/>
      <c r="K48" s="217"/>
      <c r="L48" s="217"/>
      <c r="M48" s="217"/>
    </row>
    <row r="49" spans="1:13" ht="16" outlineLevel="1" x14ac:dyDescent="0.2">
      <c r="A49" s="202" t="s">
        <v>100</v>
      </c>
      <c r="B49" s="188"/>
      <c r="C49" s="238"/>
      <c r="D49" s="228"/>
      <c r="E49" s="228"/>
      <c r="F49" s="228"/>
      <c r="G49" s="228"/>
      <c r="H49" s="228"/>
      <c r="I49" s="188"/>
      <c r="J49" s="188"/>
      <c r="K49" s="188"/>
      <c r="L49" s="188"/>
      <c r="M49" s="188"/>
    </row>
    <row r="50" spans="1:13" ht="16" outlineLevel="1" x14ac:dyDescent="0.2">
      <c r="A50" s="188" t="s">
        <v>101</v>
      </c>
      <c r="B50" s="188"/>
      <c r="C50" s="238"/>
      <c r="D50" s="228">
        <v>3902.3</v>
      </c>
      <c r="E50" s="228">
        <v>4800.4000000000005</v>
      </c>
      <c r="F50" s="228">
        <v>4912.3</v>
      </c>
      <c r="G50" s="228">
        <v>5265.4000000000005</v>
      </c>
      <c r="H50" s="228">
        <v>5671</v>
      </c>
      <c r="I50" s="188">
        <f>I26*I17/365</f>
        <v>7061.086487671233</v>
      </c>
      <c r="J50" s="188">
        <f>J26*J17/365</f>
        <v>8691.8612241095907</v>
      </c>
      <c r="K50" s="188">
        <f>K26*K17/365</f>
        <v>10171.326964383563</v>
      </c>
      <c r="L50" s="188">
        <f>L26*L17/365</f>
        <v>8055.6909557917834</v>
      </c>
      <c r="M50" s="188">
        <f>M26*M17/365</f>
        <v>8615.1139388328793</v>
      </c>
    </row>
    <row r="51" spans="1:13" ht="16" outlineLevel="1" x14ac:dyDescent="0.2">
      <c r="A51" s="188" t="s">
        <v>102</v>
      </c>
      <c r="B51" s="188"/>
      <c r="C51" s="195"/>
      <c r="D51" s="228">
        <v>50000</v>
      </c>
      <c r="E51" s="228">
        <v>50000</v>
      </c>
      <c r="F51" s="228">
        <v>30000</v>
      </c>
      <c r="G51" s="228">
        <v>30000</v>
      </c>
      <c r="H51" s="228">
        <v>30000</v>
      </c>
      <c r="I51" s="188">
        <f t="shared" ref="I51:M51" si="26">I103</f>
        <v>30000</v>
      </c>
      <c r="J51" s="188">
        <f t="shared" si="26"/>
        <v>30000</v>
      </c>
      <c r="K51" s="188">
        <f t="shared" si="26"/>
        <v>10000</v>
      </c>
      <c r="L51" s="188">
        <f t="shared" si="26"/>
        <v>10000</v>
      </c>
      <c r="M51" s="188">
        <f t="shared" si="26"/>
        <v>10000</v>
      </c>
    </row>
    <row r="52" spans="1:13" ht="16" outlineLevel="1" x14ac:dyDescent="0.2">
      <c r="A52" s="204" t="s">
        <v>103</v>
      </c>
      <c r="B52" s="204"/>
      <c r="C52" s="205"/>
      <c r="D52" s="226">
        <f>SUM(D50:D51)</f>
        <v>53902.3</v>
      </c>
      <c r="E52" s="226">
        <f t="shared" ref="E52:M52" si="27">SUM(E50:E51)</f>
        <v>54800.4</v>
      </c>
      <c r="F52" s="226">
        <f t="shared" si="27"/>
        <v>34912.300000000003</v>
      </c>
      <c r="G52" s="226">
        <f t="shared" si="27"/>
        <v>35265.4</v>
      </c>
      <c r="H52" s="226">
        <f t="shared" si="27"/>
        <v>35671</v>
      </c>
      <c r="I52" s="204">
        <f t="shared" si="27"/>
        <v>37061.086487671229</v>
      </c>
      <c r="J52" s="204">
        <f t="shared" si="27"/>
        <v>38691.861224109591</v>
      </c>
      <c r="K52" s="204">
        <f t="shared" si="27"/>
        <v>20171.326964383563</v>
      </c>
      <c r="L52" s="204">
        <f t="shared" si="27"/>
        <v>18055.690955791782</v>
      </c>
      <c r="M52" s="204">
        <f t="shared" si="27"/>
        <v>18615.113938832881</v>
      </c>
    </row>
    <row r="53" spans="1:13" ht="16" outlineLevel="1" x14ac:dyDescent="0.2">
      <c r="A53" s="202" t="s">
        <v>104</v>
      </c>
      <c r="B53" s="188"/>
      <c r="C53" s="195"/>
      <c r="D53" s="228"/>
      <c r="E53" s="228"/>
      <c r="F53" s="228"/>
      <c r="G53" s="228"/>
      <c r="H53" s="228"/>
      <c r="I53" s="188"/>
      <c r="J53" s="188"/>
      <c r="K53" s="188"/>
      <c r="L53" s="188"/>
      <c r="M53" s="188"/>
    </row>
    <row r="54" spans="1:13" ht="16" outlineLevel="1" x14ac:dyDescent="0.2">
      <c r="A54" s="188" t="s">
        <v>105</v>
      </c>
      <c r="B54" s="188"/>
      <c r="C54" s="195"/>
      <c r="D54" s="228">
        <v>70000</v>
      </c>
      <c r="E54" s="228">
        <v>70000</v>
      </c>
      <c r="F54" s="228">
        <v>70000</v>
      </c>
      <c r="G54" s="228">
        <v>70000</v>
      </c>
      <c r="H54" s="228">
        <v>70000</v>
      </c>
      <c r="I54" s="188">
        <f>H54+I20</f>
        <v>70000</v>
      </c>
      <c r="J54" s="188">
        <f>I54+J20</f>
        <v>70000</v>
      </c>
      <c r="K54" s="188">
        <f>J54+K20</f>
        <v>70000</v>
      </c>
      <c r="L54" s="188">
        <f>K54+L20</f>
        <v>70000</v>
      </c>
      <c r="M54" s="188">
        <f>L54+M20</f>
        <v>70000</v>
      </c>
    </row>
    <row r="55" spans="1:13" ht="16" outlineLevel="1" x14ac:dyDescent="0.2">
      <c r="A55" s="188" t="s">
        <v>106</v>
      </c>
      <c r="B55" s="188"/>
      <c r="C55" s="195"/>
      <c r="D55" s="228">
        <v>2473.8292000000001</v>
      </c>
      <c r="E55" s="228">
        <v>14264.612697877968</v>
      </c>
      <c r="F55" s="228">
        <v>35339.806583009296</v>
      </c>
      <c r="G55" s="228">
        <v>62053.285606604608</v>
      </c>
      <c r="H55" s="228">
        <v>90280.170365184895</v>
      </c>
      <c r="I55" s="188">
        <f t="shared" ref="I55:M55" si="28">+H55+I37</f>
        <v>116823.5496051849</v>
      </c>
      <c r="J55" s="188">
        <f t="shared" si="28"/>
        <v>141224.52551918491</v>
      </c>
      <c r="K55" s="188">
        <f t="shared" si="28"/>
        <v>167153.64092888491</v>
      </c>
      <c r="L55" s="188">
        <f t="shared" si="28"/>
        <v>219903.13241478993</v>
      </c>
      <c r="M55" s="188">
        <f t="shared" si="28"/>
        <v>281741.69656966825</v>
      </c>
    </row>
    <row r="56" spans="1:13" ht="16" outlineLevel="1" x14ac:dyDescent="0.2">
      <c r="A56" s="240" t="s">
        <v>104</v>
      </c>
      <c r="B56" s="240"/>
      <c r="C56" s="241"/>
      <c r="D56" s="242">
        <f>SUM(D54:D55)</f>
        <v>72473.829200000007</v>
      </c>
      <c r="E56" s="242">
        <f t="shared" ref="E56:M56" si="29">SUM(E54:E55)</f>
        <v>84264.612697877965</v>
      </c>
      <c r="F56" s="242">
        <f t="shared" si="29"/>
        <v>105339.8065830093</v>
      </c>
      <c r="G56" s="242">
        <f t="shared" si="29"/>
        <v>132053.28560660459</v>
      </c>
      <c r="H56" s="242">
        <f t="shared" si="29"/>
        <v>160280.17036518489</v>
      </c>
      <c r="I56" s="240">
        <f t="shared" si="29"/>
        <v>186823.5496051849</v>
      </c>
      <c r="J56" s="240">
        <f t="shared" si="29"/>
        <v>211224.52551918491</v>
      </c>
      <c r="K56" s="240">
        <f t="shared" si="29"/>
        <v>237153.64092888491</v>
      </c>
      <c r="L56" s="240">
        <f t="shared" si="29"/>
        <v>289903.13241478993</v>
      </c>
      <c r="M56" s="240">
        <f t="shared" si="29"/>
        <v>351741.69656966825</v>
      </c>
    </row>
    <row r="57" spans="1:13" ht="17" outlineLevel="1" thickBot="1" x14ac:dyDescent="0.25">
      <c r="A57" s="235" t="s">
        <v>107</v>
      </c>
      <c r="B57" s="235"/>
      <c r="C57" s="236"/>
      <c r="D57" s="237">
        <f>D52+D56</f>
        <v>126376.12920000001</v>
      </c>
      <c r="E57" s="237">
        <f t="shared" ref="E57:H57" si="30">E52+E56</f>
        <v>139065.01269787797</v>
      </c>
      <c r="F57" s="237">
        <f t="shared" si="30"/>
        <v>140252.1065830093</v>
      </c>
      <c r="G57" s="237">
        <f t="shared" si="30"/>
        <v>167318.68560660459</v>
      </c>
      <c r="H57" s="237">
        <f t="shared" si="30"/>
        <v>195951.17036518489</v>
      </c>
      <c r="I57" s="235">
        <f t="shared" ref="I57:M57" si="31">I56+I52</f>
        <v>223884.63609285612</v>
      </c>
      <c r="J57" s="235">
        <f t="shared" si="31"/>
        <v>249916.38674329451</v>
      </c>
      <c r="K57" s="235">
        <f t="shared" si="31"/>
        <v>257324.96789326848</v>
      </c>
      <c r="L57" s="235">
        <f t="shared" si="31"/>
        <v>307958.82337058173</v>
      </c>
      <c r="M57" s="235">
        <f t="shared" si="31"/>
        <v>370356.81050850113</v>
      </c>
    </row>
    <row r="58" spans="1:13" ht="17" outlineLevel="1" thickTop="1" x14ac:dyDescent="0.2">
      <c r="A58" s="188"/>
      <c r="B58" s="188"/>
      <c r="C58" s="195"/>
      <c r="D58" s="228"/>
      <c r="E58" s="228"/>
      <c r="F58" s="228"/>
      <c r="G58" s="228"/>
      <c r="H58" s="228"/>
      <c r="I58" s="188"/>
      <c r="J58" s="188"/>
      <c r="K58" s="188"/>
      <c r="L58" s="188"/>
      <c r="M58" s="188"/>
    </row>
    <row r="59" spans="1:13" ht="16" outlineLevel="1" x14ac:dyDescent="0.2">
      <c r="A59" s="243" t="s">
        <v>108</v>
      </c>
      <c r="B59" s="244"/>
      <c r="C59" s="245"/>
      <c r="D59" s="244">
        <f t="shared" ref="D59:M59" si="32">D57-D47</f>
        <v>0</v>
      </c>
      <c r="E59" s="244">
        <f t="shared" si="32"/>
        <v>0</v>
      </c>
      <c r="F59" s="244">
        <f t="shared" si="32"/>
        <v>0</v>
      </c>
      <c r="G59" s="244">
        <f t="shared" si="32"/>
        <v>0</v>
      </c>
      <c r="H59" s="244">
        <f t="shared" si="32"/>
        <v>0</v>
      </c>
      <c r="I59" s="244">
        <f t="shared" si="32"/>
        <v>0</v>
      </c>
      <c r="J59" s="244">
        <f t="shared" si="32"/>
        <v>0</v>
      </c>
      <c r="K59" s="244">
        <f t="shared" si="32"/>
        <v>0</v>
      </c>
      <c r="L59" s="244">
        <f t="shared" si="32"/>
        <v>0</v>
      </c>
      <c r="M59" s="244">
        <f t="shared" si="32"/>
        <v>0</v>
      </c>
    </row>
    <row r="60" spans="1:13" ht="16" outlineLevel="1" x14ac:dyDescent="0.2">
      <c r="A60" s="244"/>
      <c r="B60" s="244"/>
      <c r="C60" s="245"/>
      <c r="D60" s="244"/>
      <c r="E60" s="244"/>
      <c r="F60" s="244"/>
      <c r="G60" s="244"/>
      <c r="H60" s="244"/>
      <c r="I60" s="244"/>
      <c r="J60" s="244"/>
      <c r="K60" s="244"/>
      <c r="L60" s="244"/>
      <c r="M60" s="244"/>
    </row>
    <row r="61" spans="1:13" ht="16" x14ac:dyDescent="0.2">
      <c r="A61" s="188"/>
      <c r="B61" s="188"/>
      <c r="C61" s="195"/>
      <c r="D61" s="228"/>
      <c r="E61" s="228"/>
      <c r="F61" s="228"/>
      <c r="G61" s="228"/>
      <c r="H61" s="228"/>
      <c r="I61" s="188"/>
      <c r="J61" s="188"/>
      <c r="K61" s="188"/>
      <c r="L61" s="188"/>
      <c r="M61" s="188"/>
    </row>
    <row r="62" spans="1:13" ht="20" x14ac:dyDescent="0.2">
      <c r="A62" s="197" t="s">
        <v>109</v>
      </c>
      <c r="B62" s="198"/>
      <c r="C62" s="199"/>
      <c r="D62" s="198"/>
      <c r="E62" s="198"/>
      <c r="F62" s="198"/>
      <c r="G62" s="198"/>
      <c r="H62" s="198"/>
      <c r="I62" s="198"/>
      <c r="J62" s="198"/>
      <c r="K62" s="198"/>
      <c r="L62" s="198"/>
      <c r="M62" s="198"/>
    </row>
    <row r="63" spans="1:13" ht="16" outlineLevel="1" x14ac:dyDescent="0.2">
      <c r="A63" s="202"/>
      <c r="B63" s="188"/>
      <c r="C63" s="195"/>
      <c r="D63" s="219"/>
      <c r="E63" s="228"/>
      <c r="F63" s="228"/>
      <c r="G63" s="228"/>
      <c r="H63" s="228"/>
      <c r="I63" s="188"/>
      <c r="J63" s="188"/>
      <c r="K63" s="188"/>
      <c r="L63" s="188"/>
      <c r="M63" s="188"/>
    </row>
    <row r="64" spans="1:13" ht="16" outlineLevel="1" x14ac:dyDescent="0.2">
      <c r="A64" s="202" t="s">
        <v>110</v>
      </c>
      <c r="B64" s="188"/>
      <c r="C64" s="195"/>
      <c r="D64" s="228"/>
      <c r="E64" s="228"/>
      <c r="F64" s="228"/>
      <c r="G64" s="228"/>
      <c r="H64" s="228"/>
      <c r="I64" s="188"/>
      <c r="J64" s="188"/>
      <c r="K64" s="188"/>
      <c r="L64" s="188"/>
      <c r="M64" s="188"/>
    </row>
    <row r="65" spans="1:13" ht="16" outlineLevel="1" x14ac:dyDescent="0.2">
      <c r="A65" s="188" t="s">
        <v>92</v>
      </c>
      <c r="B65" s="188"/>
      <c r="C65" s="195"/>
      <c r="D65" s="228">
        <v>2473.8292000000001</v>
      </c>
      <c r="E65" s="228">
        <v>11790.783497877968</v>
      </c>
      <c r="F65" s="228">
        <v>21075.193885131324</v>
      </c>
      <c r="G65" s="228">
        <v>26713.479023595311</v>
      </c>
      <c r="H65" s="228">
        <v>28226.884758580287</v>
      </c>
      <c r="I65" s="188">
        <f t="shared" ref="I65:M65" si="33">I37</f>
        <v>26543.379240000002</v>
      </c>
      <c r="J65" s="188">
        <f t="shared" si="33"/>
        <v>24400.975914000002</v>
      </c>
      <c r="K65" s="188">
        <f t="shared" si="33"/>
        <v>25929.115409700004</v>
      </c>
      <c r="L65" s="188">
        <f t="shared" si="33"/>
        <v>52749.491485905033</v>
      </c>
      <c r="M65" s="188">
        <f t="shared" si="33"/>
        <v>61838.564154878288</v>
      </c>
    </row>
    <row r="66" spans="1:13" ht="16" outlineLevel="1" x14ac:dyDescent="0.2">
      <c r="A66" s="188" t="s">
        <v>111</v>
      </c>
      <c r="B66" s="188"/>
      <c r="C66" s="195"/>
      <c r="D66" s="228">
        <v>19500</v>
      </c>
      <c r="E66" s="228">
        <v>18150</v>
      </c>
      <c r="F66" s="228">
        <v>17205</v>
      </c>
      <c r="G66" s="228">
        <v>16543.5</v>
      </c>
      <c r="H66" s="228">
        <v>16080.449999999999</v>
      </c>
      <c r="I66" s="188">
        <f>I31</f>
        <v>13132.3675</v>
      </c>
      <c r="J66" s="188">
        <f t="shared" ref="J66:M66" si="34">J31</f>
        <v>13786.038875</v>
      </c>
      <c r="K66" s="188">
        <f t="shared" si="34"/>
        <v>14210.925268750001</v>
      </c>
      <c r="L66" s="188">
        <f t="shared" si="34"/>
        <v>14487.101424687498</v>
      </c>
      <c r="M66" s="188">
        <f t="shared" si="34"/>
        <v>14666.615926046874</v>
      </c>
    </row>
    <row r="67" spans="1:13" ht="16" outlineLevel="1" x14ac:dyDescent="0.2">
      <c r="A67" s="188" t="s">
        <v>112</v>
      </c>
      <c r="B67" s="188"/>
      <c r="C67" s="195"/>
      <c r="D67" s="228">
        <v>9002.6500000000015</v>
      </c>
      <c r="E67" s="228">
        <v>1702.0499999999993</v>
      </c>
      <c r="F67" s="228">
        <v>774.84999999999854</v>
      </c>
      <c r="G67" s="228">
        <v>902.90000000000146</v>
      </c>
      <c r="H67" s="228">
        <v>827.14999999999782</v>
      </c>
      <c r="I67" s="188">
        <f>I92</f>
        <v>3175.3921972602766</v>
      </c>
      <c r="J67" s="188">
        <f t="shared" ref="J67:M67" si="35">J92</f>
        <v>5062.2628416438383</v>
      </c>
      <c r="K67" s="188">
        <f t="shared" si="35"/>
        <v>5767.9171090411</v>
      </c>
      <c r="L67" s="188">
        <f t="shared" si="35"/>
        <v>-2612.6565262027398</v>
      </c>
      <c r="M67" s="188">
        <f t="shared" si="35"/>
        <v>2041.1379110958951</v>
      </c>
    </row>
    <row r="68" spans="1:13" ht="16" outlineLevel="1" x14ac:dyDescent="0.2">
      <c r="A68" s="204" t="s">
        <v>113</v>
      </c>
      <c r="B68" s="203"/>
      <c r="C68" s="246"/>
      <c r="D68" s="226">
        <f>D65+D66-D67</f>
        <v>12971.179199999999</v>
      </c>
      <c r="E68" s="226">
        <f t="shared" ref="E68:M68" si="36">E65+E66-E67</f>
        <v>28238.733497877969</v>
      </c>
      <c r="F68" s="226">
        <f t="shared" si="36"/>
        <v>37505.343885131326</v>
      </c>
      <c r="G68" s="226">
        <f t="shared" si="36"/>
        <v>42354.07902359531</v>
      </c>
      <c r="H68" s="226">
        <f t="shared" si="36"/>
        <v>43480.18475858029</v>
      </c>
      <c r="I68" s="226">
        <f t="shared" si="36"/>
        <v>36500.354542739726</v>
      </c>
      <c r="J68" s="226">
        <f t="shared" si="36"/>
        <v>33124.751947356162</v>
      </c>
      <c r="K68" s="226">
        <f t="shared" si="36"/>
        <v>34372.123569408912</v>
      </c>
      <c r="L68" s="226">
        <f t="shared" si="36"/>
        <v>69849.249436795275</v>
      </c>
      <c r="M68" s="226">
        <f t="shared" si="36"/>
        <v>74464.042169829263</v>
      </c>
    </row>
    <row r="69" spans="1:13" ht="16" outlineLevel="1" x14ac:dyDescent="0.2">
      <c r="A69" s="217"/>
      <c r="B69" s="208"/>
      <c r="C69" s="209"/>
      <c r="D69" s="219"/>
      <c r="E69" s="219"/>
      <c r="F69" s="219"/>
      <c r="G69" s="219"/>
      <c r="H69" s="219"/>
      <c r="I69" s="217"/>
      <c r="J69" s="217"/>
      <c r="K69" s="217"/>
      <c r="L69" s="217"/>
      <c r="M69" s="217"/>
    </row>
    <row r="70" spans="1:13" ht="16" outlineLevel="1" x14ac:dyDescent="0.2">
      <c r="A70" s="202" t="s">
        <v>114</v>
      </c>
      <c r="B70" s="188"/>
      <c r="C70" s="195"/>
      <c r="D70" s="224"/>
      <c r="E70" s="224"/>
      <c r="F70" s="224"/>
      <c r="G70" s="224"/>
      <c r="H70" s="224"/>
      <c r="I70" s="208"/>
      <c r="J70" s="208"/>
      <c r="K70" s="208"/>
      <c r="L70" s="208"/>
      <c r="M70" s="208"/>
    </row>
    <row r="71" spans="1:13" ht="16" outlineLevel="1" x14ac:dyDescent="0.2">
      <c r="A71" s="188" t="s">
        <v>115</v>
      </c>
      <c r="B71" s="188"/>
      <c r="C71" s="195"/>
      <c r="D71" s="224">
        <v>15000</v>
      </c>
      <c r="E71" s="224">
        <v>15000</v>
      </c>
      <c r="F71" s="224">
        <v>15000</v>
      </c>
      <c r="G71" s="224">
        <v>15000</v>
      </c>
      <c r="H71" s="224">
        <v>15000</v>
      </c>
      <c r="I71" s="208">
        <f>I96</f>
        <v>15000</v>
      </c>
      <c r="J71" s="208">
        <f t="shared" ref="J71:M71" si="37">J96</f>
        <v>15000</v>
      </c>
      <c r="K71" s="208">
        <f t="shared" si="37"/>
        <v>15000</v>
      </c>
      <c r="L71" s="208">
        <f t="shared" si="37"/>
        <v>15000</v>
      </c>
      <c r="M71" s="208">
        <f t="shared" si="37"/>
        <v>15000</v>
      </c>
    </row>
    <row r="72" spans="1:13" ht="16" outlineLevel="1" x14ac:dyDescent="0.2">
      <c r="A72" s="204" t="s">
        <v>116</v>
      </c>
      <c r="B72" s="203"/>
      <c r="C72" s="246"/>
      <c r="D72" s="226">
        <f>SUM(D71)</f>
        <v>15000</v>
      </c>
      <c r="E72" s="226">
        <f t="shared" ref="E72:H72" si="38">SUM(E71)</f>
        <v>15000</v>
      </c>
      <c r="F72" s="226">
        <f t="shared" si="38"/>
        <v>15000</v>
      </c>
      <c r="G72" s="226">
        <f t="shared" si="38"/>
        <v>15000</v>
      </c>
      <c r="H72" s="226">
        <f t="shared" si="38"/>
        <v>15000</v>
      </c>
      <c r="I72" s="204">
        <f t="shared" ref="I72:M72" si="39">I71</f>
        <v>15000</v>
      </c>
      <c r="J72" s="204">
        <f t="shared" si="39"/>
        <v>15000</v>
      </c>
      <c r="K72" s="204">
        <f t="shared" si="39"/>
        <v>15000</v>
      </c>
      <c r="L72" s="204">
        <f t="shared" si="39"/>
        <v>15000</v>
      </c>
      <c r="M72" s="204">
        <f t="shared" si="39"/>
        <v>15000</v>
      </c>
    </row>
    <row r="73" spans="1:13" ht="16" outlineLevel="1" x14ac:dyDescent="0.2">
      <c r="A73" s="217"/>
      <c r="B73" s="208"/>
      <c r="C73" s="209"/>
      <c r="D73" s="219"/>
      <c r="E73" s="219"/>
      <c r="F73" s="219"/>
      <c r="G73" s="219"/>
      <c r="H73" s="219"/>
      <c r="I73" s="217"/>
      <c r="J73" s="217"/>
      <c r="K73" s="217"/>
      <c r="L73" s="217"/>
      <c r="M73" s="217"/>
    </row>
    <row r="74" spans="1:13" ht="16" outlineLevel="1" x14ac:dyDescent="0.2">
      <c r="A74" s="202" t="s">
        <v>117</v>
      </c>
      <c r="B74" s="188"/>
      <c r="C74" s="195"/>
      <c r="D74" s="224"/>
      <c r="E74" s="224"/>
      <c r="F74" s="224"/>
      <c r="G74" s="224"/>
      <c r="H74" s="224"/>
      <c r="I74" s="208"/>
      <c r="J74" s="208"/>
      <c r="K74" s="208"/>
      <c r="L74" s="208"/>
      <c r="M74" s="208"/>
    </row>
    <row r="75" spans="1:13" ht="16" outlineLevel="1" x14ac:dyDescent="0.2">
      <c r="A75" s="188" t="s">
        <v>118</v>
      </c>
      <c r="B75" s="188"/>
      <c r="C75" s="195"/>
      <c r="D75" s="224">
        <v>0</v>
      </c>
      <c r="E75" s="224">
        <v>0</v>
      </c>
      <c r="F75" s="224">
        <v>-20000</v>
      </c>
      <c r="G75" s="224">
        <v>0</v>
      </c>
      <c r="H75" s="224">
        <v>0</v>
      </c>
      <c r="I75" s="208">
        <f t="shared" ref="I75:M75" si="40">I102</f>
        <v>0</v>
      </c>
      <c r="J75" s="208">
        <f t="shared" si="40"/>
        <v>0</v>
      </c>
      <c r="K75" s="208">
        <f t="shared" si="40"/>
        <v>-20000</v>
      </c>
      <c r="L75" s="208">
        <f t="shared" si="40"/>
        <v>0</v>
      </c>
      <c r="M75" s="208">
        <f t="shared" si="40"/>
        <v>0</v>
      </c>
    </row>
    <row r="76" spans="1:13" ht="16" outlineLevel="1" x14ac:dyDescent="0.2">
      <c r="A76" s="188" t="s">
        <v>119</v>
      </c>
      <c r="B76" s="188"/>
      <c r="C76" s="195"/>
      <c r="D76" s="224">
        <v>70000</v>
      </c>
      <c r="E76" s="224">
        <v>0</v>
      </c>
      <c r="F76" s="224">
        <v>0</v>
      </c>
      <c r="G76" s="224">
        <v>0</v>
      </c>
      <c r="H76" s="224">
        <v>0</v>
      </c>
      <c r="I76" s="208">
        <f>I20</f>
        <v>0</v>
      </c>
      <c r="J76" s="208">
        <f>J20</f>
        <v>0</v>
      </c>
      <c r="K76" s="208">
        <f>K20</f>
        <v>0</v>
      </c>
      <c r="L76" s="208">
        <f>L20</f>
        <v>0</v>
      </c>
      <c r="M76" s="208">
        <f>M20</f>
        <v>0</v>
      </c>
    </row>
    <row r="77" spans="1:13" ht="16" outlineLevel="1" x14ac:dyDescent="0.2">
      <c r="A77" s="204" t="s">
        <v>120</v>
      </c>
      <c r="B77" s="203"/>
      <c r="C77" s="246"/>
      <c r="D77" s="226">
        <f>SUM(D75:D76)</f>
        <v>70000</v>
      </c>
      <c r="E77" s="226">
        <f t="shared" ref="E77:M77" si="41">SUM(E75:E76)</f>
        <v>0</v>
      </c>
      <c r="F77" s="226">
        <f t="shared" si="41"/>
        <v>-20000</v>
      </c>
      <c r="G77" s="226">
        <f t="shared" si="41"/>
        <v>0</v>
      </c>
      <c r="H77" s="226">
        <f t="shared" si="41"/>
        <v>0</v>
      </c>
      <c r="I77" s="204">
        <f t="shared" si="41"/>
        <v>0</v>
      </c>
      <c r="J77" s="204">
        <f t="shared" si="41"/>
        <v>0</v>
      </c>
      <c r="K77" s="204">
        <f t="shared" si="41"/>
        <v>-20000</v>
      </c>
      <c r="L77" s="204">
        <f t="shared" si="41"/>
        <v>0</v>
      </c>
      <c r="M77" s="204">
        <f t="shared" si="41"/>
        <v>0</v>
      </c>
    </row>
    <row r="78" spans="1:13" ht="16" outlineLevel="1" x14ac:dyDescent="0.2">
      <c r="A78" s="217"/>
      <c r="B78" s="208"/>
      <c r="C78" s="209"/>
      <c r="D78" s="219"/>
      <c r="E78" s="219"/>
      <c r="F78" s="219"/>
      <c r="G78" s="219"/>
      <c r="H78" s="219"/>
      <c r="I78" s="217"/>
      <c r="J78" s="217"/>
      <c r="K78" s="217"/>
      <c r="L78" s="217"/>
      <c r="M78" s="217"/>
    </row>
    <row r="79" spans="1:13" ht="16" outlineLevel="1" x14ac:dyDescent="0.2">
      <c r="A79" s="188" t="s">
        <v>121</v>
      </c>
      <c r="B79" s="188"/>
      <c r="C79" s="195"/>
      <c r="D79" s="247">
        <f>D68-D72+D77</f>
        <v>67971.179199999999</v>
      </c>
      <c r="E79" s="247">
        <f t="shared" ref="E79:M79" si="42">E68-E72+E77</f>
        <v>13238.733497877969</v>
      </c>
      <c r="F79" s="247">
        <f t="shared" si="42"/>
        <v>2505.3438851313258</v>
      </c>
      <c r="G79" s="247">
        <f t="shared" si="42"/>
        <v>27354.07902359531</v>
      </c>
      <c r="H79" s="247">
        <f t="shared" si="42"/>
        <v>28480.18475858029</v>
      </c>
      <c r="I79" s="247">
        <f t="shared" si="42"/>
        <v>21500.354542739726</v>
      </c>
      <c r="J79" s="247">
        <f t="shared" si="42"/>
        <v>18124.751947356162</v>
      </c>
      <c r="K79" s="247">
        <f t="shared" si="42"/>
        <v>-627.87643059108814</v>
      </c>
      <c r="L79" s="247">
        <f t="shared" si="42"/>
        <v>54849.249436795275</v>
      </c>
      <c r="M79" s="247">
        <f t="shared" si="42"/>
        <v>59464.042169829263</v>
      </c>
    </row>
    <row r="80" spans="1:13" ht="16" outlineLevel="1" x14ac:dyDescent="0.2">
      <c r="A80" s="188" t="s">
        <v>122</v>
      </c>
      <c r="B80" s="188"/>
      <c r="C80" s="195"/>
      <c r="D80" s="224">
        <v>0</v>
      </c>
      <c r="E80" s="224">
        <v>67971.179200000013</v>
      </c>
      <c r="F80" s="224">
        <v>81209.912697877968</v>
      </c>
      <c r="G80" s="224">
        <v>83715.256583009294</v>
      </c>
      <c r="H80" s="224">
        <v>111069.33560660461</v>
      </c>
      <c r="I80" s="208">
        <f t="shared" ref="I80:M80" si="43">H81</f>
        <v>139549.5203651849</v>
      </c>
      <c r="J80" s="208">
        <f t="shared" si="43"/>
        <v>161049.87490792462</v>
      </c>
      <c r="K80" s="208">
        <f t="shared" si="43"/>
        <v>179174.62685528077</v>
      </c>
      <c r="L80" s="208">
        <f t="shared" si="43"/>
        <v>178546.75042468967</v>
      </c>
      <c r="M80" s="208">
        <f t="shared" si="43"/>
        <v>233395.99986148495</v>
      </c>
    </row>
    <row r="81" spans="1:13" ht="16" outlineLevel="1" x14ac:dyDescent="0.2">
      <c r="A81" s="204" t="s">
        <v>123</v>
      </c>
      <c r="B81" s="203"/>
      <c r="C81" s="246"/>
      <c r="D81" s="226">
        <f>SUM(D79:D80)</f>
        <v>67971.179199999999</v>
      </c>
      <c r="E81" s="226">
        <f t="shared" ref="E81:M81" si="44">SUM(E79:E80)</f>
        <v>81209.912697877982</v>
      </c>
      <c r="F81" s="226">
        <f t="shared" si="44"/>
        <v>83715.256583009294</v>
      </c>
      <c r="G81" s="226">
        <f t="shared" si="44"/>
        <v>111069.33560660461</v>
      </c>
      <c r="H81" s="226">
        <f t="shared" si="44"/>
        <v>139549.5203651849</v>
      </c>
      <c r="I81" s="226">
        <f t="shared" si="44"/>
        <v>161049.87490792462</v>
      </c>
      <c r="J81" s="226">
        <f t="shared" si="44"/>
        <v>179174.62685528077</v>
      </c>
      <c r="K81" s="226">
        <f t="shared" si="44"/>
        <v>178546.75042468967</v>
      </c>
      <c r="L81" s="226">
        <f t="shared" si="44"/>
        <v>233395.99986148495</v>
      </c>
      <c r="M81" s="226">
        <f t="shared" si="44"/>
        <v>292860.04203131422</v>
      </c>
    </row>
    <row r="82" spans="1:13" ht="16" outlineLevel="1" x14ac:dyDescent="0.2">
      <c r="A82" s="202"/>
      <c r="B82" s="188"/>
      <c r="C82" s="195"/>
      <c r="D82" s="219"/>
      <c r="E82" s="228"/>
      <c r="F82" s="228"/>
      <c r="G82" s="228"/>
      <c r="H82" s="228"/>
      <c r="I82" s="188"/>
      <c r="J82" s="188"/>
      <c r="K82" s="188"/>
      <c r="L82" s="188"/>
      <c r="M82" s="188"/>
    </row>
    <row r="83" spans="1:13" ht="16" outlineLevel="1" x14ac:dyDescent="0.2">
      <c r="A83" s="202"/>
      <c r="B83" s="188"/>
      <c r="C83" s="195"/>
      <c r="D83" s="219"/>
      <c r="E83" s="228"/>
      <c r="F83" s="228"/>
      <c r="G83" s="228"/>
      <c r="H83" s="228"/>
      <c r="I83" s="188"/>
      <c r="J83" s="188"/>
      <c r="K83" s="188"/>
      <c r="L83" s="188"/>
      <c r="M83" s="188"/>
    </row>
    <row r="84" spans="1:13" ht="16" x14ac:dyDescent="0.2">
      <c r="A84" s="188"/>
      <c r="B84" s="188"/>
      <c r="C84" s="195"/>
      <c r="D84" s="228"/>
      <c r="E84" s="228"/>
      <c r="F84" s="228"/>
      <c r="G84" s="228"/>
      <c r="H84" s="228"/>
      <c r="I84" s="188"/>
      <c r="J84" s="188"/>
      <c r="K84" s="188"/>
      <c r="L84" s="188"/>
      <c r="M84" s="188"/>
    </row>
    <row r="85" spans="1:13" ht="20" x14ac:dyDescent="0.2">
      <c r="A85" s="197" t="s">
        <v>124</v>
      </c>
      <c r="B85" s="198"/>
      <c r="C85" s="199"/>
      <c r="D85" s="198"/>
      <c r="E85" s="198"/>
      <c r="F85" s="198"/>
      <c r="G85" s="198"/>
      <c r="H85" s="198"/>
      <c r="I85" s="198"/>
      <c r="J85" s="198"/>
      <c r="K85" s="198"/>
      <c r="L85" s="198"/>
      <c r="M85" s="198"/>
    </row>
    <row r="86" spans="1:13" ht="16" outlineLevel="1" x14ac:dyDescent="0.2">
      <c r="A86" s="188"/>
      <c r="B86" s="188"/>
      <c r="C86" s="195"/>
      <c r="D86" s="228"/>
      <c r="E86" s="228"/>
      <c r="F86" s="228"/>
      <c r="G86" s="228"/>
      <c r="H86" s="228"/>
      <c r="I86" s="188"/>
      <c r="J86" s="188"/>
      <c r="K86" s="188"/>
      <c r="L86" s="188"/>
      <c r="M86" s="188"/>
    </row>
    <row r="87" spans="1:13" ht="16" outlineLevel="1" x14ac:dyDescent="0.2">
      <c r="A87" s="202" t="s">
        <v>125</v>
      </c>
      <c r="B87" s="188"/>
      <c r="C87" s="195"/>
      <c r="D87" s="228"/>
      <c r="E87" s="228"/>
      <c r="F87" s="228"/>
      <c r="G87" s="228"/>
      <c r="H87" s="228"/>
      <c r="I87" s="188"/>
      <c r="J87" s="188"/>
      <c r="K87" s="188"/>
      <c r="L87" s="188"/>
      <c r="M87" s="188"/>
    </row>
    <row r="88" spans="1:13" ht="16" outlineLevel="1" x14ac:dyDescent="0.2">
      <c r="A88" s="188" t="s">
        <v>96</v>
      </c>
      <c r="B88" s="188"/>
      <c r="C88" s="195"/>
      <c r="D88" s="228">
        <v>5100.3500000000004</v>
      </c>
      <c r="E88" s="228">
        <v>5904.3</v>
      </c>
      <c r="F88" s="228">
        <v>6567.25</v>
      </c>
      <c r="G88" s="228">
        <v>7117.05</v>
      </c>
      <c r="H88" s="228">
        <v>7538.6</v>
      </c>
      <c r="I88" s="248">
        <f t="shared" ref="I88:M89" si="45">I44</f>
        <v>8178.8646575342473</v>
      </c>
      <c r="J88" s="248">
        <f t="shared" si="45"/>
        <v>8996.7511232876732</v>
      </c>
      <c r="K88" s="248">
        <f t="shared" si="45"/>
        <v>9896.42623561644</v>
      </c>
      <c r="L88" s="248">
        <f t="shared" si="45"/>
        <v>10886.068859178085</v>
      </c>
      <c r="M88" s="248">
        <f t="shared" si="45"/>
        <v>11974.675745095894</v>
      </c>
    </row>
    <row r="89" spans="1:13" ht="16" outlineLevel="1" x14ac:dyDescent="0.2">
      <c r="A89" s="188" t="s">
        <v>97</v>
      </c>
      <c r="B89" s="188"/>
      <c r="C89" s="195"/>
      <c r="D89" s="228">
        <v>7804.6</v>
      </c>
      <c r="E89" s="228">
        <v>9600.8000000000011</v>
      </c>
      <c r="F89" s="228">
        <v>9824.6</v>
      </c>
      <c r="G89" s="228">
        <v>10530.800000000001</v>
      </c>
      <c r="H89" s="228">
        <v>11342</v>
      </c>
      <c r="I89" s="248">
        <f t="shared" si="45"/>
        <v>15267.21402739726</v>
      </c>
      <c r="J89" s="248">
        <f t="shared" si="45"/>
        <v>21142.365139726033</v>
      </c>
      <c r="K89" s="248">
        <f t="shared" si="45"/>
        <v>27490.072876712333</v>
      </c>
      <c r="L89" s="248">
        <f t="shared" si="45"/>
        <v>21772.137718356171</v>
      </c>
      <c r="M89" s="248">
        <f t="shared" si="45"/>
        <v>23284.091726575352</v>
      </c>
    </row>
    <row r="90" spans="1:13" ht="16" outlineLevel="1" x14ac:dyDescent="0.2">
      <c r="A90" s="188" t="s">
        <v>101</v>
      </c>
      <c r="B90" s="188"/>
      <c r="C90" s="195"/>
      <c r="D90" s="228">
        <v>3902.3</v>
      </c>
      <c r="E90" s="228">
        <v>4800.4000000000005</v>
      </c>
      <c r="F90" s="228">
        <v>4912.3</v>
      </c>
      <c r="G90" s="228">
        <v>5265.4000000000005</v>
      </c>
      <c r="H90" s="228">
        <v>5671</v>
      </c>
      <c r="I90" s="248">
        <f>I50</f>
        <v>7061.086487671233</v>
      </c>
      <c r="J90" s="248">
        <f t="shared" ref="J90:M90" si="46">J50</f>
        <v>8691.8612241095907</v>
      </c>
      <c r="K90" s="248">
        <f t="shared" si="46"/>
        <v>10171.326964383563</v>
      </c>
      <c r="L90" s="248">
        <f t="shared" si="46"/>
        <v>8055.6909557917834</v>
      </c>
      <c r="M90" s="248">
        <f t="shared" si="46"/>
        <v>8615.1139388328793</v>
      </c>
    </row>
    <row r="91" spans="1:13" ht="16" outlineLevel="1" x14ac:dyDescent="0.2">
      <c r="A91" s="203" t="s">
        <v>126</v>
      </c>
      <c r="B91" s="203"/>
      <c r="C91" s="246"/>
      <c r="D91" s="249">
        <f>D88+D89-D90</f>
        <v>9002.6500000000015</v>
      </c>
      <c r="E91" s="249">
        <f t="shared" ref="E91:M91" si="47">E88+E89-E90</f>
        <v>10704.7</v>
      </c>
      <c r="F91" s="249">
        <f t="shared" si="47"/>
        <v>11479.55</v>
      </c>
      <c r="G91" s="249">
        <f t="shared" si="47"/>
        <v>12382.45</v>
      </c>
      <c r="H91" s="249">
        <f t="shared" si="47"/>
        <v>13209.599999999999</v>
      </c>
      <c r="I91" s="250">
        <f t="shared" si="47"/>
        <v>16384.992197260275</v>
      </c>
      <c r="J91" s="250">
        <f t="shared" si="47"/>
        <v>21447.255038904113</v>
      </c>
      <c r="K91" s="250">
        <f t="shared" si="47"/>
        <v>27215.172147945214</v>
      </c>
      <c r="L91" s="250">
        <f t="shared" si="47"/>
        <v>24602.515621742474</v>
      </c>
      <c r="M91" s="250">
        <f t="shared" si="47"/>
        <v>26643.653532838369</v>
      </c>
    </row>
    <row r="92" spans="1:13" ht="16" outlineLevel="1" x14ac:dyDescent="0.2">
      <c r="A92" s="188" t="s">
        <v>127</v>
      </c>
      <c r="B92" s="188"/>
      <c r="C92" s="195"/>
      <c r="D92" s="251">
        <f>D91-C91</f>
        <v>9002.6500000000015</v>
      </c>
      <c r="E92" s="251">
        <f t="shared" ref="E92:M92" si="48">E91-D91</f>
        <v>1702.0499999999993</v>
      </c>
      <c r="F92" s="251">
        <f t="shared" si="48"/>
        <v>774.84999999999854</v>
      </c>
      <c r="G92" s="251">
        <f t="shared" si="48"/>
        <v>902.90000000000146</v>
      </c>
      <c r="H92" s="251">
        <f t="shared" si="48"/>
        <v>827.14999999999782</v>
      </c>
      <c r="I92" s="248">
        <f t="shared" si="48"/>
        <v>3175.3921972602766</v>
      </c>
      <c r="J92" s="248">
        <f t="shared" si="48"/>
        <v>5062.2628416438383</v>
      </c>
      <c r="K92" s="248">
        <f t="shared" si="48"/>
        <v>5767.9171090411</v>
      </c>
      <c r="L92" s="248">
        <f t="shared" si="48"/>
        <v>-2612.6565262027398</v>
      </c>
      <c r="M92" s="248">
        <f t="shared" si="48"/>
        <v>2041.1379110958951</v>
      </c>
    </row>
    <row r="93" spans="1:13" ht="16" outlineLevel="1" x14ac:dyDescent="0.2">
      <c r="A93" s="188"/>
      <c r="B93" s="188"/>
      <c r="C93" s="195"/>
      <c r="D93" s="228"/>
      <c r="E93" s="228"/>
      <c r="F93" s="228"/>
      <c r="G93" s="228"/>
      <c r="H93" s="228"/>
      <c r="I93" s="248"/>
      <c r="J93" s="248"/>
      <c r="K93" s="248"/>
      <c r="L93" s="248"/>
      <c r="M93" s="248"/>
    </row>
    <row r="94" spans="1:13" ht="16" outlineLevel="1" x14ac:dyDescent="0.2">
      <c r="A94" s="202" t="s">
        <v>128</v>
      </c>
      <c r="B94" s="188"/>
      <c r="C94" s="195"/>
      <c r="D94" s="228"/>
      <c r="E94" s="228"/>
      <c r="F94" s="228"/>
      <c r="G94" s="228"/>
      <c r="H94" s="228"/>
      <c r="I94" s="248"/>
      <c r="J94" s="248"/>
      <c r="K94" s="248"/>
      <c r="L94" s="248"/>
      <c r="M94" s="248"/>
    </row>
    <row r="95" spans="1:13" ht="16" outlineLevel="1" x14ac:dyDescent="0.2">
      <c r="A95" s="188" t="s">
        <v>129</v>
      </c>
      <c r="B95" s="188"/>
      <c r="C95" s="195"/>
      <c r="D95" s="228">
        <v>50000</v>
      </c>
      <c r="E95" s="228">
        <v>45500</v>
      </c>
      <c r="F95" s="228">
        <v>42350</v>
      </c>
      <c r="G95" s="228">
        <v>40145</v>
      </c>
      <c r="H95" s="228">
        <v>38601.5</v>
      </c>
      <c r="I95" s="248">
        <f t="shared" ref="I95:M95" si="49">H98</f>
        <v>37521.050000000003</v>
      </c>
      <c r="J95" s="248">
        <f t="shared" si="49"/>
        <v>39388.682500000003</v>
      </c>
      <c r="K95" s="248">
        <f t="shared" si="49"/>
        <v>40602.643625000004</v>
      </c>
      <c r="L95" s="248">
        <f t="shared" si="49"/>
        <v>41391.718356249999</v>
      </c>
      <c r="M95" s="248">
        <f t="shared" si="49"/>
        <v>41904.616931562501</v>
      </c>
    </row>
    <row r="96" spans="1:13" ht="16" outlineLevel="1" x14ac:dyDescent="0.2">
      <c r="A96" s="188" t="s">
        <v>130</v>
      </c>
      <c r="B96" s="188"/>
      <c r="C96" s="195"/>
      <c r="D96" s="228">
        <v>15000</v>
      </c>
      <c r="E96" s="228">
        <v>15000</v>
      </c>
      <c r="F96" s="228">
        <v>15000</v>
      </c>
      <c r="G96" s="228">
        <v>15000</v>
      </c>
      <c r="H96" s="228">
        <v>15000</v>
      </c>
      <c r="I96" s="248">
        <f>I18</f>
        <v>15000</v>
      </c>
      <c r="J96" s="248">
        <f>J18</f>
        <v>15000</v>
      </c>
      <c r="K96" s="248">
        <f>K18</f>
        <v>15000</v>
      </c>
      <c r="L96" s="248">
        <f>L18</f>
        <v>15000</v>
      </c>
      <c r="M96" s="248">
        <f>M18</f>
        <v>15000</v>
      </c>
    </row>
    <row r="97" spans="1:13" ht="16" outlineLevel="1" x14ac:dyDescent="0.2">
      <c r="A97" s="188" t="s">
        <v>131</v>
      </c>
      <c r="B97" s="188"/>
      <c r="C97" s="238"/>
      <c r="D97" s="228">
        <v>19500</v>
      </c>
      <c r="E97" s="228">
        <v>18150</v>
      </c>
      <c r="F97" s="228">
        <v>17205</v>
      </c>
      <c r="G97" s="228">
        <v>16543.5</v>
      </c>
      <c r="H97" s="228">
        <v>16080.449999999999</v>
      </c>
      <c r="I97" s="252">
        <f>I95*I12</f>
        <v>13132.3675</v>
      </c>
      <c r="J97" s="253">
        <f>J95*J12</f>
        <v>13786.038875</v>
      </c>
      <c r="K97" s="253">
        <f>K95*K12</f>
        <v>14210.925268750001</v>
      </c>
      <c r="L97" s="253">
        <f>L95*L12</f>
        <v>14487.101424687498</v>
      </c>
      <c r="M97" s="253">
        <f>M95*M12</f>
        <v>14666.615926046874</v>
      </c>
    </row>
    <row r="98" spans="1:13" ht="16" outlineLevel="1" x14ac:dyDescent="0.2">
      <c r="A98" s="203" t="s">
        <v>132</v>
      </c>
      <c r="B98" s="203"/>
      <c r="C98" s="246"/>
      <c r="D98" s="249">
        <f>D95+D96-D97</f>
        <v>45500</v>
      </c>
      <c r="E98" s="249">
        <f t="shared" ref="E98:M98" si="50">E95+E96-E97</f>
        <v>42350</v>
      </c>
      <c r="F98" s="249">
        <f t="shared" si="50"/>
        <v>40145</v>
      </c>
      <c r="G98" s="249">
        <f t="shared" si="50"/>
        <v>38601.5</v>
      </c>
      <c r="H98" s="249">
        <f t="shared" si="50"/>
        <v>37521.050000000003</v>
      </c>
      <c r="I98" s="250">
        <f t="shared" si="50"/>
        <v>39388.682500000003</v>
      </c>
      <c r="J98" s="250">
        <f t="shared" si="50"/>
        <v>40602.643625000004</v>
      </c>
      <c r="K98" s="250">
        <f t="shared" si="50"/>
        <v>41391.718356249999</v>
      </c>
      <c r="L98" s="250">
        <f t="shared" si="50"/>
        <v>41904.616931562501</v>
      </c>
      <c r="M98" s="250">
        <f t="shared" si="50"/>
        <v>42238.001005515631</v>
      </c>
    </row>
    <row r="99" spans="1:13" ht="16" outlineLevel="1" x14ac:dyDescent="0.2">
      <c r="A99" s="188"/>
      <c r="B99" s="188"/>
      <c r="C99" s="195"/>
      <c r="D99" s="228"/>
      <c r="E99" s="228"/>
      <c r="F99" s="228"/>
      <c r="G99" s="228"/>
      <c r="H99" s="228"/>
      <c r="I99" s="248"/>
      <c r="J99" s="248"/>
      <c r="K99" s="248"/>
      <c r="L99" s="248"/>
      <c r="M99" s="248"/>
    </row>
    <row r="100" spans="1:13" ht="16" outlineLevel="1" x14ac:dyDescent="0.2">
      <c r="A100" s="202" t="s">
        <v>133</v>
      </c>
      <c r="B100" s="188"/>
      <c r="C100" s="195"/>
      <c r="D100" s="228"/>
      <c r="E100" s="228"/>
      <c r="F100" s="228"/>
      <c r="G100" s="228"/>
      <c r="H100" s="228"/>
      <c r="I100" s="248"/>
      <c r="J100" s="248"/>
      <c r="K100" s="248"/>
      <c r="L100" s="248"/>
      <c r="M100" s="248"/>
    </row>
    <row r="101" spans="1:13" ht="16" outlineLevel="1" x14ac:dyDescent="0.2">
      <c r="A101" s="188" t="s">
        <v>134</v>
      </c>
      <c r="B101" s="188"/>
      <c r="C101" s="195"/>
      <c r="D101" s="228">
        <v>50000</v>
      </c>
      <c r="E101" s="228">
        <v>50000</v>
      </c>
      <c r="F101" s="228">
        <v>50000</v>
      </c>
      <c r="G101" s="228">
        <v>30000</v>
      </c>
      <c r="H101" s="228">
        <v>30000</v>
      </c>
      <c r="I101" s="248">
        <f t="shared" ref="I101:M101" si="51">H103</f>
        <v>30000</v>
      </c>
      <c r="J101" s="248">
        <f t="shared" si="51"/>
        <v>30000</v>
      </c>
      <c r="K101" s="248">
        <f t="shared" si="51"/>
        <v>30000</v>
      </c>
      <c r="L101" s="248">
        <f t="shared" si="51"/>
        <v>10000</v>
      </c>
      <c r="M101" s="248">
        <f t="shared" si="51"/>
        <v>10000</v>
      </c>
    </row>
    <row r="102" spans="1:13" ht="16" outlineLevel="1" x14ac:dyDescent="0.2">
      <c r="A102" s="188" t="s">
        <v>135</v>
      </c>
      <c r="B102" s="188"/>
      <c r="C102" s="195"/>
      <c r="D102" s="228">
        <v>0</v>
      </c>
      <c r="E102" s="228">
        <v>0</v>
      </c>
      <c r="F102" s="228">
        <v>-20000</v>
      </c>
      <c r="G102" s="228">
        <v>0</v>
      </c>
      <c r="H102" s="228">
        <v>0</v>
      </c>
      <c r="I102" s="254">
        <f>I19</f>
        <v>0</v>
      </c>
      <c r="J102" s="254">
        <f>J19</f>
        <v>0</v>
      </c>
      <c r="K102" s="254">
        <f>K19</f>
        <v>-20000</v>
      </c>
      <c r="L102" s="254">
        <f>L19</f>
        <v>0</v>
      </c>
      <c r="M102" s="254">
        <f>M19</f>
        <v>0</v>
      </c>
    </row>
    <row r="103" spans="1:13" ht="16" outlineLevel="1" x14ac:dyDescent="0.2">
      <c r="A103" s="203" t="s">
        <v>136</v>
      </c>
      <c r="B103" s="203"/>
      <c r="C103" s="246"/>
      <c r="D103" s="249">
        <f>SUM(D101:D102)</f>
        <v>50000</v>
      </c>
      <c r="E103" s="249">
        <f t="shared" ref="E103:M103" si="52">SUM(E101:E102)</f>
        <v>50000</v>
      </c>
      <c r="F103" s="249">
        <f t="shared" si="52"/>
        <v>30000</v>
      </c>
      <c r="G103" s="249">
        <f t="shared" si="52"/>
        <v>30000</v>
      </c>
      <c r="H103" s="249">
        <f t="shared" si="52"/>
        <v>30000</v>
      </c>
      <c r="I103" s="255">
        <f t="shared" si="52"/>
        <v>30000</v>
      </c>
      <c r="J103" s="255">
        <f t="shared" si="52"/>
        <v>30000</v>
      </c>
      <c r="K103" s="255">
        <f t="shared" si="52"/>
        <v>10000</v>
      </c>
      <c r="L103" s="255">
        <f t="shared" si="52"/>
        <v>10000</v>
      </c>
      <c r="M103" s="255">
        <f t="shared" si="52"/>
        <v>10000</v>
      </c>
    </row>
    <row r="104" spans="1:13" ht="16" outlineLevel="1" x14ac:dyDescent="0.2">
      <c r="A104" s="188" t="s">
        <v>137</v>
      </c>
      <c r="B104" s="188"/>
      <c r="C104" s="238"/>
      <c r="D104" s="228">
        <v>2500</v>
      </c>
      <c r="E104" s="228">
        <v>2500</v>
      </c>
      <c r="F104" s="228">
        <v>1500</v>
      </c>
      <c r="G104" s="228">
        <v>1500</v>
      </c>
      <c r="H104" s="228">
        <v>1500</v>
      </c>
      <c r="I104" s="248">
        <f>I103*I13</f>
        <v>3000</v>
      </c>
      <c r="J104" s="248">
        <f>J103*J13</f>
        <v>3000</v>
      </c>
      <c r="K104" s="248">
        <f>K103*K13</f>
        <v>1000</v>
      </c>
      <c r="L104" s="248">
        <f>L103*L13</f>
        <v>1000</v>
      </c>
      <c r="M104" s="248">
        <f>M103*M13</f>
        <v>1000</v>
      </c>
    </row>
    <row r="105" spans="1:13" ht="16" outlineLevel="1" x14ac:dyDescent="0.2">
      <c r="A105" s="188"/>
      <c r="B105" s="188"/>
      <c r="C105" s="195"/>
      <c r="D105" s="228"/>
      <c r="E105" s="228"/>
      <c r="F105" s="228"/>
      <c r="G105" s="228"/>
      <c r="H105" s="228"/>
      <c r="I105" s="188"/>
      <c r="J105" s="188"/>
      <c r="K105" s="188"/>
      <c r="L105" s="188"/>
      <c r="M105" s="188"/>
    </row>
    <row r="106" spans="1:13" ht="16" outlineLevel="1" x14ac:dyDescent="0.2">
      <c r="A106" s="188"/>
      <c r="B106" s="188"/>
      <c r="C106" s="195"/>
      <c r="D106" s="228"/>
      <c r="E106" s="228"/>
      <c r="F106" s="228"/>
      <c r="G106" s="228"/>
      <c r="H106" s="228"/>
      <c r="I106" s="188"/>
      <c r="J106" s="188"/>
      <c r="K106" s="188"/>
      <c r="L106" s="188"/>
      <c r="M106" s="188"/>
    </row>
    <row r="107" spans="1:13" ht="16" x14ac:dyDescent="0.2">
      <c r="A107" s="188"/>
      <c r="B107" s="188"/>
      <c r="C107" s="195"/>
      <c r="D107" s="228"/>
      <c r="E107" s="228"/>
      <c r="F107" s="228"/>
      <c r="G107" s="228"/>
      <c r="H107" s="228"/>
      <c r="I107" s="188"/>
      <c r="J107" s="188"/>
      <c r="K107" s="188"/>
      <c r="L107" s="188"/>
      <c r="M107" s="188"/>
    </row>
    <row r="108" spans="1:13" ht="20" x14ac:dyDescent="0.2">
      <c r="A108" s="197" t="s">
        <v>138</v>
      </c>
      <c r="B108" s="198"/>
      <c r="C108" s="199"/>
      <c r="D108" s="198"/>
      <c r="E108" s="198"/>
      <c r="F108" s="198"/>
      <c r="G108" s="198"/>
      <c r="H108" s="198"/>
      <c r="I108" s="198"/>
      <c r="J108" s="198"/>
      <c r="K108" s="198"/>
      <c r="L108" s="198"/>
      <c r="M108" s="198"/>
    </row>
    <row r="109" spans="1:13" ht="16" outlineLevel="1" x14ac:dyDescent="0.2">
      <c r="A109" s="202"/>
      <c r="B109" s="188"/>
      <c r="C109" s="195"/>
      <c r="D109" s="228"/>
      <c r="E109" s="228"/>
      <c r="F109" s="228"/>
      <c r="G109" s="228"/>
      <c r="H109" s="228"/>
      <c r="I109" s="188"/>
      <c r="J109" s="188"/>
      <c r="K109" s="188"/>
      <c r="L109" s="188"/>
      <c r="M109" s="188"/>
    </row>
    <row r="110" spans="1:13" ht="16" outlineLevel="1" x14ac:dyDescent="0.2">
      <c r="A110" s="256" t="s">
        <v>66</v>
      </c>
      <c r="B110" s="228"/>
      <c r="C110" s="228"/>
      <c r="D110" s="228"/>
      <c r="E110" s="188"/>
      <c r="F110" s="188"/>
      <c r="G110" s="188"/>
      <c r="H110" s="188"/>
      <c r="I110" s="188"/>
      <c r="J110" s="188"/>
      <c r="K110" s="188"/>
      <c r="L110" s="188"/>
      <c r="M110" s="188"/>
    </row>
    <row r="111" spans="1:13" ht="16" outlineLevel="1" x14ac:dyDescent="0.2">
      <c r="A111" s="249" t="s">
        <v>139</v>
      </c>
      <c r="B111" s="257"/>
      <c r="C111" s="258">
        <v>0.25</v>
      </c>
      <c r="D111" s="228"/>
      <c r="E111" s="188"/>
      <c r="F111" s="188"/>
      <c r="G111" s="188"/>
      <c r="H111" s="188"/>
      <c r="I111" s="188"/>
      <c r="J111" s="188"/>
      <c r="K111" s="188"/>
      <c r="L111" s="188"/>
      <c r="M111" s="188"/>
    </row>
    <row r="112" spans="1:13" ht="16" outlineLevel="1" x14ac:dyDescent="0.2">
      <c r="A112" s="251" t="s">
        <v>140</v>
      </c>
      <c r="B112" s="188"/>
      <c r="C112" s="259">
        <v>0.12</v>
      </c>
      <c r="D112" s="188"/>
      <c r="E112" s="188"/>
      <c r="F112" s="188"/>
      <c r="G112" s="188"/>
      <c r="H112" s="188"/>
      <c r="I112" s="188"/>
      <c r="J112" s="188"/>
      <c r="K112" s="188"/>
      <c r="L112" s="188"/>
      <c r="M112" s="188"/>
    </row>
    <row r="113" spans="1:14" ht="16" outlineLevel="1" x14ac:dyDescent="0.2">
      <c r="A113" s="188" t="s">
        <v>141</v>
      </c>
      <c r="B113" s="188"/>
      <c r="C113" s="259">
        <v>0.04</v>
      </c>
      <c r="D113" s="188"/>
      <c r="E113" s="188"/>
      <c r="F113" s="188"/>
      <c r="G113" s="188"/>
      <c r="H113" s="188"/>
      <c r="I113" s="188"/>
      <c r="J113" s="238"/>
      <c r="K113" s="238"/>
      <c r="L113" s="238"/>
      <c r="M113" s="238"/>
      <c r="N113" s="188"/>
    </row>
    <row r="114" spans="1:14" ht="16" outlineLevel="1" x14ac:dyDescent="0.2">
      <c r="A114" s="188" t="s">
        <v>142</v>
      </c>
      <c r="B114" s="188"/>
      <c r="C114" s="260">
        <v>8</v>
      </c>
      <c r="D114" s="188"/>
      <c r="E114" s="188"/>
      <c r="F114" s="188"/>
      <c r="G114" s="188"/>
      <c r="H114" s="188"/>
      <c r="I114" s="188"/>
      <c r="J114" s="238"/>
      <c r="K114" s="238"/>
      <c r="L114" s="238"/>
      <c r="M114" s="238"/>
      <c r="N114" s="188"/>
    </row>
    <row r="115" spans="1:14" ht="16" outlineLevel="1" x14ac:dyDescent="0.2">
      <c r="A115" s="188" t="s">
        <v>143</v>
      </c>
      <c r="B115" s="188"/>
      <c r="C115" s="261">
        <v>43190</v>
      </c>
      <c r="D115" s="188"/>
      <c r="E115" s="188"/>
      <c r="F115" s="188"/>
      <c r="G115" s="188"/>
      <c r="H115" s="188"/>
      <c r="I115" s="188"/>
      <c r="J115" s="238"/>
      <c r="K115" s="238"/>
      <c r="L115" s="238"/>
      <c r="M115" s="238"/>
      <c r="N115" s="188"/>
    </row>
    <row r="116" spans="1:14" ht="16" outlineLevel="1" x14ac:dyDescent="0.2">
      <c r="A116" s="188" t="s">
        <v>156</v>
      </c>
      <c r="B116" s="188"/>
      <c r="C116" s="261">
        <v>43465</v>
      </c>
      <c r="D116" s="188"/>
      <c r="E116" s="188"/>
      <c r="F116" s="188"/>
      <c r="G116" s="188"/>
      <c r="H116" s="188"/>
      <c r="I116" s="188"/>
      <c r="J116" s="238"/>
      <c r="K116" s="238"/>
      <c r="L116" s="238"/>
      <c r="M116" s="238"/>
      <c r="N116" s="188"/>
    </row>
    <row r="117" spans="1:14" ht="16" outlineLevel="1" x14ac:dyDescent="0.2">
      <c r="A117" s="188" t="s">
        <v>46</v>
      </c>
      <c r="B117" s="188"/>
      <c r="C117" s="262">
        <v>16</v>
      </c>
      <c r="D117" s="188"/>
      <c r="E117" s="188"/>
      <c r="F117" s="188"/>
      <c r="G117" s="188"/>
      <c r="H117" s="188"/>
      <c r="I117" s="188"/>
      <c r="J117" s="238"/>
      <c r="K117" s="238"/>
      <c r="L117" s="238"/>
      <c r="M117" s="238"/>
      <c r="N117" s="188"/>
    </row>
    <row r="118" spans="1:14" ht="16" outlineLevel="1" x14ac:dyDescent="0.2">
      <c r="A118" s="188" t="s">
        <v>144</v>
      </c>
      <c r="B118" s="188"/>
      <c r="C118" s="263">
        <v>20000</v>
      </c>
      <c r="D118" s="188"/>
      <c r="E118" s="188"/>
      <c r="F118" s="188"/>
      <c r="G118" s="188"/>
      <c r="H118" s="188"/>
      <c r="I118" s="188"/>
      <c r="J118" s="188"/>
      <c r="K118" s="188"/>
      <c r="L118" s="188"/>
      <c r="M118" s="188"/>
      <c r="N118" s="188"/>
    </row>
    <row r="119" spans="1:14" ht="16" outlineLevel="1" x14ac:dyDescent="0.2">
      <c r="A119" s="188"/>
      <c r="B119" s="188"/>
      <c r="C119" s="263"/>
      <c r="D119" s="188"/>
      <c r="E119" s="188"/>
      <c r="F119" s="188"/>
      <c r="G119" s="188"/>
      <c r="H119" s="188"/>
      <c r="I119" s="188"/>
      <c r="J119" s="188"/>
      <c r="K119" s="188"/>
      <c r="L119" s="188"/>
      <c r="M119" s="188"/>
      <c r="N119" s="188"/>
    </row>
    <row r="120" spans="1:14" ht="16" outlineLevel="1" x14ac:dyDescent="0.2">
      <c r="A120" s="208"/>
      <c r="B120" s="208"/>
      <c r="C120" s="264"/>
      <c r="D120" s="264"/>
      <c r="E120" s="264"/>
      <c r="F120" s="264"/>
      <c r="G120" s="264"/>
      <c r="H120" s="264"/>
      <c r="I120" s="264"/>
      <c r="J120" s="208"/>
      <c r="K120" s="208"/>
      <c r="L120" s="208"/>
      <c r="M120" s="208"/>
      <c r="N120" s="208"/>
    </row>
    <row r="121" spans="1:14" ht="16" outlineLevel="1" x14ac:dyDescent="0.2">
      <c r="A121" s="265" t="s">
        <v>159</v>
      </c>
      <c r="B121" s="266"/>
      <c r="C121" s="267" t="s">
        <v>160</v>
      </c>
      <c r="D121" s="268">
        <f>YEAR(C115)</f>
        <v>2018</v>
      </c>
      <c r="E121" s="268">
        <f>D121+1</f>
        <v>2019</v>
      </c>
      <c r="F121" s="268">
        <f t="shared" ref="F121:H121" si="53">E121+1</f>
        <v>2020</v>
      </c>
      <c r="G121" s="268">
        <f t="shared" si="53"/>
        <v>2021</v>
      </c>
      <c r="H121" s="268">
        <f t="shared" si="53"/>
        <v>2022</v>
      </c>
      <c r="I121" s="267" t="s">
        <v>161</v>
      </c>
      <c r="J121" s="208"/>
      <c r="K121" s="217" t="s">
        <v>162</v>
      </c>
      <c r="L121" s="208"/>
      <c r="M121" s="208"/>
      <c r="N121" s="208"/>
    </row>
    <row r="122" spans="1:14" ht="16" outlineLevel="1" x14ac:dyDescent="0.2">
      <c r="A122" s="269" t="s">
        <v>1</v>
      </c>
      <c r="B122" s="269"/>
      <c r="C122" s="270">
        <f>C115</f>
        <v>43190</v>
      </c>
      <c r="D122" s="270">
        <f>DATE(YEAR($C$122)+D123,MONTH($C$116),DAY($C$116))</f>
        <v>43465</v>
      </c>
      <c r="E122" s="270">
        <f t="shared" ref="E122:H122" si="54">DATE(YEAR($C$122)+E123,MONTH($C$116),DAY($C$116))</f>
        <v>43830</v>
      </c>
      <c r="F122" s="270">
        <f t="shared" si="54"/>
        <v>44196</v>
      </c>
      <c r="G122" s="270">
        <f t="shared" si="54"/>
        <v>44561</v>
      </c>
      <c r="H122" s="270">
        <f t="shared" si="54"/>
        <v>44926</v>
      </c>
      <c r="I122" s="270">
        <f>H122</f>
        <v>44926</v>
      </c>
      <c r="J122" s="208"/>
      <c r="K122" s="203" t="s">
        <v>6</v>
      </c>
      <c r="L122" s="203"/>
      <c r="M122" s="271">
        <f>H130*C114</f>
        <v>812428.08468480036</v>
      </c>
      <c r="N122" s="208"/>
    </row>
    <row r="123" spans="1:14" ht="16" outlineLevel="1" x14ac:dyDescent="0.2">
      <c r="A123" s="214" t="s">
        <v>184</v>
      </c>
      <c r="B123" s="214"/>
      <c r="C123" s="272"/>
      <c r="D123" s="273">
        <v>0</v>
      </c>
      <c r="E123" s="274">
        <f>D123+1</f>
        <v>1</v>
      </c>
      <c r="F123" s="274">
        <f t="shared" ref="F123:H123" si="55">E123+1</f>
        <v>2</v>
      </c>
      <c r="G123" s="274">
        <f t="shared" si="55"/>
        <v>3</v>
      </c>
      <c r="H123" s="274">
        <f t="shared" si="55"/>
        <v>4</v>
      </c>
      <c r="I123" s="274"/>
      <c r="J123" s="208"/>
      <c r="K123" s="208" t="s">
        <v>185</v>
      </c>
      <c r="L123" s="208"/>
      <c r="M123" s="275">
        <f>(H133*(1+$C$113))/(C112-C113)</f>
        <v>816278.43712500622</v>
      </c>
      <c r="N123" s="208"/>
    </row>
    <row r="124" spans="1:14" ht="16" outlineLevel="1" x14ac:dyDescent="0.2">
      <c r="A124" s="214" t="s">
        <v>186</v>
      </c>
      <c r="B124" s="214"/>
      <c r="C124" s="214"/>
      <c r="D124" s="276">
        <f>YEARFRAC(C122,D122)</f>
        <v>0.75</v>
      </c>
      <c r="E124" s="276">
        <f t="shared" ref="E124:H124" si="56">YEARFRAC(D122,E122)</f>
        <v>1</v>
      </c>
      <c r="F124" s="276">
        <f t="shared" si="56"/>
        <v>1</v>
      </c>
      <c r="G124" s="276">
        <f t="shared" si="56"/>
        <v>1</v>
      </c>
      <c r="H124" s="276">
        <f t="shared" si="56"/>
        <v>1</v>
      </c>
      <c r="I124" s="277">
        <v>1</v>
      </c>
      <c r="J124" s="208"/>
      <c r="K124" s="208" t="s">
        <v>8</v>
      </c>
      <c r="L124" s="208"/>
      <c r="M124" s="203">
        <f>AVERAGE(M122:M123)</f>
        <v>814353.26090490329</v>
      </c>
      <c r="N124" s="208"/>
    </row>
    <row r="125" spans="1:14" ht="16" outlineLevel="1" x14ac:dyDescent="0.2">
      <c r="A125" s="214"/>
      <c r="B125" s="214"/>
      <c r="C125" s="214"/>
      <c r="D125" s="276"/>
      <c r="E125" s="276"/>
      <c r="F125" s="276"/>
      <c r="G125" s="276"/>
      <c r="H125" s="276"/>
      <c r="I125" s="278"/>
      <c r="J125" s="208"/>
      <c r="K125" s="208"/>
      <c r="L125" s="208"/>
      <c r="M125" s="208"/>
      <c r="N125" s="208"/>
    </row>
    <row r="126" spans="1:14" ht="16" outlineLevel="1" x14ac:dyDescent="0.2">
      <c r="A126" s="208" t="s">
        <v>25</v>
      </c>
      <c r="B126" s="208"/>
      <c r="C126" s="208"/>
      <c r="D126" s="208">
        <f>I34+I32</f>
        <v>39865.804500000006</v>
      </c>
      <c r="E126" s="208">
        <f t="shared" ref="E126:H126" si="57">J34+J32</f>
        <v>36890.244325000007</v>
      </c>
      <c r="F126" s="208">
        <f t="shared" si="57"/>
        <v>37012.660291250009</v>
      </c>
      <c r="G126" s="208">
        <f t="shared" si="57"/>
        <v>74263.182619312545</v>
      </c>
      <c r="H126" s="208">
        <f t="shared" si="57"/>
        <v>86886.894659553174</v>
      </c>
      <c r="I126" s="208"/>
      <c r="J126" s="208"/>
      <c r="K126" s="208"/>
      <c r="L126" s="208"/>
      <c r="M126" s="208"/>
      <c r="N126" s="208"/>
    </row>
    <row r="127" spans="1:14" ht="16" outlineLevel="1" x14ac:dyDescent="0.2">
      <c r="A127" s="208" t="s">
        <v>163</v>
      </c>
      <c r="B127" s="208"/>
      <c r="C127" s="208"/>
      <c r="D127" s="275">
        <f>D126*$C$111</f>
        <v>9966.4511250000014</v>
      </c>
      <c r="E127" s="275">
        <f t="shared" ref="E127:H127" si="58">E126*$C$111</f>
        <v>9222.5610812500017</v>
      </c>
      <c r="F127" s="275">
        <f t="shared" si="58"/>
        <v>9253.1650728125023</v>
      </c>
      <c r="G127" s="275">
        <f t="shared" si="58"/>
        <v>18565.795654828136</v>
      </c>
      <c r="H127" s="275">
        <f t="shared" si="58"/>
        <v>21721.723664888294</v>
      </c>
      <c r="I127" s="208"/>
      <c r="J127" s="208"/>
      <c r="K127" s="208"/>
      <c r="L127" s="208"/>
      <c r="M127" s="208"/>
      <c r="N127" s="208"/>
    </row>
    <row r="128" spans="1:14" ht="16" outlineLevel="1" x14ac:dyDescent="0.2">
      <c r="A128" s="203" t="s">
        <v>164</v>
      </c>
      <c r="B128" s="203"/>
      <c r="C128" s="203"/>
      <c r="D128" s="271">
        <f>D126-D127</f>
        <v>29899.353375000006</v>
      </c>
      <c r="E128" s="271">
        <f t="shared" ref="E128:H128" si="59">E126-E127</f>
        <v>27667.683243750005</v>
      </c>
      <c r="F128" s="271">
        <f t="shared" si="59"/>
        <v>27759.495218437507</v>
      </c>
      <c r="G128" s="271">
        <f t="shared" si="59"/>
        <v>55697.386964484409</v>
      </c>
      <c r="H128" s="271">
        <f t="shared" si="59"/>
        <v>65165.170994664877</v>
      </c>
      <c r="I128" s="208"/>
      <c r="J128" s="208"/>
      <c r="K128" s="208"/>
      <c r="L128" s="208"/>
      <c r="M128" s="208"/>
      <c r="N128" s="208"/>
    </row>
    <row r="129" spans="1:19" ht="16" outlineLevel="1" x14ac:dyDescent="0.2">
      <c r="A129" s="208" t="s">
        <v>165</v>
      </c>
      <c r="B129" s="208"/>
      <c r="C129" s="208"/>
      <c r="D129" s="275">
        <f>I66</f>
        <v>13132.3675</v>
      </c>
      <c r="E129" s="275">
        <f t="shared" ref="E129:H129" si="60">J66</f>
        <v>13786.038875</v>
      </c>
      <c r="F129" s="275">
        <f t="shared" si="60"/>
        <v>14210.925268750001</v>
      </c>
      <c r="G129" s="275">
        <f t="shared" si="60"/>
        <v>14487.101424687498</v>
      </c>
      <c r="H129" s="275">
        <f t="shared" si="60"/>
        <v>14666.615926046874</v>
      </c>
      <c r="I129" s="208"/>
      <c r="J129" s="208"/>
      <c r="K129" s="208"/>
      <c r="L129" s="208"/>
      <c r="M129" s="208"/>
      <c r="N129" s="208"/>
      <c r="O129" s="188"/>
      <c r="P129" s="188"/>
      <c r="Q129" s="188"/>
      <c r="R129" s="188"/>
      <c r="S129" s="188"/>
    </row>
    <row r="130" spans="1:19" ht="16" outlineLevel="1" x14ac:dyDescent="0.2">
      <c r="A130" s="208" t="s">
        <v>24</v>
      </c>
      <c r="B130" s="208"/>
      <c r="C130" s="208"/>
      <c r="D130" s="275">
        <f>D126+D129</f>
        <v>52998.172000000006</v>
      </c>
      <c r="E130" s="275">
        <f t="shared" ref="E130:H130" si="61">E126+E129</f>
        <v>50676.283200000005</v>
      </c>
      <c r="F130" s="275">
        <f t="shared" si="61"/>
        <v>51223.585560000007</v>
      </c>
      <c r="G130" s="275">
        <f t="shared" si="61"/>
        <v>88750.284044000044</v>
      </c>
      <c r="H130" s="275">
        <f t="shared" si="61"/>
        <v>101553.51058560004</v>
      </c>
      <c r="I130" s="208"/>
      <c r="J130" s="208"/>
      <c r="K130" s="208"/>
      <c r="L130" s="208"/>
      <c r="M130" s="208"/>
      <c r="N130" s="208"/>
      <c r="O130" s="188"/>
      <c r="P130" s="188"/>
      <c r="Q130" s="188"/>
      <c r="R130" s="188"/>
      <c r="S130" s="188"/>
    </row>
    <row r="131" spans="1:19" ht="16" outlineLevel="1" x14ac:dyDescent="0.2">
      <c r="A131" s="208" t="s">
        <v>166</v>
      </c>
      <c r="B131" s="208"/>
      <c r="C131" s="208"/>
      <c r="D131" s="208">
        <f>I96</f>
        <v>15000</v>
      </c>
      <c r="E131" s="208">
        <f t="shared" ref="E131:H131" si="62">J96</f>
        <v>15000</v>
      </c>
      <c r="F131" s="208">
        <f t="shared" si="62"/>
        <v>15000</v>
      </c>
      <c r="G131" s="208">
        <f t="shared" si="62"/>
        <v>15000</v>
      </c>
      <c r="H131" s="208">
        <f t="shared" si="62"/>
        <v>15000</v>
      </c>
      <c r="I131" s="208"/>
      <c r="J131" s="208"/>
      <c r="K131" s="208"/>
      <c r="L131" s="208"/>
      <c r="M131" s="208"/>
      <c r="N131" s="208"/>
      <c r="O131" s="188"/>
      <c r="P131" s="188"/>
      <c r="Q131" s="188"/>
      <c r="R131" s="188"/>
      <c r="S131" s="188"/>
    </row>
    <row r="132" spans="1:19" ht="16" outlineLevel="1" x14ac:dyDescent="0.2">
      <c r="A132" s="208" t="s">
        <v>167</v>
      </c>
      <c r="B132" s="208"/>
      <c r="C132" s="208"/>
      <c r="D132" s="208">
        <f>I92</f>
        <v>3175.3921972602766</v>
      </c>
      <c r="E132" s="208">
        <f t="shared" ref="E132:H132" si="63">J92</f>
        <v>5062.2628416438383</v>
      </c>
      <c r="F132" s="208">
        <f t="shared" si="63"/>
        <v>5767.9171090411</v>
      </c>
      <c r="G132" s="208">
        <f t="shared" si="63"/>
        <v>-2612.6565262027398</v>
      </c>
      <c r="H132" s="208">
        <f t="shared" si="63"/>
        <v>2041.1379110958951</v>
      </c>
      <c r="I132" s="208"/>
      <c r="J132" s="208"/>
      <c r="K132" s="208"/>
      <c r="L132" s="208"/>
      <c r="M132" s="208"/>
      <c r="N132" s="208"/>
      <c r="O132" s="188"/>
      <c r="P132" s="188"/>
      <c r="Q132" s="188"/>
      <c r="R132" s="188"/>
      <c r="S132" s="188"/>
    </row>
    <row r="133" spans="1:19" ht="16" outlineLevel="1" x14ac:dyDescent="0.2">
      <c r="A133" s="204" t="s">
        <v>187</v>
      </c>
      <c r="B133" s="204"/>
      <c r="C133" s="204"/>
      <c r="D133" s="204">
        <f>D128+D129-D131-D132</f>
        <v>24856.32867773973</v>
      </c>
      <c r="E133" s="204">
        <f t="shared" ref="E133:H133" si="64">E128+E129-E131-E132</f>
        <v>21391.459277106165</v>
      </c>
      <c r="F133" s="204">
        <f t="shared" si="64"/>
        <v>21202.503378146412</v>
      </c>
      <c r="G133" s="204">
        <f t="shared" si="64"/>
        <v>57797.144915374651</v>
      </c>
      <c r="H133" s="204">
        <f t="shared" si="64"/>
        <v>62790.649009615852</v>
      </c>
      <c r="I133" s="279">
        <f>M124</f>
        <v>814353.26090490329</v>
      </c>
      <c r="J133" s="208"/>
      <c r="K133" s="208"/>
      <c r="L133" s="208"/>
      <c r="M133" s="208"/>
      <c r="N133" s="208"/>
      <c r="O133" s="188"/>
      <c r="P133" s="188"/>
      <c r="Q133" s="188"/>
      <c r="R133" s="188"/>
      <c r="S133" s="188"/>
    </row>
    <row r="134" spans="1:19" ht="16" outlineLevel="1" x14ac:dyDescent="0.2">
      <c r="A134" s="208"/>
      <c r="B134" s="208"/>
      <c r="C134" s="208"/>
      <c r="D134" s="208"/>
      <c r="E134" s="208"/>
      <c r="F134" s="208"/>
      <c r="G134" s="208"/>
      <c r="H134" s="208"/>
      <c r="I134" s="266"/>
      <c r="J134" s="208"/>
      <c r="K134" s="208"/>
      <c r="L134" s="208"/>
      <c r="M134" s="208"/>
      <c r="N134" s="208"/>
      <c r="O134" s="188"/>
      <c r="P134" s="188"/>
      <c r="Q134" s="188"/>
      <c r="R134" s="188"/>
      <c r="S134" s="188"/>
    </row>
    <row r="135" spans="1:19" ht="16" outlineLevel="1" x14ac:dyDescent="0.2">
      <c r="A135" s="280" t="s">
        <v>168</v>
      </c>
      <c r="B135" s="280"/>
      <c r="C135" s="281">
        <v>0</v>
      </c>
      <c r="D135" s="280">
        <f>D133*D124</f>
        <v>18642.246508304797</v>
      </c>
      <c r="E135" s="280">
        <f t="shared" ref="E135:I135" si="65">E133*E124</f>
        <v>21391.459277106165</v>
      </c>
      <c r="F135" s="280">
        <f t="shared" si="65"/>
        <v>21202.503378146412</v>
      </c>
      <c r="G135" s="280">
        <f t="shared" si="65"/>
        <v>57797.144915374651</v>
      </c>
      <c r="H135" s="280">
        <f t="shared" si="65"/>
        <v>62790.649009615852</v>
      </c>
      <c r="I135" s="280">
        <f t="shared" si="65"/>
        <v>814353.26090490329</v>
      </c>
      <c r="J135" s="212"/>
      <c r="K135" s="212"/>
      <c r="L135" s="212"/>
      <c r="M135" s="212"/>
      <c r="N135" s="212"/>
      <c r="O135" s="212"/>
      <c r="P135" s="212"/>
      <c r="Q135" s="212"/>
      <c r="R135" s="212"/>
      <c r="S135" s="212"/>
    </row>
    <row r="136" spans="1:19" ht="16" outlineLevel="1" x14ac:dyDescent="0.2">
      <c r="A136" s="212"/>
      <c r="B136" s="212"/>
      <c r="C136" s="212"/>
      <c r="D136" s="212"/>
      <c r="E136" s="212"/>
      <c r="F136" s="212"/>
      <c r="G136" s="212"/>
      <c r="H136" s="212"/>
      <c r="I136" s="212"/>
      <c r="J136" s="212"/>
      <c r="K136" s="212"/>
      <c r="L136" s="212"/>
      <c r="M136" s="212"/>
      <c r="N136" s="212"/>
      <c r="O136" s="212"/>
      <c r="P136" s="212"/>
      <c r="Q136" s="212"/>
      <c r="R136" s="212"/>
      <c r="S136" s="212"/>
    </row>
    <row r="137" spans="1:19" ht="16" outlineLevel="1" x14ac:dyDescent="0.2">
      <c r="A137" s="280" t="s">
        <v>169</v>
      </c>
      <c r="B137" s="280"/>
      <c r="C137" s="280">
        <f>-G143</f>
        <v>-210450.4796348151</v>
      </c>
      <c r="D137" s="280">
        <f>D135</f>
        <v>18642.246508304797</v>
      </c>
      <c r="E137" s="280">
        <f t="shared" ref="E137:I137" si="66">E135</f>
        <v>21391.459277106165</v>
      </c>
      <c r="F137" s="280">
        <f t="shared" si="66"/>
        <v>21202.503378146412</v>
      </c>
      <c r="G137" s="280">
        <f t="shared" si="66"/>
        <v>57797.144915374651</v>
      </c>
      <c r="H137" s="280">
        <f t="shared" si="66"/>
        <v>62790.649009615852</v>
      </c>
      <c r="I137" s="280">
        <f t="shared" si="66"/>
        <v>814353.26090490329</v>
      </c>
      <c r="J137" s="212"/>
      <c r="K137" s="212"/>
      <c r="L137" s="282"/>
      <c r="M137" s="282"/>
      <c r="N137" s="282"/>
      <c r="O137" s="282"/>
      <c r="P137" s="282"/>
      <c r="Q137" s="282"/>
      <c r="R137" s="282"/>
      <c r="S137" s="212"/>
    </row>
    <row r="138" spans="1:19" ht="16" outlineLevel="1" x14ac:dyDescent="0.2">
      <c r="A138" s="212"/>
      <c r="B138" s="283"/>
      <c r="C138" s="212"/>
      <c r="D138" s="212"/>
      <c r="E138" s="212"/>
      <c r="F138" s="212"/>
      <c r="G138" s="212"/>
      <c r="H138" s="212"/>
      <c r="I138" s="212"/>
      <c r="J138" s="212"/>
      <c r="K138" s="212"/>
      <c r="L138" s="212"/>
      <c r="M138" s="212"/>
      <c r="N138" s="212"/>
      <c r="O138" s="212"/>
      <c r="P138" s="212"/>
      <c r="Q138" s="212"/>
      <c r="R138" s="212"/>
      <c r="S138" s="212"/>
    </row>
    <row r="139" spans="1:19" ht="16" outlineLevel="1" x14ac:dyDescent="0.2">
      <c r="A139" s="280" t="s">
        <v>170</v>
      </c>
      <c r="B139" s="212"/>
      <c r="C139" s="212"/>
      <c r="D139" s="212"/>
      <c r="E139" s="280" t="s">
        <v>171</v>
      </c>
      <c r="F139" s="212"/>
      <c r="G139" s="212"/>
      <c r="H139" s="212"/>
      <c r="I139" s="280" t="s">
        <v>172</v>
      </c>
      <c r="J139" s="212"/>
      <c r="K139" s="212"/>
      <c r="L139" s="212"/>
      <c r="M139" s="212"/>
      <c r="N139" s="212"/>
      <c r="O139" s="212"/>
      <c r="P139" s="212"/>
      <c r="Q139" s="212"/>
      <c r="R139" s="212"/>
      <c r="S139" s="212"/>
    </row>
    <row r="140" spans="1:19" ht="16" outlineLevel="1" x14ac:dyDescent="0.2">
      <c r="A140" s="284" t="s">
        <v>173</v>
      </c>
      <c r="B140" s="284"/>
      <c r="C140" s="284">
        <f>XNPV(C112,C135:I135,C122:I122)</f>
        <v>599588.05792713526</v>
      </c>
      <c r="D140" s="212"/>
      <c r="E140" s="284" t="s">
        <v>20</v>
      </c>
      <c r="F140" s="284"/>
      <c r="G140" s="284">
        <f>C117*C118</f>
        <v>320000</v>
      </c>
      <c r="H140" s="212"/>
      <c r="I140" s="284" t="s">
        <v>46</v>
      </c>
      <c r="J140" s="284"/>
      <c r="K140" s="285">
        <f>C117</f>
        <v>16</v>
      </c>
      <c r="L140" s="212"/>
      <c r="M140" s="212"/>
      <c r="N140" s="212"/>
      <c r="O140" s="212"/>
      <c r="P140" s="212"/>
      <c r="Q140" s="212"/>
      <c r="R140" s="212"/>
      <c r="S140" s="212"/>
    </row>
    <row r="141" spans="1:19" ht="16" outlineLevel="1" x14ac:dyDescent="0.2">
      <c r="A141" s="212" t="s">
        <v>174</v>
      </c>
      <c r="B141" s="212"/>
      <c r="C141" s="212">
        <f>H43</f>
        <v>139549.5203651849</v>
      </c>
      <c r="D141" s="212"/>
      <c r="E141" s="212" t="s">
        <v>175</v>
      </c>
      <c r="F141" s="212"/>
      <c r="G141" s="212">
        <f>C142</f>
        <v>30000</v>
      </c>
      <c r="H141" s="212"/>
      <c r="I141" s="212" t="s">
        <v>176</v>
      </c>
      <c r="J141" s="212"/>
      <c r="K141" s="286">
        <f>C145</f>
        <v>35.456878914616006</v>
      </c>
      <c r="L141" s="212"/>
      <c r="M141" s="212"/>
      <c r="N141" s="212"/>
      <c r="O141" s="212"/>
      <c r="P141" s="212"/>
      <c r="Q141" s="212"/>
      <c r="R141" s="212"/>
      <c r="S141" s="212"/>
    </row>
    <row r="142" spans="1:19" ht="16" outlineLevel="1" x14ac:dyDescent="0.2">
      <c r="A142" s="212" t="s">
        <v>177</v>
      </c>
      <c r="B142" s="212"/>
      <c r="C142" s="212">
        <f>H51</f>
        <v>30000</v>
      </c>
      <c r="D142" s="212"/>
      <c r="E142" s="212" t="s">
        <v>178</v>
      </c>
      <c r="F142" s="212"/>
      <c r="G142" s="212">
        <f>C141</f>
        <v>139549.5203651849</v>
      </c>
      <c r="H142" s="212"/>
      <c r="I142" s="212" t="s">
        <v>188</v>
      </c>
      <c r="J142" s="212"/>
      <c r="K142" s="283">
        <f>K141/K140-1</f>
        <v>1.2160549321635004</v>
      </c>
      <c r="L142" s="212"/>
      <c r="M142" s="212"/>
      <c r="N142" s="212"/>
      <c r="O142" s="212"/>
      <c r="P142" s="212"/>
      <c r="Q142" s="212"/>
      <c r="R142" s="212"/>
      <c r="S142" s="212"/>
    </row>
    <row r="143" spans="1:19" ht="16" outlineLevel="1" x14ac:dyDescent="0.2">
      <c r="A143" s="212" t="s">
        <v>47</v>
      </c>
      <c r="B143" s="212"/>
      <c r="C143" s="284">
        <f>C140+C141-C142</f>
        <v>709137.57829232013</v>
      </c>
      <c r="D143" s="212"/>
      <c r="E143" s="212" t="s">
        <v>173</v>
      </c>
      <c r="F143" s="212"/>
      <c r="G143" s="284">
        <f>G140+G141-G142</f>
        <v>210450.4796348151</v>
      </c>
      <c r="H143" s="212"/>
      <c r="I143" s="212" t="s">
        <v>179</v>
      </c>
      <c r="J143" s="212"/>
      <c r="K143" s="283">
        <f>XIRR(C137:I137,C122:I122)</f>
        <v>0.42715774178504951</v>
      </c>
      <c r="L143" s="212"/>
      <c r="M143" s="212"/>
      <c r="N143" s="212"/>
      <c r="O143" s="212"/>
      <c r="P143" s="212"/>
      <c r="Q143" s="212"/>
      <c r="R143" s="212"/>
      <c r="S143" s="212"/>
    </row>
    <row r="144" spans="1:19" ht="16" outlineLevel="1" x14ac:dyDescent="0.2">
      <c r="A144" s="212"/>
      <c r="B144" s="212"/>
      <c r="C144" s="212"/>
      <c r="D144" s="212"/>
      <c r="E144" s="212"/>
      <c r="F144" s="212"/>
      <c r="G144" s="287"/>
      <c r="H144" s="212"/>
      <c r="I144" s="212"/>
      <c r="J144" s="212"/>
      <c r="K144" s="212"/>
      <c r="L144" s="212"/>
      <c r="M144" s="212"/>
      <c r="N144" s="212"/>
      <c r="O144" s="212"/>
      <c r="P144" s="212"/>
      <c r="Q144" s="212"/>
      <c r="R144" s="212"/>
      <c r="S144" s="212"/>
    </row>
    <row r="145" spans="1:19" ht="16" outlineLevel="1" x14ac:dyDescent="0.2">
      <c r="A145" s="280" t="s">
        <v>180</v>
      </c>
      <c r="B145" s="212"/>
      <c r="C145" s="288">
        <f>C143/C118</f>
        <v>35.456878914616006</v>
      </c>
      <c r="D145" s="212"/>
      <c r="E145" s="280" t="s">
        <v>180</v>
      </c>
      <c r="F145" s="280"/>
      <c r="G145" s="289">
        <f>G140/C118</f>
        <v>16</v>
      </c>
      <c r="H145" s="212"/>
      <c r="I145" s="212"/>
      <c r="J145" s="212"/>
      <c r="K145" s="212"/>
      <c r="L145" s="212"/>
      <c r="M145" s="212"/>
      <c r="N145" s="212"/>
      <c r="O145" s="212"/>
      <c r="P145" s="212"/>
      <c r="Q145" s="212"/>
      <c r="R145" s="212"/>
      <c r="S145" s="212"/>
    </row>
    <row r="146" spans="1:19" ht="16" outlineLevel="1" x14ac:dyDescent="0.2">
      <c r="A146" s="212"/>
      <c r="B146" s="212"/>
      <c r="C146" s="212"/>
      <c r="D146" s="212"/>
      <c r="E146" s="212"/>
      <c r="F146" s="212"/>
      <c r="G146" s="212"/>
      <c r="H146" s="212"/>
      <c r="I146" s="212"/>
      <c r="J146" s="212"/>
      <c r="K146" s="212"/>
      <c r="L146" s="212"/>
      <c r="M146" s="212"/>
      <c r="N146" s="212"/>
      <c r="O146" s="212"/>
      <c r="P146" s="212"/>
      <c r="Q146" s="212"/>
      <c r="R146" s="212"/>
      <c r="S146" s="212"/>
    </row>
    <row r="147" spans="1:19" ht="16" outlineLevel="1" x14ac:dyDescent="0.2">
      <c r="A147" s="208"/>
      <c r="B147" s="208"/>
      <c r="C147" s="208"/>
      <c r="D147" s="208"/>
      <c r="E147" s="208"/>
      <c r="F147" s="208"/>
      <c r="G147" s="208"/>
      <c r="H147" s="208"/>
      <c r="I147" s="208"/>
      <c r="J147" s="208"/>
      <c r="K147" s="208"/>
      <c r="L147" s="208"/>
      <c r="M147" s="208"/>
      <c r="N147" s="208"/>
      <c r="O147" s="188"/>
      <c r="P147" s="188"/>
      <c r="Q147" s="188"/>
      <c r="R147" s="188"/>
      <c r="S147" s="188"/>
    </row>
    <row r="148" spans="1:19" ht="16" x14ac:dyDescent="0.2">
      <c r="A148" s="188"/>
      <c r="B148" s="188"/>
      <c r="C148" s="188"/>
      <c r="D148" s="188"/>
      <c r="E148" s="188"/>
      <c r="F148" s="188"/>
      <c r="G148" s="188"/>
      <c r="H148" s="188"/>
      <c r="I148" s="188"/>
      <c r="J148" s="188"/>
      <c r="K148" s="188"/>
      <c r="L148" s="188"/>
      <c r="M148" s="188"/>
      <c r="N148" s="188"/>
      <c r="O148" s="188"/>
      <c r="P148" s="188"/>
      <c r="Q148" s="188"/>
      <c r="R148" s="188"/>
      <c r="S148" s="188"/>
    </row>
    <row r="149" spans="1:19" ht="20" x14ac:dyDescent="0.2">
      <c r="A149" s="197" t="s">
        <v>157</v>
      </c>
      <c r="B149" s="198"/>
      <c r="C149" s="199"/>
      <c r="D149" s="198"/>
      <c r="E149" s="198"/>
      <c r="F149" s="198"/>
      <c r="G149" s="198"/>
      <c r="H149" s="198"/>
      <c r="I149" s="198"/>
      <c r="J149" s="198"/>
      <c r="K149" s="198"/>
      <c r="L149" s="198"/>
      <c r="M149" s="198"/>
      <c r="N149" s="188"/>
      <c r="O149" s="188"/>
      <c r="P149" s="188"/>
      <c r="Q149" s="188"/>
      <c r="R149" s="188"/>
      <c r="S149" s="188"/>
    </row>
    <row r="150" spans="1:19" ht="16" outlineLevel="1" x14ac:dyDescent="0.2">
      <c r="A150" s="188"/>
      <c r="B150" s="188"/>
      <c r="C150" s="188"/>
      <c r="D150" s="188"/>
      <c r="E150" s="188"/>
      <c r="F150" s="188"/>
      <c r="G150" s="188"/>
      <c r="H150" s="188"/>
      <c r="I150" s="188"/>
      <c r="J150" s="188"/>
      <c r="K150" s="188"/>
      <c r="L150" s="188"/>
      <c r="M150" s="188"/>
      <c r="N150" s="188"/>
      <c r="O150" s="188"/>
      <c r="P150" s="188"/>
      <c r="Q150" s="188"/>
      <c r="R150" s="188"/>
      <c r="S150" s="188"/>
    </row>
    <row r="151" spans="1:19" ht="16" outlineLevel="1" x14ac:dyDescent="0.2">
      <c r="A151" s="188" t="s">
        <v>1</v>
      </c>
      <c r="B151" s="188"/>
      <c r="C151" s="195"/>
      <c r="D151" s="290">
        <f>YEAR(D122)</f>
        <v>2018</v>
      </c>
      <c r="E151" s="290">
        <f>YEAR(E122)</f>
        <v>2019</v>
      </c>
      <c r="F151" s="290">
        <f>YEAR(F122)</f>
        <v>2020</v>
      </c>
      <c r="G151" s="290">
        <f>YEAR(G122)</f>
        <v>2021</v>
      </c>
      <c r="H151" s="290">
        <f>YEAR(H122)</f>
        <v>2022</v>
      </c>
      <c r="I151" s="188"/>
      <c r="J151" s="188" t="s">
        <v>181</v>
      </c>
      <c r="K151" s="188"/>
      <c r="L151" s="188"/>
      <c r="M151" s="188"/>
      <c r="N151" s="188"/>
      <c r="O151" s="188"/>
      <c r="P151" s="188"/>
      <c r="Q151" s="188"/>
      <c r="R151" s="188"/>
      <c r="S151" s="188"/>
    </row>
    <row r="152" spans="1:19" ht="16" outlineLevel="1" x14ac:dyDescent="0.2">
      <c r="A152" s="203" t="s">
        <v>182</v>
      </c>
      <c r="B152" s="203"/>
      <c r="C152" s="246"/>
      <c r="D152" s="203">
        <f>D137</f>
        <v>18642.246508304797</v>
      </c>
      <c r="E152" s="203">
        <f>E137</f>
        <v>21391.459277106165</v>
      </c>
      <c r="F152" s="203">
        <f>F137</f>
        <v>21202.503378146412</v>
      </c>
      <c r="G152" s="203">
        <f>G137</f>
        <v>57797.144915374651</v>
      </c>
      <c r="H152" s="203">
        <f>H137</f>
        <v>62790.649009615852</v>
      </c>
      <c r="I152" s="188"/>
      <c r="J152" s="203" t="s">
        <v>171</v>
      </c>
      <c r="K152" s="203"/>
      <c r="L152" s="291">
        <f>G145</f>
        <v>16</v>
      </c>
      <c r="M152" s="188"/>
      <c r="N152" s="188"/>
      <c r="O152" s="188"/>
      <c r="P152" s="188"/>
      <c r="Q152" s="188"/>
      <c r="R152" s="188"/>
      <c r="S152" s="188"/>
    </row>
    <row r="153" spans="1:19" ht="16" outlineLevel="1" x14ac:dyDescent="0.2">
      <c r="A153" s="188"/>
      <c r="B153" s="188"/>
      <c r="C153" s="195"/>
      <c r="D153" s="188"/>
      <c r="E153" s="188"/>
      <c r="F153" s="188"/>
      <c r="G153" s="188"/>
      <c r="H153" s="188"/>
      <c r="I153" s="188"/>
      <c r="J153" s="188" t="s">
        <v>183</v>
      </c>
      <c r="K153" s="188"/>
      <c r="L153" s="292">
        <f>L154-L152</f>
        <v>19.456878914616006</v>
      </c>
      <c r="M153" s="188"/>
      <c r="N153" s="188"/>
      <c r="O153" s="188"/>
      <c r="P153" s="188"/>
      <c r="Q153" s="188"/>
      <c r="R153" s="188"/>
      <c r="S153" s="188"/>
    </row>
    <row r="154" spans="1:19" ht="16" outlineLevel="1" x14ac:dyDescent="0.2">
      <c r="A154" s="188"/>
      <c r="B154" s="188"/>
      <c r="C154" s="195"/>
      <c r="D154" s="188"/>
      <c r="E154" s="188"/>
      <c r="F154" s="188"/>
      <c r="G154" s="188"/>
      <c r="H154" s="188"/>
      <c r="I154" s="188"/>
      <c r="J154" s="188" t="s">
        <v>170</v>
      </c>
      <c r="K154" s="188"/>
      <c r="L154" s="292">
        <f>C145</f>
        <v>35.456878914616006</v>
      </c>
      <c r="M154" s="188"/>
      <c r="N154" s="188"/>
      <c r="O154" s="188"/>
      <c r="P154" s="188"/>
      <c r="Q154" s="188"/>
      <c r="R154" s="188"/>
      <c r="S154" s="188"/>
    </row>
    <row r="155" spans="1:19" ht="16" outlineLevel="1" x14ac:dyDescent="0.2">
      <c r="A155" s="188"/>
      <c r="B155" s="188"/>
      <c r="C155" s="195"/>
      <c r="D155" s="188"/>
      <c r="E155" s="188"/>
      <c r="F155" s="188"/>
      <c r="G155" s="188"/>
      <c r="H155" s="188"/>
      <c r="I155" s="188"/>
      <c r="J155" s="188"/>
      <c r="K155" s="188"/>
      <c r="L155" s="188"/>
      <c r="M155" s="188"/>
      <c r="N155" s="188"/>
      <c r="O155" s="188"/>
      <c r="P155" s="188"/>
      <c r="Q155" s="188"/>
      <c r="R155" s="188"/>
      <c r="S155" s="188"/>
    </row>
    <row r="156" spans="1:19" ht="16" outlineLevel="1" x14ac:dyDescent="0.2">
      <c r="A156" s="188"/>
      <c r="B156" s="188"/>
      <c r="C156" s="195"/>
      <c r="D156" s="188"/>
      <c r="E156" s="188"/>
      <c r="F156" s="188"/>
      <c r="G156" s="188"/>
      <c r="H156" s="188"/>
      <c r="I156" s="188"/>
      <c r="J156" s="188"/>
      <c r="K156" s="188"/>
      <c r="L156" s="188"/>
      <c r="M156" s="188"/>
      <c r="N156" s="188"/>
      <c r="O156" s="188"/>
      <c r="P156" s="188"/>
      <c r="Q156" s="188"/>
      <c r="R156" s="188"/>
      <c r="S156" s="188"/>
    </row>
    <row r="157" spans="1:19" ht="16" outlineLevel="1" x14ac:dyDescent="0.2">
      <c r="A157" s="188"/>
      <c r="B157" s="188"/>
      <c r="C157" s="195"/>
      <c r="D157" s="188"/>
      <c r="E157" s="188"/>
      <c r="F157" s="188"/>
      <c r="G157" s="188"/>
      <c r="H157" s="188"/>
      <c r="I157" s="188"/>
      <c r="J157" s="188"/>
      <c r="K157" s="188"/>
      <c r="L157" s="188"/>
      <c r="M157" s="188"/>
      <c r="N157" s="188"/>
      <c r="O157" s="188"/>
      <c r="P157" s="188"/>
      <c r="Q157" s="188"/>
      <c r="R157" s="188"/>
      <c r="S157" s="188"/>
    </row>
    <row r="158" spans="1:19" ht="16" outlineLevel="1" x14ac:dyDescent="0.2">
      <c r="A158" s="188"/>
      <c r="B158" s="188"/>
      <c r="C158" s="195"/>
      <c r="D158" s="188"/>
      <c r="E158" s="188"/>
      <c r="F158" s="188"/>
      <c r="G158" s="188"/>
      <c r="H158" s="188"/>
      <c r="I158" s="188"/>
      <c r="J158" s="188"/>
      <c r="K158" s="188"/>
      <c r="L158" s="188"/>
      <c r="M158" s="188"/>
      <c r="N158" s="188"/>
      <c r="O158" s="188"/>
      <c r="P158" s="188"/>
      <c r="Q158" s="188"/>
      <c r="R158" s="188"/>
      <c r="S158" s="188"/>
    </row>
    <row r="159" spans="1:19" ht="16" outlineLevel="1" x14ac:dyDescent="0.2">
      <c r="A159" s="188"/>
      <c r="B159" s="188"/>
      <c r="C159" s="195"/>
      <c r="D159" s="188"/>
      <c r="E159" s="188"/>
      <c r="F159" s="188"/>
      <c r="G159" s="188"/>
      <c r="H159" s="188"/>
      <c r="I159" s="188"/>
      <c r="J159" s="188"/>
      <c r="K159" s="188"/>
      <c r="L159" s="188"/>
      <c r="M159" s="188"/>
      <c r="N159" s="188"/>
      <c r="O159" s="188"/>
      <c r="P159" s="188"/>
      <c r="Q159" s="188"/>
      <c r="R159" s="188"/>
      <c r="S159" s="188"/>
    </row>
    <row r="160" spans="1:19" ht="16" outlineLevel="1" x14ac:dyDescent="0.2">
      <c r="A160" s="188"/>
      <c r="B160" s="188"/>
      <c r="C160" s="195"/>
      <c r="D160" s="188"/>
      <c r="E160" s="188"/>
      <c r="F160" s="188"/>
      <c r="G160" s="188"/>
      <c r="H160" s="188"/>
      <c r="I160" s="188"/>
      <c r="J160" s="188"/>
      <c r="K160" s="188"/>
      <c r="L160" s="188"/>
      <c r="M160" s="188"/>
      <c r="N160" s="188"/>
      <c r="O160" s="188"/>
      <c r="P160" s="188"/>
      <c r="Q160" s="188"/>
      <c r="R160" s="188"/>
      <c r="S160" s="188"/>
    </row>
    <row r="161" outlineLevel="1" x14ac:dyDescent="0.15"/>
    <row r="162" outlineLevel="1" x14ac:dyDescent="0.15"/>
    <row r="163" outlineLevel="1" x14ac:dyDescent="0.15"/>
    <row r="164" outlineLevel="1" x14ac:dyDescent="0.15"/>
    <row r="165" outlineLevel="1" x14ac:dyDescent="0.15"/>
    <row r="166" outlineLevel="1" x14ac:dyDescent="0.15"/>
    <row r="167" outlineLevel="1" x14ac:dyDescent="0.15"/>
    <row r="168" outlineLevel="1" x14ac:dyDescent="0.15"/>
    <row r="169" outlineLevel="1" x14ac:dyDescent="0.15"/>
    <row r="170" outlineLevel="1" x14ac:dyDescent="0.15"/>
    <row r="171" outlineLevel="1" x14ac:dyDescent="0.15"/>
  </sheetData>
  <sheetProtection formatCells="0" formatColumns="0" formatRows="0" insertColumns="0" insertRows="0" insertHyperlinks="0" deleteColumns="0" deleteRows="0" sort="0" autoFilter="0" pivotTables="0"/>
  <conditionalFormatting sqref="D3:M3">
    <cfRule type="containsText" dxfId="1" priority="1" operator="containsText" text="OK">
      <formula>NOT(ISERROR(SEARCH("OK",D3)))</formula>
    </cfRule>
    <cfRule type="containsText" dxfId="0"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21"/>
  <sheetViews>
    <sheetView showGridLines="0" workbookViewId="0"/>
  </sheetViews>
  <sheetFormatPr baseColWidth="10" defaultColWidth="9.1640625" defaultRowHeight="14" x14ac:dyDescent="0.15"/>
  <cols>
    <col min="1" max="1" width="9.1640625" style="40"/>
    <col min="2" max="2" width="20.83203125" style="40" customWidth="1"/>
    <col min="3" max="3" width="9.1640625" style="40"/>
    <col min="4" max="4" width="9.83203125" style="40" customWidth="1"/>
    <col min="5" max="6" width="12" style="40" customWidth="1"/>
    <col min="7" max="7" width="10.6640625" style="40" customWidth="1"/>
    <col min="8" max="8" width="2" style="40" customWidth="1"/>
    <col min="9" max="9" width="9.1640625" style="40"/>
    <col min="10" max="10" width="9.83203125" style="40" customWidth="1"/>
    <col min="11" max="11" width="10" style="40" customWidth="1"/>
    <col min="12" max="12" width="2" style="40" customWidth="1"/>
    <col min="13" max="13" width="9.33203125" style="40" customWidth="1"/>
    <col min="14" max="14" width="11.6640625" style="40" customWidth="1"/>
    <col min="15" max="15" width="11" style="40" customWidth="1"/>
    <col min="16" max="16" width="1" style="40" customWidth="1"/>
    <col min="17" max="16384" width="9.1640625" style="40"/>
  </cols>
  <sheetData>
    <row r="1" spans="1:16" s="179" customFormat="1" x14ac:dyDescent="0.15">
      <c r="A1" s="178" t="s">
        <v>195</v>
      </c>
      <c r="B1" s="178"/>
      <c r="C1" s="178"/>
      <c r="D1" s="178"/>
      <c r="E1" s="178"/>
      <c r="F1" s="178"/>
      <c r="G1" s="178"/>
      <c r="H1" s="178"/>
      <c r="I1" s="178"/>
      <c r="J1" s="178"/>
      <c r="K1" s="178"/>
      <c r="L1" s="178"/>
      <c r="M1" s="178"/>
      <c r="N1" s="178"/>
      <c r="O1" s="178"/>
      <c r="P1" s="178"/>
    </row>
    <row r="2" spans="1:16" s="179" customFormat="1" ht="18" x14ac:dyDescent="0.15">
      <c r="A2" s="180" t="s">
        <v>196</v>
      </c>
      <c r="B2" s="180"/>
      <c r="C2" s="180"/>
      <c r="D2" s="180"/>
      <c r="E2" s="180"/>
      <c r="F2" s="180"/>
      <c r="G2" s="180"/>
      <c r="H2" s="180"/>
      <c r="I2" s="180"/>
      <c r="J2" s="180"/>
      <c r="K2" s="180"/>
      <c r="L2" s="180"/>
      <c r="M2" s="180"/>
      <c r="N2" s="180"/>
      <c r="O2" s="180"/>
      <c r="P2" s="180"/>
    </row>
    <row r="5" spans="1:16" ht="21" customHeight="1" x14ac:dyDescent="0.15">
      <c r="B5" s="15"/>
      <c r="C5" s="16" t="s">
        <v>15</v>
      </c>
      <c r="D5" s="16"/>
      <c r="E5" s="17"/>
      <c r="F5" s="17"/>
      <c r="G5" s="17"/>
      <c r="H5" s="15"/>
      <c r="I5" s="16" t="s">
        <v>16</v>
      </c>
      <c r="J5" s="17"/>
      <c r="K5" s="16"/>
      <c r="L5" s="15"/>
      <c r="M5" s="16" t="s">
        <v>17</v>
      </c>
      <c r="N5" s="17"/>
      <c r="O5" s="16"/>
      <c r="P5" s="18"/>
    </row>
    <row r="6" spans="1:16" ht="16.5" customHeight="1" x14ac:dyDescent="0.15">
      <c r="B6" s="19"/>
      <c r="C6" s="20" t="s">
        <v>18</v>
      </c>
      <c r="D6" s="20" t="s">
        <v>19</v>
      </c>
      <c r="E6" s="20" t="s">
        <v>20</v>
      </c>
      <c r="F6" s="20" t="s">
        <v>21</v>
      </c>
      <c r="G6" s="20" t="s">
        <v>22</v>
      </c>
      <c r="H6" s="21"/>
      <c r="I6" s="20" t="s">
        <v>23</v>
      </c>
      <c r="J6" s="20" t="s">
        <v>24</v>
      </c>
      <c r="K6" s="20" t="s">
        <v>26</v>
      </c>
      <c r="L6" s="22"/>
      <c r="M6" s="20" t="s">
        <v>5</v>
      </c>
      <c r="N6" s="20" t="s">
        <v>6</v>
      </c>
      <c r="O6" s="20" t="s">
        <v>27</v>
      </c>
      <c r="P6" s="23"/>
    </row>
    <row r="7" spans="1:16" ht="14.25" customHeight="1" x14ac:dyDescent="0.15">
      <c r="B7" s="19" t="s">
        <v>0</v>
      </c>
      <c r="C7" s="24" t="s">
        <v>28</v>
      </c>
      <c r="D7" s="25" t="s">
        <v>29</v>
      </c>
      <c r="E7" s="24" t="s">
        <v>30</v>
      </c>
      <c r="F7" s="24"/>
      <c r="G7" s="24" t="s">
        <v>30</v>
      </c>
      <c r="H7" s="21"/>
      <c r="I7" s="24" t="s">
        <v>30</v>
      </c>
      <c r="J7" s="24" t="s">
        <v>30</v>
      </c>
      <c r="K7" s="24" t="s">
        <v>30</v>
      </c>
      <c r="L7" s="22"/>
      <c r="M7" s="24" t="s">
        <v>31</v>
      </c>
      <c r="N7" s="26" t="s">
        <v>31</v>
      </c>
      <c r="O7" s="26" t="s">
        <v>31</v>
      </c>
      <c r="P7" s="27"/>
    </row>
    <row r="8" spans="1:16" ht="21" customHeight="1" x14ac:dyDescent="0.15">
      <c r="B8" s="41" t="s">
        <v>35</v>
      </c>
      <c r="C8" s="42">
        <v>9.4499999999999993</v>
      </c>
      <c r="D8" s="43">
        <v>100</v>
      </c>
      <c r="E8" s="44">
        <f>C8*D8</f>
        <v>944.99999999999989</v>
      </c>
      <c r="F8" s="45">
        <v>125</v>
      </c>
      <c r="G8" s="44">
        <f>E8+F8</f>
        <v>1070</v>
      </c>
      <c r="H8" s="44"/>
      <c r="I8" s="45">
        <v>267.5</v>
      </c>
      <c r="J8" s="45">
        <v>75.886524822695037</v>
      </c>
      <c r="K8" s="45">
        <v>46.929824561403507</v>
      </c>
      <c r="L8" s="41"/>
      <c r="M8" s="46">
        <f>G8/I8</f>
        <v>4</v>
      </c>
      <c r="N8" s="46">
        <f>G8/J8</f>
        <v>14.1</v>
      </c>
      <c r="O8" s="46">
        <f>E8/K8</f>
        <v>20.136448598130841</v>
      </c>
    </row>
    <row r="9" spans="1:16" ht="21" customHeight="1" x14ac:dyDescent="0.15">
      <c r="B9" s="41" t="s">
        <v>36</v>
      </c>
      <c r="C9" s="42">
        <v>5.68</v>
      </c>
      <c r="D9" s="43">
        <v>1250</v>
      </c>
      <c r="E9" s="44">
        <f t="shared" ref="E9:E12" si="0">C9*D9</f>
        <v>7100</v>
      </c>
      <c r="F9" s="45">
        <v>2000</v>
      </c>
      <c r="G9" s="44">
        <f t="shared" ref="G9:G12" si="1">E9+F9</f>
        <v>9100</v>
      </c>
      <c r="H9" s="44"/>
      <c r="I9" s="45">
        <v>4136.363636363636</v>
      </c>
      <c r="J9" s="45">
        <v>777.77777777777783</v>
      </c>
      <c r="K9" s="45">
        <v>411.76470588235293</v>
      </c>
      <c r="L9" s="41"/>
      <c r="M9" s="46">
        <f t="shared" ref="M9:M12" si="2">G9/I9</f>
        <v>2.2000000000000002</v>
      </c>
      <c r="N9" s="46">
        <f t="shared" ref="N9:N12" si="3">G9/J9</f>
        <v>11.7</v>
      </c>
      <c r="O9" s="46">
        <f t="shared" ref="O9:O12" si="4">E9/K9</f>
        <v>17.242857142857144</v>
      </c>
    </row>
    <row r="10" spans="1:16" ht="21" customHeight="1" x14ac:dyDescent="0.15">
      <c r="B10" s="41" t="s">
        <v>37</v>
      </c>
      <c r="C10" s="42">
        <v>18.11</v>
      </c>
      <c r="D10" s="43">
        <v>50</v>
      </c>
      <c r="E10" s="44">
        <f t="shared" si="0"/>
        <v>905.5</v>
      </c>
      <c r="F10" s="45">
        <v>25</v>
      </c>
      <c r="G10" s="44">
        <f t="shared" si="1"/>
        <v>930.5</v>
      </c>
      <c r="H10" s="44"/>
      <c r="I10" s="45">
        <v>443.09523809523807</v>
      </c>
      <c r="J10" s="45">
        <v>95.927835051546396</v>
      </c>
      <c r="K10" s="45">
        <v>55.718562874251496</v>
      </c>
      <c r="L10" s="41"/>
      <c r="M10" s="46">
        <f t="shared" si="2"/>
        <v>2.1</v>
      </c>
      <c r="N10" s="46">
        <f t="shared" si="3"/>
        <v>9.6999999999999993</v>
      </c>
      <c r="O10" s="46">
        <f t="shared" si="4"/>
        <v>16.251316496507254</v>
      </c>
    </row>
    <row r="11" spans="1:16" ht="21" customHeight="1" x14ac:dyDescent="0.15">
      <c r="B11" s="41" t="s">
        <v>38</v>
      </c>
      <c r="C11" s="42">
        <v>12.27</v>
      </c>
      <c r="D11" s="43">
        <v>630</v>
      </c>
      <c r="E11" s="44">
        <f t="shared" si="0"/>
        <v>7730.0999999999995</v>
      </c>
      <c r="F11" s="45">
        <v>350</v>
      </c>
      <c r="G11" s="44">
        <f t="shared" si="1"/>
        <v>8080.0999999999995</v>
      </c>
      <c r="H11" s="44"/>
      <c r="I11" s="45">
        <v>1949.4897959183672</v>
      </c>
      <c r="J11" s="45">
        <v>527.76243093922653</v>
      </c>
      <c r="K11" s="45">
        <v>293.92307692307691</v>
      </c>
      <c r="L11" s="41"/>
      <c r="M11" s="46">
        <f t="shared" si="2"/>
        <v>4.1447254645380793</v>
      </c>
      <c r="N11" s="46">
        <f t="shared" si="3"/>
        <v>15.310108348599842</v>
      </c>
      <c r="O11" s="46">
        <f t="shared" si="4"/>
        <v>26.299738288406175</v>
      </c>
    </row>
    <row r="12" spans="1:16" ht="21" customHeight="1" x14ac:dyDescent="0.15">
      <c r="B12" s="41" t="s">
        <v>34</v>
      </c>
      <c r="C12" s="42">
        <v>9.0299999999999994</v>
      </c>
      <c r="D12" s="43">
        <v>1500</v>
      </c>
      <c r="E12" s="44">
        <f t="shared" si="0"/>
        <v>13544.999999999998</v>
      </c>
      <c r="F12" s="45">
        <v>0</v>
      </c>
      <c r="G12" s="44">
        <f t="shared" si="1"/>
        <v>13544.999999999998</v>
      </c>
      <c r="H12" s="44"/>
      <c r="I12" s="45">
        <v>6622</v>
      </c>
      <c r="J12" s="45">
        <v>794.64</v>
      </c>
      <c r="K12" s="45">
        <v>422.68085106382978</v>
      </c>
      <c r="L12" s="41"/>
      <c r="M12" s="46">
        <f t="shared" si="2"/>
        <v>2.045454545454545</v>
      </c>
      <c r="N12" s="46">
        <f t="shared" si="3"/>
        <v>17.045454545454543</v>
      </c>
      <c r="O12" s="46">
        <f t="shared" si="4"/>
        <v>32.04545454545454</v>
      </c>
    </row>
    <row r="13" spans="1:16" ht="16.5" customHeight="1" x14ac:dyDescent="0.15">
      <c r="B13" s="41"/>
      <c r="C13" s="41"/>
      <c r="D13" s="41"/>
      <c r="E13" s="41"/>
      <c r="F13" s="41"/>
      <c r="G13" s="41"/>
      <c r="H13" s="41"/>
      <c r="I13" s="41"/>
      <c r="J13" s="41"/>
      <c r="K13" s="41"/>
      <c r="L13" s="41"/>
      <c r="M13" s="41"/>
      <c r="N13" s="41"/>
      <c r="O13" s="41"/>
    </row>
    <row r="14" spans="1:16" ht="21" customHeight="1" x14ac:dyDescent="0.15">
      <c r="B14" s="47" t="s">
        <v>8</v>
      </c>
      <c r="C14" s="47"/>
      <c r="D14" s="47"/>
      <c r="E14" s="47"/>
      <c r="F14" s="47"/>
      <c r="G14" s="47"/>
      <c r="H14" s="47"/>
      <c r="I14" s="47"/>
      <c r="J14" s="47"/>
      <c r="K14" s="47"/>
      <c r="L14" s="47"/>
      <c r="M14" s="48">
        <f>AVERAGE(M8:M12)</f>
        <v>2.8980360019985252</v>
      </c>
      <c r="N14" s="48">
        <f>AVERAGE(N8:N12)</f>
        <v>13.571112578810878</v>
      </c>
      <c r="O14" s="48">
        <f>AVERAGE(O8:O12)</f>
        <v>22.395163014271191</v>
      </c>
    </row>
    <row r="15" spans="1:16" ht="21" customHeight="1" x14ac:dyDescent="0.15">
      <c r="B15" s="47" t="s">
        <v>9</v>
      </c>
      <c r="C15" s="47"/>
      <c r="D15" s="47"/>
      <c r="E15" s="47"/>
      <c r="F15" s="47"/>
      <c r="G15" s="47"/>
      <c r="H15" s="47"/>
      <c r="I15" s="47"/>
      <c r="J15" s="47"/>
      <c r="K15" s="47"/>
      <c r="L15" s="47"/>
      <c r="M15" s="48">
        <f>MEDIAN(M8:M12)</f>
        <v>2.2000000000000002</v>
      </c>
      <c r="N15" s="48">
        <f>MEDIAN(N8:N12)</f>
        <v>14.1</v>
      </c>
      <c r="O15" s="48">
        <f>MEDIAN(O8:O12)</f>
        <v>20.136448598130841</v>
      </c>
    </row>
    <row r="17" spans="3:15" x14ac:dyDescent="0.15">
      <c r="C17" s="49"/>
      <c r="D17" s="43"/>
      <c r="E17" s="44"/>
      <c r="F17" s="45"/>
      <c r="G17" s="44"/>
      <c r="H17" s="44"/>
      <c r="I17" s="45"/>
      <c r="J17" s="45"/>
      <c r="K17" s="45"/>
      <c r="L17" s="41"/>
      <c r="M17" s="46"/>
      <c r="N17" s="46"/>
      <c r="O17" s="46"/>
    </row>
    <row r="19" spans="3:15" x14ac:dyDescent="0.15">
      <c r="C19" s="50"/>
      <c r="D19" s="51"/>
      <c r="E19" s="52"/>
      <c r="F19" s="52"/>
      <c r="G19" s="53"/>
      <c r="H19" s="54"/>
      <c r="I19" s="54"/>
      <c r="J19" s="54"/>
    </row>
    <row r="20" spans="3:15" x14ac:dyDescent="0.15">
      <c r="C20" s="50"/>
      <c r="D20" s="51"/>
      <c r="E20" s="52"/>
      <c r="F20" s="52"/>
      <c r="G20" s="53"/>
      <c r="H20" s="54"/>
      <c r="I20" s="54"/>
      <c r="J20" s="54"/>
    </row>
    <row r="21" spans="3:15" x14ac:dyDescent="0.15">
      <c r="C21" s="50"/>
      <c r="D21" s="51"/>
      <c r="E21" s="53"/>
      <c r="F21" s="52"/>
      <c r="G21" s="53"/>
      <c r="H21" s="54"/>
      <c r="I21" s="54"/>
      <c r="J21" s="54"/>
    </row>
  </sheetData>
  <pageMargins left="0.7" right="0.7" top="0.75" bottom="0.75"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outlinePr summaryBelow="0" summaryRight="0"/>
    <pageSetUpPr autoPageBreaks="0"/>
  </sheetPr>
  <dimension ref="A1:M22"/>
  <sheetViews>
    <sheetView showGridLines="0" workbookViewId="0"/>
  </sheetViews>
  <sheetFormatPr baseColWidth="10" defaultColWidth="8.83203125" defaultRowHeight="14" x14ac:dyDescent="0.15"/>
  <cols>
    <col min="1" max="1" width="8.83203125" style="3"/>
    <col min="2" max="2" width="13.1640625" style="3" customWidth="1"/>
    <col min="3" max="3" width="16.83203125" style="3" customWidth="1"/>
    <col min="4" max="4" width="13" style="3" customWidth="1"/>
    <col min="5" max="5" width="4.33203125" style="3" customWidth="1"/>
    <col min="6" max="6" width="19.1640625" style="3" customWidth="1"/>
    <col min="7" max="9" width="11.33203125" style="3" customWidth="1"/>
    <col min="10" max="10" width="2.83203125" style="3" customWidth="1"/>
    <col min="11" max="13" width="11.33203125" style="3" customWidth="1"/>
    <col min="14" max="16384" width="8.83203125" style="3"/>
  </cols>
  <sheetData>
    <row r="1" spans="1:13" x14ac:dyDescent="0.15">
      <c r="A1" s="178" t="s">
        <v>195</v>
      </c>
      <c r="B1" s="178"/>
      <c r="C1" s="178"/>
      <c r="D1" s="178"/>
      <c r="E1" s="178"/>
      <c r="F1" s="178"/>
      <c r="G1" s="178"/>
      <c r="H1" s="178"/>
      <c r="I1" s="178"/>
      <c r="J1" s="178"/>
      <c r="K1" s="178"/>
      <c r="L1" s="178"/>
      <c r="M1" s="178"/>
    </row>
    <row r="2" spans="1:13" ht="18" x14ac:dyDescent="0.15">
      <c r="A2" s="180" t="s">
        <v>197</v>
      </c>
      <c r="B2" s="180"/>
      <c r="C2" s="180"/>
      <c r="D2" s="180"/>
      <c r="E2" s="180"/>
      <c r="F2" s="180"/>
      <c r="G2" s="180"/>
      <c r="H2" s="180"/>
      <c r="I2" s="180"/>
      <c r="J2" s="180"/>
      <c r="K2" s="180"/>
      <c r="L2" s="180"/>
      <c r="M2" s="180"/>
    </row>
    <row r="4" spans="1:13" ht="17.5" customHeight="1" x14ac:dyDescent="0.15">
      <c r="B4" s="28"/>
      <c r="C4" s="28"/>
      <c r="D4" s="29" t="s">
        <v>32</v>
      </c>
      <c r="E4" s="28"/>
      <c r="F4" s="28"/>
      <c r="G4" s="30" t="s">
        <v>59</v>
      </c>
      <c r="H4" s="30"/>
      <c r="I4" s="30"/>
      <c r="J4" s="28"/>
      <c r="K4" s="30" t="s">
        <v>4</v>
      </c>
      <c r="L4" s="30"/>
      <c r="M4" s="30"/>
    </row>
    <row r="5" spans="1:13" x14ac:dyDescent="0.15">
      <c r="B5" s="31" t="s">
        <v>1</v>
      </c>
      <c r="C5" s="31" t="s">
        <v>2</v>
      </c>
      <c r="D5" s="32" t="s">
        <v>33</v>
      </c>
      <c r="E5" s="32"/>
      <c r="F5" s="31" t="s">
        <v>3</v>
      </c>
      <c r="G5" s="32" t="s">
        <v>23</v>
      </c>
      <c r="H5" s="32" t="s">
        <v>24</v>
      </c>
      <c r="I5" s="32" t="s">
        <v>25</v>
      </c>
      <c r="J5" s="31"/>
      <c r="K5" s="32" t="s">
        <v>5</v>
      </c>
      <c r="L5" s="32" t="s">
        <v>6</v>
      </c>
      <c r="M5" s="32" t="s">
        <v>7</v>
      </c>
    </row>
    <row r="6" spans="1:13" ht="18" customHeight="1" x14ac:dyDescent="0.15">
      <c r="B6" s="55">
        <v>42759</v>
      </c>
      <c r="C6" s="41" t="s">
        <v>40</v>
      </c>
      <c r="D6" s="56">
        <v>2350</v>
      </c>
      <c r="E6" s="5"/>
      <c r="F6" s="4" t="s">
        <v>38</v>
      </c>
      <c r="G6" s="57">
        <v>1236.8421052631579</v>
      </c>
      <c r="H6" s="57"/>
      <c r="I6" s="57"/>
      <c r="J6" s="4"/>
      <c r="K6" s="58">
        <f>IFERROR($D6/G6,"na")</f>
        <v>1.9</v>
      </c>
      <c r="L6" s="58" t="str">
        <f t="shared" ref="L6:M11" si="0">IFERROR($D6/H6,"na")</f>
        <v>na</v>
      </c>
      <c r="M6" s="58" t="str">
        <f t="shared" si="0"/>
        <v>na</v>
      </c>
    </row>
    <row r="7" spans="1:13" ht="18" customHeight="1" x14ac:dyDescent="0.15">
      <c r="B7" s="55">
        <v>42479</v>
      </c>
      <c r="C7" s="41" t="s">
        <v>41</v>
      </c>
      <c r="D7" s="56">
        <v>6500</v>
      </c>
      <c r="E7" s="5"/>
      <c r="F7" s="41" t="s">
        <v>34</v>
      </c>
      <c r="G7" s="57">
        <v>4642.8571428571431</v>
      </c>
      <c r="H7" s="57">
        <v>808.45771144278615</v>
      </c>
      <c r="I7" s="57">
        <v>514.64766429136978</v>
      </c>
      <c r="J7" s="41"/>
      <c r="K7" s="58">
        <f t="shared" ref="K7:K11" si="1">IFERROR($D7/G7,"na")</f>
        <v>1.4</v>
      </c>
      <c r="L7" s="58">
        <f t="shared" si="0"/>
        <v>8.0399999999999991</v>
      </c>
      <c r="M7" s="58">
        <f t="shared" si="0"/>
        <v>12.629999999999999</v>
      </c>
    </row>
    <row r="8" spans="1:13" ht="18" customHeight="1" x14ac:dyDescent="0.15">
      <c r="B8" s="55">
        <v>41748</v>
      </c>
      <c r="C8" s="41" t="s">
        <v>42</v>
      </c>
      <c r="D8" s="56">
        <v>2150</v>
      </c>
      <c r="E8" s="5"/>
      <c r="F8" s="41" t="s">
        <v>39</v>
      </c>
      <c r="G8" s="57">
        <v>1692.9133858267717</v>
      </c>
      <c r="H8" s="57">
        <v>248.55491329479767</v>
      </c>
      <c r="I8" s="57">
        <v>177.98013245033113</v>
      </c>
      <c r="J8" s="41"/>
      <c r="K8" s="58">
        <f t="shared" si="1"/>
        <v>1.27</v>
      </c>
      <c r="L8" s="58">
        <f t="shared" si="0"/>
        <v>8.65</v>
      </c>
      <c r="M8" s="58">
        <f t="shared" si="0"/>
        <v>12.08</v>
      </c>
    </row>
    <row r="9" spans="1:13" ht="18" customHeight="1" x14ac:dyDescent="0.15">
      <c r="B9" s="55">
        <v>41950</v>
      </c>
      <c r="C9" s="41" t="s">
        <v>43</v>
      </c>
      <c r="D9" s="56">
        <v>450</v>
      </c>
      <c r="E9" s="5"/>
      <c r="F9" s="41" t="s">
        <v>36</v>
      </c>
      <c r="G9" s="57">
        <v>196.50655021834061</v>
      </c>
      <c r="H9" s="57"/>
      <c r="I9" s="57"/>
      <c r="J9" s="41"/>
      <c r="K9" s="58">
        <f t="shared" si="1"/>
        <v>2.29</v>
      </c>
      <c r="L9" s="58" t="str">
        <f t="shared" si="0"/>
        <v>na</v>
      </c>
      <c r="M9" s="58" t="str">
        <f t="shared" si="0"/>
        <v>na</v>
      </c>
    </row>
    <row r="10" spans="1:13" ht="18" customHeight="1" x14ac:dyDescent="0.15">
      <c r="B10" s="55">
        <v>41214</v>
      </c>
      <c r="C10" s="41" t="s">
        <v>44</v>
      </c>
      <c r="D10" s="56">
        <v>325</v>
      </c>
      <c r="E10" s="5"/>
      <c r="F10" s="41" t="s">
        <v>37</v>
      </c>
      <c r="G10" s="57">
        <v>63.850687622789785</v>
      </c>
      <c r="H10" s="57">
        <v>17.333333333333332</v>
      </c>
      <c r="I10" s="57">
        <v>15.095215977705527</v>
      </c>
      <c r="J10" s="41"/>
      <c r="K10" s="58">
        <f t="shared" si="1"/>
        <v>5.09</v>
      </c>
      <c r="L10" s="58">
        <f t="shared" si="0"/>
        <v>18.75</v>
      </c>
      <c r="M10" s="58">
        <f t="shared" si="0"/>
        <v>21.53</v>
      </c>
    </row>
    <row r="11" spans="1:13" ht="18" customHeight="1" x14ac:dyDescent="0.15">
      <c r="B11" s="55">
        <v>40823</v>
      </c>
      <c r="C11" s="4" t="s">
        <v>45</v>
      </c>
      <c r="D11" s="56">
        <v>150</v>
      </c>
      <c r="E11" s="5"/>
      <c r="F11" s="41" t="s">
        <v>35</v>
      </c>
      <c r="G11" s="57">
        <v>71.428571428571431</v>
      </c>
      <c r="H11" s="57">
        <v>16.129032258064516</v>
      </c>
      <c r="I11" s="57"/>
      <c r="J11" s="41"/>
      <c r="K11" s="58">
        <f t="shared" si="1"/>
        <v>2.1</v>
      </c>
      <c r="L11" s="58">
        <f t="shared" si="0"/>
        <v>9.3000000000000007</v>
      </c>
      <c r="M11" s="58" t="str">
        <f t="shared" si="0"/>
        <v>na</v>
      </c>
    </row>
    <row r="12" spans="1:13" ht="18" customHeight="1" x14ac:dyDescent="0.15">
      <c r="B12" s="6"/>
      <c r="C12" s="6"/>
      <c r="D12" s="6"/>
      <c r="E12" s="6"/>
      <c r="F12" s="6"/>
      <c r="G12" s="6"/>
      <c r="H12" s="6"/>
      <c r="I12" s="6"/>
      <c r="J12" s="6"/>
      <c r="K12" s="6"/>
      <c r="L12" s="6"/>
      <c r="M12" s="6"/>
    </row>
    <row r="13" spans="1:13" ht="18" customHeight="1" x14ac:dyDescent="0.15">
      <c r="B13" s="33" t="s">
        <v>8</v>
      </c>
      <c r="C13" s="33"/>
      <c r="D13" s="33"/>
      <c r="E13" s="33"/>
      <c r="F13" s="33"/>
      <c r="G13" s="33"/>
      <c r="H13" s="33"/>
      <c r="I13" s="33"/>
      <c r="J13" s="33"/>
      <c r="K13" s="34">
        <f>AVERAGE(K6:K11)</f>
        <v>2.3416666666666663</v>
      </c>
      <c r="L13" s="34">
        <f t="shared" ref="L13:M13" si="2">AVERAGE(L6:L11)</f>
        <v>11.184999999999999</v>
      </c>
      <c r="M13" s="34">
        <f t="shared" si="2"/>
        <v>15.413333333333334</v>
      </c>
    </row>
    <row r="14" spans="1:13" ht="18" customHeight="1" x14ac:dyDescent="0.15">
      <c r="B14" s="33" t="s">
        <v>9</v>
      </c>
      <c r="C14" s="33"/>
      <c r="D14" s="33"/>
      <c r="E14" s="33"/>
      <c r="F14" s="33"/>
      <c r="G14" s="33"/>
      <c r="H14" s="33"/>
      <c r="I14" s="33"/>
      <c r="J14" s="33"/>
      <c r="K14" s="34">
        <f>MEDIAN(K6:K11)</f>
        <v>2</v>
      </c>
      <c r="L14" s="34">
        <f t="shared" ref="L14:M14" si="3">MEDIAN(L6:L11)</f>
        <v>8.9750000000000014</v>
      </c>
      <c r="M14" s="34">
        <f t="shared" si="3"/>
        <v>12.629999999999999</v>
      </c>
    </row>
    <row r="15" spans="1:13" ht="15.5" customHeight="1" x14ac:dyDescent="0.15">
      <c r="B15" s="6"/>
      <c r="C15" s="6"/>
      <c r="D15" s="6"/>
      <c r="E15" s="6"/>
      <c r="F15" s="6"/>
      <c r="G15" s="6"/>
      <c r="H15" s="6"/>
      <c r="I15" s="6"/>
      <c r="J15" s="6"/>
      <c r="K15" s="6"/>
      <c r="L15" s="6"/>
      <c r="M15" s="6"/>
    </row>
    <row r="16" spans="1:13" ht="15.5" customHeight="1" x14ac:dyDescent="0.15">
      <c r="B16" s="40"/>
      <c r="C16" s="49"/>
      <c r="D16" s="51"/>
      <c r="E16" s="44"/>
      <c r="F16" s="45"/>
      <c r="G16" s="57"/>
      <c r="H16" s="57"/>
      <c r="I16" s="57"/>
      <c r="J16" s="45"/>
      <c r="K16" s="45"/>
      <c r="L16" s="6"/>
      <c r="M16" s="6"/>
    </row>
    <row r="17" spans="2:13" ht="15.5" customHeight="1" x14ac:dyDescent="0.15">
      <c r="B17" s="6"/>
      <c r="C17" s="6"/>
      <c r="D17" s="6"/>
      <c r="E17" s="6"/>
      <c r="F17" s="6"/>
      <c r="G17" s="6"/>
      <c r="H17" s="6"/>
      <c r="I17" s="6"/>
      <c r="J17" s="6"/>
      <c r="K17" s="6"/>
      <c r="L17" s="6"/>
      <c r="M17" s="6"/>
    </row>
    <row r="18" spans="2:13" ht="15.5" customHeight="1" x14ac:dyDescent="0.15">
      <c r="B18" s="6"/>
      <c r="C18" s="41"/>
      <c r="D18" s="6"/>
      <c r="E18" s="6"/>
      <c r="F18" s="6"/>
      <c r="G18" s="6"/>
      <c r="H18" s="6"/>
      <c r="I18" s="6"/>
      <c r="J18" s="6"/>
      <c r="K18" s="6"/>
      <c r="L18" s="6"/>
      <c r="M18" s="6"/>
    </row>
    <row r="19" spans="2:13" ht="15.5" customHeight="1" x14ac:dyDescent="0.15">
      <c r="B19" s="6"/>
      <c r="C19" s="41"/>
      <c r="D19" s="6"/>
      <c r="E19" s="6"/>
      <c r="F19" s="6"/>
      <c r="G19" s="6"/>
      <c r="H19" s="6"/>
      <c r="I19" s="6"/>
      <c r="J19" s="6"/>
      <c r="K19" s="6"/>
      <c r="L19" s="6"/>
      <c r="M19" s="6"/>
    </row>
    <row r="20" spans="2:13" ht="15.5" customHeight="1" x14ac:dyDescent="0.15">
      <c r="C20" s="41"/>
    </row>
    <row r="21" spans="2:13" ht="15.5" customHeight="1" x14ac:dyDescent="0.15">
      <c r="C21" s="41"/>
    </row>
    <row r="22" spans="2:13" x14ac:dyDescent="0.15">
      <c r="C22" s="41"/>
    </row>
  </sheetData>
  <pageMargins left="0.2" right="0.2" top="0.5" bottom="0.5" header="0.5" footer="0.5"/>
  <pageSetup scale="94"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39"/>
  <sheetViews>
    <sheetView showGridLines="0" workbookViewId="0">
      <pane ySplit="3" topLeftCell="A4" activePane="bottomLeft" state="frozen"/>
      <selection pane="bottomLeft" activeCell="D1" sqref="D1"/>
    </sheetView>
  </sheetViews>
  <sheetFormatPr baseColWidth="10" defaultColWidth="9.1640625" defaultRowHeight="13" outlineLevelRow="1" x14ac:dyDescent="0.15"/>
  <cols>
    <col min="1" max="1" width="12.6640625" customWidth="1"/>
    <col min="2" max="2" width="12.33203125" customWidth="1"/>
    <col min="3" max="3" width="31.33203125" customWidth="1"/>
    <col min="4" max="8" width="11.5" customWidth="1"/>
    <col min="9" max="9" width="14.33203125" customWidth="1"/>
    <col min="10" max="13" width="11.5" customWidth="1"/>
  </cols>
  <sheetData>
    <row r="1" spans="1:16" ht="16" x14ac:dyDescent="0.2">
      <c r="A1" s="64" t="s">
        <v>60</v>
      </c>
      <c r="B1" s="65"/>
      <c r="C1" s="66"/>
      <c r="D1" s="67" t="s">
        <v>61</v>
      </c>
      <c r="E1" s="68"/>
      <c r="F1" s="68"/>
      <c r="G1" s="68"/>
      <c r="H1" s="68"/>
      <c r="I1" s="69" t="s">
        <v>62</v>
      </c>
      <c r="J1" s="70"/>
      <c r="K1" s="70"/>
      <c r="L1" s="70"/>
      <c r="M1" s="70"/>
      <c r="N1" s="71"/>
      <c r="O1" s="71"/>
      <c r="P1" s="71"/>
    </row>
    <row r="2" spans="1:16" ht="21" customHeight="1" x14ac:dyDescent="0.2">
      <c r="A2" s="72" t="s">
        <v>63</v>
      </c>
      <c r="B2" s="73"/>
      <c r="C2" s="74"/>
      <c r="D2" s="75">
        <v>2014</v>
      </c>
      <c r="E2" s="75">
        <f>+D2+1</f>
        <v>2015</v>
      </c>
      <c r="F2" s="75">
        <f t="shared" ref="F2:M2" si="0">+E2+1</f>
        <v>2016</v>
      </c>
      <c r="G2" s="75">
        <f t="shared" si="0"/>
        <v>2017</v>
      </c>
      <c r="H2" s="75">
        <f t="shared" si="0"/>
        <v>2018</v>
      </c>
      <c r="I2" s="76">
        <f t="shared" si="0"/>
        <v>2019</v>
      </c>
      <c r="J2" s="76">
        <f t="shared" si="0"/>
        <v>2020</v>
      </c>
      <c r="K2" s="76">
        <f t="shared" si="0"/>
        <v>2021</v>
      </c>
      <c r="L2" s="76">
        <f t="shared" si="0"/>
        <v>2022</v>
      </c>
      <c r="M2" s="76">
        <f t="shared" si="0"/>
        <v>2023</v>
      </c>
      <c r="N2" s="77"/>
      <c r="O2" s="77"/>
      <c r="P2" s="77"/>
    </row>
    <row r="3" spans="1:16" ht="16" x14ac:dyDescent="0.2">
      <c r="A3" s="71" t="s">
        <v>64</v>
      </c>
      <c r="B3" s="71"/>
      <c r="C3" s="78"/>
      <c r="D3" s="79" t="str">
        <f t="shared" ref="D3:H3" si="1">IFERROR(IF(ABS(D105)&gt;1,"ERROR","OK"),"OK")</f>
        <v>OK</v>
      </c>
      <c r="E3" s="79" t="str">
        <f t="shared" si="1"/>
        <v>OK</v>
      </c>
      <c r="F3" s="79" t="str">
        <f t="shared" si="1"/>
        <v>OK</v>
      </c>
      <c r="G3" s="79" t="str">
        <f t="shared" si="1"/>
        <v>OK</v>
      </c>
      <c r="H3" s="79" t="str">
        <f t="shared" si="1"/>
        <v>OK</v>
      </c>
      <c r="I3" s="79" t="str">
        <f>IFERROR(IF(ABS(I105)&gt;1,"ERROR","OK"),"OK")</f>
        <v>OK</v>
      </c>
      <c r="J3" s="79" t="str">
        <f t="shared" ref="J3:M3" si="2">IFERROR(IF(ABS(J105)&gt;1,"ERROR","OK"),"OK")</f>
        <v>OK</v>
      </c>
      <c r="K3" s="79" t="str">
        <f t="shared" si="2"/>
        <v>OK</v>
      </c>
      <c r="L3" s="79" t="str">
        <f t="shared" si="2"/>
        <v>OK</v>
      </c>
      <c r="M3" s="79" t="str">
        <f t="shared" si="2"/>
        <v>OK</v>
      </c>
      <c r="N3" s="71"/>
      <c r="O3" s="71"/>
      <c r="P3" s="71"/>
    </row>
    <row r="5" spans="1:16" ht="20" x14ac:dyDescent="0.2">
      <c r="A5" s="80" t="s">
        <v>66</v>
      </c>
      <c r="B5" s="81"/>
      <c r="C5" s="82"/>
      <c r="D5" s="81"/>
      <c r="E5" s="81"/>
      <c r="F5" s="81"/>
      <c r="G5" s="81"/>
      <c r="H5" s="81"/>
      <c r="I5" s="81"/>
      <c r="J5" s="81"/>
      <c r="K5" s="81"/>
      <c r="L5" s="81"/>
      <c r="M5" s="81"/>
      <c r="N5" s="71"/>
      <c r="O5" s="71"/>
      <c r="P5" s="71"/>
    </row>
    <row r="6" spans="1:16" ht="16" outlineLevel="1" x14ac:dyDescent="0.2">
      <c r="A6" s="71"/>
      <c r="B6" s="71"/>
      <c r="C6" s="78"/>
      <c r="D6" s="83"/>
      <c r="E6" s="83"/>
      <c r="F6" s="83"/>
      <c r="G6" s="83"/>
      <c r="H6" s="83"/>
      <c r="I6" s="84"/>
      <c r="J6" s="84"/>
      <c r="K6" s="84"/>
      <c r="L6" s="84"/>
      <c r="M6" s="84"/>
      <c r="N6" s="71"/>
      <c r="O6" s="71"/>
      <c r="P6" s="71"/>
    </row>
    <row r="7" spans="1:16" ht="16" outlineLevel="1" x14ac:dyDescent="0.2">
      <c r="A7" s="85" t="s">
        <v>65</v>
      </c>
      <c r="B7" s="71"/>
      <c r="C7" s="78"/>
      <c r="D7" s="83"/>
      <c r="E7" s="83"/>
      <c r="F7" s="83"/>
      <c r="G7" s="83"/>
      <c r="H7" s="83"/>
      <c r="I7" s="84"/>
      <c r="J7" s="84"/>
      <c r="K7" s="84"/>
      <c r="L7" s="84"/>
      <c r="M7" s="84"/>
      <c r="N7" s="71"/>
      <c r="O7" s="71"/>
      <c r="P7" s="71"/>
    </row>
    <row r="8" spans="1:16" ht="16" outlineLevel="1" x14ac:dyDescent="0.2">
      <c r="A8" s="89" t="s">
        <v>417</v>
      </c>
      <c r="B8" s="89"/>
      <c r="C8" s="90"/>
      <c r="D8" s="294"/>
      <c r="E8" s="294"/>
      <c r="F8" s="294"/>
      <c r="G8" s="294"/>
      <c r="H8" s="294"/>
      <c r="I8" s="436">
        <f>'Scenarios (2)'!I9/100000</f>
        <v>1597.95153</v>
      </c>
      <c r="J8" s="436">
        <f>'Scenarios (2)'!J9/100000</f>
        <v>1597.95153</v>
      </c>
      <c r="K8" s="436">
        <f>'Scenarios (2)'!K9/100000</f>
        <v>1597.95153</v>
      </c>
      <c r="L8" s="436">
        <f>'Scenarios (2)'!L9/100000</f>
        <v>1597.95153</v>
      </c>
      <c r="M8" s="436">
        <f>'Scenarios (2)'!M9/100000</f>
        <v>1597.95153</v>
      </c>
      <c r="N8" s="71"/>
      <c r="O8" s="71"/>
      <c r="P8" s="71"/>
    </row>
    <row r="9" spans="1:16" ht="16" outlineLevel="1" x14ac:dyDescent="0.2">
      <c r="A9" s="89" t="s">
        <v>443</v>
      </c>
      <c r="B9" s="89"/>
      <c r="C9" s="90"/>
      <c r="D9" s="294"/>
      <c r="E9" s="294"/>
      <c r="F9" s="294"/>
      <c r="G9" s="294"/>
      <c r="H9" s="294"/>
      <c r="I9" s="435">
        <f>'Scenarios (2)'!I10</f>
        <v>13.75</v>
      </c>
      <c r="J9" s="435">
        <f>'Scenarios (2)'!J10</f>
        <v>13.75</v>
      </c>
      <c r="K9" s="435">
        <f>'Scenarios (2)'!K10</f>
        <v>13.75</v>
      </c>
      <c r="L9" s="435">
        <f>'Scenarios (2)'!L10</f>
        <v>13.75</v>
      </c>
      <c r="M9" s="435">
        <f>'Scenarios (2)'!M10</f>
        <v>13.75</v>
      </c>
      <c r="N9" s="71"/>
      <c r="O9" s="71"/>
      <c r="P9" s="71"/>
    </row>
    <row r="10" spans="1:16" ht="16" outlineLevel="1" x14ac:dyDescent="0.2">
      <c r="A10" s="89" t="s">
        <v>291</v>
      </c>
      <c r="B10" s="89"/>
      <c r="C10" s="90"/>
      <c r="D10" s="294"/>
      <c r="E10" s="294"/>
      <c r="F10" s="294"/>
      <c r="G10" s="294"/>
      <c r="H10" s="294"/>
      <c r="I10" s="419">
        <f>'Scenarios (2)'!I11</f>
        <v>8.1812163056842902E-3</v>
      </c>
      <c r="J10" s="419">
        <f>'Scenarios (2)'!J11</f>
        <v>8.1812163056842902E-3</v>
      </c>
      <c r="K10" s="419">
        <f>'Scenarios (2)'!K11</f>
        <v>8.1812163056842902E-3</v>
      </c>
      <c r="L10" s="419">
        <f>'Scenarios (2)'!L11</f>
        <v>8.1812163056842902E-3</v>
      </c>
      <c r="M10" s="419">
        <f>'Scenarios (2)'!M11</f>
        <v>8.1812163056842902E-3</v>
      </c>
      <c r="N10" s="71"/>
      <c r="O10" s="71"/>
      <c r="P10" s="71"/>
    </row>
    <row r="11" spans="1:16" ht="16" outlineLevel="1" x14ac:dyDescent="0.2">
      <c r="A11" s="89" t="s">
        <v>292</v>
      </c>
      <c r="B11" s="89"/>
      <c r="C11" s="90"/>
      <c r="D11" s="294"/>
      <c r="E11" s="294"/>
      <c r="F11" s="294"/>
      <c r="G11" s="294"/>
      <c r="H11" s="294"/>
      <c r="I11" s="419">
        <f>'Scenarios (2)'!I12</f>
        <v>0.93459755982218862</v>
      </c>
      <c r="J11" s="419">
        <f>'Scenarios (2)'!J12</f>
        <v>0.93459755982218862</v>
      </c>
      <c r="K11" s="419">
        <f>'Scenarios (2)'!K12</f>
        <v>0.93459755982218862</v>
      </c>
      <c r="L11" s="419">
        <f>'Scenarios (2)'!L12</f>
        <v>0.93459755982218862</v>
      </c>
      <c r="M11" s="419">
        <f>'Scenarios (2)'!M12</f>
        <v>0.93459755982218862</v>
      </c>
      <c r="N11" s="71"/>
      <c r="O11" s="71"/>
      <c r="P11" s="71"/>
    </row>
    <row r="12" spans="1:16" ht="16" outlineLevel="1" x14ac:dyDescent="0.2">
      <c r="A12" s="89" t="s">
        <v>293</v>
      </c>
      <c r="B12" s="96"/>
      <c r="C12" s="97"/>
      <c r="D12" s="294"/>
      <c r="E12" s="294"/>
      <c r="F12" s="294"/>
      <c r="G12" s="294"/>
      <c r="H12" s="294"/>
      <c r="I12" s="419">
        <f>'Scenarios (2)'!I13</f>
        <v>0</v>
      </c>
      <c r="J12" s="419">
        <f>'Scenarios (2)'!J13</f>
        <v>0</v>
      </c>
      <c r="K12" s="419">
        <f>'Scenarios (2)'!K13</f>
        <v>0</v>
      </c>
      <c r="L12" s="419">
        <f>'Scenarios (2)'!L13</f>
        <v>0</v>
      </c>
      <c r="M12" s="419">
        <f>'Scenarios (2)'!M13</f>
        <v>0</v>
      </c>
      <c r="N12" s="71"/>
      <c r="O12" s="71"/>
      <c r="P12" s="71"/>
    </row>
    <row r="13" spans="1:16" ht="16" outlineLevel="1" x14ac:dyDescent="0.2">
      <c r="A13" s="105" t="s">
        <v>294</v>
      </c>
      <c r="B13" s="105"/>
      <c r="C13" s="106"/>
      <c r="D13" s="420"/>
      <c r="E13" s="420"/>
      <c r="F13" s="420"/>
      <c r="G13" s="420"/>
      <c r="H13" s="420"/>
      <c r="I13" s="339">
        <f>'Scenarios (2)'!I14</f>
        <v>5.7221223872127115E-2</v>
      </c>
      <c r="J13" s="339">
        <f>'Scenarios (2)'!J14</f>
        <v>5.7221223872127115E-2</v>
      </c>
      <c r="K13" s="339">
        <f>'Scenarios (2)'!K14</f>
        <v>5.7221223872127115E-2</v>
      </c>
      <c r="L13" s="339">
        <f>'Scenarios (2)'!L14</f>
        <v>5.7221223872127115E-2</v>
      </c>
      <c r="M13" s="339">
        <f>'Scenarios (2)'!M14</f>
        <v>5.7221223872127115E-2</v>
      </c>
      <c r="N13" s="71"/>
      <c r="O13" s="71"/>
      <c r="P13" s="71"/>
    </row>
    <row r="14" spans="1:16" ht="16" outlineLevel="1" x14ac:dyDescent="0.2">
      <c r="A14" s="89" t="s">
        <v>456</v>
      </c>
      <c r="B14" s="89"/>
      <c r="C14" s="90"/>
      <c r="D14" s="294"/>
      <c r="E14" s="294"/>
      <c r="F14" s="294"/>
      <c r="G14" s="294"/>
      <c r="H14" s="294"/>
      <c r="I14" s="435">
        <f>'Scenarios (2)'!I15</f>
        <v>8.85</v>
      </c>
      <c r="J14" s="435">
        <f>'Scenarios (2)'!J15</f>
        <v>8.85</v>
      </c>
      <c r="K14" s="435">
        <f>'Scenarios (2)'!K15</f>
        <v>8.85</v>
      </c>
      <c r="L14" s="435">
        <f>'Scenarios (2)'!L15</f>
        <v>8.85</v>
      </c>
      <c r="M14" s="435">
        <f>'Scenarios (2)'!M15</f>
        <v>8.85</v>
      </c>
      <c r="N14" s="71"/>
      <c r="O14" s="71"/>
      <c r="P14" s="71"/>
    </row>
    <row r="15" spans="1:16" ht="16" outlineLevel="1" x14ac:dyDescent="0.2">
      <c r="A15" s="89" t="s">
        <v>431</v>
      </c>
      <c r="B15" s="89"/>
      <c r="C15" s="90"/>
      <c r="D15" s="294"/>
      <c r="E15" s="294"/>
      <c r="F15" s="294"/>
      <c r="G15" s="294"/>
      <c r="H15" s="294"/>
      <c r="I15" s="435">
        <f>'Scenarios (2)'!I16</f>
        <v>2.2000000000000002</v>
      </c>
      <c r="J15" s="435">
        <f>'Scenarios (2)'!J16</f>
        <v>2.2000000000000002</v>
      </c>
      <c r="K15" s="435">
        <f>'Scenarios (2)'!K16</f>
        <v>2.2000000000000002</v>
      </c>
      <c r="L15" s="435">
        <f>'Scenarios (2)'!L16</f>
        <v>2.2000000000000002</v>
      </c>
      <c r="M15" s="435">
        <f>'Scenarios (2)'!M16</f>
        <v>2.2000000000000002</v>
      </c>
      <c r="N15" s="71"/>
      <c r="O15" s="71"/>
      <c r="P15" s="71"/>
    </row>
    <row r="16" spans="1:16" ht="16" outlineLevel="1" x14ac:dyDescent="0.2">
      <c r="A16" s="89" t="s">
        <v>460</v>
      </c>
      <c r="B16" s="89"/>
      <c r="C16" s="90"/>
      <c r="D16" s="294"/>
      <c r="E16" s="294"/>
      <c r="F16" s="294"/>
      <c r="G16" s="294"/>
      <c r="H16" s="294"/>
      <c r="I16" s="436">
        <f>'Scenarios (2)'!I17</f>
        <v>2094</v>
      </c>
      <c r="J16" s="436">
        <f>'Scenarios (2)'!J17</f>
        <v>2094</v>
      </c>
      <c r="K16" s="436">
        <f>'Scenarios (2)'!K17</f>
        <v>2094</v>
      </c>
      <c r="L16" s="436">
        <f>'Scenarios (2)'!L17</f>
        <v>2094</v>
      </c>
      <c r="M16" s="436">
        <f>'Scenarios (2)'!M17</f>
        <v>2094</v>
      </c>
      <c r="N16" s="71"/>
      <c r="O16" s="71"/>
      <c r="P16" s="71"/>
    </row>
    <row r="17" spans="1:16" ht="16" outlineLevel="1" x14ac:dyDescent="0.2">
      <c r="A17" s="89"/>
      <c r="B17" s="89"/>
      <c r="C17" s="90"/>
      <c r="D17" s="294"/>
      <c r="E17" s="294"/>
      <c r="F17" s="294"/>
      <c r="G17" s="294"/>
      <c r="H17" s="294"/>
      <c r="I17" s="338"/>
      <c r="J17" s="338"/>
      <c r="K17" s="338"/>
      <c r="L17" s="338"/>
      <c r="M17" s="338"/>
      <c r="N17" s="71"/>
      <c r="O17" s="71"/>
      <c r="P17" s="71"/>
    </row>
    <row r="18" spans="1:16" ht="16" outlineLevel="1" x14ac:dyDescent="0.2">
      <c r="A18" s="89"/>
      <c r="B18" s="89"/>
      <c r="C18" s="90"/>
      <c r="D18" s="294"/>
      <c r="E18" s="294"/>
      <c r="F18" s="294"/>
      <c r="G18" s="294"/>
      <c r="H18" s="294"/>
      <c r="I18" s="338"/>
      <c r="J18" s="338"/>
      <c r="K18" s="338"/>
      <c r="L18" s="338"/>
      <c r="M18" s="338"/>
      <c r="N18" s="71"/>
      <c r="O18" s="71"/>
      <c r="P18" s="71"/>
    </row>
    <row r="19" spans="1:16" s="312" customFormat="1" ht="16" outlineLevel="1" x14ac:dyDescent="0.2">
      <c r="A19" s="89"/>
      <c r="B19" s="89"/>
      <c r="C19" s="90"/>
      <c r="D19" s="91"/>
      <c r="E19" s="91"/>
      <c r="F19" s="91"/>
      <c r="G19" s="91"/>
      <c r="H19" s="91"/>
      <c r="I19" s="338"/>
      <c r="J19" s="338"/>
      <c r="K19" s="338"/>
      <c r="L19" s="338"/>
      <c r="M19" s="338"/>
      <c r="N19" s="89"/>
      <c r="O19" s="89"/>
      <c r="P19" s="89"/>
    </row>
    <row r="20" spans="1:16" ht="16" outlineLevel="1" x14ac:dyDescent="0.2">
      <c r="A20" s="89"/>
      <c r="B20" s="89"/>
      <c r="C20" s="90"/>
      <c r="D20" s="91"/>
      <c r="E20" s="91"/>
      <c r="F20" s="91"/>
      <c r="G20" s="91"/>
      <c r="H20" s="91"/>
      <c r="I20" s="338"/>
      <c r="J20" s="338"/>
      <c r="K20" s="338"/>
      <c r="L20" s="338"/>
      <c r="M20" s="338"/>
      <c r="N20" s="71"/>
      <c r="O20" s="71"/>
      <c r="P20" s="71"/>
    </row>
    <row r="21" spans="1:16" ht="17" outlineLevel="1" thickBot="1" x14ac:dyDescent="0.25">
      <c r="A21" s="421"/>
      <c r="B21" s="421"/>
      <c r="C21" s="422"/>
      <c r="D21" s="423">
        <f>SUM(D49:D51)/(D89+D85)</f>
        <v>3.7147102526002972E-2</v>
      </c>
      <c r="E21" s="423">
        <f t="shared" ref="E21:H21" si="3">SUM(E49:E51)/(E89+E85)</f>
        <v>2.5487728130899938E-2</v>
      </c>
      <c r="F21" s="423">
        <f t="shared" si="3"/>
        <v>1.5057573073516387E-2</v>
      </c>
      <c r="G21" s="423">
        <f t="shared" si="3"/>
        <v>8.1788440567066526E-3</v>
      </c>
      <c r="H21" s="423">
        <f t="shared" si="3"/>
        <v>7.1068996150429374E-3</v>
      </c>
      <c r="I21" s="424">
        <f>Scenarios!I22</f>
        <v>1.4999999999999999E-2</v>
      </c>
      <c r="J21" s="424">
        <f>Scenarios!J22</f>
        <v>1.4999999999999999E-2</v>
      </c>
      <c r="K21" s="424">
        <f>Scenarios!K22</f>
        <v>1.4999999999999999E-2</v>
      </c>
      <c r="L21" s="424">
        <f>Scenarios!L22</f>
        <v>1.4999999999999999E-2</v>
      </c>
      <c r="M21" s="424">
        <f>Scenarios!M22</f>
        <v>1.4999999999999999E-2</v>
      </c>
      <c r="N21" s="71"/>
      <c r="O21" s="71"/>
      <c r="P21" s="71"/>
    </row>
    <row r="22" spans="1:16" ht="17" outlineLevel="1" thickTop="1" x14ac:dyDescent="0.2">
      <c r="A22" s="89"/>
      <c r="B22" s="93"/>
      <c r="C22" s="94"/>
      <c r="D22" s="91"/>
      <c r="E22" s="91"/>
      <c r="F22" s="91"/>
      <c r="G22" s="91"/>
      <c r="H22" s="91"/>
      <c r="I22" s="338"/>
      <c r="J22" s="338"/>
      <c r="K22" s="338"/>
      <c r="L22" s="338"/>
      <c r="M22" s="338"/>
      <c r="N22" s="71"/>
      <c r="O22" s="71"/>
      <c r="P22" s="71"/>
    </row>
    <row r="23" spans="1:16" ht="16" outlineLevel="1" x14ac:dyDescent="0.2">
      <c r="A23" s="89"/>
      <c r="B23" s="93"/>
      <c r="C23" s="94"/>
      <c r="D23" s="91"/>
      <c r="E23" s="91"/>
      <c r="F23" s="91"/>
      <c r="G23" s="91"/>
      <c r="H23" s="91"/>
      <c r="I23" s="338"/>
      <c r="J23" s="338"/>
      <c r="K23" s="338"/>
      <c r="L23" s="338"/>
      <c r="M23" s="338"/>
      <c r="N23" s="71"/>
      <c r="O23" s="71"/>
      <c r="P23" s="71"/>
    </row>
    <row r="24" spans="1:16" ht="16" outlineLevel="1" x14ac:dyDescent="0.2">
      <c r="A24" s="89"/>
      <c r="B24" s="93"/>
      <c r="C24" s="94"/>
      <c r="D24" s="91"/>
      <c r="E24" s="91"/>
      <c r="F24" s="91"/>
      <c r="G24" s="91"/>
      <c r="H24" s="91"/>
      <c r="I24" s="338"/>
      <c r="J24" s="338"/>
      <c r="K24" s="338"/>
      <c r="L24" s="338"/>
      <c r="M24" s="338"/>
      <c r="N24" s="71"/>
      <c r="O24" s="71"/>
      <c r="P24" s="71"/>
    </row>
    <row r="25" spans="1:16" ht="16" outlineLevel="1" x14ac:dyDescent="0.2">
      <c r="A25" s="71" t="s">
        <v>74</v>
      </c>
      <c r="B25" s="71"/>
      <c r="C25" s="95"/>
      <c r="D25" s="83">
        <f t="shared" ref="D25:F25" si="4">D66/D39*365</f>
        <v>7.160709486697125</v>
      </c>
      <c r="E25" s="83">
        <f t="shared" si="4"/>
        <v>8.729061553985872</v>
      </c>
      <c r="F25" s="83">
        <f t="shared" si="4"/>
        <v>9.8225639509093607</v>
      </c>
      <c r="G25" s="83">
        <f>G66/G39*365</f>
        <v>11.426747375390145</v>
      </c>
      <c r="H25" s="83">
        <f>H66/H39*365</f>
        <v>9.4386524015479178</v>
      </c>
      <c r="I25" s="332">
        <f>Scenarios!I24</f>
        <v>10</v>
      </c>
      <c r="J25" s="332">
        <f>Scenarios!J24</f>
        <v>10</v>
      </c>
      <c r="K25" s="332">
        <f>Scenarios!K24</f>
        <v>10</v>
      </c>
      <c r="L25" s="332">
        <f>Scenarios!L24</f>
        <v>10</v>
      </c>
      <c r="M25" s="332">
        <f>Scenarios!M24</f>
        <v>10</v>
      </c>
      <c r="N25" s="71"/>
      <c r="O25" s="71"/>
      <c r="P25" s="71"/>
    </row>
    <row r="26" spans="1:16" ht="16" outlineLevel="1" x14ac:dyDescent="0.2">
      <c r="A26" s="71" t="s">
        <v>277</v>
      </c>
      <c r="B26" s="71"/>
      <c r="C26" s="95"/>
      <c r="D26" s="83">
        <f>D67/D42*365</f>
        <v>127.63803680981594</v>
      </c>
      <c r="E26" s="83">
        <f t="shared" ref="E26:G26" si="5">E67/E42*365</f>
        <v>112.95024875621891</v>
      </c>
      <c r="F26" s="83">
        <f t="shared" si="5"/>
        <v>117.70813397129186</v>
      </c>
      <c r="G26" s="83">
        <f t="shared" si="5"/>
        <v>153.14685314685315</v>
      </c>
      <c r="H26" s="83">
        <f>H67/H42*365</f>
        <v>152.00090334236677</v>
      </c>
      <c r="I26" s="332">
        <f>Scenarios!I25</f>
        <v>130</v>
      </c>
      <c r="J26" s="332">
        <f>Scenarios!J25</f>
        <v>130</v>
      </c>
      <c r="K26" s="332">
        <f>Scenarios!K25</f>
        <v>130</v>
      </c>
      <c r="L26" s="332">
        <f>Scenarios!L25</f>
        <v>130</v>
      </c>
      <c r="M26" s="332">
        <f>Scenarios!M25</f>
        <v>130</v>
      </c>
      <c r="N26" s="71"/>
      <c r="O26" s="71"/>
      <c r="P26" s="71"/>
    </row>
    <row r="27" spans="1:16" ht="16" outlineLevel="1" x14ac:dyDescent="0.2">
      <c r="A27" s="71" t="s">
        <v>278</v>
      </c>
      <c r="B27" s="71"/>
      <c r="C27" s="95"/>
      <c r="D27" s="83">
        <f>D67/D43*365</f>
        <v>23.583978839977327</v>
      </c>
      <c r="E27" s="83">
        <f t="shared" ref="E27:H27" si="6">E67/E43*365</f>
        <v>31.392422566371682</v>
      </c>
      <c r="F27" s="83">
        <f t="shared" si="6"/>
        <v>32.361220731386474</v>
      </c>
      <c r="G27" s="83">
        <f t="shared" si="6"/>
        <v>37.610402355250244</v>
      </c>
      <c r="H27" s="83">
        <f t="shared" si="6"/>
        <v>36.452556325823224</v>
      </c>
      <c r="I27" s="332">
        <f>Scenarios!I26</f>
        <v>36.452556325823224</v>
      </c>
      <c r="J27" s="332">
        <f>Scenarios!J26</f>
        <v>36.452556325823224</v>
      </c>
      <c r="K27" s="332">
        <f>Scenarios!K26</f>
        <v>36.452556325823224</v>
      </c>
      <c r="L27" s="332">
        <f>Scenarios!L26</f>
        <v>36.452556325823224</v>
      </c>
      <c r="M27" s="332">
        <f>Scenarios!M26</f>
        <v>36.452556325823224</v>
      </c>
      <c r="N27" s="71"/>
      <c r="O27" s="71"/>
      <c r="P27" s="71"/>
    </row>
    <row r="28" spans="1:16" ht="16" outlineLevel="1" x14ac:dyDescent="0.2">
      <c r="A28" s="71" t="s">
        <v>76</v>
      </c>
      <c r="B28" s="71"/>
      <c r="C28" s="95"/>
      <c r="D28" s="83">
        <f>D83/D54*365</f>
        <v>26.153731609982724</v>
      </c>
      <c r="E28" s="83">
        <f t="shared" ref="E28:H28" si="7">E83/E54*365</f>
        <v>26.535707729025152</v>
      </c>
      <c r="F28" s="83">
        <f t="shared" si="7"/>
        <v>25.53417661381317</v>
      </c>
      <c r="G28" s="83">
        <f t="shared" si="7"/>
        <v>26.944801744868851</v>
      </c>
      <c r="H28" s="83">
        <f t="shared" si="7"/>
        <v>27.490027126216692</v>
      </c>
      <c r="I28" s="332">
        <f>Scenarios!I27</f>
        <v>27.490027126216692</v>
      </c>
      <c r="J28" s="332">
        <f>Scenarios!J27</f>
        <v>27.490027126216692</v>
      </c>
      <c r="K28" s="332">
        <f>Scenarios!K27</f>
        <v>27.490027126216692</v>
      </c>
      <c r="L28" s="332">
        <f>Scenarios!L27</f>
        <v>27.490027126216692</v>
      </c>
      <c r="M28" s="332">
        <f>Scenarios!M27</f>
        <v>27.490027126216692</v>
      </c>
    </row>
    <row r="29" spans="1:16" ht="16" outlineLevel="1" x14ac:dyDescent="0.2">
      <c r="A29" s="71" t="s">
        <v>77</v>
      </c>
      <c r="B29" s="71"/>
      <c r="C29" s="78"/>
      <c r="D29" s="83">
        <f>-D128</f>
        <v>1748</v>
      </c>
      <c r="E29" s="83">
        <f t="shared" ref="E29:H29" si="8">-E128</f>
        <v>2041</v>
      </c>
      <c r="F29" s="83">
        <f t="shared" si="8"/>
        <v>2038</v>
      </c>
      <c r="G29" s="83">
        <f t="shared" si="8"/>
        <v>2123</v>
      </c>
      <c r="H29" s="83">
        <f t="shared" si="8"/>
        <v>1922</v>
      </c>
      <c r="I29" s="332">
        <f>Scenarios!I28</f>
        <v>2000</v>
      </c>
      <c r="J29" s="332">
        <f>Scenarios!J28</f>
        <v>2000</v>
      </c>
      <c r="K29" s="332">
        <f>Scenarios!K28</f>
        <v>2000</v>
      </c>
      <c r="L29" s="332">
        <f>Scenarios!L28</f>
        <v>2000</v>
      </c>
      <c r="M29" s="332">
        <f>Scenarios!M28</f>
        <v>2000</v>
      </c>
    </row>
    <row r="30" spans="1:16" ht="16" outlineLevel="1" x14ac:dyDescent="0.2">
      <c r="A30" s="71" t="s">
        <v>78</v>
      </c>
      <c r="B30" s="71"/>
      <c r="C30" s="78"/>
      <c r="D30" s="83">
        <f>SUM(D135:D137)</f>
        <v>-261</v>
      </c>
      <c r="E30" s="83">
        <f t="shared" ref="E30:H30" si="9">SUM(E135:E137)</f>
        <v>287</v>
      </c>
      <c r="F30" s="83">
        <f t="shared" si="9"/>
        <v>-76</v>
      </c>
      <c r="G30" s="83">
        <f t="shared" si="9"/>
        <v>8</v>
      </c>
      <c r="H30" s="83">
        <f t="shared" si="9"/>
        <v>-342</v>
      </c>
      <c r="I30" s="332">
        <f>Scenarios!I29</f>
        <v>-250</v>
      </c>
      <c r="J30" s="332">
        <f>Scenarios!J29</f>
        <v>-250</v>
      </c>
      <c r="K30" s="332">
        <f>Scenarios!K29</f>
        <v>-250</v>
      </c>
      <c r="L30" s="332">
        <f>Scenarios!L29</f>
        <v>-250</v>
      </c>
      <c r="M30" s="332">
        <f>Scenarios!M29</f>
        <v>-250</v>
      </c>
    </row>
    <row r="31" spans="1:16" ht="16" outlineLevel="1" x14ac:dyDescent="0.2">
      <c r="A31" s="71" t="s">
        <v>79</v>
      </c>
      <c r="B31" s="71"/>
      <c r="C31" s="78"/>
      <c r="D31" s="83">
        <f>D139</f>
        <v>-955</v>
      </c>
      <c r="E31" s="83">
        <f t="shared" ref="E31:H32" si="10">E139</f>
        <v>-1180</v>
      </c>
      <c r="F31" s="83">
        <f t="shared" si="10"/>
        <v>-1750</v>
      </c>
      <c r="G31" s="83">
        <f t="shared" si="10"/>
        <v>-1600</v>
      </c>
      <c r="H31" s="83">
        <f t="shared" si="10"/>
        <v>-2000</v>
      </c>
      <c r="I31" s="332">
        <f>Scenarios!I30</f>
        <v>-500</v>
      </c>
      <c r="J31" s="332">
        <f>Scenarios!J30</f>
        <v>-500</v>
      </c>
      <c r="K31" s="332">
        <f>Scenarios!K30</f>
        <v>-500</v>
      </c>
      <c r="L31" s="332">
        <f>Scenarios!L30</f>
        <v>-500</v>
      </c>
      <c r="M31" s="332">
        <f>Scenarios!M30</f>
        <v>-500</v>
      </c>
    </row>
    <row r="32" spans="1:16" ht="16" outlineLevel="1" x14ac:dyDescent="0.2">
      <c r="A32" s="71" t="s">
        <v>295</v>
      </c>
      <c r="B32" s="71"/>
      <c r="C32" s="78"/>
      <c r="D32" s="83">
        <f>D140</f>
        <v>-139</v>
      </c>
      <c r="E32" s="83">
        <f t="shared" si="10"/>
        <v>-180</v>
      </c>
      <c r="F32" s="83">
        <f t="shared" si="10"/>
        <v>-222</v>
      </c>
      <c r="G32" s="83">
        <f t="shared" si="10"/>
        <v>-274</v>
      </c>
      <c r="H32" s="83">
        <f t="shared" si="10"/>
        <v>-332</v>
      </c>
      <c r="I32" s="332">
        <f>Scenarios!I31</f>
        <v>340</v>
      </c>
      <c r="J32" s="332">
        <f>Scenarios!J31</f>
        <v>340</v>
      </c>
      <c r="K32" s="332">
        <f>Scenarios!K31</f>
        <v>340</v>
      </c>
      <c r="L32" s="332">
        <f>Scenarios!L31</f>
        <v>340</v>
      </c>
      <c r="M32" s="332">
        <f>Scenarios!M31</f>
        <v>340</v>
      </c>
    </row>
    <row r="33" spans="1:15" ht="16" x14ac:dyDescent="0.2">
      <c r="A33" s="71"/>
      <c r="B33" s="71"/>
      <c r="C33" s="78"/>
      <c r="D33" s="83"/>
      <c r="E33" s="83"/>
      <c r="F33" s="83"/>
      <c r="G33" s="83"/>
      <c r="H33" s="83"/>
      <c r="I33" s="84"/>
      <c r="J33" s="84"/>
      <c r="K33" s="84"/>
      <c r="L33" s="84"/>
      <c r="M33" s="84"/>
    </row>
    <row r="34" spans="1:15" ht="20" x14ac:dyDescent="0.2">
      <c r="A34" s="80" t="s">
        <v>80</v>
      </c>
      <c r="B34" s="81"/>
      <c r="C34" s="82"/>
      <c r="D34" s="81"/>
      <c r="E34" s="81"/>
      <c r="F34" s="81"/>
      <c r="G34" s="81"/>
      <c r="H34" s="81"/>
      <c r="I34" s="81"/>
      <c r="J34" s="81"/>
      <c r="K34" s="81"/>
      <c r="L34" s="81"/>
      <c r="M34" s="81"/>
    </row>
    <row r="35" spans="1:15" ht="16" outlineLevel="1" x14ac:dyDescent="0.2">
      <c r="A35" s="89" t="s">
        <v>199</v>
      </c>
      <c r="B35" s="96"/>
      <c r="C35" s="97"/>
      <c r="D35" s="296">
        <v>175</v>
      </c>
      <c r="E35" s="296">
        <v>179</v>
      </c>
      <c r="F35" s="296">
        <v>171</v>
      </c>
      <c r="G35" s="296">
        <v>173</v>
      </c>
      <c r="H35" s="296">
        <v>175</v>
      </c>
      <c r="I35" s="121">
        <f>I10*I$39</f>
        <v>179.75632280277597</v>
      </c>
      <c r="J35" s="121">
        <f t="shared" ref="J35:M35" si="11">J10*J$39</f>
        <v>179.75632280277597</v>
      </c>
      <c r="K35" s="121">
        <f t="shared" si="11"/>
        <v>179.75632280277597</v>
      </c>
      <c r="L35" s="121">
        <f t="shared" si="11"/>
        <v>179.75632280277597</v>
      </c>
      <c r="M35" s="121">
        <f t="shared" si="11"/>
        <v>179.75632280277597</v>
      </c>
    </row>
    <row r="36" spans="1:15" ht="16" outlineLevel="1" x14ac:dyDescent="0.2">
      <c r="A36" s="89" t="s">
        <v>200</v>
      </c>
      <c r="B36" s="96"/>
      <c r="C36" s="97"/>
      <c r="D36" s="296">
        <v>17658</v>
      </c>
      <c r="E36" s="296">
        <v>18299</v>
      </c>
      <c r="F36" s="296">
        <v>19068</v>
      </c>
      <c r="G36" s="296">
        <v>19763</v>
      </c>
      <c r="H36" s="296">
        <v>20455</v>
      </c>
      <c r="I36" s="121">
        <f t="shared" ref="I36:M36" si="12">I11*I$39</f>
        <v>20534.822008966828</v>
      </c>
      <c r="J36" s="121">
        <f t="shared" si="12"/>
        <v>20534.822008966828</v>
      </c>
      <c r="K36" s="121">
        <f t="shared" si="12"/>
        <v>20534.822008966828</v>
      </c>
      <c r="L36" s="121">
        <f t="shared" si="12"/>
        <v>20534.822008966828</v>
      </c>
      <c r="M36" s="121">
        <f t="shared" si="12"/>
        <v>20534.822008966828</v>
      </c>
    </row>
    <row r="37" spans="1:15" ht="16" outlineLevel="1" x14ac:dyDescent="0.2">
      <c r="A37" s="89" t="s">
        <v>201</v>
      </c>
      <c r="B37" s="96"/>
      <c r="C37" s="97"/>
      <c r="D37" s="296" t="s">
        <v>202</v>
      </c>
      <c r="E37" s="296">
        <v>172</v>
      </c>
      <c r="F37" s="296">
        <v>0</v>
      </c>
      <c r="G37" s="296">
        <v>0</v>
      </c>
      <c r="H37" s="296">
        <v>0</v>
      </c>
      <c r="I37" s="121">
        <f t="shared" ref="I37:M37" si="13">I12*I$39</f>
        <v>0</v>
      </c>
      <c r="J37" s="121">
        <f t="shared" si="13"/>
        <v>0</v>
      </c>
      <c r="K37" s="121">
        <f t="shared" si="13"/>
        <v>0</v>
      </c>
      <c r="L37" s="121">
        <f t="shared" si="13"/>
        <v>0</v>
      </c>
      <c r="M37" s="121">
        <f t="shared" si="13"/>
        <v>0</v>
      </c>
    </row>
    <row r="38" spans="1:15" ht="16" outlineLevel="1" x14ac:dyDescent="0.2">
      <c r="A38" s="105" t="s">
        <v>203</v>
      </c>
      <c r="B38" s="335"/>
      <c r="C38" s="336"/>
      <c r="D38" s="299">
        <v>772</v>
      </c>
      <c r="E38" s="299">
        <v>1170</v>
      </c>
      <c r="F38" s="299">
        <v>1050</v>
      </c>
      <c r="G38" s="299">
        <v>1210</v>
      </c>
      <c r="H38" s="299">
        <v>1335</v>
      </c>
      <c r="I38" s="107">
        <f t="shared" ref="I38:M38" si="14">I13*I$39</f>
        <v>1257.2552057303983</v>
      </c>
      <c r="J38" s="107">
        <f t="shared" si="14"/>
        <v>1257.2552057303983</v>
      </c>
      <c r="K38" s="107">
        <f t="shared" si="14"/>
        <v>1257.2552057303983</v>
      </c>
      <c r="L38" s="107">
        <f t="shared" si="14"/>
        <v>1257.2552057303983</v>
      </c>
      <c r="M38" s="107">
        <f t="shared" si="14"/>
        <v>1257.2552057303983</v>
      </c>
    </row>
    <row r="39" spans="1:15" ht="16" outlineLevel="1" x14ac:dyDescent="0.2">
      <c r="A39" s="85" t="s">
        <v>81</v>
      </c>
      <c r="B39" s="85"/>
      <c r="C39" s="100"/>
      <c r="D39" s="297">
        <f>SUM(D35:D38)</f>
        <v>18605</v>
      </c>
      <c r="E39" s="297">
        <f t="shared" ref="E39:H39" si="15">SUM(E35:E38)</f>
        <v>19820</v>
      </c>
      <c r="F39" s="297">
        <f t="shared" si="15"/>
        <v>20289</v>
      </c>
      <c r="G39" s="297">
        <f t="shared" si="15"/>
        <v>21146</v>
      </c>
      <c r="H39" s="297">
        <f t="shared" si="15"/>
        <v>21965</v>
      </c>
      <c r="I39" s="99">
        <f>I8*I9</f>
        <v>21971.833537500002</v>
      </c>
      <c r="J39" s="99">
        <f t="shared" ref="J39:M39" si="16">J8*J9</f>
        <v>21971.833537500002</v>
      </c>
      <c r="K39" s="99">
        <f t="shared" si="16"/>
        <v>21971.833537500002</v>
      </c>
      <c r="L39" s="99">
        <f t="shared" si="16"/>
        <v>21971.833537500002</v>
      </c>
      <c r="M39" s="99">
        <f t="shared" si="16"/>
        <v>21971.833537500002</v>
      </c>
    </row>
    <row r="40" spans="1:15" ht="16" outlineLevel="1" x14ac:dyDescent="0.2">
      <c r="A40" s="96" t="s">
        <v>84</v>
      </c>
      <c r="B40" s="96"/>
      <c r="C40" s="97"/>
      <c r="D40" s="298"/>
      <c r="E40" s="298"/>
      <c r="F40" s="298"/>
      <c r="G40" s="298"/>
      <c r="H40" s="298"/>
      <c r="I40" s="103"/>
      <c r="J40" s="103"/>
      <c r="K40" s="103"/>
      <c r="L40" s="99"/>
      <c r="M40" s="99"/>
    </row>
    <row r="41" spans="1:15" ht="16" outlineLevel="1" x14ac:dyDescent="0.2">
      <c r="A41" s="89" t="s">
        <v>204</v>
      </c>
      <c r="B41" s="89"/>
      <c r="C41" s="90"/>
      <c r="D41" s="296">
        <v>5434</v>
      </c>
      <c r="E41" s="296">
        <v>6383</v>
      </c>
      <c r="F41" s="296">
        <v>6786</v>
      </c>
      <c r="G41" s="296">
        <v>7305</v>
      </c>
      <c r="H41" s="296">
        <v>7649</v>
      </c>
      <c r="I41" s="337"/>
      <c r="J41" s="337"/>
      <c r="K41" s="337"/>
      <c r="L41" s="337"/>
      <c r="M41" s="337"/>
    </row>
    <row r="42" spans="1:15" ht="16" outlineLevel="1" x14ac:dyDescent="0.2">
      <c r="A42" s="89" t="s">
        <v>205</v>
      </c>
      <c r="B42" s="89"/>
      <c r="C42" s="90"/>
      <c r="D42" s="296">
        <v>978</v>
      </c>
      <c r="E42" s="296">
        <v>1005</v>
      </c>
      <c r="F42" s="296">
        <v>1045</v>
      </c>
      <c r="G42" s="296">
        <v>1001</v>
      </c>
      <c r="H42" s="296">
        <v>1107</v>
      </c>
      <c r="I42" s="337"/>
      <c r="J42" s="337"/>
      <c r="K42" s="337"/>
      <c r="L42" s="337"/>
      <c r="M42" s="337"/>
    </row>
    <row r="43" spans="1:15" ht="16" outlineLevel="1" x14ac:dyDescent="0.2">
      <c r="A43" s="89" t="s">
        <v>206</v>
      </c>
      <c r="B43" s="89"/>
      <c r="C43" s="90"/>
      <c r="D43" s="296">
        <v>5293</v>
      </c>
      <c r="E43" s="296">
        <v>3616</v>
      </c>
      <c r="F43" s="296">
        <v>3801</v>
      </c>
      <c r="G43" s="296">
        <v>4076</v>
      </c>
      <c r="H43" s="296">
        <v>4616</v>
      </c>
      <c r="I43" s="337">
        <f>I15*I16</f>
        <v>4606.8</v>
      </c>
      <c r="J43" s="337">
        <f t="shared" ref="J43:M43" si="17">J15*J16</f>
        <v>4606.8</v>
      </c>
      <c r="K43" s="337">
        <f t="shared" si="17"/>
        <v>4606.8</v>
      </c>
      <c r="L43" s="337">
        <f t="shared" si="17"/>
        <v>4606.8</v>
      </c>
      <c r="M43" s="337">
        <f t="shared" si="17"/>
        <v>4606.8</v>
      </c>
    </row>
    <row r="44" spans="1:15" ht="16" outlineLevel="1" x14ac:dyDescent="0.2">
      <c r="A44" s="89" t="s">
        <v>207</v>
      </c>
      <c r="B44" s="89"/>
      <c r="C44" s="90"/>
      <c r="D44" s="296">
        <v>1111</v>
      </c>
      <c r="E44" s="296">
        <v>1166</v>
      </c>
      <c r="F44" s="296" t="s">
        <v>202</v>
      </c>
      <c r="G44" s="296" t="s">
        <v>202</v>
      </c>
      <c r="H44" s="296" t="s">
        <v>202</v>
      </c>
      <c r="I44" s="337"/>
      <c r="J44" s="337"/>
      <c r="K44" s="337"/>
      <c r="L44" s="337"/>
      <c r="M44" s="337"/>
    </row>
    <row r="45" spans="1:15" ht="16" outlineLevel="1" x14ac:dyDescent="0.2">
      <c r="A45" s="89" t="s">
        <v>208</v>
      </c>
      <c r="B45" s="89"/>
      <c r="C45" s="90"/>
      <c r="D45" s="296" t="s">
        <v>202</v>
      </c>
      <c r="E45" s="296" t="s">
        <v>202</v>
      </c>
      <c r="F45" s="296">
        <v>1211</v>
      </c>
      <c r="G45" s="296">
        <v>1292</v>
      </c>
      <c r="H45" s="296">
        <v>1334</v>
      </c>
      <c r="I45" s="337"/>
      <c r="J45" s="337"/>
      <c r="K45" s="337"/>
      <c r="L45" s="337"/>
      <c r="M45" s="337"/>
    </row>
    <row r="46" spans="1:15" ht="16" outlineLevel="1" x14ac:dyDescent="0.2">
      <c r="A46" s="89" t="s">
        <v>209</v>
      </c>
      <c r="B46" s="89"/>
      <c r="C46" s="90"/>
      <c r="D46" s="296">
        <v>295</v>
      </c>
      <c r="E46" s="296">
        <v>238</v>
      </c>
      <c r="F46" s="296" t="s">
        <v>202</v>
      </c>
      <c r="G46" s="296" t="s">
        <v>202</v>
      </c>
      <c r="H46" s="296" t="s">
        <v>202</v>
      </c>
      <c r="I46" s="337"/>
      <c r="J46" s="337"/>
      <c r="K46" s="337"/>
      <c r="L46" s="337"/>
      <c r="M46" s="337"/>
      <c r="O46" s="341">
        <f>17739</f>
        <v>17739</v>
      </c>
    </row>
    <row r="47" spans="1:15" ht="16" outlineLevel="1" x14ac:dyDescent="0.2">
      <c r="A47" s="89" t="s">
        <v>210</v>
      </c>
      <c r="B47" s="89"/>
      <c r="C47" s="90"/>
      <c r="D47" s="296">
        <v>2205</v>
      </c>
      <c r="E47" s="296">
        <v>2242</v>
      </c>
      <c r="F47" s="296">
        <v>2703</v>
      </c>
      <c r="G47" s="296">
        <v>2847</v>
      </c>
      <c r="H47" s="296">
        <v>2852</v>
      </c>
      <c r="I47" s="337"/>
      <c r="J47" s="337"/>
      <c r="K47" s="337"/>
      <c r="L47" s="337"/>
      <c r="M47" s="337"/>
      <c r="O47" s="341">
        <f>O46-G43</f>
        <v>13663</v>
      </c>
    </row>
    <row r="48" spans="1:15" ht="16" outlineLevel="1" x14ac:dyDescent="0.2">
      <c r="A48" s="89" t="s">
        <v>211</v>
      </c>
      <c r="B48" s="89"/>
      <c r="C48" s="90"/>
      <c r="D48" s="296">
        <v>938</v>
      </c>
      <c r="E48" s="296">
        <v>1015</v>
      </c>
      <c r="F48" s="296">
        <v>1221</v>
      </c>
      <c r="G48" s="296">
        <v>1218</v>
      </c>
      <c r="H48" s="296">
        <v>1201</v>
      </c>
      <c r="I48" s="337"/>
      <c r="J48" s="337"/>
      <c r="K48" s="337"/>
      <c r="L48" s="337"/>
      <c r="M48" s="337"/>
      <c r="O48" s="341">
        <f>O47-13650</f>
        <v>13</v>
      </c>
    </row>
    <row r="49" spans="1:14" ht="16" outlineLevel="1" x14ac:dyDescent="0.2">
      <c r="A49" s="89" t="s">
        <v>212</v>
      </c>
      <c r="B49" s="89"/>
      <c r="C49" s="90"/>
      <c r="D49" s="296">
        <v>130</v>
      </c>
      <c r="E49" s="296">
        <v>121</v>
      </c>
      <c r="F49" s="296">
        <v>122</v>
      </c>
      <c r="G49" s="296">
        <v>114</v>
      </c>
      <c r="H49" s="296">
        <v>131</v>
      </c>
      <c r="I49" s="337"/>
      <c r="J49" s="337"/>
      <c r="K49" s="337"/>
      <c r="L49" s="337"/>
      <c r="M49" s="337"/>
    </row>
    <row r="50" spans="1:14" ht="16" outlineLevel="1" x14ac:dyDescent="0.2">
      <c r="A50" s="89" t="s">
        <v>213</v>
      </c>
      <c r="B50" s="89"/>
      <c r="C50" s="90"/>
      <c r="D50" s="296">
        <v>-23</v>
      </c>
      <c r="E50" s="296">
        <v>-31</v>
      </c>
      <c r="F50" s="296">
        <v>-47</v>
      </c>
      <c r="G50" s="296">
        <v>-49</v>
      </c>
      <c r="H50" s="296">
        <v>-38</v>
      </c>
      <c r="I50" s="337"/>
      <c r="J50" s="337"/>
      <c r="K50" s="337"/>
      <c r="L50" s="337"/>
      <c r="M50" s="337"/>
    </row>
    <row r="51" spans="1:14" ht="16" outlineLevel="1" x14ac:dyDescent="0.2">
      <c r="A51" s="89" t="s">
        <v>214</v>
      </c>
      <c r="B51" s="89"/>
      <c r="C51" s="90"/>
      <c r="D51" s="296">
        <v>-7</v>
      </c>
      <c r="E51" s="296">
        <v>-9</v>
      </c>
      <c r="F51" s="296">
        <v>-24</v>
      </c>
      <c r="G51" s="296">
        <v>-35</v>
      </c>
      <c r="H51" s="296">
        <v>-69</v>
      </c>
      <c r="I51" s="337"/>
      <c r="J51" s="337"/>
      <c r="K51" s="337"/>
      <c r="L51" s="337"/>
      <c r="M51" s="337"/>
    </row>
    <row r="52" spans="1:14" ht="16" outlineLevel="1" x14ac:dyDescent="0.2">
      <c r="A52" s="89" t="s">
        <v>215</v>
      </c>
      <c r="B52" s="89"/>
      <c r="C52" s="90"/>
      <c r="D52" s="296">
        <v>309</v>
      </c>
      <c r="E52" s="296">
        <v>556</v>
      </c>
      <c r="F52" s="296">
        <v>21</v>
      </c>
      <c r="G52" s="296">
        <v>112</v>
      </c>
      <c r="H52" s="296">
        <v>18</v>
      </c>
      <c r="I52" s="337"/>
      <c r="J52" s="337"/>
      <c r="K52" s="337"/>
      <c r="L52" s="337"/>
      <c r="M52" s="337"/>
    </row>
    <row r="53" spans="1:14" ht="16" outlineLevel="1" x14ac:dyDescent="0.2">
      <c r="A53" s="105" t="s">
        <v>216</v>
      </c>
      <c r="B53" s="105"/>
      <c r="C53" s="106"/>
      <c r="D53" s="299">
        <v>126</v>
      </c>
      <c r="E53" s="299">
        <v>39</v>
      </c>
      <c r="F53" s="299" t="s">
        <v>202</v>
      </c>
      <c r="G53" s="299" t="s">
        <v>202</v>
      </c>
      <c r="H53" s="299" t="s">
        <v>202</v>
      </c>
      <c r="I53" s="340"/>
      <c r="J53" s="340"/>
      <c r="K53" s="340"/>
      <c r="L53" s="340"/>
      <c r="M53" s="340"/>
    </row>
    <row r="54" spans="1:14" ht="16" outlineLevel="1" x14ac:dyDescent="0.2">
      <c r="A54" s="96" t="s">
        <v>89</v>
      </c>
      <c r="B54" s="89"/>
      <c r="C54" s="90"/>
      <c r="D54" s="99">
        <f>SUM(D41:D53)</f>
        <v>16789</v>
      </c>
      <c r="E54" s="99">
        <f t="shared" ref="E54:M54" si="18">SUM(E41:E53)</f>
        <v>16341</v>
      </c>
      <c r="F54" s="99">
        <f t="shared" si="18"/>
        <v>16839</v>
      </c>
      <c r="G54" s="99">
        <f t="shared" si="18"/>
        <v>17881</v>
      </c>
      <c r="H54" s="99">
        <f t="shared" si="18"/>
        <v>18801</v>
      </c>
      <c r="I54" s="99">
        <f>(I8*I14)+I43</f>
        <v>18748.671040500001</v>
      </c>
      <c r="J54" s="99">
        <f t="shared" ref="J54:M54" si="19">(J8*J14)+J43</f>
        <v>18748.671040500001</v>
      </c>
      <c r="K54" s="99">
        <f t="shared" si="19"/>
        <v>18748.671040500001</v>
      </c>
      <c r="L54" s="99">
        <f t="shared" si="19"/>
        <v>18748.671040500001</v>
      </c>
      <c r="M54" s="99">
        <f t="shared" si="19"/>
        <v>18748.671040500001</v>
      </c>
    </row>
    <row r="55" spans="1:14" ht="16" outlineLevel="1" x14ac:dyDescent="0.2">
      <c r="A55" s="87" t="s">
        <v>90</v>
      </c>
      <c r="B55" s="87"/>
      <c r="C55" s="88"/>
      <c r="D55" s="102">
        <f>D39-D54</f>
        <v>1816</v>
      </c>
      <c r="E55" s="102">
        <f t="shared" ref="E55:M55" si="20">E39-E54</f>
        <v>3479</v>
      </c>
      <c r="F55" s="102">
        <f t="shared" si="20"/>
        <v>3450</v>
      </c>
      <c r="G55" s="102">
        <f t="shared" si="20"/>
        <v>3265</v>
      </c>
      <c r="H55" s="102">
        <f t="shared" si="20"/>
        <v>3164</v>
      </c>
      <c r="I55" s="102">
        <f t="shared" si="20"/>
        <v>3223.1624970000012</v>
      </c>
      <c r="J55" s="102">
        <f t="shared" si="20"/>
        <v>3223.1624970000012</v>
      </c>
      <c r="K55" s="102">
        <f t="shared" si="20"/>
        <v>3223.1624970000012</v>
      </c>
      <c r="L55" s="102">
        <f t="shared" si="20"/>
        <v>3223.1624970000012</v>
      </c>
      <c r="M55" s="102">
        <f t="shared" si="20"/>
        <v>3223.1624970000012</v>
      </c>
    </row>
    <row r="56" spans="1:14" ht="16" outlineLevel="1" x14ac:dyDescent="0.2">
      <c r="A56" s="96"/>
      <c r="B56" s="96"/>
      <c r="C56" s="97"/>
      <c r="D56" s="98"/>
      <c r="E56" s="98"/>
      <c r="F56" s="98"/>
      <c r="G56" s="98"/>
      <c r="H56" s="98"/>
      <c r="I56" s="99"/>
      <c r="J56" s="99"/>
      <c r="K56" s="99"/>
      <c r="L56" s="99"/>
      <c r="M56" s="99"/>
    </row>
    <row r="57" spans="1:14" ht="16" outlineLevel="1" x14ac:dyDescent="0.2">
      <c r="A57" s="89" t="s">
        <v>91</v>
      </c>
      <c r="B57" s="89"/>
      <c r="C57" s="90"/>
      <c r="D57" s="101">
        <v>680</v>
      </c>
      <c r="E57" s="101">
        <v>1298</v>
      </c>
      <c r="F57" s="101">
        <v>1267</v>
      </c>
      <c r="G57" s="101">
        <v>-92</v>
      </c>
      <c r="H57" s="101">
        <v>699</v>
      </c>
      <c r="I57" s="108">
        <f>I55*I22</f>
        <v>0</v>
      </c>
      <c r="J57" s="108">
        <f>J55*J22</f>
        <v>0</v>
      </c>
      <c r="K57" s="108">
        <f>K55*K22</f>
        <v>0</v>
      </c>
      <c r="L57" s="108">
        <f>L55*L22</f>
        <v>0</v>
      </c>
      <c r="M57" s="108">
        <f>M55*M22</f>
        <v>0</v>
      </c>
    </row>
    <row r="58" spans="1:14" ht="17" outlineLevel="1" thickBot="1" x14ac:dyDescent="0.25">
      <c r="A58" s="109" t="s">
        <v>92</v>
      </c>
      <c r="B58" s="109"/>
      <c r="C58" s="110"/>
      <c r="D58" s="111">
        <f>D55-D57</f>
        <v>1136</v>
      </c>
      <c r="E58" s="111">
        <f t="shared" ref="E58:M58" si="21">E55-E57</f>
        <v>2181</v>
      </c>
      <c r="F58" s="111">
        <f t="shared" si="21"/>
        <v>2183</v>
      </c>
      <c r="G58" s="111">
        <f t="shared" si="21"/>
        <v>3357</v>
      </c>
      <c r="H58" s="111">
        <f t="shared" si="21"/>
        <v>2465</v>
      </c>
      <c r="I58" s="111">
        <f t="shared" si="21"/>
        <v>3223.1624970000012</v>
      </c>
      <c r="J58" s="111">
        <f t="shared" si="21"/>
        <v>3223.1624970000012</v>
      </c>
      <c r="K58" s="111">
        <f t="shared" si="21"/>
        <v>3223.1624970000012</v>
      </c>
      <c r="L58" s="111">
        <f t="shared" si="21"/>
        <v>3223.1624970000012</v>
      </c>
      <c r="M58" s="111">
        <f t="shared" si="21"/>
        <v>3223.1624970000012</v>
      </c>
    </row>
    <row r="59" spans="1:14" ht="17" outlineLevel="1" collapsed="1" thickTop="1" x14ac:dyDescent="0.2">
      <c r="A59" s="71"/>
      <c r="B59" s="71"/>
      <c r="C59" s="78"/>
      <c r="D59" s="104"/>
      <c r="E59" s="104"/>
      <c r="F59" s="104"/>
      <c r="G59" s="104"/>
      <c r="H59" s="104"/>
      <c r="I59" s="71"/>
      <c r="J59" s="71"/>
      <c r="K59" s="71"/>
      <c r="L59" s="71"/>
      <c r="M59" s="71"/>
    </row>
    <row r="60" spans="1:14" ht="16" x14ac:dyDescent="0.2">
      <c r="A60" s="71"/>
      <c r="B60" s="71"/>
      <c r="C60" s="78"/>
      <c r="D60" s="104"/>
      <c r="E60" s="104"/>
      <c r="F60" s="104"/>
      <c r="G60" s="104"/>
      <c r="H60" s="104"/>
      <c r="I60" s="71"/>
      <c r="J60" s="71"/>
      <c r="K60" s="71"/>
      <c r="L60" s="71"/>
      <c r="M60" s="71"/>
    </row>
    <row r="61" spans="1:14" ht="20" x14ac:dyDescent="0.2">
      <c r="A61" s="80" t="s">
        <v>93</v>
      </c>
      <c r="B61" s="81"/>
      <c r="C61" s="82"/>
      <c r="D61" s="81"/>
      <c r="E61" s="81"/>
      <c r="F61" s="81"/>
      <c r="G61" s="81"/>
      <c r="H61" s="81"/>
      <c r="I61" s="81"/>
      <c r="J61" s="81"/>
      <c r="K61" s="81"/>
      <c r="L61" s="81"/>
      <c r="M61" s="81"/>
    </row>
    <row r="62" spans="1:14" ht="16" outlineLevel="1" x14ac:dyDescent="0.2">
      <c r="A62" s="71"/>
      <c r="B62" s="71"/>
      <c r="C62" s="78"/>
      <c r="D62" s="104"/>
      <c r="E62" s="104"/>
      <c r="F62" s="104"/>
      <c r="G62" s="104"/>
      <c r="H62" s="104"/>
      <c r="I62" s="71"/>
      <c r="J62" s="71"/>
      <c r="K62" s="71"/>
      <c r="L62" s="71"/>
      <c r="M62" s="71"/>
    </row>
    <row r="63" spans="1:14" ht="16" outlineLevel="1" x14ac:dyDescent="0.2">
      <c r="A63" s="85" t="s">
        <v>94</v>
      </c>
      <c r="B63" s="71"/>
      <c r="C63" s="78"/>
      <c r="D63" s="104"/>
      <c r="E63" s="104"/>
      <c r="F63" s="104"/>
      <c r="G63" s="104"/>
      <c r="H63" s="104"/>
      <c r="I63" s="71"/>
      <c r="J63" s="71"/>
      <c r="K63" s="71"/>
      <c r="L63" s="71"/>
      <c r="M63" s="71"/>
    </row>
    <row r="64" spans="1:14" ht="16" outlineLevel="1" x14ac:dyDescent="0.2">
      <c r="A64" s="71" t="s">
        <v>223</v>
      </c>
      <c r="B64" s="71"/>
      <c r="C64" s="112"/>
      <c r="D64" s="104">
        <v>1282</v>
      </c>
      <c r="E64" s="104">
        <v>1583</v>
      </c>
      <c r="F64" s="104">
        <v>1680</v>
      </c>
      <c r="G64" s="104">
        <v>1495</v>
      </c>
      <c r="H64" s="104">
        <v>1854</v>
      </c>
      <c r="I64" s="71">
        <f>I149</f>
        <v>1771.4532918187906</v>
      </c>
      <c r="J64" s="71">
        <f t="shared" ref="J64:M64" si="22">J149</f>
        <v>2061.0557888187923</v>
      </c>
      <c r="K64" s="71">
        <f t="shared" si="22"/>
        <v>2158.1462858187938</v>
      </c>
      <c r="L64" s="71">
        <f t="shared" si="22"/>
        <v>2344.2223828187953</v>
      </c>
      <c r="M64" s="71">
        <f t="shared" si="22"/>
        <v>2521.8811998187962</v>
      </c>
      <c r="N64" s="341"/>
    </row>
    <row r="65" spans="1:14" ht="16" outlineLevel="1" x14ac:dyDescent="0.2">
      <c r="A65" s="71" t="s">
        <v>224</v>
      </c>
      <c r="B65" s="71"/>
      <c r="C65" s="112"/>
      <c r="D65" s="104">
        <v>1706</v>
      </c>
      <c r="E65" s="104">
        <v>1468</v>
      </c>
      <c r="F65" s="104">
        <v>1625</v>
      </c>
      <c r="G65" s="104">
        <v>1778</v>
      </c>
      <c r="H65" s="104">
        <v>1835</v>
      </c>
      <c r="I65" s="113">
        <f>H65</f>
        <v>1835</v>
      </c>
      <c r="J65" s="113">
        <f t="shared" ref="J65:M65" si="23">I65</f>
        <v>1835</v>
      </c>
      <c r="K65" s="113">
        <f t="shared" si="23"/>
        <v>1835</v>
      </c>
      <c r="L65" s="113">
        <f t="shared" si="23"/>
        <v>1835</v>
      </c>
      <c r="M65" s="113">
        <f t="shared" si="23"/>
        <v>1835</v>
      </c>
      <c r="N65" s="341"/>
    </row>
    <row r="66" spans="1:14" ht="16" outlineLevel="1" x14ac:dyDescent="0.2">
      <c r="A66" s="71" t="s">
        <v>225</v>
      </c>
      <c r="B66" s="71"/>
      <c r="C66" s="112"/>
      <c r="D66" s="104">
        <v>365</v>
      </c>
      <c r="E66" s="104">
        <v>474</v>
      </c>
      <c r="F66" s="104">
        <v>546</v>
      </c>
      <c r="G66" s="104">
        <v>662</v>
      </c>
      <c r="H66" s="104">
        <v>568</v>
      </c>
      <c r="I66" s="71">
        <f>I39/365*I25</f>
        <v>601.96804212328766</v>
      </c>
      <c r="J66" s="71">
        <f t="shared" ref="J66:M66" si="24">J39/365*J25</f>
        <v>601.96804212328766</v>
      </c>
      <c r="K66" s="71">
        <f t="shared" si="24"/>
        <v>601.96804212328766</v>
      </c>
      <c r="L66" s="71">
        <f t="shared" si="24"/>
        <v>601.96804212328766</v>
      </c>
      <c r="M66" s="71">
        <f t="shared" si="24"/>
        <v>601.96804212328766</v>
      </c>
      <c r="N66" s="341"/>
    </row>
    <row r="67" spans="1:14" ht="16" outlineLevel="1" x14ac:dyDescent="0.2">
      <c r="A67" s="71" t="s">
        <v>226</v>
      </c>
      <c r="B67" s="71"/>
      <c r="C67" s="112"/>
      <c r="D67" s="104">
        <v>342</v>
      </c>
      <c r="E67" s="104">
        <v>311</v>
      </c>
      <c r="F67" s="104">
        <v>337</v>
      </c>
      <c r="G67" s="104">
        <v>420</v>
      </c>
      <c r="H67" s="104">
        <v>461</v>
      </c>
      <c r="I67" s="71">
        <f>I42/365*I26</f>
        <v>0</v>
      </c>
      <c r="J67" s="71">
        <f t="shared" ref="J67:M67" si="25">J42/365*J26</f>
        <v>0</v>
      </c>
      <c r="K67" s="71">
        <f t="shared" si="25"/>
        <v>0</v>
      </c>
      <c r="L67" s="71">
        <f t="shared" si="25"/>
        <v>0</v>
      </c>
      <c r="M67" s="71">
        <f t="shared" si="25"/>
        <v>0</v>
      </c>
      <c r="N67" s="341"/>
    </row>
    <row r="68" spans="1:14" ht="16" outlineLevel="1" x14ac:dyDescent="0.2">
      <c r="A68" s="71" t="s">
        <v>227</v>
      </c>
      <c r="B68" s="71"/>
      <c r="C68" s="78"/>
      <c r="D68" s="104">
        <v>232</v>
      </c>
      <c r="E68" s="104">
        <v>188</v>
      </c>
      <c r="F68" s="104">
        <v>310</v>
      </c>
      <c r="G68" s="104">
        <v>460</v>
      </c>
      <c r="H68" s="104">
        <v>310</v>
      </c>
      <c r="I68" s="71">
        <f>H68</f>
        <v>310</v>
      </c>
      <c r="J68" s="71">
        <f t="shared" ref="J68:M68" si="26">I68</f>
        <v>310</v>
      </c>
      <c r="K68" s="71">
        <f t="shared" si="26"/>
        <v>310</v>
      </c>
      <c r="L68" s="71">
        <f t="shared" si="26"/>
        <v>310</v>
      </c>
      <c r="M68" s="71">
        <f t="shared" si="26"/>
        <v>310</v>
      </c>
      <c r="N68" s="341"/>
    </row>
    <row r="69" spans="1:14" ht="16" outlineLevel="1" x14ac:dyDescent="0.2">
      <c r="A69" s="114" t="s">
        <v>228</v>
      </c>
      <c r="B69" s="114"/>
      <c r="C69" s="115"/>
      <c r="D69" s="116">
        <f>SUM(D64:D68)</f>
        <v>3927</v>
      </c>
      <c r="E69" s="116">
        <f t="shared" ref="E69:M69" si="27">SUM(E64:E68)</f>
        <v>4024</v>
      </c>
      <c r="F69" s="116">
        <f t="shared" si="27"/>
        <v>4498</v>
      </c>
      <c r="G69" s="116">
        <f t="shared" si="27"/>
        <v>4815</v>
      </c>
      <c r="H69" s="116">
        <f t="shared" si="27"/>
        <v>5028</v>
      </c>
      <c r="I69" s="116">
        <f t="shared" si="27"/>
        <v>4518.4213339420785</v>
      </c>
      <c r="J69" s="116">
        <f t="shared" si="27"/>
        <v>4808.0238309420802</v>
      </c>
      <c r="K69" s="116">
        <f t="shared" si="27"/>
        <v>4905.1143279420812</v>
      </c>
      <c r="L69" s="116">
        <f t="shared" si="27"/>
        <v>5091.1904249420832</v>
      </c>
      <c r="M69" s="116">
        <f t="shared" si="27"/>
        <v>5268.8492419420836</v>
      </c>
      <c r="N69" s="341"/>
    </row>
    <row r="70" spans="1:14" ht="16" outlineLevel="1" x14ac:dyDescent="0.2">
      <c r="A70" s="85" t="s">
        <v>229</v>
      </c>
      <c r="B70" s="71"/>
      <c r="C70" s="112"/>
      <c r="D70" s="104"/>
      <c r="E70" s="104"/>
      <c r="F70" s="104"/>
      <c r="G70" s="104"/>
      <c r="H70" s="104"/>
      <c r="I70" s="71"/>
      <c r="J70" s="71"/>
      <c r="K70" s="71"/>
      <c r="L70" s="71"/>
      <c r="M70" s="71"/>
      <c r="N70" s="341"/>
    </row>
    <row r="71" spans="1:14" ht="16" outlineLevel="1" x14ac:dyDescent="0.2">
      <c r="A71" s="71" t="s">
        <v>230</v>
      </c>
      <c r="B71" s="71"/>
      <c r="C71" s="112"/>
      <c r="D71" s="295">
        <v>2853</v>
      </c>
      <c r="E71" s="295">
        <v>3219</v>
      </c>
      <c r="F71" s="295">
        <v>3779</v>
      </c>
      <c r="G71" s="295">
        <v>4399</v>
      </c>
      <c r="H71" s="295">
        <v>4960</v>
      </c>
      <c r="I71" s="71"/>
      <c r="J71" s="71"/>
      <c r="K71" s="71"/>
      <c r="L71" s="71"/>
      <c r="M71" s="71"/>
      <c r="N71" s="341"/>
    </row>
    <row r="72" spans="1:14" ht="16" outlineLevel="1" x14ac:dyDescent="0.2">
      <c r="A72" s="71" t="s">
        <v>231</v>
      </c>
      <c r="B72" s="71"/>
      <c r="C72" s="112"/>
      <c r="D72" s="295" t="s">
        <v>202</v>
      </c>
      <c r="E72" s="295">
        <v>-9084</v>
      </c>
      <c r="F72" s="295">
        <v>-9420</v>
      </c>
      <c r="G72" s="295" t="s">
        <v>202</v>
      </c>
      <c r="H72" s="295" t="s">
        <v>202</v>
      </c>
      <c r="I72" s="71"/>
      <c r="J72" s="71"/>
      <c r="K72" s="71"/>
      <c r="L72" s="71"/>
      <c r="M72" s="71"/>
      <c r="N72" s="341"/>
    </row>
    <row r="73" spans="1:14" ht="16" outlineLevel="1" x14ac:dyDescent="0.2">
      <c r="A73" s="71" t="s">
        <v>232</v>
      </c>
      <c r="B73" s="71"/>
      <c r="C73" s="112"/>
      <c r="D73" s="295">
        <v>18473</v>
      </c>
      <c r="E73" s="295">
        <v>19462</v>
      </c>
      <c r="F73" s="295">
        <v>20275</v>
      </c>
      <c r="G73" s="295">
        <v>21368</v>
      </c>
      <c r="H73" s="295">
        <v>21753</v>
      </c>
      <c r="I73" s="71"/>
      <c r="J73" s="71"/>
      <c r="K73" s="71"/>
      <c r="L73" s="71"/>
      <c r="M73" s="71"/>
      <c r="N73" s="341"/>
    </row>
    <row r="74" spans="1:14" ht="16" outlineLevel="1" x14ac:dyDescent="0.2">
      <c r="A74" s="71" t="s">
        <v>233</v>
      </c>
      <c r="B74" s="71"/>
      <c r="C74" s="112"/>
      <c r="D74" s="295">
        <v>-8221</v>
      </c>
      <c r="E74" s="295" t="s">
        <v>202</v>
      </c>
      <c r="F74" s="295" t="s">
        <v>202</v>
      </c>
      <c r="G74" s="295">
        <v>-9690</v>
      </c>
      <c r="H74" s="295">
        <v>-9731</v>
      </c>
      <c r="I74" s="71"/>
      <c r="J74" s="71"/>
      <c r="K74" s="71"/>
      <c r="L74" s="71"/>
      <c r="M74" s="71"/>
      <c r="N74" s="341"/>
    </row>
    <row r="75" spans="1:14" ht="16" outlineLevel="1" x14ac:dyDescent="0.2">
      <c r="A75" s="71" t="s">
        <v>296</v>
      </c>
      <c r="B75" s="71"/>
      <c r="C75" s="112"/>
      <c r="D75" s="295"/>
      <c r="E75" s="295"/>
      <c r="F75" s="295"/>
      <c r="G75" s="295"/>
      <c r="H75" s="295"/>
      <c r="I75" s="71">
        <f>I166</f>
        <v>18982</v>
      </c>
      <c r="J75" s="71">
        <f t="shared" ref="J75:M75" si="28">J166</f>
        <v>20982</v>
      </c>
      <c r="K75" s="71">
        <f t="shared" si="28"/>
        <v>22982</v>
      </c>
      <c r="L75" s="71">
        <f t="shared" si="28"/>
        <v>24982</v>
      </c>
      <c r="M75" s="71">
        <f t="shared" si="28"/>
        <v>26982</v>
      </c>
      <c r="N75" s="341"/>
    </row>
    <row r="76" spans="1:14" ht="16" outlineLevel="1" x14ac:dyDescent="0.2">
      <c r="A76" s="71" t="s">
        <v>234</v>
      </c>
      <c r="B76" s="71"/>
      <c r="C76" s="112"/>
      <c r="D76" s="295">
        <v>621</v>
      </c>
      <c r="E76" s="295">
        <v>915</v>
      </c>
      <c r="F76" s="295">
        <v>1220</v>
      </c>
      <c r="G76" s="295">
        <v>1543</v>
      </c>
      <c r="H76" s="295">
        <v>1768</v>
      </c>
      <c r="I76" s="71">
        <f>H76</f>
        <v>1768</v>
      </c>
      <c r="J76" s="71">
        <f t="shared" ref="J76:M77" si="29">I76</f>
        <v>1768</v>
      </c>
      <c r="K76" s="71">
        <f t="shared" si="29"/>
        <v>1768</v>
      </c>
      <c r="L76" s="71">
        <f t="shared" si="29"/>
        <v>1768</v>
      </c>
      <c r="M76" s="71">
        <f t="shared" si="29"/>
        <v>1768</v>
      </c>
      <c r="N76" s="341"/>
    </row>
    <row r="77" spans="1:14" ht="16" outlineLevel="1" x14ac:dyDescent="0.2">
      <c r="A77" s="71" t="s">
        <v>235</v>
      </c>
      <c r="B77" s="71"/>
      <c r="C77" s="112"/>
      <c r="D77" s="295">
        <v>970</v>
      </c>
      <c r="E77" s="295">
        <v>970</v>
      </c>
      <c r="F77" s="295">
        <v>970</v>
      </c>
      <c r="G77" s="295">
        <v>970</v>
      </c>
      <c r="H77" s="295">
        <v>970</v>
      </c>
      <c r="I77" s="71">
        <f>H77</f>
        <v>970</v>
      </c>
      <c r="J77" s="71">
        <f t="shared" si="29"/>
        <v>970</v>
      </c>
      <c r="K77" s="71">
        <f t="shared" si="29"/>
        <v>970</v>
      </c>
      <c r="L77" s="71">
        <f t="shared" si="29"/>
        <v>970</v>
      </c>
      <c r="M77" s="71">
        <f t="shared" si="29"/>
        <v>970</v>
      </c>
      <c r="N77" s="341"/>
    </row>
    <row r="78" spans="1:14" ht="16" outlineLevel="1" x14ac:dyDescent="0.2">
      <c r="A78" s="71" t="s">
        <v>236</v>
      </c>
      <c r="B78" s="71"/>
      <c r="C78" s="112"/>
      <c r="D78" s="295">
        <v>534</v>
      </c>
      <c r="E78" s="295">
        <v>717</v>
      </c>
      <c r="F78" s="295">
        <v>774</v>
      </c>
      <c r="G78" s="295">
        <v>786</v>
      </c>
      <c r="H78" s="295">
        <v>720</v>
      </c>
      <c r="I78" s="71">
        <v>720</v>
      </c>
      <c r="J78" s="71">
        <v>720</v>
      </c>
      <c r="K78" s="71">
        <v>720</v>
      </c>
      <c r="L78" s="71">
        <v>720</v>
      </c>
      <c r="M78" s="71">
        <v>720</v>
      </c>
      <c r="N78" s="341"/>
    </row>
    <row r="79" spans="1:14" ht="16" x14ac:dyDescent="0.2">
      <c r="A79" s="71" t="s">
        <v>237</v>
      </c>
      <c r="D79" s="299">
        <v>566</v>
      </c>
      <c r="E79" s="299">
        <v>1089</v>
      </c>
      <c r="F79" s="299">
        <v>1190</v>
      </c>
      <c r="G79" s="299">
        <v>919</v>
      </c>
      <c r="H79" s="299">
        <v>775</v>
      </c>
      <c r="I79" s="299">
        <f>H79</f>
        <v>775</v>
      </c>
      <c r="J79" s="299">
        <f t="shared" ref="J79:M79" si="30">I79</f>
        <v>775</v>
      </c>
      <c r="K79" s="299">
        <f t="shared" si="30"/>
        <v>775</v>
      </c>
      <c r="L79" s="299">
        <f t="shared" si="30"/>
        <v>775</v>
      </c>
      <c r="M79" s="299">
        <f t="shared" si="30"/>
        <v>775</v>
      </c>
      <c r="N79" s="341"/>
    </row>
    <row r="80" spans="1:14" ht="17" outlineLevel="1" thickBot="1" x14ac:dyDescent="0.25">
      <c r="A80" s="109" t="s">
        <v>99</v>
      </c>
      <c r="B80" s="109"/>
      <c r="C80" s="110"/>
      <c r="D80" s="111">
        <f>SUM(D71:D79)+D69</f>
        <v>19723</v>
      </c>
      <c r="E80" s="111">
        <f>SUM(E71:E79)+E69</f>
        <v>21312</v>
      </c>
      <c r="F80" s="111">
        <f>SUM(F71:F79)+F69</f>
        <v>23286</v>
      </c>
      <c r="G80" s="111">
        <f>SUM(G71:G79)+G69</f>
        <v>25110</v>
      </c>
      <c r="H80" s="111">
        <f>SUM(H71:H79)+H69</f>
        <v>26243</v>
      </c>
      <c r="I80" s="111">
        <f>SUM(I71:I79)+I69</f>
        <v>27733.421333942078</v>
      </c>
      <c r="J80" s="111">
        <f>SUM(J71:J79)+J69</f>
        <v>30023.023830942082</v>
      </c>
      <c r="K80" s="111">
        <f>SUM(K71:K79)+K69</f>
        <v>32120.114327942079</v>
      </c>
      <c r="L80" s="111">
        <f>SUM(L71:L79)+L69</f>
        <v>34306.190424942084</v>
      </c>
      <c r="M80" s="111">
        <f>SUM(M71:M79)+M69</f>
        <v>36483.84924194208</v>
      </c>
      <c r="N80" s="341"/>
    </row>
    <row r="81" spans="1:15" ht="17" outlineLevel="1" thickTop="1" x14ac:dyDescent="0.2">
      <c r="A81" s="96"/>
      <c r="B81" s="96"/>
      <c r="C81" s="97"/>
      <c r="D81" s="98"/>
      <c r="E81" s="98"/>
      <c r="F81" s="98"/>
      <c r="G81" s="98"/>
      <c r="H81" s="98"/>
      <c r="I81" s="96"/>
      <c r="J81" s="96"/>
      <c r="K81" s="96"/>
      <c r="L81" s="96"/>
      <c r="M81" s="96"/>
      <c r="N81" s="341"/>
    </row>
    <row r="82" spans="1:15" ht="16" outlineLevel="1" x14ac:dyDescent="0.2">
      <c r="A82" s="85" t="s">
        <v>238</v>
      </c>
      <c r="B82" s="96"/>
      <c r="C82" s="97"/>
      <c r="D82" s="98"/>
      <c r="E82" s="98"/>
      <c r="F82" s="98"/>
      <c r="G82" s="98"/>
      <c r="H82" s="98"/>
      <c r="I82" s="96"/>
      <c r="J82" s="96"/>
      <c r="K82" s="96"/>
      <c r="L82" s="96"/>
      <c r="M82" s="96"/>
      <c r="N82" s="341"/>
    </row>
    <row r="83" spans="1:15" ht="16" outlineLevel="1" x14ac:dyDescent="0.2">
      <c r="A83" s="71" t="s">
        <v>240</v>
      </c>
      <c r="B83" s="96"/>
      <c r="C83" s="97"/>
      <c r="D83" s="101">
        <v>1203</v>
      </c>
      <c r="E83" s="101">
        <v>1188</v>
      </c>
      <c r="F83" s="101">
        <v>1178</v>
      </c>
      <c r="G83" s="101">
        <v>1320</v>
      </c>
      <c r="H83" s="101">
        <v>1416</v>
      </c>
      <c r="I83" s="89">
        <f>I54/365*I28</f>
        <v>1412.0588369420777</v>
      </c>
      <c r="J83" s="89">
        <f t="shared" ref="J83:M83" si="31">J54/365*J28</f>
        <v>1412.0588369420777</v>
      </c>
      <c r="K83" s="89">
        <f t="shared" si="31"/>
        <v>1412.0588369420777</v>
      </c>
      <c r="L83" s="89">
        <f t="shared" si="31"/>
        <v>1412.0588369420777</v>
      </c>
      <c r="M83" s="89">
        <f t="shared" si="31"/>
        <v>1412.0588369420777</v>
      </c>
      <c r="N83" s="341"/>
    </row>
    <row r="84" spans="1:15" ht="16" outlineLevel="1" x14ac:dyDescent="0.2">
      <c r="A84" s="71" t="s">
        <v>241</v>
      </c>
      <c r="B84" s="96"/>
      <c r="C84" s="97"/>
      <c r="D84" s="101">
        <v>1565</v>
      </c>
      <c r="E84" s="101">
        <v>2591</v>
      </c>
      <c r="F84" s="101">
        <v>1985</v>
      </c>
      <c r="G84" s="101">
        <v>1700</v>
      </c>
      <c r="H84" s="101">
        <v>1749</v>
      </c>
      <c r="I84" s="89">
        <f>AVERAGE(D84:H84)</f>
        <v>1918</v>
      </c>
      <c r="J84" s="89">
        <f t="shared" ref="J84:M84" si="32">AVERAGE(E84:I84)</f>
        <v>1988.6</v>
      </c>
      <c r="K84" s="89">
        <f t="shared" si="32"/>
        <v>1868.1200000000001</v>
      </c>
      <c r="L84" s="89">
        <f t="shared" si="32"/>
        <v>1844.7440000000001</v>
      </c>
      <c r="M84" s="89">
        <f t="shared" si="32"/>
        <v>1873.6928</v>
      </c>
      <c r="N84" s="341"/>
    </row>
    <row r="85" spans="1:15" ht="16" outlineLevel="1" x14ac:dyDescent="0.2">
      <c r="A85" s="71" t="s">
        <v>242</v>
      </c>
      <c r="B85" s="96"/>
      <c r="C85" s="97"/>
      <c r="D85" s="101">
        <v>258</v>
      </c>
      <c r="E85" s="101">
        <v>637</v>
      </c>
      <c r="F85" s="101">
        <v>566</v>
      </c>
      <c r="G85" s="101">
        <v>348</v>
      </c>
      <c r="H85" s="101">
        <v>606</v>
      </c>
      <c r="I85" s="89"/>
      <c r="J85" s="89"/>
      <c r="K85" s="89"/>
      <c r="L85" s="89"/>
      <c r="M85" s="89"/>
      <c r="N85" s="341"/>
    </row>
    <row r="86" spans="1:15" ht="16" outlineLevel="1" x14ac:dyDescent="0.2">
      <c r="A86" s="71" t="s">
        <v>243</v>
      </c>
      <c r="B86" s="96"/>
      <c r="C86" s="97"/>
      <c r="D86" s="101">
        <v>2897</v>
      </c>
      <c r="E86" s="101">
        <v>2990</v>
      </c>
      <c r="F86" s="101">
        <v>3115</v>
      </c>
      <c r="G86" s="101">
        <v>3495</v>
      </c>
      <c r="H86" s="101">
        <v>4134</v>
      </c>
      <c r="I86" s="89">
        <f>AVERAGE(D86:H86)</f>
        <v>3326.2</v>
      </c>
      <c r="J86" s="89">
        <f t="shared" ref="J86:M86" si="33">AVERAGE(E86:I86)</f>
        <v>3412.04</v>
      </c>
      <c r="K86" s="89">
        <f t="shared" si="33"/>
        <v>3496.4480000000003</v>
      </c>
      <c r="L86" s="89">
        <f t="shared" si="33"/>
        <v>3572.7376000000004</v>
      </c>
      <c r="M86" s="89">
        <f t="shared" si="33"/>
        <v>3588.2851200000005</v>
      </c>
      <c r="N86" s="341"/>
    </row>
    <row r="87" spans="1:15" ht="16" outlineLevel="1" x14ac:dyDescent="0.2">
      <c r="A87" s="114" t="s">
        <v>239</v>
      </c>
      <c r="B87" s="114"/>
      <c r="C87" s="115"/>
      <c r="D87" s="116">
        <f>SUM(D83:D86)</f>
        <v>5923</v>
      </c>
      <c r="E87" s="116">
        <f t="shared" ref="E87:M87" si="34">SUM(E83:E86)</f>
        <v>7406</v>
      </c>
      <c r="F87" s="116">
        <f t="shared" si="34"/>
        <v>6844</v>
      </c>
      <c r="G87" s="116">
        <f t="shared" si="34"/>
        <v>6863</v>
      </c>
      <c r="H87" s="116">
        <f t="shared" si="34"/>
        <v>7905</v>
      </c>
      <c r="I87" s="116">
        <f t="shared" si="34"/>
        <v>6656.2588369420773</v>
      </c>
      <c r="J87" s="116">
        <f t="shared" si="34"/>
        <v>6812.6988369420778</v>
      </c>
      <c r="K87" s="116">
        <f t="shared" si="34"/>
        <v>6776.6268369420777</v>
      </c>
      <c r="L87" s="116">
        <f t="shared" si="34"/>
        <v>6829.5404369420785</v>
      </c>
      <c r="M87" s="116">
        <f t="shared" si="34"/>
        <v>6874.0367569420778</v>
      </c>
      <c r="N87" s="341"/>
    </row>
    <row r="88" spans="1:15" ht="16" outlineLevel="1" x14ac:dyDescent="0.2">
      <c r="A88" s="85" t="s">
        <v>244</v>
      </c>
      <c r="B88" s="71"/>
      <c r="C88" s="112"/>
      <c r="D88" s="104"/>
      <c r="E88" s="104"/>
      <c r="F88" s="104"/>
      <c r="G88" s="104"/>
      <c r="H88" s="104"/>
      <c r="I88" s="71"/>
      <c r="J88" s="71"/>
      <c r="K88" s="71"/>
      <c r="L88" s="71"/>
      <c r="M88" s="71"/>
      <c r="N88" s="341"/>
    </row>
    <row r="89" spans="1:15" ht="16" outlineLevel="1" x14ac:dyDescent="0.2">
      <c r="A89" s="71" t="s">
        <v>245</v>
      </c>
      <c r="B89" s="71"/>
      <c r="C89" s="112"/>
      <c r="D89" s="295">
        <v>2434</v>
      </c>
      <c r="E89" s="295">
        <v>2541</v>
      </c>
      <c r="F89" s="295">
        <v>2821</v>
      </c>
      <c r="G89" s="295">
        <v>3320</v>
      </c>
      <c r="H89" s="295">
        <v>2771</v>
      </c>
      <c r="I89" s="71"/>
      <c r="J89" s="71"/>
      <c r="K89" s="71"/>
      <c r="L89" s="71"/>
      <c r="M89" s="71"/>
      <c r="N89" s="341"/>
      <c r="O89" s="341"/>
    </row>
    <row r="90" spans="1:15" ht="16" outlineLevel="1" x14ac:dyDescent="0.2">
      <c r="A90" s="71" t="s">
        <v>297</v>
      </c>
      <c r="B90" s="71"/>
      <c r="C90" s="112"/>
      <c r="D90" s="295"/>
      <c r="E90" s="295"/>
      <c r="F90" s="295"/>
      <c r="G90" s="295"/>
      <c r="H90" s="295"/>
      <c r="I90" s="71">
        <f>I171</f>
        <v>3127</v>
      </c>
      <c r="J90" s="71">
        <f t="shared" ref="J90:M90" si="35">J171</f>
        <v>2877</v>
      </c>
      <c r="K90" s="71">
        <f t="shared" si="35"/>
        <v>2627</v>
      </c>
      <c r="L90" s="71">
        <f t="shared" si="35"/>
        <v>2377</v>
      </c>
      <c r="M90" s="71">
        <f t="shared" si="35"/>
        <v>2127</v>
      </c>
      <c r="N90" s="341"/>
      <c r="O90" s="341"/>
    </row>
    <row r="91" spans="1:15" ht="16" outlineLevel="1" x14ac:dyDescent="0.2">
      <c r="A91" s="71" t="s">
        <v>246</v>
      </c>
      <c r="B91" s="71"/>
      <c r="C91" s="112"/>
      <c r="D91" s="295" t="s">
        <v>202</v>
      </c>
      <c r="E91" s="295" t="s">
        <v>202</v>
      </c>
      <c r="F91" s="295" t="s">
        <v>202</v>
      </c>
      <c r="G91" s="295">
        <v>1070</v>
      </c>
      <c r="H91" s="295">
        <v>936</v>
      </c>
      <c r="I91" s="71">
        <f>H91</f>
        <v>936</v>
      </c>
      <c r="J91" s="71">
        <f t="shared" ref="J91:M94" si="36">I91</f>
        <v>936</v>
      </c>
      <c r="K91" s="71">
        <f t="shared" si="36"/>
        <v>936</v>
      </c>
      <c r="L91" s="71">
        <f t="shared" si="36"/>
        <v>936</v>
      </c>
      <c r="M91" s="71">
        <f t="shared" si="36"/>
        <v>936</v>
      </c>
      <c r="N91" s="341"/>
      <c r="O91" s="341"/>
    </row>
    <row r="92" spans="1:15" ht="16" outlineLevel="1" x14ac:dyDescent="0.2">
      <c r="A92" s="71" t="s">
        <v>247</v>
      </c>
      <c r="B92" s="71"/>
      <c r="C92" s="112"/>
      <c r="D92" s="295">
        <v>2782</v>
      </c>
      <c r="E92" s="295">
        <v>2490</v>
      </c>
      <c r="F92" s="295">
        <v>3374</v>
      </c>
      <c r="G92" s="295">
        <v>2119</v>
      </c>
      <c r="H92" s="295">
        <v>2427</v>
      </c>
      <c r="I92" s="71">
        <f>H92</f>
        <v>2427</v>
      </c>
      <c r="J92" s="71">
        <f t="shared" si="36"/>
        <v>2427</v>
      </c>
      <c r="K92" s="71">
        <f t="shared" si="36"/>
        <v>2427</v>
      </c>
      <c r="L92" s="71">
        <f t="shared" si="36"/>
        <v>2427</v>
      </c>
      <c r="M92" s="71">
        <f t="shared" si="36"/>
        <v>2427</v>
      </c>
      <c r="N92" s="341"/>
    </row>
    <row r="93" spans="1:15" ht="16" outlineLevel="1" x14ac:dyDescent="0.2">
      <c r="A93" s="71" t="s">
        <v>248</v>
      </c>
      <c r="B93" s="71"/>
      <c r="C93" s="112"/>
      <c r="D93" s="295">
        <v>1255</v>
      </c>
      <c r="E93" s="295">
        <v>760</v>
      </c>
      <c r="F93" s="295">
        <v>728</v>
      </c>
      <c r="G93" s="295">
        <v>707</v>
      </c>
      <c r="H93" s="295">
        <v>650</v>
      </c>
      <c r="I93" s="71">
        <f>H93</f>
        <v>650</v>
      </c>
      <c r="J93" s="71">
        <f t="shared" si="36"/>
        <v>650</v>
      </c>
      <c r="K93" s="71">
        <f t="shared" si="36"/>
        <v>650</v>
      </c>
      <c r="L93" s="71">
        <f t="shared" si="36"/>
        <v>650</v>
      </c>
      <c r="M93" s="71">
        <f t="shared" si="36"/>
        <v>650</v>
      </c>
      <c r="N93" s="341"/>
    </row>
    <row r="94" spans="1:15" ht="16" outlineLevel="1" x14ac:dyDescent="0.2">
      <c r="A94" s="71" t="s">
        <v>249</v>
      </c>
      <c r="B94" s="71"/>
      <c r="C94" s="78"/>
      <c r="D94" s="295">
        <v>554</v>
      </c>
      <c r="E94" s="295">
        <v>757</v>
      </c>
      <c r="F94" s="295">
        <v>1078</v>
      </c>
      <c r="G94" s="295">
        <v>1390</v>
      </c>
      <c r="H94" s="295">
        <v>1701</v>
      </c>
      <c r="I94" s="71">
        <f>H94</f>
        <v>1701</v>
      </c>
      <c r="J94" s="71">
        <f t="shared" si="36"/>
        <v>1701</v>
      </c>
      <c r="K94" s="71">
        <f t="shared" si="36"/>
        <v>1701</v>
      </c>
      <c r="L94" s="71">
        <f t="shared" si="36"/>
        <v>1701</v>
      </c>
      <c r="M94" s="71">
        <f t="shared" si="36"/>
        <v>1701</v>
      </c>
      <c r="N94" s="341"/>
    </row>
    <row r="95" spans="1:15" ht="16" outlineLevel="1" x14ac:dyDescent="0.2">
      <c r="A95" s="114" t="s">
        <v>103</v>
      </c>
      <c r="B95" s="114"/>
      <c r="C95" s="115"/>
      <c r="D95" s="116">
        <f>SUM(D89:D94)+D87</f>
        <v>12948</v>
      </c>
      <c r="E95" s="116">
        <f>SUM(E89:E94)+E87</f>
        <v>13954</v>
      </c>
      <c r="F95" s="116">
        <f>SUM(F89:F94)+F87</f>
        <v>14845</v>
      </c>
      <c r="G95" s="116">
        <f>SUM(G89:G94)+G87</f>
        <v>15469</v>
      </c>
      <c r="H95" s="116">
        <f>SUM(H89:H94)+H87</f>
        <v>16390</v>
      </c>
      <c r="I95" s="116">
        <f>SUM(I89:I94)+I87</f>
        <v>15497.258836942077</v>
      </c>
      <c r="J95" s="116">
        <f>SUM(J89:J94)+J87</f>
        <v>15403.698836942078</v>
      </c>
      <c r="K95" s="116">
        <f>SUM(K89:K94)+K87</f>
        <v>15117.626836942078</v>
      </c>
      <c r="L95" s="116">
        <f>SUM(L89:L94)+L87</f>
        <v>14920.540436942079</v>
      </c>
      <c r="M95" s="116">
        <f>SUM(M89:M94)+M87</f>
        <v>14715.036756942078</v>
      </c>
      <c r="N95" s="341"/>
    </row>
    <row r="96" spans="1:15" ht="16" outlineLevel="1" x14ac:dyDescent="0.2">
      <c r="A96" s="85" t="s">
        <v>104</v>
      </c>
      <c r="B96" s="71"/>
      <c r="C96" s="78"/>
      <c r="D96" s="104"/>
      <c r="E96" s="104"/>
      <c r="F96" s="104"/>
      <c r="G96" s="104"/>
      <c r="H96" s="104"/>
      <c r="I96" s="71"/>
      <c r="J96" s="71"/>
      <c r="K96" s="71"/>
      <c r="L96" s="71"/>
      <c r="M96" s="71"/>
      <c r="N96" s="341"/>
    </row>
    <row r="97" spans="1:14" ht="16" outlineLevel="1" x14ac:dyDescent="0.2">
      <c r="A97" s="71" t="s">
        <v>250</v>
      </c>
      <c r="B97" s="71"/>
      <c r="C97" s="78"/>
      <c r="D97" s="104">
        <v>808</v>
      </c>
      <c r="E97" s="104">
        <v>808</v>
      </c>
      <c r="F97" s="104">
        <v>808</v>
      </c>
      <c r="G97" s="104">
        <v>808</v>
      </c>
      <c r="H97" s="104">
        <v>808</v>
      </c>
      <c r="I97" s="71">
        <f>H97</f>
        <v>808</v>
      </c>
      <c r="J97" s="71">
        <f t="shared" ref="J97:M98" si="37">I97</f>
        <v>808</v>
      </c>
      <c r="K97" s="71">
        <f t="shared" si="37"/>
        <v>808</v>
      </c>
      <c r="L97" s="71">
        <f t="shared" si="37"/>
        <v>808</v>
      </c>
      <c r="M97" s="71">
        <f t="shared" si="37"/>
        <v>808</v>
      </c>
      <c r="N97" s="341"/>
    </row>
    <row r="98" spans="1:14" ht="16" outlineLevel="1" x14ac:dyDescent="0.2">
      <c r="A98" s="71" t="s">
        <v>251</v>
      </c>
      <c r="B98" s="71"/>
      <c r="C98" s="78"/>
      <c r="D98" s="104">
        <v>1315</v>
      </c>
      <c r="E98" s="104">
        <v>1374</v>
      </c>
      <c r="F98" s="104">
        <v>1410</v>
      </c>
      <c r="G98" s="104">
        <v>1451</v>
      </c>
      <c r="H98" s="104">
        <v>1510</v>
      </c>
      <c r="I98" s="71">
        <f>H98</f>
        <v>1510</v>
      </c>
      <c r="J98" s="71">
        <f t="shared" si="37"/>
        <v>1510</v>
      </c>
      <c r="K98" s="71">
        <f t="shared" si="37"/>
        <v>1510</v>
      </c>
      <c r="L98" s="71">
        <f t="shared" si="37"/>
        <v>1510</v>
      </c>
      <c r="M98" s="71">
        <f t="shared" si="37"/>
        <v>1510</v>
      </c>
      <c r="N98" s="341"/>
    </row>
    <row r="99" spans="1:14" ht="16" outlineLevel="1" x14ac:dyDescent="0.2">
      <c r="A99" s="71" t="s">
        <v>252</v>
      </c>
      <c r="B99" s="71"/>
      <c r="C99" s="78"/>
      <c r="D99" s="104">
        <v>-2026</v>
      </c>
      <c r="E99" s="104">
        <v>-3182</v>
      </c>
      <c r="F99" s="104">
        <v>-4872</v>
      </c>
      <c r="G99" s="104">
        <v>-6462</v>
      </c>
      <c r="H99" s="104">
        <v>-8452</v>
      </c>
      <c r="I99" s="71">
        <f>H99+I139</f>
        <v>-8952</v>
      </c>
      <c r="J99" s="71">
        <f t="shared" ref="J99:M99" si="38">I99+J139</f>
        <v>-9452</v>
      </c>
      <c r="K99" s="71">
        <f t="shared" si="38"/>
        <v>-9952</v>
      </c>
      <c r="L99" s="71">
        <f t="shared" si="38"/>
        <v>-10452</v>
      </c>
      <c r="M99" s="71">
        <f t="shared" si="38"/>
        <v>-10952</v>
      </c>
      <c r="N99" s="341"/>
    </row>
    <row r="100" spans="1:14" ht="16" outlineLevel="1" x14ac:dyDescent="0.2">
      <c r="A100" s="71" t="s">
        <v>253</v>
      </c>
      <c r="B100" s="71"/>
      <c r="C100" s="78"/>
      <c r="D100" s="104">
        <v>7416</v>
      </c>
      <c r="E100" s="104">
        <v>9409</v>
      </c>
      <c r="F100" s="104">
        <v>11418</v>
      </c>
      <c r="G100" s="104">
        <v>13832</v>
      </c>
      <c r="H100" s="104">
        <v>15967</v>
      </c>
      <c r="I100" s="71">
        <f>H100+I111+I140</f>
        <v>18850.162497000001</v>
      </c>
      <c r="J100" s="71">
        <f t="shared" ref="J100:M100" si="39">I100+J111+J140</f>
        <v>21733.324994000002</v>
      </c>
      <c r="K100" s="71">
        <f t="shared" si="39"/>
        <v>24616.487491000004</v>
      </c>
      <c r="L100" s="71">
        <f t="shared" si="39"/>
        <v>27499.649988000005</v>
      </c>
      <c r="M100" s="71">
        <f t="shared" si="39"/>
        <v>30382.812485000006</v>
      </c>
      <c r="N100" s="341"/>
    </row>
    <row r="101" spans="1:14" ht="16" outlineLevel="1" x14ac:dyDescent="0.2">
      <c r="A101" s="71" t="s">
        <v>254</v>
      </c>
      <c r="B101" s="71"/>
      <c r="C101" s="78"/>
      <c r="D101" s="104">
        <v>-738</v>
      </c>
      <c r="E101" s="104">
        <v>-1051</v>
      </c>
      <c r="F101" s="104">
        <v>-323</v>
      </c>
      <c r="G101" s="104">
        <v>12</v>
      </c>
      <c r="H101" s="104">
        <v>20</v>
      </c>
      <c r="I101" s="71">
        <f>H101</f>
        <v>20</v>
      </c>
      <c r="J101" s="71">
        <f t="shared" ref="J101:M101" si="40">I101</f>
        <v>20</v>
      </c>
      <c r="K101" s="71">
        <f t="shared" si="40"/>
        <v>20</v>
      </c>
      <c r="L101" s="71">
        <f t="shared" si="40"/>
        <v>20</v>
      </c>
      <c r="M101" s="71">
        <f t="shared" si="40"/>
        <v>20</v>
      </c>
      <c r="N101" s="341"/>
    </row>
    <row r="102" spans="1:14" ht="16" outlineLevel="1" x14ac:dyDescent="0.2">
      <c r="A102" s="114" t="s">
        <v>255</v>
      </c>
      <c r="B102" s="114"/>
      <c r="C102" s="115"/>
      <c r="D102" s="116">
        <f>SUM(D97:D101)</f>
        <v>6775</v>
      </c>
      <c r="E102" s="116">
        <f t="shared" ref="E102:M102" si="41">SUM(E97:E101)</f>
        <v>7358</v>
      </c>
      <c r="F102" s="116">
        <f t="shared" si="41"/>
        <v>8441</v>
      </c>
      <c r="G102" s="116">
        <f t="shared" si="41"/>
        <v>9641</v>
      </c>
      <c r="H102" s="116">
        <f t="shared" si="41"/>
        <v>9853</v>
      </c>
      <c r="I102" s="116">
        <f t="shared" si="41"/>
        <v>12236.162497000001</v>
      </c>
      <c r="J102" s="116">
        <f t="shared" si="41"/>
        <v>14619.324994000002</v>
      </c>
      <c r="K102" s="116">
        <f t="shared" si="41"/>
        <v>17002.487491000004</v>
      </c>
      <c r="L102" s="116">
        <f t="shared" si="41"/>
        <v>19385.649988000005</v>
      </c>
      <c r="M102" s="116">
        <f t="shared" si="41"/>
        <v>21768.812485000006</v>
      </c>
      <c r="N102" s="341"/>
    </row>
    <row r="103" spans="1:14" ht="17" outlineLevel="1" thickBot="1" x14ac:dyDescent="0.25">
      <c r="A103" s="109" t="s">
        <v>107</v>
      </c>
      <c r="B103" s="109"/>
      <c r="C103" s="110"/>
      <c r="D103" s="111">
        <f>D95+D102</f>
        <v>19723</v>
      </c>
      <c r="E103" s="111">
        <f t="shared" ref="E103:M103" si="42">E95+E102</f>
        <v>21312</v>
      </c>
      <c r="F103" s="111">
        <f t="shared" si="42"/>
        <v>23286</v>
      </c>
      <c r="G103" s="111">
        <f t="shared" si="42"/>
        <v>25110</v>
      </c>
      <c r="H103" s="111">
        <f t="shared" si="42"/>
        <v>26243</v>
      </c>
      <c r="I103" s="111">
        <f t="shared" si="42"/>
        <v>27733.421333942078</v>
      </c>
      <c r="J103" s="111">
        <f t="shared" si="42"/>
        <v>30023.023830942082</v>
      </c>
      <c r="K103" s="111">
        <f t="shared" si="42"/>
        <v>32120.114327942079</v>
      </c>
      <c r="L103" s="111">
        <f t="shared" si="42"/>
        <v>34306.190424942084</v>
      </c>
      <c r="M103" s="111">
        <f t="shared" si="42"/>
        <v>36483.84924194208</v>
      </c>
      <c r="N103" s="341"/>
    </row>
    <row r="104" spans="1:14" ht="17" outlineLevel="1" thickTop="1" x14ac:dyDescent="0.2">
      <c r="A104" s="71"/>
      <c r="B104" s="71"/>
      <c r="C104" s="78"/>
      <c r="D104" s="104"/>
      <c r="E104" s="104"/>
      <c r="F104" s="104"/>
      <c r="G104" s="104"/>
      <c r="H104" s="104"/>
      <c r="I104" s="71"/>
      <c r="J104" s="71"/>
      <c r="K104" s="71"/>
      <c r="L104" s="71"/>
      <c r="M104" s="71"/>
    </row>
    <row r="105" spans="1:14" ht="16" outlineLevel="1" x14ac:dyDescent="0.2">
      <c r="A105" s="117" t="s">
        <v>108</v>
      </c>
      <c r="B105" s="118"/>
      <c r="C105" s="119"/>
      <c r="D105" s="118">
        <f>D103-D80</f>
        <v>0</v>
      </c>
      <c r="E105" s="118">
        <f>E103-E80</f>
        <v>0</v>
      </c>
      <c r="F105" s="118">
        <f>F103-F80</f>
        <v>0</v>
      </c>
      <c r="G105" s="118">
        <f>G103-G80</f>
        <v>0</v>
      </c>
      <c r="H105" s="118">
        <f>H103-H80</f>
        <v>0</v>
      </c>
      <c r="I105" s="118">
        <f>I103-I80</f>
        <v>0</v>
      </c>
      <c r="J105" s="118">
        <f>J103-J80</f>
        <v>0</v>
      </c>
      <c r="K105" s="118">
        <f>K103-K80</f>
        <v>0</v>
      </c>
      <c r="L105" s="118">
        <f>L103-L80</f>
        <v>0</v>
      </c>
      <c r="M105" s="118">
        <f>M103-M80</f>
        <v>0</v>
      </c>
    </row>
    <row r="106" spans="1:14" ht="16" outlineLevel="1" x14ac:dyDescent="0.2">
      <c r="A106" s="118"/>
      <c r="B106" s="118"/>
      <c r="C106" s="119"/>
      <c r="D106" s="118"/>
      <c r="E106" s="118"/>
      <c r="F106" s="118"/>
      <c r="G106" s="118"/>
      <c r="H106" s="118"/>
      <c r="I106" s="118"/>
      <c r="J106" s="118"/>
      <c r="K106" s="118"/>
      <c r="L106" s="118"/>
      <c r="M106" s="118"/>
      <c r="N106" s="118"/>
    </row>
    <row r="107" spans="1:14" ht="16" x14ac:dyDescent="0.2">
      <c r="A107" s="71"/>
      <c r="B107" s="71"/>
      <c r="C107" s="78"/>
      <c r="D107" s="104"/>
      <c r="E107" s="104"/>
      <c r="F107" s="104"/>
      <c r="G107" s="104"/>
      <c r="H107" s="104"/>
      <c r="I107" s="71"/>
      <c r="J107" s="71"/>
      <c r="K107" s="71"/>
      <c r="L107" s="71"/>
      <c r="M107" s="71"/>
    </row>
    <row r="108" spans="1:14" ht="20" x14ac:dyDescent="0.2">
      <c r="A108" s="80" t="s">
        <v>109</v>
      </c>
      <c r="B108" s="81"/>
      <c r="C108" s="82"/>
      <c r="D108" s="81"/>
      <c r="E108" s="81"/>
      <c r="F108" s="81"/>
      <c r="G108" s="81"/>
      <c r="H108" s="81"/>
      <c r="I108" s="81"/>
      <c r="J108" s="81"/>
      <c r="K108" s="81"/>
      <c r="L108" s="81"/>
      <c r="M108" s="81"/>
    </row>
    <row r="109" spans="1:14" ht="16" outlineLevel="1" x14ac:dyDescent="0.2">
      <c r="A109" s="85"/>
      <c r="B109" s="71"/>
      <c r="C109" s="78"/>
      <c r="D109" s="98"/>
      <c r="E109" s="104"/>
      <c r="F109" s="104"/>
      <c r="G109" s="104"/>
      <c r="H109" s="104"/>
      <c r="I109" s="71"/>
      <c r="J109" s="71"/>
      <c r="K109" s="71"/>
      <c r="L109" s="71"/>
      <c r="M109" s="71"/>
    </row>
    <row r="110" spans="1:14" ht="16" outlineLevel="1" x14ac:dyDescent="0.2">
      <c r="A110" s="85" t="s">
        <v>110</v>
      </c>
      <c r="B110" s="71"/>
      <c r="C110" s="78"/>
      <c r="D110" s="104"/>
      <c r="E110" s="104"/>
      <c r="F110" s="104"/>
      <c r="G110" s="104"/>
      <c r="H110" s="104"/>
      <c r="I110" s="71"/>
      <c r="J110" s="71"/>
      <c r="K110" s="71"/>
      <c r="L110" s="71"/>
      <c r="M110" s="71"/>
    </row>
    <row r="111" spans="1:14" ht="16" outlineLevel="1" x14ac:dyDescent="0.2">
      <c r="A111" s="71" t="s">
        <v>92</v>
      </c>
      <c r="B111" s="71"/>
      <c r="C111" s="78"/>
      <c r="D111" s="295">
        <f>D58</f>
        <v>1136</v>
      </c>
      <c r="E111" s="295">
        <f>E58</f>
        <v>2181</v>
      </c>
      <c r="F111" s="295">
        <f>F58</f>
        <v>2183</v>
      </c>
      <c r="G111" s="295">
        <f>G58</f>
        <v>3357</v>
      </c>
      <c r="H111" s="295">
        <f>H58</f>
        <v>2465</v>
      </c>
      <c r="I111" s="295">
        <f>I58</f>
        <v>3223.1624970000012</v>
      </c>
      <c r="J111" s="295">
        <f t="shared" ref="J111:M111" si="43">J58</f>
        <v>3223.1624970000012</v>
      </c>
      <c r="K111" s="295">
        <f t="shared" si="43"/>
        <v>3223.1624970000012</v>
      </c>
      <c r="L111" s="295">
        <f t="shared" si="43"/>
        <v>3223.1624970000012</v>
      </c>
      <c r="M111" s="295">
        <f t="shared" si="43"/>
        <v>3223.1624970000012</v>
      </c>
    </row>
    <row r="112" spans="1:14" ht="16" outlineLevel="1" x14ac:dyDescent="0.2">
      <c r="A112" s="71" t="s">
        <v>211</v>
      </c>
      <c r="B112" s="71"/>
      <c r="C112" s="78"/>
      <c r="D112" s="295">
        <v>938</v>
      </c>
      <c r="E112" s="295">
        <v>1015</v>
      </c>
      <c r="F112" s="295">
        <v>1221</v>
      </c>
      <c r="G112" s="295">
        <v>1218</v>
      </c>
      <c r="H112" s="295">
        <v>1201</v>
      </c>
      <c r="I112" s="300">
        <f>I165</f>
        <v>0</v>
      </c>
      <c r="J112" s="300">
        <f t="shared" ref="J112:M112" si="44">J165</f>
        <v>0</v>
      </c>
      <c r="K112" s="300">
        <f t="shared" si="44"/>
        <v>0</v>
      </c>
      <c r="L112" s="300">
        <f t="shared" si="44"/>
        <v>0</v>
      </c>
      <c r="M112" s="300">
        <f t="shared" si="44"/>
        <v>0</v>
      </c>
    </row>
    <row r="113" spans="1:13" ht="16" outlineLevel="1" x14ac:dyDescent="0.2">
      <c r="A113" s="71" t="s">
        <v>256</v>
      </c>
      <c r="B113" s="71"/>
      <c r="C113" s="78"/>
      <c r="D113" s="295">
        <v>0</v>
      </c>
      <c r="E113" s="295">
        <v>0</v>
      </c>
      <c r="F113" s="295">
        <v>21</v>
      </c>
      <c r="G113" s="295">
        <v>0</v>
      </c>
      <c r="H113" s="295">
        <v>0</v>
      </c>
      <c r="I113" s="300"/>
      <c r="J113" s="300"/>
      <c r="K113" s="300"/>
      <c r="L113" s="300"/>
      <c r="M113" s="300"/>
    </row>
    <row r="114" spans="1:13" ht="16" outlineLevel="1" x14ac:dyDescent="0.2">
      <c r="A114" s="71" t="s">
        <v>247</v>
      </c>
      <c r="B114" s="71"/>
      <c r="C114" s="78"/>
      <c r="D114" s="295">
        <v>501</v>
      </c>
      <c r="E114" s="295">
        <v>-109</v>
      </c>
      <c r="F114" s="295">
        <v>419</v>
      </c>
      <c r="G114" s="295">
        <v>-1066</v>
      </c>
      <c r="H114" s="295">
        <v>301</v>
      </c>
      <c r="I114" s="300"/>
      <c r="J114" s="300"/>
      <c r="K114" s="300"/>
      <c r="L114" s="300"/>
      <c r="M114" s="300"/>
    </row>
    <row r="115" spans="1:13" ht="16" outlineLevel="1" x14ac:dyDescent="0.2">
      <c r="A115" s="71" t="s">
        <v>257</v>
      </c>
      <c r="B115" s="71"/>
      <c r="C115" s="78"/>
      <c r="D115" s="295">
        <v>-277</v>
      </c>
      <c r="E115" s="295">
        <v>-462</v>
      </c>
      <c r="F115" s="295">
        <v>-165</v>
      </c>
      <c r="G115" s="295">
        <v>-121</v>
      </c>
      <c r="H115" s="295">
        <v>14</v>
      </c>
      <c r="I115" s="300">
        <f>-( I157-H157)</f>
        <v>461</v>
      </c>
      <c r="J115" s="300">
        <f t="shared" ref="J115:M115" si="45">-( J157-I157)</f>
        <v>0</v>
      </c>
      <c r="K115" s="300">
        <f t="shared" si="45"/>
        <v>0</v>
      </c>
      <c r="L115" s="300">
        <f t="shared" si="45"/>
        <v>0</v>
      </c>
      <c r="M115" s="300">
        <f t="shared" si="45"/>
        <v>0</v>
      </c>
    </row>
    <row r="116" spans="1:13" ht="16" outlineLevel="1" x14ac:dyDescent="0.2">
      <c r="A116" s="71" t="s">
        <v>236</v>
      </c>
      <c r="B116" s="71"/>
      <c r="C116" s="78"/>
      <c r="D116" s="295">
        <v>142</v>
      </c>
      <c r="E116" s="295">
        <v>103</v>
      </c>
      <c r="F116" s="295">
        <v>-119</v>
      </c>
      <c r="G116" s="295">
        <v>-262</v>
      </c>
      <c r="H116" s="295">
        <v>-227</v>
      </c>
      <c r="I116" s="300">
        <f>I78-H78</f>
        <v>0</v>
      </c>
      <c r="J116" s="300">
        <f t="shared" ref="J116:M116" si="46">J78-I78</f>
        <v>0</v>
      </c>
      <c r="K116" s="300">
        <f t="shared" si="46"/>
        <v>0</v>
      </c>
      <c r="L116" s="300">
        <f t="shared" si="46"/>
        <v>0</v>
      </c>
      <c r="M116" s="300">
        <f t="shared" si="46"/>
        <v>0</v>
      </c>
    </row>
    <row r="117" spans="1:13" ht="16" outlineLevel="1" x14ac:dyDescent="0.2">
      <c r="A117" s="71" t="s">
        <v>258</v>
      </c>
      <c r="B117" s="71"/>
      <c r="C117" s="78"/>
      <c r="D117" s="295">
        <v>279</v>
      </c>
      <c r="E117" s="295">
        <v>113</v>
      </c>
      <c r="F117" s="295" t="s">
        <v>202</v>
      </c>
      <c r="G117" s="295" t="s">
        <v>202</v>
      </c>
      <c r="H117" s="295" t="s">
        <v>202</v>
      </c>
      <c r="I117" s="300"/>
      <c r="J117" s="300"/>
      <c r="K117" s="300"/>
      <c r="L117" s="300"/>
      <c r="M117" s="300"/>
    </row>
    <row r="118" spans="1:13" ht="16" outlineLevel="1" x14ac:dyDescent="0.2">
      <c r="A118" s="71" t="s">
        <v>259</v>
      </c>
      <c r="B118" s="71"/>
      <c r="C118" s="78"/>
      <c r="D118" s="295" t="s">
        <v>202</v>
      </c>
      <c r="E118" s="295" t="s">
        <v>202</v>
      </c>
      <c r="F118" s="295">
        <v>-200</v>
      </c>
      <c r="G118" s="295">
        <v>-50</v>
      </c>
      <c r="H118" s="295">
        <v>-14</v>
      </c>
      <c r="I118" s="300"/>
      <c r="J118" s="300"/>
      <c r="K118" s="300"/>
      <c r="L118" s="300"/>
      <c r="M118" s="300"/>
    </row>
    <row r="119" spans="1:13" ht="16" outlineLevel="1" x14ac:dyDescent="0.2">
      <c r="A119" s="71" t="s">
        <v>260</v>
      </c>
      <c r="B119" s="71"/>
      <c r="C119" s="78"/>
      <c r="D119" s="295" t="s">
        <v>202</v>
      </c>
      <c r="E119" s="295" t="s">
        <v>202</v>
      </c>
      <c r="F119" s="295" t="s">
        <v>202</v>
      </c>
      <c r="G119" s="295">
        <v>63</v>
      </c>
      <c r="H119" s="295" t="s">
        <v>202</v>
      </c>
      <c r="I119" s="300"/>
      <c r="J119" s="300"/>
      <c r="K119" s="300"/>
      <c r="L119" s="300"/>
      <c r="M119" s="300"/>
    </row>
    <row r="120" spans="1:13" ht="16" outlineLevel="1" x14ac:dyDescent="0.2">
      <c r="A120" s="71" t="s">
        <v>261</v>
      </c>
      <c r="B120" s="71"/>
      <c r="C120" s="78"/>
      <c r="D120" s="295">
        <v>54</v>
      </c>
      <c r="E120" s="295">
        <v>-88</v>
      </c>
      <c r="F120" s="295">
        <v>-50</v>
      </c>
      <c r="G120" s="295">
        <v>-102</v>
      </c>
      <c r="H120" s="295">
        <v>117</v>
      </c>
      <c r="I120" s="300">
        <f>H66-I66</f>
        <v>-33.96804212328766</v>
      </c>
      <c r="J120" s="300">
        <f t="shared" ref="J120:M120" si="47">I66-J66</f>
        <v>0</v>
      </c>
      <c r="K120" s="300">
        <f t="shared" si="47"/>
        <v>0</v>
      </c>
      <c r="L120" s="300">
        <f t="shared" si="47"/>
        <v>0</v>
      </c>
      <c r="M120" s="300">
        <f t="shared" si="47"/>
        <v>0</v>
      </c>
    </row>
    <row r="121" spans="1:13" ht="16" outlineLevel="1" x14ac:dyDescent="0.2">
      <c r="A121" s="71" t="s">
        <v>262</v>
      </c>
      <c r="B121" s="71"/>
      <c r="C121" s="78"/>
      <c r="D121" s="295">
        <v>36</v>
      </c>
      <c r="E121" s="295">
        <v>961</v>
      </c>
      <c r="F121" s="295">
        <v>221</v>
      </c>
      <c r="G121" s="295">
        <v>233</v>
      </c>
      <c r="H121" s="295">
        <v>545</v>
      </c>
      <c r="I121" s="300">
        <f>SUM(I83:I84)-SUM(H83:H84)</f>
        <v>165.05883694207751</v>
      </c>
      <c r="J121" s="300">
        <f t="shared" ref="J121:M121" si="48">SUM(J83:J84)-SUM(I83:I84)</f>
        <v>70.600000000000364</v>
      </c>
      <c r="K121" s="300">
        <f t="shared" si="48"/>
        <v>-120.48000000000002</v>
      </c>
      <c r="L121" s="300">
        <f t="shared" si="48"/>
        <v>-23.375999999999749</v>
      </c>
      <c r="M121" s="300">
        <f t="shared" si="48"/>
        <v>28.948799999999665</v>
      </c>
    </row>
    <row r="122" spans="1:13" ht="16" outlineLevel="1" x14ac:dyDescent="0.2">
      <c r="A122" s="71" t="s">
        <v>263</v>
      </c>
      <c r="B122" s="71"/>
      <c r="C122" s="78"/>
      <c r="D122" s="295">
        <v>326</v>
      </c>
      <c r="E122" s="295">
        <v>94</v>
      </c>
      <c r="F122" s="295">
        <v>227</v>
      </c>
      <c r="G122" s="295">
        <v>343</v>
      </c>
      <c r="H122" s="295">
        <v>506</v>
      </c>
      <c r="I122" s="300">
        <f>I86-H86</f>
        <v>-807.80000000000018</v>
      </c>
      <c r="J122" s="300">
        <f t="shared" ref="J122:M122" si="49">J86-I86</f>
        <v>85.840000000000146</v>
      </c>
      <c r="K122" s="300">
        <f t="shared" si="49"/>
        <v>84.408000000000357</v>
      </c>
      <c r="L122" s="300">
        <f t="shared" si="49"/>
        <v>76.289600000000064</v>
      </c>
      <c r="M122" s="300">
        <f t="shared" si="49"/>
        <v>15.547520000000077</v>
      </c>
    </row>
    <row r="123" spans="1:13" ht="16" outlineLevel="1" x14ac:dyDescent="0.2">
      <c r="A123" s="71" t="s">
        <v>264</v>
      </c>
      <c r="B123" s="71"/>
      <c r="C123" s="78"/>
      <c r="D123" s="295">
        <v>-233</v>
      </c>
      <c r="E123" s="295">
        <v>-570</v>
      </c>
      <c r="F123" s="295">
        <v>535</v>
      </c>
      <c r="G123" s="295">
        <v>316</v>
      </c>
      <c r="H123" s="295">
        <v>-15</v>
      </c>
      <c r="I123" s="300"/>
      <c r="J123" s="300"/>
      <c r="K123" s="300"/>
      <c r="L123" s="300"/>
      <c r="M123" s="300"/>
    </row>
    <row r="124" spans="1:13" ht="16" outlineLevel="1" x14ac:dyDescent="0.2">
      <c r="A124" s="87" t="s">
        <v>113</v>
      </c>
      <c r="B124" s="86"/>
      <c r="C124" s="120"/>
      <c r="D124" s="301">
        <f>SUM(D111:D123)</f>
        <v>2902</v>
      </c>
      <c r="E124" s="301">
        <f t="shared" ref="E124:M124" si="50">SUM(E111:E123)</f>
        <v>3238</v>
      </c>
      <c r="F124" s="301">
        <f t="shared" si="50"/>
        <v>4293</v>
      </c>
      <c r="G124" s="301">
        <f t="shared" si="50"/>
        <v>3929</v>
      </c>
      <c r="H124" s="301">
        <f t="shared" si="50"/>
        <v>4893</v>
      </c>
      <c r="I124" s="301">
        <f>SUM(I111:I123)</f>
        <v>3007.4532918187906</v>
      </c>
      <c r="J124" s="301">
        <f t="shared" si="50"/>
        <v>3379.6024970000017</v>
      </c>
      <c r="K124" s="301">
        <f t="shared" si="50"/>
        <v>3187.0904970000015</v>
      </c>
      <c r="L124" s="301">
        <f t="shared" si="50"/>
        <v>3276.0760970000015</v>
      </c>
      <c r="M124" s="301">
        <f t="shared" si="50"/>
        <v>3267.6588170000009</v>
      </c>
    </row>
    <row r="125" spans="1:13" ht="16" outlineLevel="1" x14ac:dyDescent="0.2">
      <c r="A125" s="96"/>
      <c r="B125" s="89"/>
      <c r="C125" s="90"/>
      <c r="D125" s="302"/>
      <c r="E125" s="302"/>
      <c r="F125" s="302"/>
      <c r="G125" s="302"/>
      <c r="H125" s="302"/>
      <c r="I125" s="96"/>
      <c r="J125" s="96"/>
      <c r="K125" s="96"/>
      <c r="L125" s="96"/>
      <c r="M125" s="96"/>
    </row>
    <row r="126" spans="1:13" ht="16" outlineLevel="1" x14ac:dyDescent="0.2">
      <c r="A126" s="85" t="s">
        <v>114</v>
      </c>
      <c r="B126" s="71"/>
      <c r="C126" s="78"/>
      <c r="D126" s="296"/>
      <c r="E126" s="296"/>
      <c r="F126" s="296"/>
      <c r="G126" s="296"/>
      <c r="H126" s="296"/>
      <c r="I126" s="89"/>
      <c r="J126" s="89"/>
      <c r="K126" s="89"/>
      <c r="L126" s="89"/>
      <c r="M126" s="89"/>
    </row>
    <row r="127" spans="1:13" ht="16" outlineLevel="1" x14ac:dyDescent="0.2">
      <c r="A127" s="71" t="s">
        <v>257</v>
      </c>
      <c r="B127" s="71"/>
      <c r="C127" s="78"/>
      <c r="D127" s="296">
        <v>-4</v>
      </c>
      <c r="E127" s="296">
        <v>-7</v>
      </c>
      <c r="F127" s="296" t="s">
        <v>202</v>
      </c>
      <c r="G127" s="296" t="s">
        <v>202</v>
      </c>
      <c r="H127" s="296">
        <v>5</v>
      </c>
      <c r="I127" s="89"/>
      <c r="J127" s="89"/>
      <c r="K127" s="89"/>
      <c r="L127" s="89"/>
      <c r="M127" s="89"/>
    </row>
    <row r="128" spans="1:13" ht="16" outlineLevel="1" x14ac:dyDescent="0.2">
      <c r="A128" s="71" t="s">
        <v>265</v>
      </c>
      <c r="B128" s="71"/>
      <c r="C128" s="78"/>
      <c r="D128" s="296">
        <v>-1748</v>
      </c>
      <c r="E128" s="296">
        <v>-2041</v>
      </c>
      <c r="F128" s="296">
        <v>-2038</v>
      </c>
      <c r="G128" s="296">
        <v>-2123</v>
      </c>
      <c r="H128" s="296">
        <v>-1922</v>
      </c>
      <c r="I128" s="89">
        <f>-I29</f>
        <v>-2000</v>
      </c>
      <c r="J128" s="89">
        <f t="shared" ref="J128:M128" si="51">-J29</f>
        <v>-2000</v>
      </c>
      <c r="K128" s="89">
        <f t="shared" si="51"/>
        <v>-2000</v>
      </c>
      <c r="L128" s="89">
        <f t="shared" si="51"/>
        <v>-2000</v>
      </c>
      <c r="M128" s="89">
        <f t="shared" si="51"/>
        <v>-2000</v>
      </c>
    </row>
    <row r="129" spans="1:13" ht="16" outlineLevel="1" x14ac:dyDescent="0.2">
      <c r="A129" s="71" t="s">
        <v>234</v>
      </c>
      <c r="B129" s="71"/>
      <c r="C129" s="78"/>
      <c r="D129" s="296">
        <v>-80</v>
      </c>
      <c r="E129" s="296">
        <v>-102</v>
      </c>
      <c r="F129" s="296">
        <v>-109</v>
      </c>
      <c r="G129" s="296">
        <v>-126</v>
      </c>
      <c r="H129" s="296">
        <v>-54</v>
      </c>
      <c r="I129" s="89"/>
      <c r="J129" s="89"/>
      <c r="K129" s="89"/>
      <c r="L129" s="89"/>
      <c r="M129" s="89"/>
    </row>
    <row r="130" spans="1:13" ht="16" outlineLevel="1" x14ac:dyDescent="0.2">
      <c r="A130" s="71" t="s">
        <v>266</v>
      </c>
      <c r="B130" s="71"/>
      <c r="C130" s="78"/>
      <c r="D130" s="296">
        <v>-3080</v>
      </c>
      <c r="E130" s="296">
        <v>-1986</v>
      </c>
      <c r="F130" s="296">
        <v>-2388</v>
      </c>
      <c r="G130" s="296">
        <v>-2380</v>
      </c>
      <c r="H130" s="296">
        <v>-2409</v>
      </c>
      <c r="I130" s="89"/>
      <c r="J130" s="89"/>
      <c r="K130" s="89"/>
      <c r="L130" s="89"/>
      <c r="M130" s="89"/>
    </row>
    <row r="131" spans="1:13" ht="16" outlineLevel="1" x14ac:dyDescent="0.2">
      <c r="A131" s="71" t="s">
        <v>267</v>
      </c>
      <c r="B131" s="71"/>
      <c r="C131" s="78"/>
      <c r="D131" s="296">
        <v>3185</v>
      </c>
      <c r="E131" s="296">
        <v>2223</v>
      </c>
      <c r="F131" s="296">
        <v>2263</v>
      </c>
      <c r="G131" s="296">
        <v>2221</v>
      </c>
      <c r="H131" s="296">
        <v>2342</v>
      </c>
      <c r="I131" s="89"/>
      <c r="J131" s="89"/>
      <c r="K131" s="89"/>
      <c r="L131" s="89"/>
      <c r="M131" s="89"/>
    </row>
    <row r="132" spans="1:13" ht="16" outlineLevel="1" x14ac:dyDescent="0.2">
      <c r="A132" s="87" t="s">
        <v>116</v>
      </c>
      <c r="B132" s="86"/>
      <c r="C132" s="120"/>
      <c r="D132" s="301">
        <f>SUM(D127:D131)</f>
        <v>-1727</v>
      </c>
      <c r="E132" s="301">
        <f t="shared" ref="E132:M132" si="52">SUM(E127:E131)</f>
        <v>-1913</v>
      </c>
      <c r="F132" s="301">
        <f t="shared" si="52"/>
        <v>-2272</v>
      </c>
      <c r="G132" s="301">
        <f t="shared" si="52"/>
        <v>-2408</v>
      </c>
      <c r="H132" s="301">
        <f t="shared" si="52"/>
        <v>-2038</v>
      </c>
      <c r="I132" s="102">
        <f>SUM(I127:I131)</f>
        <v>-2000</v>
      </c>
      <c r="J132" s="102">
        <f t="shared" si="52"/>
        <v>-2000</v>
      </c>
      <c r="K132" s="102">
        <f t="shared" si="52"/>
        <v>-2000</v>
      </c>
      <c r="L132" s="102">
        <f t="shared" si="52"/>
        <v>-2000</v>
      </c>
      <c r="M132" s="102">
        <f t="shared" si="52"/>
        <v>-2000</v>
      </c>
    </row>
    <row r="133" spans="1:13" ht="16" outlineLevel="1" x14ac:dyDescent="0.2">
      <c r="A133" s="96"/>
      <c r="B133" s="89"/>
      <c r="C133" s="90"/>
      <c r="D133" s="302"/>
      <c r="E133" s="302"/>
      <c r="F133" s="302"/>
      <c r="G133" s="302"/>
      <c r="H133" s="302"/>
      <c r="I133" s="96"/>
      <c r="J133" s="96"/>
      <c r="K133" s="96"/>
      <c r="L133" s="96"/>
      <c r="M133" s="96"/>
    </row>
    <row r="134" spans="1:13" ht="16" outlineLevel="1" x14ac:dyDescent="0.2">
      <c r="A134" s="85" t="s">
        <v>117</v>
      </c>
      <c r="B134" s="71"/>
      <c r="C134" s="78"/>
      <c r="D134" s="296"/>
      <c r="E134" s="296"/>
      <c r="F134" s="296"/>
      <c r="G134" s="296"/>
      <c r="H134" s="296"/>
      <c r="I134" s="89"/>
      <c r="J134" s="89"/>
      <c r="K134" s="89"/>
      <c r="L134" s="89"/>
      <c r="M134" s="89"/>
    </row>
    <row r="135" spans="1:13" ht="16" outlineLevel="1" x14ac:dyDescent="0.2">
      <c r="A135" s="71" t="s">
        <v>268</v>
      </c>
      <c r="B135" s="71"/>
      <c r="C135" s="78"/>
      <c r="D135" s="296">
        <v>-561</v>
      </c>
      <c r="E135" s="296">
        <v>-213</v>
      </c>
      <c r="F135" s="296">
        <v>-523</v>
      </c>
      <c r="G135" s="296">
        <v>-592</v>
      </c>
      <c r="H135" s="296">
        <v>-342</v>
      </c>
      <c r="I135" s="303">
        <f>IF(I30&lt;0,I30,0)</f>
        <v>-250</v>
      </c>
      <c r="J135" s="303">
        <f t="shared" ref="J135:M135" si="53">IF(J30&lt;0,J30,0)</f>
        <v>-250</v>
      </c>
      <c r="K135" s="303">
        <f t="shared" si="53"/>
        <v>-250</v>
      </c>
      <c r="L135" s="303">
        <f t="shared" si="53"/>
        <v>-250</v>
      </c>
      <c r="M135" s="303">
        <f t="shared" si="53"/>
        <v>-250</v>
      </c>
    </row>
    <row r="136" spans="1:13" ht="16" outlineLevel="1" x14ac:dyDescent="0.2">
      <c r="A136" s="71" t="s">
        <v>269</v>
      </c>
      <c r="B136" s="71"/>
      <c r="C136" s="78"/>
      <c r="D136" s="296">
        <v>300</v>
      </c>
      <c r="E136" s="296">
        <v>500</v>
      </c>
      <c r="F136" s="296">
        <v>515</v>
      </c>
      <c r="G136" s="296">
        <v>600</v>
      </c>
      <c r="H136" s="296">
        <v>0</v>
      </c>
      <c r="I136" s="303">
        <f>IF(I30&gt;0,I30,0)</f>
        <v>0</v>
      </c>
      <c r="J136" s="303">
        <f t="shared" ref="J136:M136" si="54">IF(J30&gt;0,J30,0)</f>
        <v>0</v>
      </c>
      <c r="K136" s="303">
        <f t="shared" si="54"/>
        <v>0</v>
      </c>
      <c r="L136" s="303">
        <f t="shared" si="54"/>
        <v>0</v>
      </c>
      <c r="M136" s="303">
        <f t="shared" si="54"/>
        <v>0</v>
      </c>
    </row>
    <row r="137" spans="1:13" ht="16" outlineLevel="1" x14ac:dyDescent="0.2">
      <c r="A137" s="71" t="s">
        <v>270</v>
      </c>
      <c r="B137" s="71"/>
      <c r="C137" s="78"/>
      <c r="D137" s="296" t="s">
        <v>202</v>
      </c>
      <c r="E137" s="296" t="s">
        <v>202</v>
      </c>
      <c r="F137" s="296">
        <v>-68</v>
      </c>
      <c r="G137" s="296" t="s">
        <v>202</v>
      </c>
      <c r="H137" s="296" t="s">
        <v>202</v>
      </c>
      <c r="I137" s="303">
        <v>0</v>
      </c>
      <c r="J137" s="303">
        <v>0</v>
      </c>
      <c r="K137" s="303">
        <v>0</v>
      </c>
      <c r="L137" s="303">
        <v>0</v>
      </c>
      <c r="M137" s="303">
        <v>0</v>
      </c>
    </row>
    <row r="138" spans="1:13" ht="16" outlineLevel="1" x14ac:dyDescent="0.2">
      <c r="A138" s="71" t="s">
        <v>271</v>
      </c>
      <c r="B138" s="71"/>
      <c r="C138" s="78"/>
      <c r="D138" s="296">
        <v>110</v>
      </c>
      <c r="E138" s="296">
        <v>46</v>
      </c>
      <c r="F138" s="296">
        <v>29</v>
      </c>
      <c r="G138" s="296">
        <v>29</v>
      </c>
      <c r="H138" s="296">
        <v>35</v>
      </c>
      <c r="I138" s="303">
        <v>0</v>
      </c>
      <c r="J138" s="303">
        <v>0</v>
      </c>
      <c r="K138" s="303">
        <v>0</v>
      </c>
      <c r="L138" s="303">
        <v>0</v>
      </c>
      <c r="M138" s="303">
        <v>0</v>
      </c>
    </row>
    <row r="139" spans="1:13" ht="16" outlineLevel="1" x14ac:dyDescent="0.2">
      <c r="A139" s="71" t="s">
        <v>272</v>
      </c>
      <c r="B139" s="71"/>
      <c r="C139" s="78"/>
      <c r="D139" s="296">
        <v>-955</v>
      </c>
      <c r="E139" s="296">
        <v>-1180</v>
      </c>
      <c r="F139" s="296">
        <v>-1750</v>
      </c>
      <c r="G139" s="296">
        <v>-1600</v>
      </c>
      <c r="H139" s="296">
        <v>-2000</v>
      </c>
      <c r="I139" s="303">
        <f>IF(I31&lt;0,I31,0)</f>
        <v>-500</v>
      </c>
      <c r="J139" s="303">
        <f t="shared" ref="J139:M139" si="55">IF(J31&lt;0,J31,0)</f>
        <v>-500</v>
      </c>
      <c r="K139" s="303">
        <f t="shared" si="55"/>
        <v>-500</v>
      </c>
      <c r="L139" s="303">
        <f t="shared" si="55"/>
        <v>-500</v>
      </c>
      <c r="M139" s="303">
        <f t="shared" si="55"/>
        <v>-500</v>
      </c>
    </row>
    <row r="140" spans="1:13" ht="16" outlineLevel="1" x14ac:dyDescent="0.2">
      <c r="A140" s="71" t="s">
        <v>273</v>
      </c>
      <c r="B140" s="71"/>
      <c r="C140" s="78"/>
      <c r="D140" s="296">
        <v>-139</v>
      </c>
      <c r="E140" s="296">
        <v>-180</v>
      </c>
      <c r="F140" s="296">
        <v>-222</v>
      </c>
      <c r="G140" s="296">
        <v>-274</v>
      </c>
      <c r="H140" s="296">
        <v>-332</v>
      </c>
      <c r="I140" s="303">
        <f>-I32</f>
        <v>-340</v>
      </c>
      <c r="J140" s="303">
        <f t="shared" ref="J140:M140" si="56">-J32</f>
        <v>-340</v>
      </c>
      <c r="K140" s="303">
        <f t="shared" si="56"/>
        <v>-340</v>
      </c>
      <c r="L140" s="303">
        <f t="shared" si="56"/>
        <v>-340</v>
      </c>
      <c r="M140" s="303">
        <f t="shared" si="56"/>
        <v>-340</v>
      </c>
    </row>
    <row r="141" spans="1:13" ht="16" outlineLevel="1" x14ac:dyDescent="0.2">
      <c r="A141" s="71" t="s">
        <v>203</v>
      </c>
      <c r="B141" s="71"/>
      <c r="C141" s="78"/>
      <c r="D141" s="296">
        <v>-19</v>
      </c>
      <c r="E141" s="296">
        <v>-23</v>
      </c>
      <c r="F141" s="296">
        <v>-3</v>
      </c>
      <c r="G141" s="296">
        <v>15</v>
      </c>
      <c r="H141" s="296">
        <v>3</v>
      </c>
      <c r="I141" s="303"/>
      <c r="J141" s="303"/>
      <c r="K141" s="303"/>
      <c r="L141" s="303"/>
      <c r="M141" s="303"/>
    </row>
    <row r="142" spans="1:13" ht="16" outlineLevel="1" x14ac:dyDescent="0.2">
      <c r="A142" s="71" t="s">
        <v>274</v>
      </c>
      <c r="B142" s="71"/>
      <c r="C142" s="78"/>
      <c r="D142" s="296" t="s">
        <v>202</v>
      </c>
      <c r="E142" s="296">
        <v>12</v>
      </c>
      <c r="F142" s="296" t="s">
        <v>202</v>
      </c>
      <c r="G142" s="296" t="s">
        <v>202</v>
      </c>
      <c r="H142" s="296" t="s">
        <v>202</v>
      </c>
      <c r="I142" s="303"/>
      <c r="J142" s="303"/>
      <c r="K142" s="303"/>
      <c r="L142" s="303"/>
      <c r="M142" s="303"/>
    </row>
    <row r="143" spans="1:13" ht="16" outlineLevel="1" x14ac:dyDescent="0.2">
      <c r="A143" s="71" t="s">
        <v>275</v>
      </c>
      <c r="B143" s="71"/>
      <c r="C143" s="78"/>
      <c r="D143" s="296">
        <v>-11</v>
      </c>
      <c r="E143" s="296">
        <v>-10</v>
      </c>
      <c r="F143" s="296">
        <v>-9</v>
      </c>
      <c r="G143" s="296">
        <v>-10</v>
      </c>
      <c r="H143" s="296">
        <v>-30</v>
      </c>
      <c r="I143" s="303"/>
      <c r="J143" s="303"/>
      <c r="K143" s="303"/>
      <c r="L143" s="303"/>
      <c r="M143" s="303"/>
    </row>
    <row r="144" spans="1:13" ht="16" outlineLevel="1" x14ac:dyDescent="0.2">
      <c r="A144" s="71" t="s">
        <v>276</v>
      </c>
      <c r="B144" s="71"/>
      <c r="C144" s="78"/>
      <c r="D144" s="296">
        <v>27</v>
      </c>
      <c r="E144" s="296">
        <v>24</v>
      </c>
      <c r="F144" s="296">
        <v>107</v>
      </c>
      <c r="G144" s="296">
        <v>126</v>
      </c>
      <c r="H144" s="296">
        <v>170</v>
      </c>
      <c r="I144" s="303"/>
      <c r="J144" s="303"/>
      <c r="K144" s="303"/>
      <c r="L144" s="303"/>
      <c r="M144" s="303"/>
    </row>
    <row r="145" spans="1:13" ht="16" outlineLevel="1" x14ac:dyDescent="0.2">
      <c r="A145" s="87" t="s">
        <v>120</v>
      </c>
      <c r="B145" s="86"/>
      <c r="C145" s="120"/>
      <c r="D145" s="301">
        <f>SUM(D135:D144)</f>
        <v>-1248</v>
      </c>
      <c r="E145" s="301">
        <f t="shared" ref="E145:M145" si="57">SUM(E135:E144)</f>
        <v>-1024</v>
      </c>
      <c r="F145" s="301">
        <f t="shared" si="57"/>
        <v>-1924</v>
      </c>
      <c r="G145" s="301">
        <f t="shared" si="57"/>
        <v>-1706</v>
      </c>
      <c r="H145" s="301">
        <f t="shared" si="57"/>
        <v>-2496</v>
      </c>
      <c r="I145" s="301">
        <f>SUM(I135:I144)</f>
        <v>-1090</v>
      </c>
      <c r="J145" s="301">
        <f t="shared" si="57"/>
        <v>-1090</v>
      </c>
      <c r="K145" s="301">
        <f t="shared" si="57"/>
        <v>-1090</v>
      </c>
      <c r="L145" s="301">
        <f t="shared" si="57"/>
        <v>-1090</v>
      </c>
      <c r="M145" s="301">
        <f t="shared" si="57"/>
        <v>-1090</v>
      </c>
    </row>
    <row r="146" spans="1:13" ht="16" outlineLevel="1" x14ac:dyDescent="0.2">
      <c r="A146" s="96"/>
      <c r="B146" s="89"/>
      <c r="C146" s="90"/>
      <c r="D146" s="302"/>
      <c r="E146" s="302"/>
      <c r="F146" s="302"/>
      <c r="G146" s="302"/>
      <c r="H146" s="302"/>
      <c r="I146" s="307"/>
      <c r="J146" s="307"/>
      <c r="K146" s="307"/>
      <c r="L146" s="307"/>
      <c r="M146" s="307"/>
    </row>
    <row r="147" spans="1:13" ht="16" outlineLevel="1" x14ac:dyDescent="0.2">
      <c r="A147" s="71" t="s">
        <v>121</v>
      </c>
      <c r="B147" s="71"/>
      <c r="C147" s="78"/>
      <c r="D147" s="310">
        <f>SUM(D145,D132,D124)</f>
        <v>-73</v>
      </c>
      <c r="E147" s="310">
        <f t="shared" ref="E147:M147" si="58">SUM(E145,E132,E124)</f>
        <v>301</v>
      </c>
      <c r="F147" s="310">
        <f t="shared" si="58"/>
        <v>97</v>
      </c>
      <c r="G147" s="310">
        <f t="shared" si="58"/>
        <v>-185</v>
      </c>
      <c r="H147" s="310">
        <f t="shared" si="58"/>
        <v>359</v>
      </c>
      <c r="I147" s="310">
        <f>SUM(I145,I132,I124)</f>
        <v>-82.546708181209397</v>
      </c>
      <c r="J147" s="310">
        <f t="shared" si="58"/>
        <v>289.60249700000168</v>
      </c>
      <c r="K147" s="310">
        <f t="shared" si="58"/>
        <v>97.090497000001506</v>
      </c>
      <c r="L147" s="310">
        <f t="shared" si="58"/>
        <v>186.07609700000148</v>
      </c>
      <c r="M147" s="310">
        <f t="shared" si="58"/>
        <v>177.65881700000091</v>
      </c>
    </row>
    <row r="148" spans="1:13" ht="16" outlineLevel="1" x14ac:dyDescent="0.2">
      <c r="A148" s="71" t="s">
        <v>122</v>
      </c>
      <c r="B148" s="71"/>
      <c r="C148" s="78"/>
      <c r="D148" s="296">
        <v>0</v>
      </c>
      <c r="E148" s="311">
        <f>D149</f>
        <v>1282</v>
      </c>
      <c r="F148" s="311">
        <f t="shared" ref="F148:M148" si="59">E149</f>
        <v>1583</v>
      </c>
      <c r="G148" s="311">
        <f t="shared" si="59"/>
        <v>1680</v>
      </c>
      <c r="H148" s="311">
        <f t="shared" si="59"/>
        <v>1495</v>
      </c>
      <c r="I148" s="311">
        <f>H149</f>
        <v>1854</v>
      </c>
      <c r="J148" s="311">
        <f t="shared" si="59"/>
        <v>1771.4532918187906</v>
      </c>
      <c r="K148" s="311">
        <f t="shared" si="59"/>
        <v>2061.0557888187923</v>
      </c>
      <c r="L148" s="311">
        <f t="shared" si="59"/>
        <v>2158.1462858187938</v>
      </c>
      <c r="M148" s="311">
        <f t="shared" si="59"/>
        <v>2344.2223828187953</v>
      </c>
    </row>
    <row r="149" spans="1:13" ht="16" outlineLevel="1" x14ac:dyDescent="0.2">
      <c r="A149" s="87" t="s">
        <v>123</v>
      </c>
      <c r="B149" s="86"/>
      <c r="C149" s="120"/>
      <c r="D149" s="304">
        <v>1282</v>
      </c>
      <c r="E149" s="305">
        <f t="shared" ref="E149:M149" si="60">SUM(E147:E148)</f>
        <v>1583</v>
      </c>
      <c r="F149" s="305">
        <f t="shared" si="60"/>
        <v>1680</v>
      </c>
      <c r="G149" s="305">
        <f t="shared" si="60"/>
        <v>1495</v>
      </c>
      <c r="H149" s="305">
        <f t="shared" si="60"/>
        <v>1854</v>
      </c>
      <c r="I149" s="305">
        <f>SUM(I147:I148)</f>
        <v>1771.4532918187906</v>
      </c>
      <c r="J149" s="305">
        <f t="shared" si="60"/>
        <v>2061.0557888187923</v>
      </c>
      <c r="K149" s="305">
        <f t="shared" si="60"/>
        <v>2158.1462858187938</v>
      </c>
      <c r="L149" s="305">
        <f t="shared" si="60"/>
        <v>2344.2223828187953</v>
      </c>
      <c r="M149" s="305">
        <f t="shared" si="60"/>
        <v>2521.8811998187962</v>
      </c>
    </row>
    <row r="150" spans="1:13" ht="16" outlineLevel="1" x14ac:dyDescent="0.2">
      <c r="A150" s="85"/>
      <c r="B150" s="71"/>
      <c r="C150" s="78"/>
      <c r="D150" s="306"/>
      <c r="E150" s="308"/>
      <c r="F150" s="308"/>
      <c r="G150" s="308"/>
      <c r="H150" s="308"/>
      <c r="I150" s="309"/>
      <c r="J150" s="309"/>
      <c r="K150" s="309"/>
      <c r="L150" s="309"/>
      <c r="M150" s="309"/>
    </row>
    <row r="151" spans="1:13" ht="16" outlineLevel="1" x14ac:dyDescent="0.2">
      <c r="A151" s="85"/>
      <c r="B151" s="71"/>
      <c r="C151" s="78"/>
      <c r="D151" s="306"/>
      <c r="E151" s="308"/>
      <c r="F151" s="308"/>
      <c r="G151" s="308"/>
      <c r="H151" s="308"/>
      <c r="I151" s="309"/>
      <c r="J151" s="309"/>
      <c r="K151" s="309"/>
      <c r="L151" s="309"/>
      <c r="M151" s="309"/>
    </row>
    <row r="152" spans="1:13" ht="16" x14ac:dyDescent="0.2">
      <c r="A152" s="71"/>
      <c r="B152" s="71"/>
      <c r="C152" s="78"/>
      <c r="D152" s="104"/>
      <c r="E152" s="104"/>
      <c r="F152" s="104"/>
      <c r="G152" s="104"/>
      <c r="H152" s="104"/>
      <c r="I152" s="71"/>
      <c r="J152" s="71"/>
      <c r="K152" s="71"/>
      <c r="L152" s="71"/>
      <c r="M152" s="71"/>
    </row>
    <row r="153" spans="1:13" ht="20" x14ac:dyDescent="0.2">
      <c r="A153" s="80" t="s">
        <v>124</v>
      </c>
      <c r="B153" s="81"/>
      <c r="C153" s="82"/>
      <c r="D153" s="81"/>
      <c r="E153" s="81"/>
      <c r="F153" s="81"/>
      <c r="G153" s="81"/>
      <c r="H153" s="81"/>
      <c r="I153" s="81"/>
      <c r="J153" s="81"/>
      <c r="K153" s="81"/>
      <c r="L153" s="81"/>
      <c r="M153" s="81"/>
    </row>
    <row r="154" spans="1:13" ht="16" outlineLevel="1" x14ac:dyDescent="0.2">
      <c r="A154" s="71"/>
      <c r="B154" s="71"/>
      <c r="C154" s="78"/>
      <c r="D154" s="104"/>
      <c r="E154" s="104"/>
      <c r="F154" s="104"/>
      <c r="G154" s="104"/>
      <c r="H154" s="104"/>
      <c r="I154" s="71"/>
      <c r="J154" s="71"/>
      <c r="K154" s="71"/>
      <c r="L154" s="71"/>
      <c r="M154" s="71"/>
    </row>
    <row r="155" spans="1:13" ht="16" outlineLevel="1" x14ac:dyDescent="0.2">
      <c r="A155" s="85" t="s">
        <v>125</v>
      </c>
      <c r="B155" s="71"/>
      <c r="C155" s="78"/>
      <c r="D155" s="104"/>
      <c r="E155" s="104"/>
      <c r="F155" s="104"/>
      <c r="G155" s="104"/>
      <c r="H155" s="104"/>
      <c r="I155" s="71"/>
      <c r="J155" s="71"/>
      <c r="K155" s="71"/>
      <c r="L155" s="71"/>
      <c r="M155" s="71"/>
    </row>
    <row r="156" spans="1:13" ht="16" outlineLevel="1" x14ac:dyDescent="0.2">
      <c r="A156" s="71" t="s">
        <v>96</v>
      </c>
      <c r="B156" s="71"/>
      <c r="C156" s="78"/>
      <c r="D156" s="104">
        <f>D66</f>
        <v>365</v>
      </c>
      <c r="E156" s="104">
        <f t="shared" ref="E156:M157" si="61">E66</f>
        <v>474</v>
      </c>
      <c r="F156" s="104">
        <f t="shared" si="61"/>
        <v>546</v>
      </c>
      <c r="G156" s="104">
        <f t="shared" si="61"/>
        <v>662</v>
      </c>
      <c r="H156" s="104">
        <f t="shared" si="61"/>
        <v>568</v>
      </c>
      <c r="I156" s="122">
        <f t="shared" si="61"/>
        <v>601.96804212328766</v>
      </c>
      <c r="J156" s="122">
        <f t="shared" si="61"/>
        <v>601.96804212328766</v>
      </c>
      <c r="K156" s="122">
        <f t="shared" si="61"/>
        <v>601.96804212328766</v>
      </c>
      <c r="L156" s="122">
        <f t="shared" si="61"/>
        <v>601.96804212328766</v>
      </c>
      <c r="M156" s="122">
        <f t="shared" si="61"/>
        <v>601.96804212328766</v>
      </c>
    </row>
    <row r="157" spans="1:13" ht="16" outlineLevel="1" x14ac:dyDescent="0.2">
      <c r="A157" s="71" t="s">
        <v>97</v>
      </c>
      <c r="B157" s="71"/>
      <c r="C157" s="78"/>
      <c r="D157" s="104">
        <f>D67</f>
        <v>342</v>
      </c>
      <c r="E157" s="104">
        <f t="shared" si="61"/>
        <v>311</v>
      </c>
      <c r="F157" s="104">
        <f t="shared" si="61"/>
        <v>337</v>
      </c>
      <c r="G157" s="104">
        <f t="shared" si="61"/>
        <v>420</v>
      </c>
      <c r="H157" s="104">
        <f t="shared" si="61"/>
        <v>461</v>
      </c>
      <c r="I157" s="122">
        <f t="shared" si="61"/>
        <v>0</v>
      </c>
      <c r="J157" s="122">
        <f t="shared" si="61"/>
        <v>0</v>
      </c>
      <c r="K157" s="122">
        <f t="shared" si="61"/>
        <v>0</v>
      </c>
      <c r="L157" s="122">
        <f t="shared" si="61"/>
        <v>0</v>
      </c>
      <c r="M157" s="122">
        <f t="shared" si="61"/>
        <v>0</v>
      </c>
    </row>
    <row r="158" spans="1:13" ht="16" outlineLevel="1" x14ac:dyDescent="0.2">
      <c r="A158" s="71" t="s">
        <v>101</v>
      </c>
      <c r="B158" s="71"/>
      <c r="C158" s="78"/>
      <c r="D158" s="104">
        <f>D83</f>
        <v>1203</v>
      </c>
      <c r="E158" s="104">
        <f t="shared" ref="E158:M158" si="62">E83</f>
        <v>1188</v>
      </c>
      <c r="F158" s="104">
        <f t="shared" si="62"/>
        <v>1178</v>
      </c>
      <c r="G158" s="104">
        <f t="shared" si="62"/>
        <v>1320</v>
      </c>
      <c r="H158" s="104">
        <f t="shared" si="62"/>
        <v>1416</v>
      </c>
      <c r="I158" s="122">
        <f t="shared" si="62"/>
        <v>1412.0588369420777</v>
      </c>
      <c r="J158" s="122">
        <f t="shared" si="62"/>
        <v>1412.0588369420777</v>
      </c>
      <c r="K158" s="122">
        <f t="shared" si="62"/>
        <v>1412.0588369420777</v>
      </c>
      <c r="L158" s="122">
        <f t="shared" si="62"/>
        <v>1412.0588369420777</v>
      </c>
      <c r="M158" s="122">
        <f t="shared" si="62"/>
        <v>1412.0588369420777</v>
      </c>
    </row>
    <row r="159" spans="1:13" ht="16" outlineLevel="1" x14ac:dyDescent="0.2">
      <c r="A159" s="86" t="s">
        <v>126</v>
      </c>
      <c r="B159" s="86"/>
      <c r="C159" s="120"/>
      <c r="D159" s="123">
        <f>D156+D157-D158</f>
        <v>-496</v>
      </c>
      <c r="E159" s="123">
        <f t="shared" ref="E159:M159" si="63">E156+E157-E158</f>
        <v>-403</v>
      </c>
      <c r="F159" s="123">
        <f t="shared" si="63"/>
        <v>-295</v>
      </c>
      <c r="G159" s="123">
        <f t="shared" si="63"/>
        <v>-238</v>
      </c>
      <c r="H159" s="123">
        <f t="shared" si="63"/>
        <v>-387</v>
      </c>
      <c r="I159" s="124">
        <f t="shared" si="63"/>
        <v>-810.09079481879007</v>
      </c>
      <c r="J159" s="124">
        <f t="shared" si="63"/>
        <v>-810.09079481879007</v>
      </c>
      <c r="K159" s="124">
        <f t="shared" si="63"/>
        <v>-810.09079481879007</v>
      </c>
      <c r="L159" s="124">
        <f t="shared" si="63"/>
        <v>-810.09079481879007</v>
      </c>
      <c r="M159" s="124">
        <f t="shared" si="63"/>
        <v>-810.09079481879007</v>
      </c>
    </row>
    <row r="160" spans="1:13" ht="16" outlineLevel="1" x14ac:dyDescent="0.2">
      <c r="A160" s="71" t="s">
        <v>127</v>
      </c>
      <c r="B160" s="71"/>
      <c r="C160" s="78"/>
      <c r="D160" s="125"/>
      <c r="E160" s="125">
        <f t="shared" ref="E160:M160" si="64">E159-D159</f>
        <v>93</v>
      </c>
      <c r="F160" s="125">
        <f t="shared" si="64"/>
        <v>108</v>
      </c>
      <c r="G160" s="125">
        <f t="shared" si="64"/>
        <v>57</v>
      </c>
      <c r="H160" s="125">
        <f t="shared" si="64"/>
        <v>-149</v>
      </c>
      <c r="I160" s="122">
        <f t="shared" si="64"/>
        <v>-423.09079481879007</v>
      </c>
      <c r="J160" s="122">
        <f t="shared" si="64"/>
        <v>0</v>
      </c>
      <c r="K160" s="122">
        <f t="shared" si="64"/>
        <v>0</v>
      </c>
      <c r="L160" s="122">
        <f t="shared" si="64"/>
        <v>0</v>
      </c>
      <c r="M160" s="122">
        <f t="shared" si="64"/>
        <v>0</v>
      </c>
    </row>
    <row r="161" spans="1:13" ht="16" outlineLevel="1" x14ac:dyDescent="0.2">
      <c r="A161" s="71"/>
      <c r="B161" s="71"/>
      <c r="C161" s="78"/>
      <c r="D161" s="104"/>
      <c r="E161" s="104"/>
      <c r="F161" s="104"/>
      <c r="G161" s="104"/>
      <c r="H161" s="104"/>
      <c r="I161" s="122"/>
      <c r="J161" s="122"/>
      <c r="K161" s="122"/>
      <c r="L161" s="122"/>
      <c r="M161" s="122"/>
    </row>
    <row r="162" spans="1:13" ht="16" outlineLevel="1" x14ac:dyDescent="0.2">
      <c r="A162" s="85" t="s">
        <v>128</v>
      </c>
      <c r="B162" s="71"/>
      <c r="C162" s="78"/>
      <c r="D162" s="104"/>
      <c r="E162" s="104"/>
      <c r="F162" s="104"/>
      <c r="G162" s="104"/>
      <c r="H162" s="104"/>
      <c r="I162" s="122"/>
      <c r="J162" s="122"/>
      <c r="K162" s="122"/>
      <c r="L162" s="122"/>
      <c r="M162" s="122"/>
    </row>
    <row r="163" spans="1:13" ht="16" outlineLevel="1" x14ac:dyDescent="0.2">
      <c r="A163" s="71" t="s">
        <v>129</v>
      </c>
      <c r="B163" s="71"/>
      <c r="C163" s="78"/>
      <c r="D163" s="104">
        <f>SUM(D71:D74)</f>
        <v>13105</v>
      </c>
      <c r="E163" s="104">
        <f t="shared" ref="E163:H163" si="65">SUM(E71:E74)</f>
        <v>13597</v>
      </c>
      <c r="F163" s="104">
        <f t="shared" si="65"/>
        <v>14634</v>
      </c>
      <c r="G163" s="104">
        <f t="shared" si="65"/>
        <v>16077</v>
      </c>
      <c r="H163" s="104">
        <f t="shared" si="65"/>
        <v>16982</v>
      </c>
      <c r="I163" s="314">
        <f>SUM(H71:H74)</f>
        <v>16982</v>
      </c>
      <c r="J163" s="314">
        <f t="shared" ref="J163:M163" si="66">I166</f>
        <v>18982</v>
      </c>
      <c r="K163" s="314">
        <f t="shared" si="66"/>
        <v>20982</v>
      </c>
      <c r="L163" s="314">
        <f t="shared" si="66"/>
        <v>22982</v>
      </c>
      <c r="M163" s="314">
        <f t="shared" si="66"/>
        <v>24982</v>
      </c>
    </row>
    <row r="164" spans="1:13" ht="16" outlineLevel="1" x14ac:dyDescent="0.2">
      <c r="A164" s="71" t="s">
        <v>130</v>
      </c>
      <c r="B164" s="71"/>
      <c r="C164" s="78"/>
      <c r="D164" s="104">
        <f>-D128</f>
        <v>1748</v>
      </c>
      <c r="E164" s="104">
        <f t="shared" ref="E164:H164" si="67">-E128</f>
        <v>2041</v>
      </c>
      <c r="F164" s="104">
        <f t="shared" si="67"/>
        <v>2038</v>
      </c>
      <c r="G164" s="104">
        <f t="shared" si="67"/>
        <v>2123</v>
      </c>
      <c r="H164" s="104">
        <f t="shared" si="67"/>
        <v>1922</v>
      </c>
      <c r="I164" s="314">
        <f>I29</f>
        <v>2000</v>
      </c>
      <c r="J164" s="314">
        <f t="shared" ref="J164:M164" si="68">J29</f>
        <v>2000</v>
      </c>
      <c r="K164" s="314">
        <f t="shared" si="68"/>
        <v>2000</v>
      </c>
      <c r="L164" s="314">
        <f t="shared" si="68"/>
        <v>2000</v>
      </c>
      <c r="M164" s="314">
        <f t="shared" si="68"/>
        <v>2000</v>
      </c>
    </row>
    <row r="165" spans="1:13" ht="16" outlineLevel="1" x14ac:dyDescent="0.2">
      <c r="A165" s="71" t="s">
        <v>131</v>
      </c>
      <c r="B165" s="71"/>
      <c r="C165" s="112"/>
      <c r="D165" s="104">
        <f>D112</f>
        <v>938</v>
      </c>
      <c r="E165" s="104">
        <f t="shared" ref="E165:H165" si="69">E112</f>
        <v>1015</v>
      </c>
      <c r="F165" s="104">
        <f t="shared" si="69"/>
        <v>1221</v>
      </c>
      <c r="G165" s="104">
        <f t="shared" si="69"/>
        <v>1218</v>
      </c>
      <c r="H165" s="104">
        <f t="shared" si="69"/>
        <v>1201</v>
      </c>
      <c r="I165" s="313">
        <f>I20*SUM(I163:I164)</f>
        <v>0</v>
      </c>
      <c r="J165" s="313">
        <f t="shared" ref="J165:M165" si="70">J20*SUM(J163:J164)</f>
        <v>0</v>
      </c>
      <c r="K165" s="313">
        <f t="shared" si="70"/>
        <v>0</v>
      </c>
      <c r="L165" s="313">
        <f t="shared" si="70"/>
        <v>0</v>
      </c>
      <c r="M165" s="313">
        <f t="shared" si="70"/>
        <v>0</v>
      </c>
    </row>
    <row r="166" spans="1:13" ht="16" outlineLevel="1" x14ac:dyDescent="0.2">
      <c r="A166" s="86" t="s">
        <v>132</v>
      </c>
      <c r="B166" s="86"/>
      <c r="C166" s="120"/>
      <c r="D166" s="123">
        <f>D163+D164-D165</f>
        <v>13915</v>
      </c>
      <c r="E166" s="123">
        <f t="shared" ref="E166:M166" si="71">E163+E164-E165</f>
        <v>14623</v>
      </c>
      <c r="F166" s="123">
        <f t="shared" si="71"/>
        <v>15451</v>
      </c>
      <c r="G166" s="123">
        <f t="shared" si="71"/>
        <v>16982</v>
      </c>
      <c r="H166" s="123">
        <f t="shared" si="71"/>
        <v>17703</v>
      </c>
      <c r="I166" s="124">
        <f t="shared" si="71"/>
        <v>18982</v>
      </c>
      <c r="J166" s="124">
        <f t="shared" si="71"/>
        <v>20982</v>
      </c>
      <c r="K166" s="124">
        <f t="shared" si="71"/>
        <v>22982</v>
      </c>
      <c r="L166" s="124">
        <f t="shared" si="71"/>
        <v>24982</v>
      </c>
      <c r="M166" s="124">
        <f t="shared" si="71"/>
        <v>26982</v>
      </c>
    </row>
    <row r="167" spans="1:13" ht="16" outlineLevel="1" x14ac:dyDescent="0.2">
      <c r="A167" s="71"/>
      <c r="B167" s="71"/>
      <c r="C167" s="78"/>
      <c r="D167" s="104"/>
      <c r="E167" s="104"/>
      <c r="F167" s="104"/>
      <c r="G167" s="104"/>
      <c r="H167" s="104"/>
      <c r="I167" s="122"/>
      <c r="J167" s="122"/>
      <c r="K167" s="122"/>
      <c r="L167" s="122"/>
      <c r="M167" s="122"/>
    </row>
    <row r="168" spans="1:13" ht="16" outlineLevel="1" x14ac:dyDescent="0.2">
      <c r="A168" s="85" t="s">
        <v>133</v>
      </c>
      <c r="B168" s="71"/>
      <c r="C168" s="78"/>
      <c r="D168" s="104"/>
      <c r="E168" s="104"/>
      <c r="F168" s="104"/>
      <c r="G168" s="104"/>
      <c r="H168" s="104"/>
      <c r="I168" s="122"/>
      <c r="J168" s="122"/>
      <c r="K168" s="122"/>
      <c r="L168" s="122"/>
      <c r="M168" s="122"/>
    </row>
    <row r="169" spans="1:13" ht="16" outlineLevel="1" x14ac:dyDescent="0.2">
      <c r="A169" s="71" t="s">
        <v>134</v>
      </c>
      <c r="B169" s="71"/>
      <c r="C169" s="78"/>
      <c r="D169" s="104"/>
      <c r="E169" s="104">
        <f>SUM(D85,D89)</f>
        <v>2692</v>
      </c>
      <c r="F169" s="104">
        <f t="shared" ref="F169:I169" si="72">SUM(E85,E89)</f>
        <v>3178</v>
      </c>
      <c r="G169" s="104">
        <f t="shared" si="72"/>
        <v>3387</v>
      </c>
      <c r="H169" s="104">
        <f t="shared" si="72"/>
        <v>3668</v>
      </c>
      <c r="I169" s="122">
        <f t="shared" si="72"/>
        <v>3377</v>
      </c>
      <c r="J169" s="122">
        <f>I171</f>
        <v>3127</v>
      </c>
      <c r="K169" s="122">
        <f t="shared" ref="K169:M169" si="73">J171</f>
        <v>2877</v>
      </c>
      <c r="L169" s="122">
        <f t="shared" si="73"/>
        <v>2627</v>
      </c>
      <c r="M169" s="122">
        <f t="shared" si="73"/>
        <v>2377</v>
      </c>
    </row>
    <row r="170" spans="1:13" ht="16" outlineLevel="1" x14ac:dyDescent="0.2">
      <c r="A170" s="71" t="s">
        <v>135</v>
      </c>
      <c r="B170" s="71"/>
      <c r="C170" s="78"/>
      <c r="D170" s="104">
        <f>D30</f>
        <v>-261</v>
      </c>
      <c r="E170" s="104">
        <f t="shared" ref="E170:M170" si="74">E30</f>
        <v>287</v>
      </c>
      <c r="F170" s="104">
        <f t="shared" si="74"/>
        <v>-76</v>
      </c>
      <c r="G170" s="104">
        <f t="shared" si="74"/>
        <v>8</v>
      </c>
      <c r="H170" s="104">
        <f t="shared" si="74"/>
        <v>-342</v>
      </c>
      <c r="I170" s="126">
        <f t="shared" si="74"/>
        <v>-250</v>
      </c>
      <c r="J170" s="126">
        <f t="shared" si="74"/>
        <v>-250</v>
      </c>
      <c r="K170" s="126">
        <f t="shared" si="74"/>
        <v>-250</v>
      </c>
      <c r="L170" s="126">
        <f t="shared" si="74"/>
        <v>-250</v>
      </c>
      <c r="M170" s="126">
        <f t="shared" si="74"/>
        <v>-250</v>
      </c>
    </row>
    <row r="171" spans="1:13" ht="16" outlineLevel="1" x14ac:dyDescent="0.2">
      <c r="A171" s="86" t="s">
        <v>136</v>
      </c>
      <c r="B171" s="86"/>
      <c r="C171" s="120"/>
      <c r="D171" s="123">
        <f>SUM(D85,D89)</f>
        <v>2692</v>
      </c>
      <c r="E171" s="123">
        <f t="shared" ref="E171:H171" si="75">SUM(E85,E89)</f>
        <v>3178</v>
      </c>
      <c r="F171" s="123">
        <f t="shared" si="75"/>
        <v>3387</v>
      </c>
      <c r="G171" s="123">
        <f t="shared" si="75"/>
        <v>3668</v>
      </c>
      <c r="H171" s="123">
        <f t="shared" si="75"/>
        <v>3377</v>
      </c>
      <c r="I171" s="127">
        <f t="shared" ref="I171:Q171" si="76">SUM(I169:I170)</f>
        <v>3127</v>
      </c>
      <c r="J171" s="127">
        <f t="shared" si="76"/>
        <v>2877</v>
      </c>
      <c r="K171" s="127">
        <f t="shared" si="76"/>
        <v>2627</v>
      </c>
      <c r="L171" s="127">
        <f t="shared" si="76"/>
        <v>2377</v>
      </c>
      <c r="M171" s="127">
        <f t="shared" si="76"/>
        <v>2127</v>
      </c>
    </row>
    <row r="172" spans="1:13" ht="16" outlineLevel="1" x14ac:dyDescent="0.2">
      <c r="A172" s="71" t="s">
        <v>137</v>
      </c>
      <c r="B172" s="71"/>
      <c r="C172" s="112"/>
      <c r="D172" s="104">
        <f>SUM(D49:D51)</f>
        <v>100</v>
      </c>
      <c r="E172" s="104">
        <f t="shared" ref="E172:H172" si="77">SUM(E49:E51)</f>
        <v>81</v>
      </c>
      <c r="F172" s="104">
        <f t="shared" si="77"/>
        <v>51</v>
      </c>
      <c r="G172" s="104">
        <f t="shared" si="77"/>
        <v>30</v>
      </c>
      <c r="H172" s="104">
        <f t="shared" si="77"/>
        <v>24</v>
      </c>
      <c r="I172" s="122">
        <f>I171*I21</f>
        <v>46.905000000000001</v>
      </c>
      <c r="J172" s="122">
        <f>J171*J21</f>
        <v>43.155000000000001</v>
      </c>
      <c r="K172" s="122">
        <f>K171*K21</f>
        <v>39.405000000000001</v>
      </c>
      <c r="L172" s="122">
        <f>L171*L21</f>
        <v>35.655000000000001</v>
      </c>
      <c r="M172" s="122">
        <f>M171*M21</f>
        <v>31.904999999999998</v>
      </c>
    </row>
    <row r="173" spans="1:13" ht="16" outlineLevel="1" x14ac:dyDescent="0.2">
      <c r="A173" s="71"/>
      <c r="B173" s="71"/>
      <c r="C173" s="78"/>
      <c r="D173" s="104"/>
      <c r="E173" s="104"/>
      <c r="F173" s="104"/>
      <c r="G173" s="104"/>
      <c r="H173" s="104"/>
      <c r="I173" s="71"/>
      <c r="J173" s="71"/>
      <c r="K173" s="71"/>
      <c r="L173" s="71"/>
      <c r="M173" s="71"/>
    </row>
    <row r="174" spans="1:13" ht="16" outlineLevel="1" x14ac:dyDescent="0.2">
      <c r="A174" s="71"/>
      <c r="B174" s="71"/>
      <c r="C174" s="78"/>
      <c r="D174" s="104"/>
      <c r="E174" s="104"/>
      <c r="F174" s="104"/>
      <c r="G174" s="104"/>
      <c r="H174" s="104"/>
      <c r="I174" s="71"/>
      <c r="J174" s="71"/>
      <c r="K174" s="71"/>
      <c r="L174" s="71"/>
      <c r="M174" s="71"/>
    </row>
    <row r="175" spans="1:13" ht="16" x14ac:dyDescent="0.2">
      <c r="A175" s="71"/>
      <c r="B175" s="71"/>
      <c r="C175" s="78"/>
      <c r="D175" s="104"/>
      <c r="E175" s="104"/>
      <c r="F175" s="104"/>
      <c r="G175" s="104"/>
      <c r="H175" s="104"/>
      <c r="I175" s="71"/>
      <c r="J175" s="71"/>
      <c r="K175" s="71"/>
      <c r="L175" s="71"/>
      <c r="M175" s="71"/>
    </row>
    <row r="176" spans="1:13" ht="20" x14ac:dyDescent="0.2">
      <c r="A176" s="80" t="s">
        <v>138</v>
      </c>
      <c r="B176" s="81"/>
      <c r="C176" s="82"/>
      <c r="D176" s="81"/>
      <c r="E176" s="81"/>
      <c r="F176" s="81"/>
      <c r="G176" s="81"/>
      <c r="H176" s="81"/>
      <c r="I176" s="81"/>
      <c r="J176" s="81"/>
      <c r="K176" s="81"/>
      <c r="L176" s="81"/>
      <c r="M176" s="81"/>
    </row>
    <row r="177" spans="1:14" ht="16" outlineLevel="1" x14ac:dyDescent="0.2">
      <c r="A177" s="85"/>
      <c r="B177" s="71"/>
      <c r="C177" s="78"/>
      <c r="D177" s="104"/>
      <c r="E177" s="104"/>
      <c r="F177" s="104"/>
      <c r="G177" s="104"/>
      <c r="H177" s="104"/>
      <c r="I177" s="71"/>
      <c r="J177" s="71"/>
      <c r="K177" s="71"/>
      <c r="L177" s="71"/>
      <c r="M177" s="71"/>
    </row>
    <row r="178" spans="1:14" ht="16" outlineLevel="1" x14ac:dyDescent="0.2">
      <c r="A178" s="128" t="s">
        <v>66</v>
      </c>
      <c r="B178" s="104"/>
      <c r="C178" s="104"/>
      <c r="D178" s="104"/>
      <c r="E178" s="71"/>
      <c r="F178" s="71"/>
      <c r="G178" s="71"/>
      <c r="H178" s="71"/>
      <c r="I178" s="71"/>
      <c r="J178" s="71"/>
      <c r="K178" s="71"/>
      <c r="L178" s="71"/>
      <c r="M178" s="71"/>
    </row>
    <row r="179" spans="1:14" ht="16" outlineLevel="1" x14ac:dyDescent="0.2">
      <c r="A179" s="123" t="s">
        <v>139</v>
      </c>
      <c r="B179" s="129"/>
      <c r="C179" s="130">
        <v>0.21</v>
      </c>
      <c r="D179" s="104"/>
      <c r="E179" s="71"/>
      <c r="F179" s="71"/>
      <c r="G179" s="71"/>
      <c r="H179" s="71"/>
      <c r="I179" s="71"/>
      <c r="J179" s="71"/>
      <c r="K179" s="71"/>
      <c r="L179" s="71"/>
      <c r="M179" s="71"/>
    </row>
    <row r="180" spans="1:14" ht="16" outlineLevel="1" x14ac:dyDescent="0.2">
      <c r="A180" s="125" t="s">
        <v>140</v>
      </c>
      <c r="B180" s="71"/>
      <c r="C180" s="131">
        <v>0.12</v>
      </c>
      <c r="D180" s="71"/>
      <c r="E180" s="71"/>
      <c r="F180" s="71"/>
      <c r="G180" s="71"/>
      <c r="H180" s="71"/>
      <c r="I180" s="71"/>
      <c r="J180" s="71"/>
      <c r="K180" s="71"/>
      <c r="L180" s="71"/>
      <c r="M180" s="71"/>
    </row>
    <row r="181" spans="1:14" ht="16" outlineLevel="1" x14ac:dyDescent="0.2">
      <c r="A181" s="71" t="s">
        <v>141</v>
      </c>
      <c r="B181" s="71"/>
      <c r="C181" s="131">
        <v>0.04</v>
      </c>
      <c r="D181" s="71"/>
      <c r="E181" s="71"/>
      <c r="F181" s="71"/>
      <c r="G181" s="71"/>
      <c r="H181" s="71"/>
      <c r="I181" s="71"/>
      <c r="J181" s="112"/>
      <c r="K181" s="112"/>
      <c r="L181" s="112"/>
      <c r="M181" s="112"/>
      <c r="N181" s="71"/>
    </row>
    <row r="182" spans="1:14" ht="16" outlineLevel="1" x14ac:dyDescent="0.2">
      <c r="A182" s="71" t="s">
        <v>142</v>
      </c>
      <c r="B182" s="71"/>
      <c r="C182" s="132">
        <v>6.5</v>
      </c>
      <c r="D182" s="71"/>
      <c r="E182" s="71"/>
      <c r="F182" s="71"/>
      <c r="G182" s="71"/>
      <c r="H182" s="71"/>
      <c r="I182" s="71"/>
      <c r="J182" s="112"/>
      <c r="K182" s="112"/>
      <c r="L182" s="112"/>
      <c r="M182" s="112"/>
      <c r="N182" s="71"/>
    </row>
    <row r="183" spans="1:14" ht="16" outlineLevel="1" x14ac:dyDescent="0.2">
      <c r="A183" s="71" t="s">
        <v>143</v>
      </c>
      <c r="B183" s="71"/>
      <c r="C183" s="133">
        <v>43466</v>
      </c>
      <c r="D183" s="71"/>
      <c r="E183" s="71"/>
      <c r="F183" s="71"/>
      <c r="G183" s="71"/>
      <c r="H183" s="71"/>
      <c r="I183" s="71"/>
      <c r="J183" s="112"/>
      <c r="K183" s="112"/>
      <c r="L183" s="112"/>
      <c r="M183" s="112"/>
      <c r="N183" s="71"/>
    </row>
    <row r="184" spans="1:14" ht="16" outlineLevel="1" x14ac:dyDescent="0.2">
      <c r="A184" s="71" t="s">
        <v>156</v>
      </c>
      <c r="B184" s="71"/>
      <c r="C184" s="133">
        <v>43830</v>
      </c>
      <c r="D184" s="71"/>
      <c r="E184" s="71"/>
      <c r="F184" s="71"/>
      <c r="G184" s="71"/>
      <c r="H184" s="71"/>
      <c r="I184" s="71"/>
      <c r="J184" s="112"/>
      <c r="K184" s="112"/>
      <c r="L184" s="112"/>
      <c r="M184" s="112"/>
      <c r="N184" s="71"/>
    </row>
    <row r="185" spans="1:14" ht="16" outlineLevel="1" x14ac:dyDescent="0.2">
      <c r="A185" s="71" t="s">
        <v>46</v>
      </c>
      <c r="B185" s="71"/>
      <c r="C185" s="134">
        <v>54.9</v>
      </c>
      <c r="D185" s="71"/>
      <c r="E185" s="71"/>
      <c r="F185" s="71"/>
      <c r="G185" s="71"/>
      <c r="H185" s="71"/>
      <c r="I185" s="71"/>
      <c r="J185" s="112"/>
      <c r="K185" s="112"/>
      <c r="L185" s="112"/>
      <c r="M185" s="112"/>
      <c r="N185" s="71"/>
    </row>
    <row r="186" spans="1:14" ht="16" outlineLevel="1" x14ac:dyDescent="0.2">
      <c r="A186" s="71" t="s">
        <v>144</v>
      </c>
      <c r="B186" s="71"/>
      <c r="C186" s="135">
        <v>526.29999999999995</v>
      </c>
      <c r="D186" s="71"/>
      <c r="E186" s="71"/>
      <c r="F186" s="71"/>
      <c r="G186" s="71"/>
      <c r="H186" s="71"/>
      <c r="I186" s="71"/>
      <c r="J186" s="71"/>
      <c r="K186" s="71"/>
      <c r="L186" s="71"/>
      <c r="M186" s="71"/>
      <c r="N186" s="71"/>
    </row>
    <row r="187" spans="1:14" ht="16" outlineLevel="1" x14ac:dyDescent="0.2">
      <c r="A187" s="71"/>
      <c r="B187" s="71"/>
      <c r="C187" s="135"/>
      <c r="D187" s="71"/>
      <c r="E187" s="71"/>
      <c r="F187" s="71"/>
      <c r="G187" s="71"/>
      <c r="H187" s="71"/>
      <c r="I187" s="71"/>
      <c r="J187" s="71"/>
      <c r="K187" s="71"/>
      <c r="L187" s="71"/>
      <c r="M187" s="71"/>
      <c r="N187" s="71"/>
    </row>
    <row r="188" spans="1:14" ht="16" outlineLevel="1" x14ac:dyDescent="0.2">
      <c r="A188" s="89"/>
      <c r="B188" s="89"/>
      <c r="C188" s="136"/>
      <c r="D188" s="136"/>
      <c r="E188" s="136"/>
      <c r="F188" s="136"/>
      <c r="G188" s="136"/>
      <c r="H188" s="136"/>
      <c r="I188" s="136"/>
      <c r="J188" s="89"/>
      <c r="K188" s="89"/>
      <c r="L188" s="89"/>
      <c r="M188" s="89"/>
      <c r="N188" s="89"/>
    </row>
    <row r="189" spans="1:14" ht="16" outlineLevel="1" x14ac:dyDescent="0.2">
      <c r="A189" s="137" t="s">
        <v>159</v>
      </c>
      <c r="B189" s="138"/>
      <c r="C189" s="139" t="s">
        <v>160</v>
      </c>
      <c r="D189" s="140">
        <f>YEAR(C183)</f>
        <v>2019</v>
      </c>
      <c r="E189" s="140">
        <f>D189+1</f>
        <v>2020</v>
      </c>
      <c r="F189" s="140">
        <f t="shared" ref="F189:H189" si="78">E189+1</f>
        <v>2021</v>
      </c>
      <c r="G189" s="140">
        <f t="shared" si="78"/>
        <v>2022</v>
      </c>
      <c r="H189" s="140">
        <f t="shared" si="78"/>
        <v>2023</v>
      </c>
      <c r="I189" s="139" t="s">
        <v>161</v>
      </c>
      <c r="J189" s="89"/>
      <c r="K189" s="96" t="s">
        <v>162</v>
      </c>
      <c r="L189" s="89"/>
      <c r="M189" s="89"/>
      <c r="N189" s="89"/>
    </row>
    <row r="190" spans="1:14" ht="16" outlineLevel="1" x14ac:dyDescent="0.2">
      <c r="A190" s="150" t="s">
        <v>1</v>
      </c>
      <c r="B190" s="150"/>
      <c r="C190" s="151">
        <f>C183</f>
        <v>43466</v>
      </c>
      <c r="D190" s="151">
        <f>DATE(YEAR($C$190)+D191,MONTH($C$184),DAY($C$184))</f>
        <v>43830</v>
      </c>
      <c r="E190" s="151">
        <f t="shared" ref="E190:H190" si="79">DATE(YEAR($C$190)+E191,MONTH($C$184),DAY($C$184))</f>
        <v>44196</v>
      </c>
      <c r="F190" s="151">
        <f t="shared" si="79"/>
        <v>44561</v>
      </c>
      <c r="G190" s="151">
        <f t="shared" si="79"/>
        <v>44926</v>
      </c>
      <c r="H190" s="151">
        <f t="shared" si="79"/>
        <v>45291</v>
      </c>
      <c r="I190" s="151">
        <f>H190</f>
        <v>45291</v>
      </c>
      <c r="J190" s="89"/>
      <c r="K190" s="86" t="s">
        <v>6</v>
      </c>
      <c r="L190" s="86"/>
      <c r="M190" s="152">
        <f>H198*C182</f>
        <v>20950.556230500006</v>
      </c>
      <c r="N190" s="89"/>
    </row>
    <row r="191" spans="1:14" ht="16" outlineLevel="1" x14ac:dyDescent="0.2">
      <c r="A191" s="93" t="s">
        <v>184</v>
      </c>
      <c r="B191" s="93"/>
      <c r="C191" s="141"/>
      <c r="D191" s="143">
        <v>0</v>
      </c>
      <c r="E191" s="144">
        <f>D191+1</f>
        <v>1</v>
      </c>
      <c r="F191" s="144">
        <f t="shared" ref="F191:H191" si="80">E191+1</f>
        <v>2</v>
      </c>
      <c r="G191" s="144">
        <f t="shared" si="80"/>
        <v>3</v>
      </c>
      <c r="H191" s="144">
        <f t="shared" si="80"/>
        <v>4</v>
      </c>
      <c r="I191" s="144"/>
      <c r="J191" s="89"/>
      <c r="K191" s="89" t="s">
        <v>185</v>
      </c>
      <c r="L191" s="89"/>
      <c r="M191" s="142">
        <f>(H201*(1+$C$181))/(C180-C181)</f>
        <v>7101.8788441900124</v>
      </c>
      <c r="N191" s="89"/>
    </row>
    <row r="192" spans="1:14" ht="16" outlineLevel="1" x14ac:dyDescent="0.2">
      <c r="A192" s="93" t="s">
        <v>186</v>
      </c>
      <c r="B192" s="93"/>
      <c r="C192" s="93"/>
      <c r="D192" s="145">
        <f>YEARFRAC(C190,D190)</f>
        <v>1</v>
      </c>
      <c r="E192" s="145">
        <f t="shared" ref="E192:H192" si="81">YEARFRAC(D190,E190)</f>
        <v>1</v>
      </c>
      <c r="F192" s="145">
        <f t="shared" si="81"/>
        <v>1</v>
      </c>
      <c r="G192" s="145">
        <f t="shared" si="81"/>
        <v>1</v>
      </c>
      <c r="H192" s="145">
        <f t="shared" si="81"/>
        <v>1</v>
      </c>
      <c r="I192" s="155">
        <v>1</v>
      </c>
      <c r="J192" s="89"/>
      <c r="K192" s="89" t="s">
        <v>8</v>
      </c>
      <c r="L192" s="89"/>
      <c r="M192" s="86">
        <f>AVERAGE(M190:M191)</f>
        <v>14026.217537345008</v>
      </c>
      <c r="N192" s="89"/>
    </row>
    <row r="193" spans="1:19" ht="16" outlineLevel="1" x14ac:dyDescent="0.2">
      <c r="A193" s="93"/>
      <c r="B193" s="93"/>
      <c r="C193" s="93"/>
      <c r="D193" s="145"/>
      <c r="E193" s="145"/>
      <c r="F193" s="145"/>
      <c r="G193" s="145"/>
      <c r="H193" s="145"/>
      <c r="I193" s="146"/>
      <c r="J193" s="89"/>
      <c r="K193" s="89"/>
      <c r="L193" s="89"/>
      <c r="M193" s="89"/>
      <c r="N193" s="89"/>
    </row>
    <row r="194" spans="1:19" ht="16" outlineLevel="1" x14ac:dyDescent="0.2">
      <c r="A194" s="89" t="s">
        <v>25</v>
      </c>
      <c r="B194" s="89"/>
      <c r="C194" s="89"/>
      <c r="D194" s="89">
        <f>I55+I49</f>
        <v>3223.1624970000012</v>
      </c>
      <c r="E194" s="89">
        <f t="shared" ref="E194:H194" si="82">J55+J49</f>
        <v>3223.1624970000012</v>
      </c>
      <c r="F194" s="89">
        <f t="shared" si="82"/>
        <v>3223.1624970000012</v>
      </c>
      <c r="G194" s="89">
        <f t="shared" si="82"/>
        <v>3223.1624970000012</v>
      </c>
      <c r="H194" s="89">
        <f t="shared" si="82"/>
        <v>3223.1624970000012</v>
      </c>
      <c r="I194" s="89"/>
      <c r="J194" s="89"/>
      <c r="K194" s="89"/>
      <c r="L194" s="89"/>
      <c r="M194" s="89"/>
      <c r="N194" s="89"/>
    </row>
    <row r="195" spans="1:19" ht="16" outlineLevel="1" x14ac:dyDescent="0.2">
      <c r="A195" s="89" t="s">
        <v>163</v>
      </c>
      <c r="B195" s="89"/>
      <c r="C195" s="89"/>
      <c r="D195" s="142">
        <f>D194*$C$179</f>
        <v>676.86412437000024</v>
      </c>
      <c r="E195" s="142">
        <f t="shared" ref="E195:H195" si="83">E194*$C$179</f>
        <v>676.86412437000024</v>
      </c>
      <c r="F195" s="142">
        <f t="shared" si="83"/>
        <v>676.86412437000024</v>
      </c>
      <c r="G195" s="142">
        <f t="shared" si="83"/>
        <v>676.86412437000024</v>
      </c>
      <c r="H195" s="142">
        <f t="shared" si="83"/>
        <v>676.86412437000024</v>
      </c>
      <c r="I195" s="89"/>
      <c r="J195" s="89"/>
      <c r="K195" s="89"/>
      <c r="L195" s="89"/>
      <c r="M195" s="89"/>
      <c r="N195" s="89"/>
    </row>
    <row r="196" spans="1:19" ht="16" outlineLevel="1" x14ac:dyDescent="0.2">
      <c r="A196" s="86" t="s">
        <v>164</v>
      </c>
      <c r="B196" s="86"/>
      <c r="C196" s="86"/>
      <c r="D196" s="152">
        <f>D194-D195</f>
        <v>2546.2983726300008</v>
      </c>
      <c r="E196" s="152">
        <f t="shared" ref="E196:H196" si="84">E194-E195</f>
        <v>2546.2983726300008</v>
      </c>
      <c r="F196" s="152">
        <f t="shared" si="84"/>
        <v>2546.2983726300008</v>
      </c>
      <c r="G196" s="152">
        <f t="shared" si="84"/>
        <v>2546.2983726300008</v>
      </c>
      <c r="H196" s="152">
        <f t="shared" si="84"/>
        <v>2546.2983726300008</v>
      </c>
      <c r="I196" s="89"/>
      <c r="J196" s="89"/>
      <c r="K196" s="89"/>
      <c r="L196" s="89"/>
      <c r="M196" s="89"/>
      <c r="N196" s="89"/>
    </row>
    <row r="197" spans="1:19" ht="16" outlineLevel="1" x14ac:dyDescent="0.2">
      <c r="A197" s="89" t="s">
        <v>165</v>
      </c>
      <c r="B197" s="89"/>
      <c r="C197" s="89"/>
      <c r="D197" s="142">
        <f>I112</f>
        <v>0</v>
      </c>
      <c r="E197" s="142">
        <f>J112</f>
        <v>0</v>
      </c>
      <c r="F197" s="142">
        <f>K112</f>
        <v>0</v>
      </c>
      <c r="G197" s="142">
        <f>L112</f>
        <v>0</v>
      </c>
      <c r="H197" s="142">
        <f>M112</f>
        <v>0</v>
      </c>
      <c r="I197" s="89"/>
      <c r="J197" s="89"/>
      <c r="K197" s="89"/>
      <c r="L197" s="89"/>
      <c r="M197" s="89"/>
      <c r="N197" s="89"/>
      <c r="O197" s="71"/>
      <c r="P197" s="71"/>
      <c r="Q197" s="71"/>
      <c r="R197" s="71"/>
      <c r="S197" s="71"/>
    </row>
    <row r="198" spans="1:19" ht="16" outlineLevel="1" x14ac:dyDescent="0.2">
      <c r="A198" s="89" t="s">
        <v>24</v>
      </c>
      <c r="B198" s="89"/>
      <c r="C198" s="89"/>
      <c r="D198" s="142">
        <f>D194+D197</f>
        <v>3223.1624970000012</v>
      </c>
      <c r="E198" s="142">
        <f t="shared" ref="E198:H198" si="85">E194+E197</f>
        <v>3223.1624970000012</v>
      </c>
      <c r="F198" s="142">
        <f t="shared" si="85"/>
        <v>3223.1624970000012</v>
      </c>
      <c r="G198" s="142">
        <f t="shared" si="85"/>
        <v>3223.1624970000012</v>
      </c>
      <c r="H198" s="142">
        <f t="shared" si="85"/>
        <v>3223.1624970000012</v>
      </c>
      <c r="I198" s="89"/>
      <c r="J198" s="89"/>
      <c r="K198" s="89"/>
      <c r="L198" s="89"/>
      <c r="M198" s="89"/>
      <c r="N198" s="89"/>
      <c r="O198" s="71"/>
      <c r="P198" s="71"/>
      <c r="Q198" s="71"/>
      <c r="R198" s="71"/>
      <c r="S198" s="71"/>
    </row>
    <row r="199" spans="1:19" ht="16" outlineLevel="1" x14ac:dyDescent="0.2">
      <c r="A199" s="89" t="s">
        <v>166</v>
      </c>
      <c r="B199" s="89"/>
      <c r="C199" s="89"/>
      <c r="D199" s="89">
        <f>I164</f>
        <v>2000</v>
      </c>
      <c r="E199" s="89">
        <f t="shared" ref="E199:H199" si="86">J164</f>
        <v>2000</v>
      </c>
      <c r="F199" s="89">
        <f t="shared" si="86"/>
        <v>2000</v>
      </c>
      <c r="G199" s="89">
        <f t="shared" si="86"/>
        <v>2000</v>
      </c>
      <c r="H199" s="89">
        <f t="shared" si="86"/>
        <v>2000</v>
      </c>
      <c r="I199" s="89"/>
      <c r="J199" s="89"/>
      <c r="K199" s="89"/>
      <c r="L199" s="89"/>
      <c r="M199" s="89"/>
      <c r="N199" s="89"/>
      <c r="O199" s="71"/>
      <c r="P199" s="71"/>
      <c r="Q199" s="71"/>
      <c r="R199" s="71"/>
      <c r="S199" s="71"/>
    </row>
    <row r="200" spans="1:19" ht="16" outlineLevel="1" x14ac:dyDescent="0.2">
      <c r="A200" s="89" t="s">
        <v>167</v>
      </c>
      <c r="B200" s="89"/>
      <c r="C200" s="89"/>
      <c r="D200" s="89">
        <f>I160</f>
        <v>-423.09079481879007</v>
      </c>
      <c r="E200" s="89">
        <f t="shared" ref="E200:H200" si="87">J160</f>
        <v>0</v>
      </c>
      <c r="F200" s="89">
        <f t="shared" si="87"/>
        <v>0</v>
      </c>
      <c r="G200" s="89">
        <f t="shared" si="87"/>
        <v>0</v>
      </c>
      <c r="H200" s="89">
        <f t="shared" si="87"/>
        <v>0</v>
      </c>
      <c r="I200" s="89"/>
      <c r="J200" s="89"/>
      <c r="K200" s="89"/>
      <c r="L200" s="89"/>
      <c r="M200" s="89"/>
      <c r="N200" s="89"/>
      <c r="O200" s="71"/>
      <c r="P200" s="71"/>
      <c r="Q200" s="71"/>
      <c r="R200" s="71"/>
      <c r="S200" s="71"/>
    </row>
    <row r="201" spans="1:19" ht="16" outlineLevel="1" x14ac:dyDescent="0.2">
      <c r="A201" s="87" t="s">
        <v>187</v>
      </c>
      <c r="B201" s="87"/>
      <c r="C201" s="87"/>
      <c r="D201" s="87">
        <f>D196+D197-D199-D200</f>
        <v>969.38916744879089</v>
      </c>
      <c r="E201" s="87">
        <f t="shared" ref="E201:H201" si="88">E196+E197-E199-E200</f>
        <v>546.29837263000081</v>
      </c>
      <c r="F201" s="87">
        <f t="shared" si="88"/>
        <v>546.29837263000081</v>
      </c>
      <c r="G201" s="87">
        <f t="shared" si="88"/>
        <v>546.29837263000081</v>
      </c>
      <c r="H201" s="87">
        <f t="shared" si="88"/>
        <v>546.29837263000081</v>
      </c>
      <c r="I201" s="153">
        <f>M192</f>
        <v>14026.217537345008</v>
      </c>
      <c r="J201" s="89"/>
      <c r="K201" s="89"/>
      <c r="L201" s="89"/>
      <c r="M201" s="89"/>
      <c r="N201" s="89"/>
      <c r="O201" s="71"/>
      <c r="P201" s="71"/>
      <c r="Q201" s="71"/>
      <c r="R201" s="71"/>
      <c r="S201" s="71"/>
    </row>
    <row r="202" spans="1:19" ht="16" outlineLevel="1" x14ac:dyDescent="0.2">
      <c r="A202" s="89"/>
      <c r="B202" s="89"/>
      <c r="C202" s="89"/>
      <c r="D202" s="89"/>
      <c r="E202" s="89"/>
      <c r="F202" s="89"/>
      <c r="G202" s="89"/>
      <c r="H202" s="89"/>
      <c r="I202" s="138"/>
      <c r="J202" s="89"/>
      <c r="K202" s="89"/>
      <c r="L202" s="89"/>
      <c r="M202" s="89"/>
      <c r="N202" s="89"/>
      <c r="O202" s="71"/>
      <c r="P202" s="71"/>
      <c r="Q202" s="71"/>
      <c r="R202" s="71"/>
      <c r="S202" s="71"/>
    </row>
    <row r="203" spans="1:19" ht="16" outlineLevel="1" x14ac:dyDescent="0.2">
      <c r="A203" s="156" t="s">
        <v>168</v>
      </c>
      <c r="B203" s="156"/>
      <c r="C203" s="157">
        <v>0</v>
      </c>
      <c r="D203" s="156">
        <f>D201*D192</f>
        <v>969.38916744879089</v>
      </c>
      <c r="E203" s="156">
        <f t="shared" ref="E203:I203" si="89">E201*E192</f>
        <v>546.29837263000081</v>
      </c>
      <c r="F203" s="156">
        <f t="shared" si="89"/>
        <v>546.29837263000081</v>
      </c>
      <c r="G203" s="156">
        <f t="shared" si="89"/>
        <v>546.29837263000081</v>
      </c>
      <c r="H203" s="156">
        <f t="shared" si="89"/>
        <v>546.29837263000081</v>
      </c>
      <c r="I203" s="156">
        <f>I201*I192</f>
        <v>14026.217537345008</v>
      </c>
      <c r="J203" s="92"/>
      <c r="K203" s="92"/>
      <c r="L203" s="92"/>
      <c r="M203" s="92"/>
      <c r="N203" s="92"/>
      <c r="O203" s="92"/>
      <c r="P203" s="92"/>
      <c r="Q203" s="92"/>
      <c r="R203" s="92"/>
      <c r="S203" s="92"/>
    </row>
    <row r="204" spans="1:19" ht="16" outlineLevel="1" x14ac:dyDescent="0.2">
      <c r="A204" s="92"/>
      <c r="B204" s="92"/>
      <c r="C204" s="92"/>
      <c r="D204" s="92"/>
      <c r="E204" s="92"/>
      <c r="F204" s="92"/>
      <c r="G204" s="92"/>
      <c r="H204" s="92"/>
      <c r="I204" s="92"/>
      <c r="J204" s="92"/>
      <c r="K204" s="92"/>
      <c r="L204" s="92"/>
      <c r="M204" s="92"/>
      <c r="N204" s="92"/>
      <c r="O204" s="92"/>
      <c r="P204" s="92"/>
      <c r="Q204" s="92"/>
      <c r="R204" s="92"/>
      <c r="S204" s="92"/>
    </row>
    <row r="205" spans="1:19" ht="16" outlineLevel="1" x14ac:dyDescent="0.2">
      <c r="A205" s="156" t="s">
        <v>169</v>
      </c>
      <c r="B205" s="156"/>
      <c r="C205" s="156">
        <f>-G211</f>
        <v>-28581.869999999995</v>
      </c>
      <c r="D205" s="156">
        <f>D203</f>
        <v>969.38916744879089</v>
      </c>
      <c r="E205" s="156">
        <f t="shared" ref="E205:I205" si="90">E203</f>
        <v>546.29837263000081</v>
      </c>
      <c r="F205" s="156">
        <f t="shared" si="90"/>
        <v>546.29837263000081</v>
      </c>
      <c r="G205" s="156">
        <f t="shared" si="90"/>
        <v>546.29837263000081</v>
      </c>
      <c r="H205" s="156">
        <f t="shared" si="90"/>
        <v>546.29837263000081</v>
      </c>
      <c r="I205" s="156">
        <f t="shared" si="90"/>
        <v>14026.217537345008</v>
      </c>
      <c r="J205" s="92"/>
      <c r="K205" s="92"/>
      <c r="L205" s="158"/>
      <c r="M205" s="158"/>
      <c r="N205" s="158"/>
      <c r="O205" s="158"/>
      <c r="P205" s="158"/>
      <c r="Q205" s="158"/>
      <c r="R205" s="158"/>
      <c r="S205" s="92"/>
    </row>
    <row r="206" spans="1:19" ht="16" outlineLevel="1" x14ac:dyDescent="0.2">
      <c r="A206" s="92"/>
      <c r="B206" s="159"/>
      <c r="C206" s="92"/>
      <c r="D206" s="92"/>
      <c r="E206" s="92"/>
      <c r="F206" s="92"/>
      <c r="G206" s="92"/>
      <c r="H206" s="92"/>
      <c r="I206" s="92"/>
      <c r="J206" s="92"/>
      <c r="K206" s="92"/>
      <c r="L206" s="92"/>
      <c r="M206" s="92"/>
      <c r="N206" s="92"/>
      <c r="O206" s="92"/>
      <c r="P206" s="92"/>
      <c r="Q206" s="92"/>
      <c r="R206" s="92"/>
      <c r="S206" s="92"/>
    </row>
    <row r="207" spans="1:19" ht="16" outlineLevel="1" x14ac:dyDescent="0.2">
      <c r="A207" s="156" t="s">
        <v>170</v>
      </c>
      <c r="B207" s="92"/>
      <c r="C207" s="92"/>
      <c r="D207" s="92"/>
      <c r="E207" s="156" t="s">
        <v>171</v>
      </c>
      <c r="F207" s="92"/>
      <c r="G207" s="92"/>
      <c r="H207" s="92"/>
      <c r="I207" s="156" t="s">
        <v>172</v>
      </c>
      <c r="J207" s="92"/>
      <c r="K207" s="92"/>
      <c r="L207" s="92"/>
      <c r="M207" s="92"/>
      <c r="N207" s="92"/>
      <c r="O207" s="92"/>
      <c r="P207" s="92"/>
      <c r="Q207" s="92"/>
      <c r="R207" s="92"/>
      <c r="S207" s="92"/>
    </row>
    <row r="208" spans="1:19" ht="16" outlineLevel="1" x14ac:dyDescent="0.2">
      <c r="A208" s="160" t="s">
        <v>173</v>
      </c>
      <c r="B208" s="160"/>
      <c r="C208" s="160">
        <f>XNPV(C180,C203:I203,C190:I190)</f>
        <v>10306.164304622904</v>
      </c>
      <c r="D208" s="92"/>
      <c r="E208" s="160" t="s">
        <v>20</v>
      </c>
      <c r="F208" s="160"/>
      <c r="G208" s="160">
        <f>C185*C186</f>
        <v>28893.869999999995</v>
      </c>
      <c r="H208" s="92"/>
      <c r="I208" s="160" t="s">
        <v>46</v>
      </c>
      <c r="J208" s="160"/>
      <c r="K208" s="161">
        <f>C185</f>
        <v>54.9</v>
      </c>
      <c r="L208" s="92"/>
      <c r="M208" s="92"/>
      <c r="N208" s="92"/>
      <c r="O208" s="92"/>
      <c r="P208" s="92"/>
      <c r="Q208" s="92"/>
      <c r="R208" s="92"/>
      <c r="S208" s="92"/>
    </row>
    <row r="209" spans="1:19" ht="16" outlineLevel="1" x14ac:dyDescent="0.2">
      <c r="A209" s="92" t="s">
        <v>174</v>
      </c>
      <c r="B209" s="92"/>
      <c r="C209" s="92">
        <f>H64+H65</f>
        <v>3689</v>
      </c>
      <c r="D209" s="92"/>
      <c r="E209" s="92" t="s">
        <v>175</v>
      </c>
      <c r="F209" s="92"/>
      <c r="G209" s="92">
        <f>C210</f>
        <v>3377</v>
      </c>
      <c r="H209" s="92"/>
      <c r="I209" s="92" t="s">
        <v>176</v>
      </c>
      <c r="J209" s="92"/>
      <c r="K209" s="162">
        <f>C213</f>
        <v>20.175117432306489</v>
      </c>
      <c r="L209" s="92"/>
      <c r="M209" s="92"/>
      <c r="N209" s="92"/>
      <c r="O209" s="92"/>
      <c r="P209" s="92"/>
      <c r="Q209" s="92"/>
      <c r="R209" s="92"/>
      <c r="S209" s="92"/>
    </row>
    <row r="210" spans="1:19" ht="16" outlineLevel="1" x14ac:dyDescent="0.2">
      <c r="A210" s="92" t="s">
        <v>177</v>
      </c>
      <c r="B210" s="92"/>
      <c r="C210" s="92">
        <f>H89+H85</f>
        <v>3377</v>
      </c>
      <c r="D210" s="92"/>
      <c r="E210" s="92" t="s">
        <v>178</v>
      </c>
      <c r="F210" s="92"/>
      <c r="G210" s="92">
        <f>C209</f>
        <v>3689</v>
      </c>
      <c r="H210" s="92"/>
      <c r="I210" s="92" t="s">
        <v>188</v>
      </c>
      <c r="J210" s="92"/>
      <c r="K210" s="159">
        <f>K209/K208-1</f>
        <v>-0.63251152218020967</v>
      </c>
      <c r="L210" s="92"/>
      <c r="M210" s="92"/>
      <c r="N210" s="92"/>
      <c r="O210" s="92"/>
      <c r="P210" s="92"/>
      <c r="Q210" s="92"/>
      <c r="R210" s="92"/>
      <c r="S210" s="92"/>
    </row>
    <row r="211" spans="1:19" ht="16" outlineLevel="1" x14ac:dyDescent="0.2">
      <c r="A211" s="92" t="s">
        <v>47</v>
      </c>
      <c r="B211" s="92"/>
      <c r="C211" s="160">
        <f>C208+C209-C210</f>
        <v>10618.164304622904</v>
      </c>
      <c r="D211" s="92"/>
      <c r="E211" s="92" t="s">
        <v>173</v>
      </c>
      <c r="F211" s="92"/>
      <c r="G211" s="160">
        <f>G208+G209-G210</f>
        <v>28581.869999999995</v>
      </c>
      <c r="H211" s="92"/>
      <c r="I211" s="92" t="s">
        <v>179</v>
      </c>
      <c r="J211" s="92"/>
      <c r="K211" s="159">
        <f>XIRR(C205:I205,C190:I190)</f>
        <v>-0.1038547869771719</v>
      </c>
      <c r="L211" s="92"/>
      <c r="M211" s="92"/>
      <c r="N211" s="92"/>
      <c r="O211" s="92"/>
      <c r="P211" s="92"/>
      <c r="Q211" s="92"/>
      <c r="R211" s="92"/>
      <c r="S211" s="92"/>
    </row>
    <row r="212" spans="1:19" ht="16" outlineLevel="1" x14ac:dyDescent="0.2">
      <c r="A212" s="92"/>
      <c r="B212" s="92"/>
      <c r="C212" s="92"/>
      <c r="D212" s="92"/>
      <c r="E212" s="92"/>
      <c r="F212" s="92"/>
      <c r="G212" s="163"/>
      <c r="H212" s="92"/>
      <c r="I212" s="92"/>
      <c r="J212" s="92"/>
      <c r="K212" s="92"/>
      <c r="L212" s="92"/>
      <c r="M212" s="92"/>
      <c r="N212" s="92"/>
      <c r="O212" s="92"/>
      <c r="P212" s="92"/>
      <c r="Q212" s="92"/>
      <c r="R212" s="92"/>
      <c r="S212" s="92"/>
    </row>
    <row r="213" spans="1:19" ht="16" outlineLevel="1" x14ac:dyDescent="0.2">
      <c r="A213" s="156" t="s">
        <v>180</v>
      </c>
      <c r="B213" s="92"/>
      <c r="C213" s="164">
        <f>C211/C186</f>
        <v>20.175117432306489</v>
      </c>
      <c r="D213" s="92"/>
      <c r="E213" s="156" t="s">
        <v>180</v>
      </c>
      <c r="F213" s="156"/>
      <c r="G213" s="165">
        <f>G208/C186</f>
        <v>54.9</v>
      </c>
      <c r="H213" s="92"/>
      <c r="I213" s="92"/>
      <c r="J213" s="92"/>
      <c r="K213" s="92"/>
      <c r="L213" s="92"/>
      <c r="M213" s="92"/>
      <c r="N213" s="92"/>
      <c r="O213" s="92"/>
      <c r="P213" s="92"/>
      <c r="Q213" s="92"/>
      <c r="R213" s="92"/>
      <c r="S213" s="92"/>
    </row>
    <row r="214" spans="1:19" ht="16" outlineLevel="1" x14ac:dyDescent="0.2">
      <c r="A214" s="92"/>
      <c r="B214" s="92"/>
      <c r="C214" s="92"/>
      <c r="D214" s="92"/>
      <c r="E214" s="92"/>
      <c r="F214" s="92"/>
      <c r="G214" s="92"/>
      <c r="H214" s="92"/>
      <c r="I214" s="92"/>
      <c r="J214" s="92"/>
      <c r="K214" s="92"/>
      <c r="L214" s="92"/>
      <c r="M214" s="92"/>
      <c r="N214" s="92"/>
      <c r="O214" s="92"/>
      <c r="P214" s="92"/>
      <c r="Q214" s="92"/>
      <c r="R214" s="92"/>
      <c r="S214" s="92"/>
    </row>
    <row r="215" spans="1:19" ht="16" outlineLevel="1" x14ac:dyDescent="0.2">
      <c r="A215" s="89"/>
      <c r="B215" s="89"/>
      <c r="C215" s="89"/>
      <c r="D215" s="89"/>
      <c r="E215" s="89"/>
      <c r="F215" s="89"/>
      <c r="G215" s="89"/>
      <c r="H215" s="89"/>
      <c r="I215" s="89"/>
      <c r="J215" s="89"/>
      <c r="K215" s="89"/>
      <c r="L215" s="89"/>
      <c r="M215" s="89"/>
      <c r="N215" s="89"/>
      <c r="O215" s="71"/>
      <c r="P215" s="71"/>
      <c r="Q215" s="71"/>
      <c r="R215" s="71"/>
      <c r="S215" s="71"/>
    </row>
    <row r="216" spans="1:19" ht="16" x14ac:dyDescent="0.2">
      <c r="A216" s="71"/>
      <c r="B216" s="71"/>
      <c r="C216" s="71"/>
      <c r="D216" s="71"/>
      <c r="E216" s="71"/>
      <c r="F216" s="71"/>
      <c r="G216" s="71"/>
      <c r="H216" s="71"/>
      <c r="I216" s="71"/>
      <c r="J216" s="71"/>
      <c r="K216" s="71"/>
      <c r="L216" s="71"/>
      <c r="M216" s="71"/>
      <c r="N216" s="71"/>
      <c r="O216" s="71"/>
      <c r="P216" s="71"/>
      <c r="Q216" s="71"/>
      <c r="R216" s="71"/>
      <c r="S216" s="71"/>
    </row>
    <row r="217" spans="1:19" ht="20" x14ac:dyDescent="0.2">
      <c r="A217" s="80" t="s">
        <v>157</v>
      </c>
      <c r="B217" s="81"/>
      <c r="C217" s="82"/>
      <c r="D217" s="81"/>
      <c r="E217" s="81"/>
      <c r="F217" s="81"/>
      <c r="G217" s="81"/>
      <c r="H217" s="81"/>
      <c r="I217" s="81"/>
      <c r="J217" s="81"/>
      <c r="K217" s="81"/>
      <c r="L217" s="81"/>
      <c r="M217" s="81"/>
      <c r="N217" s="71"/>
      <c r="O217" s="71"/>
      <c r="P217" s="71"/>
      <c r="Q217" s="71"/>
      <c r="R217" s="71"/>
      <c r="S217" s="71"/>
    </row>
    <row r="218" spans="1:19" ht="16" outlineLevel="1" x14ac:dyDescent="0.2">
      <c r="A218" s="71"/>
      <c r="B218" s="71"/>
      <c r="C218" s="71"/>
      <c r="D218" s="71"/>
      <c r="E218" s="71"/>
      <c r="F218" s="71"/>
      <c r="G218" s="71"/>
      <c r="H218" s="71"/>
      <c r="I218" s="71"/>
      <c r="J218" s="71"/>
      <c r="K218" s="71"/>
      <c r="L218" s="71"/>
      <c r="M218" s="71"/>
      <c r="N218" s="71"/>
      <c r="O218" s="71"/>
      <c r="P218" s="71"/>
      <c r="Q218" s="71"/>
      <c r="R218" s="71"/>
      <c r="S218" s="71"/>
    </row>
    <row r="219" spans="1:19" ht="16" outlineLevel="1" x14ac:dyDescent="0.2">
      <c r="A219" s="71" t="s">
        <v>1</v>
      </c>
      <c r="B219" s="71"/>
      <c r="C219" s="78"/>
      <c r="D219" s="154">
        <f>YEAR(D190)</f>
        <v>2019</v>
      </c>
      <c r="E219" s="154">
        <f>YEAR(E190)</f>
        <v>2020</v>
      </c>
      <c r="F219" s="154">
        <f>YEAR(F190)</f>
        <v>2021</v>
      </c>
      <c r="G219" s="154">
        <f>YEAR(G190)</f>
        <v>2022</v>
      </c>
      <c r="H219" s="154">
        <f>YEAR(H190)</f>
        <v>2023</v>
      </c>
      <c r="I219" s="71"/>
      <c r="J219" s="71" t="s">
        <v>181</v>
      </c>
      <c r="K219" s="71"/>
      <c r="L219" s="71"/>
      <c r="M219" s="71"/>
      <c r="N219" s="71"/>
      <c r="O219" s="71"/>
      <c r="P219" s="71"/>
      <c r="Q219" s="71"/>
      <c r="R219" s="71"/>
      <c r="S219" s="71"/>
    </row>
    <row r="220" spans="1:19" ht="16" outlineLevel="1" x14ac:dyDescent="0.2">
      <c r="A220" s="86" t="s">
        <v>182</v>
      </c>
      <c r="B220" s="86"/>
      <c r="C220" s="120"/>
      <c r="D220" s="86">
        <f>D205</f>
        <v>969.38916744879089</v>
      </c>
      <c r="E220" s="86">
        <f>E205</f>
        <v>546.29837263000081</v>
      </c>
      <c r="F220" s="86">
        <f>F205</f>
        <v>546.29837263000081</v>
      </c>
      <c r="G220" s="86">
        <f>G205</f>
        <v>546.29837263000081</v>
      </c>
      <c r="H220" s="86">
        <f>H205</f>
        <v>546.29837263000081</v>
      </c>
      <c r="I220" s="71"/>
      <c r="J220" s="86" t="s">
        <v>171</v>
      </c>
      <c r="K220" s="86"/>
      <c r="L220" s="166">
        <f>G213</f>
        <v>54.9</v>
      </c>
      <c r="M220" s="71"/>
      <c r="N220" s="71"/>
      <c r="O220" s="71"/>
      <c r="P220" s="71"/>
      <c r="Q220" s="71"/>
      <c r="R220" s="71"/>
      <c r="S220" s="71"/>
    </row>
    <row r="221" spans="1:19" ht="16" outlineLevel="1" x14ac:dyDescent="0.2">
      <c r="A221" s="71"/>
      <c r="B221" s="71"/>
      <c r="C221" s="78"/>
      <c r="D221" s="71"/>
      <c r="E221" s="71"/>
      <c r="F221" s="71"/>
      <c r="G221" s="71"/>
      <c r="H221" s="71"/>
      <c r="I221" s="71"/>
      <c r="J221" s="71" t="s">
        <v>183</v>
      </c>
      <c r="K221" s="71"/>
      <c r="L221" s="147">
        <f>L222-L220</f>
        <v>-34.724882567693513</v>
      </c>
      <c r="M221" s="71"/>
      <c r="N221" s="71"/>
      <c r="O221" s="71"/>
      <c r="P221" s="71"/>
      <c r="Q221" s="71"/>
      <c r="R221" s="71"/>
      <c r="S221" s="71"/>
    </row>
    <row r="222" spans="1:19" ht="16" outlineLevel="1" x14ac:dyDescent="0.2">
      <c r="A222" s="71"/>
      <c r="B222" s="71"/>
      <c r="C222" s="78"/>
      <c r="D222" s="71"/>
      <c r="E222" s="71"/>
      <c r="F222" s="71"/>
      <c r="G222" s="71"/>
      <c r="H222" s="71"/>
      <c r="I222" s="71"/>
      <c r="J222" s="71" t="s">
        <v>170</v>
      </c>
      <c r="K222" s="71"/>
      <c r="L222" s="147">
        <f>C213</f>
        <v>20.175117432306489</v>
      </c>
      <c r="M222" s="71"/>
      <c r="N222" s="71"/>
      <c r="O222" s="71"/>
      <c r="P222" s="71"/>
      <c r="Q222" s="71"/>
      <c r="R222" s="71"/>
      <c r="S222" s="71"/>
    </row>
    <row r="223" spans="1:19" ht="16" outlineLevel="1" x14ac:dyDescent="0.2">
      <c r="A223" s="71"/>
      <c r="B223" s="71"/>
      <c r="C223" s="78"/>
      <c r="D223" s="71"/>
      <c r="E223" s="71"/>
      <c r="F223" s="71"/>
      <c r="G223" s="71"/>
      <c r="H223" s="71"/>
      <c r="I223" s="71"/>
      <c r="J223" s="71"/>
      <c r="K223" s="71"/>
      <c r="L223" s="71"/>
      <c r="M223" s="71"/>
      <c r="N223" s="71"/>
      <c r="O223" s="71"/>
      <c r="P223" s="71"/>
      <c r="Q223" s="71"/>
      <c r="R223" s="71"/>
      <c r="S223" s="71"/>
    </row>
    <row r="224" spans="1:19" ht="16" outlineLevel="1" x14ac:dyDescent="0.2">
      <c r="A224" s="71"/>
      <c r="B224" s="71"/>
      <c r="C224" s="78"/>
      <c r="D224" s="71"/>
      <c r="E224" s="71"/>
      <c r="F224" s="71"/>
      <c r="G224" s="71"/>
      <c r="H224" s="71"/>
      <c r="I224" s="71"/>
      <c r="J224" s="71"/>
      <c r="K224" s="71"/>
      <c r="L224" s="71"/>
      <c r="M224" s="71"/>
      <c r="N224" s="71"/>
      <c r="O224" s="71"/>
      <c r="P224" s="71"/>
      <c r="Q224" s="71"/>
      <c r="R224" s="71"/>
      <c r="S224" s="71"/>
    </row>
    <row r="225" spans="1:19" ht="16" outlineLevel="1" x14ac:dyDescent="0.2">
      <c r="A225" s="71"/>
      <c r="B225" s="71"/>
      <c r="C225" s="78"/>
      <c r="D225" s="71"/>
      <c r="E225" s="71"/>
      <c r="F225" s="71"/>
      <c r="G225" s="71"/>
      <c r="H225" s="71"/>
      <c r="I225" s="71"/>
      <c r="J225" s="71"/>
      <c r="K225" s="71"/>
      <c r="L225" s="71"/>
      <c r="M225" s="71"/>
      <c r="N225" s="71"/>
      <c r="O225" s="71"/>
      <c r="P225" s="71"/>
      <c r="Q225" s="71"/>
      <c r="R225" s="71"/>
      <c r="S225" s="71"/>
    </row>
    <row r="226" spans="1:19" ht="16" outlineLevel="1" x14ac:dyDescent="0.2">
      <c r="A226" s="71"/>
      <c r="B226" s="71"/>
      <c r="C226" s="78"/>
      <c r="D226" s="71"/>
      <c r="E226" s="71"/>
      <c r="F226" s="71"/>
      <c r="G226" s="71"/>
      <c r="H226" s="71"/>
      <c r="I226" s="71"/>
      <c r="J226" s="71"/>
      <c r="K226" s="71"/>
      <c r="L226" s="71"/>
      <c r="M226" s="71"/>
      <c r="N226" s="71"/>
      <c r="O226" s="71"/>
      <c r="P226" s="71"/>
      <c r="Q226" s="71"/>
      <c r="R226" s="71"/>
      <c r="S226" s="71"/>
    </row>
    <row r="227" spans="1:19" ht="16" outlineLevel="1" x14ac:dyDescent="0.2">
      <c r="A227" s="71"/>
      <c r="B227" s="71"/>
      <c r="C227" s="78"/>
      <c r="D227" s="71"/>
      <c r="E227" s="71"/>
      <c r="F227" s="71"/>
      <c r="G227" s="71"/>
      <c r="H227" s="71"/>
      <c r="I227" s="71"/>
      <c r="J227" s="71"/>
      <c r="K227" s="71"/>
      <c r="L227" s="71"/>
      <c r="M227" s="71"/>
      <c r="N227" s="71"/>
      <c r="O227" s="71"/>
      <c r="P227" s="71"/>
      <c r="Q227" s="71"/>
      <c r="R227" s="71"/>
      <c r="S227" s="71"/>
    </row>
    <row r="228" spans="1:19" ht="16" outlineLevel="1" x14ac:dyDescent="0.2">
      <c r="A228" s="71"/>
      <c r="B228" s="71"/>
      <c r="C228" s="78"/>
      <c r="D228" s="71"/>
      <c r="E228" s="71"/>
      <c r="F228" s="71"/>
      <c r="G228" s="71"/>
      <c r="H228" s="71"/>
      <c r="I228" s="71"/>
      <c r="J228" s="71"/>
      <c r="K228" s="71"/>
      <c r="L228" s="71"/>
      <c r="M228" s="71"/>
      <c r="N228" s="71"/>
      <c r="O228" s="71"/>
      <c r="P228" s="71"/>
      <c r="Q228" s="71"/>
      <c r="R228" s="71"/>
      <c r="S228" s="71"/>
    </row>
    <row r="229" spans="1:19" outlineLevel="1" x14ac:dyDescent="0.15"/>
    <row r="230" spans="1:19" outlineLevel="1" x14ac:dyDescent="0.15"/>
    <row r="231" spans="1:19" outlineLevel="1" x14ac:dyDescent="0.15"/>
    <row r="232" spans="1:19" outlineLevel="1" x14ac:dyDescent="0.15"/>
    <row r="233" spans="1:19" outlineLevel="1" x14ac:dyDescent="0.15"/>
    <row r="234" spans="1:19" outlineLevel="1" x14ac:dyDescent="0.15"/>
    <row r="235" spans="1:19" outlineLevel="1" x14ac:dyDescent="0.15"/>
    <row r="236" spans="1:19" outlineLevel="1" x14ac:dyDescent="0.15"/>
    <row r="237" spans="1:19" outlineLevel="1" x14ac:dyDescent="0.15"/>
    <row r="238" spans="1:19" outlineLevel="1" x14ac:dyDescent="0.15"/>
    <row r="239" spans="1:19" outlineLevel="1" x14ac:dyDescent="0.15"/>
  </sheetData>
  <sheetProtection formatCells="0" formatColumns="0" formatRows="0" insertColumns="0" insertRows="0" insertHyperlinks="0" deleteColumns="0" deleteRows="0" sort="0" autoFilter="0" pivotTables="0"/>
  <conditionalFormatting sqref="D3:M3">
    <cfRule type="containsText" dxfId="5" priority="1" operator="containsText" text="OK">
      <formula>NOT(ISERROR(SEARCH("OK",D3)))</formula>
    </cfRule>
    <cfRule type="containsText" dxfId="4"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39"/>
  <sheetViews>
    <sheetView showGridLines="0" workbookViewId="0">
      <pane ySplit="3" topLeftCell="A6" activePane="bottomLeft" state="frozen"/>
      <selection pane="bottomLeft" activeCell="A15" sqref="A15"/>
    </sheetView>
  </sheetViews>
  <sheetFormatPr baseColWidth="10" defaultColWidth="9.1640625" defaultRowHeight="13" outlineLevelRow="1" x14ac:dyDescent="0.15"/>
  <cols>
    <col min="1" max="1" width="12.6640625" customWidth="1"/>
    <col min="2" max="2" width="12.33203125" customWidth="1"/>
    <col min="3" max="3" width="31.33203125" customWidth="1"/>
    <col min="4" max="13" width="11.5" customWidth="1"/>
  </cols>
  <sheetData>
    <row r="1" spans="1:16" ht="16" x14ac:dyDescent="0.2">
      <c r="A1" s="64" t="s">
        <v>60</v>
      </c>
      <c r="B1" s="65"/>
      <c r="C1" s="66"/>
      <c r="D1" s="67" t="s">
        <v>61</v>
      </c>
      <c r="E1" s="68"/>
      <c r="F1" s="68"/>
      <c r="G1" s="68"/>
      <c r="H1" s="68"/>
      <c r="I1" s="69" t="s">
        <v>62</v>
      </c>
      <c r="J1" s="70"/>
      <c r="K1" s="70"/>
      <c r="L1" s="70"/>
      <c r="M1" s="70"/>
      <c r="N1" s="71"/>
      <c r="O1" s="71"/>
      <c r="P1" s="71"/>
    </row>
    <row r="2" spans="1:16" ht="21" customHeight="1" x14ac:dyDescent="0.2">
      <c r="A2" s="72" t="s">
        <v>63</v>
      </c>
      <c r="B2" s="73"/>
      <c r="C2" s="74"/>
      <c r="D2" s="75">
        <v>2014</v>
      </c>
      <c r="E2" s="75">
        <f>+D2+1</f>
        <v>2015</v>
      </c>
      <c r="F2" s="75">
        <f t="shared" ref="F2:M2" si="0">+E2+1</f>
        <v>2016</v>
      </c>
      <c r="G2" s="75">
        <f t="shared" si="0"/>
        <v>2017</v>
      </c>
      <c r="H2" s="75">
        <f t="shared" si="0"/>
        <v>2018</v>
      </c>
      <c r="I2" s="76">
        <f t="shared" si="0"/>
        <v>2019</v>
      </c>
      <c r="J2" s="76">
        <f t="shared" si="0"/>
        <v>2020</v>
      </c>
      <c r="K2" s="76">
        <f t="shared" si="0"/>
        <v>2021</v>
      </c>
      <c r="L2" s="76">
        <f t="shared" si="0"/>
        <v>2022</v>
      </c>
      <c r="M2" s="76">
        <f t="shared" si="0"/>
        <v>2023</v>
      </c>
      <c r="N2" s="77"/>
      <c r="O2" s="77"/>
      <c r="P2" s="77"/>
    </row>
    <row r="3" spans="1:16" ht="16" x14ac:dyDescent="0.2">
      <c r="A3" s="71" t="s">
        <v>64</v>
      </c>
      <c r="B3" s="71"/>
      <c r="C3" s="78"/>
      <c r="D3" s="79" t="str">
        <f t="shared" ref="D3:H3" si="1">IFERROR(IF(ABS(D105)&gt;1,"ERROR","OK"),"OK")</f>
        <v>OK</v>
      </c>
      <c r="E3" s="79" t="str">
        <f t="shared" si="1"/>
        <v>OK</v>
      </c>
      <c r="F3" s="79" t="str">
        <f t="shared" si="1"/>
        <v>OK</v>
      </c>
      <c r="G3" s="79" t="str">
        <f t="shared" si="1"/>
        <v>OK</v>
      </c>
      <c r="H3" s="79" t="str">
        <f t="shared" si="1"/>
        <v>OK</v>
      </c>
      <c r="I3" s="79" t="str">
        <f>IFERROR(IF(ABS(I105)&gt;1,"ERROR","OK"),"OK")</f>
        <v>OK</v>
      </c>
      <c r="J3" s="79" t="str">
        <f t="shared" ref="J3:M3" si="2">IFERROR(IF(ABS(J105)&gt;1,"ERROR","OK"),"OK")</f>
        <v>OK</v>
      </c>
      <c r="K3" s="79" t="str">
        <f t="shared" si="2"/>
        <v>OK</v>
      </c>
      <c r="L3" s="79" t="str">
        <f t="shared" si="2"/>
        <v>OK</v>
      </c>
      <c r="M3" s="79" t="str">
        <f t="shared" si="2"/>
        <v>OK</v>
      </c>
      <c r="N3" s="71"/>
      <c r="O3" s="71"/>
      <c r="P3" s="71"/>
    </row>
    <row r="5" spans="1:16" ht="20" x14ac:dyDescent="0.2">
      <c r="A5" s="80" t="s">
        <v>66</v>
      </c>
      <c r="B5" s="81"/>
      <c r="C5" s="82"/>
      <c r="D5" s="81"/>
      <c r="E5" s="81"/>
      <c r="F5" s="81"/>
      <c r="G5" s="81"/>
      <c r="H5" s="81"/>
      <c r="I5" s="81"/>
      <c r="J5" s="81"/>
      <c r="K5" s="81"/>
      <c r="L5" s="81"/>
      <c r="M5" s="81"/>
      <c r="N5" s="71"/>
      <c r="O5" s="71"/>
      <c r="P5" s="71"/>
    </row>
    <row r="6" spans="1:16" ht="16" outlineLevel="1" x14ac:dyDescent="0.2">
      <c r="A6" s="71"/>
      <c r="B6" s="71"/>
      <c r="C6" s="78"/>
      <c r="D6" s="83"/>
      <c r="E6" s="83"/>
      <c r="F6" s="83"/>
      <c r="G6" s="83"/>
      <c r="H6" s="83"/>
      <c r="I6" s="84"/>
      <c r="J6" s="84"/>
      <c r="K6" s="84"/>
      <c r="L6" s="84"/>
      <c r="M6" s="84"/>
      <c r="N6" s="71"/>
      <c r="O6" s="71"/>
      <c r="P6" s="71"/>
    </row>
    <row r="7" spans="1:16" ht="16" outlineLevel="1" x14ac:dyDescent="0.2">
      <c r="A7" s="85" t="s">
        <v>65</v>
      </c>
      <c r="B7" s="71"/>
      <c r="C7" s="78"/>
      <c r="D7" s="83"/>
      <c r="E7" s="83"/>
      <c r="F7" s="83"/>
      <c r="G7" s="83"/>
      <c r="H7" s="83"/>
      <c r="I7" s="84"/>
      <c r="J7" s="84"/>
      <c r="K7" s="84"/>
      <c r="L7" s="84"/>
      <c r="M7" s="84"/>
      <c r="N7" s="71"/>
      <c r="O7" s="71"/>
      <c r="P7" s="71"/>
    </row>
    <row r="8" spans="1:16" ht="16" outlineLevel="1" x14ac:dyDescent="0.2">
      <c r="A8" s="89" t="s">
        <v>291</v>
      </c>
      <c r="B8" s="71"/>
      <c r="C8" s="78"/>
      <c r="D8" s="294">
        <f>IFERROR(D35/C35-1,0)</f>
        <v>0</v>
      </c>
      <c r="E8" s="294">
        <f>IFERROR(E35/D35-1,0)</f>
        <v>2.2857142857142909E-2</v>
      </c>
      <c r="F8" s="294">
        <f>IFERROR(F35/E35-1,0)</f>
        <v>-4.4692737430167551E-2</v>
      </c>
      <c r="G8" s="294">
        <f>IFERROR(G35/F35-1,0)</f>
        <v>1.1695906432748648E-2</v>
      </c>
      <c r="H8" s="294">
        <f>IFERROR(H35/G35-1,0)</f>
        <v>1.1560693641618602E-2</v>
      </c>
      <c r="I8" s="338">
        <f>Scenarios!I9</f>
        <v>1.2E-2</v>
      </c>
      <c r="J8" s="338">
        <f>Scenarios!J9</f>
        <v>1.2E-2</v>
      </c>
      <c r="K8" s="338">
        <f>Scenarios!K9</f>
        <v>1.2E-2</v>
      </c>
      <c r="L8" s="338">
        <f>Scenarios!L9</f>
        <v>1.2E-2</v>
      </c>
      <c r="M8" s="338">
        <f>Scenarios!M9</f>
        <v>1.2E-2</v>
      </c>
      <c r="N8" s="71"/>
      <c r="O8" s="71"/>
      <c r="P8" s="71"/>
    </row>
    <row r="9" spans="1:16" ht="16" outlineLevel="1" x14ac:dyDescent="0.2">
      <c r="A9" s="89" t="s">
        <v>292</v>
      </c>
      <c r="B9" s="71"/>
      <c r="C9" s="78"/>
      <c r="D9" s="294">
        <f t="shared" ref="D9:H9" si="3">IFERROR(D36/C36-1,0)</f>
        <v>0</v>
      </c>
      <c r="E9" s="294">
        <f>IFERROR(E36/D36-1,0)</f>
        <v>3.6300826820704568E-2</v>
      </c>
      <c r="F9" s="294">
        <f t="shared" si="3"/>
        <v>4.2024154325372987E-2</v>
      </c>
      <c r="G9" s="294">
        <f t="shared" si="3"/>
        <v>3.644850010488776E-2</v>
      </c>
      <c r="H9" s="294">
        <f t="shared" si="3"/>
        <v>3.5014926883570219E-2</v>
      </c>
      <c r="I9" s="338">
        <f>Scenarios!I10</f>
        <v>3.5000000000000003E-2</v>
      </c>
      <c r="J9" s="338">
        <f>Scenarios!J10</f>
        <v>3.5000000000000003E-2</v>
      </c>
      <c r="K9" s="338">
        <f>Scenarios!K10</f>
        <v>3.5000000000000003E-2</v>
      </c>
      <c r="L9" s="338">
        <f>Scenarios!L10</f>
        <v>3.5000000000000003E-2</v>
      </c>
      <c r="M9" s="338">
        <f>Scenarios!M10</f>
        <v>3.5000000000000003E-2</v>
      </c>
      <c r="N9" s="71"/>
      <c r="O9" s="71"/>
      <c r="P9" s="71"/>
    </row>
    <row r="10" spans="1:16" ht="16" outlineLevel="1" x14ac:dyDescent="0.2">
      <c r="A10" s="89" t="s">
        <v>293</v>
      </c>
      <c r="B10" s="71"/>
      <c r="C10" s="78"/>
      <c r="D10" s="294">
        <f t="shared" ref="D10:H10" si="4">IFERROR(D37/C37-1,0)</f>
        <v>0</v>
      </c>
      <c r="E10" s="294">
        <f t="shared" si="4"/>
        <v>0</v>
      </c>
      <c r="F10" s="294">
        <f t="shared" si="4"/>
        <v>-1</v>
      </c>
      <c r="G10" s="294">
        <f t="shared" si="4"/>
        <v>0</v>
      </c>
      <c r="H10" s="294">
        <f t="shared" si="4"/>
        <v>0</v>
      </c>
      <c r="I10" s="338">
        <f>Scenarios!I11</f>
        <v>0</v>
      </c>
      <c r="J10" s="338">
        <f>Scenarios!J11</f>
        <v>0</v>
      </c>
      <c r="K10" s="338">
        <f>Scenarios!K11</f>
        <v>0</v>
      </c>
      <c r="L10" s="338">
        <f>Scenarios!L11</f>
        <v>0</v>
      </c>
      <c r="M10" s="338">
        <f>Scenarios!M11</f>
        <v>0</v>
      </c>
      <c r="N10" s="71"/>
      <c r="O10" s="71"/>
      <c r="P10" s="71"/>
    </row>
    <row r="11" spans="1:16" ht="16" outlineLevel="1" x14ac:dyDescent="0.2">
      <c r="A11" s="89" t="s">
        <v>294</v>
      </c>
      <c r="B11" s="71"/>
      <c r="C11" s="78"/>
      <c r="D11" s="294">
        <f t="shared" ref="D11:H11" si="5">IFERROR(D38/C38-1,0)</f>
        <v>0</v>
      </c>
      <c r="E11" s="294">
        <f>IFERROR(E38/D38-1,0)</f>
        <v>0.51554404145077726</v>
      </c>
      <c r="F11" s="294">
        <f t="shared" si="5"/>
        <v>-0.10256410256410253</v>
      </c>
      <c r="G11" s="294">
        <f t="shared" si="5"/>
        <v>0.15238095238095228</v>
      </c>
      <c r="H11" s="294">
        <f t="shared" si="5"/>
        <v>0.10330578512396693</v>
      </c>
      <c r="I11" s="339">
        <f>Scenarios!I12</f>
        <v>0</v>
      </c>
      <c r="J11" s="339">
        <f>Scenarios!J12</f>
        <v>0</v>
      </c>
      <c r="K11" s="339">
        <f>Scenarios!K12</f>
        <v>0</v>
      </c>
      <c r="L11" s="339">
        <f>Scenarios!L12</f>
        <v>0</v>
      </c>
      <c r="M11" s="339">
        <f>Scenarios!M12</f>
        <v>0</v>
      </c>
      <c r="N11" s="71"/>
      <c r="O11" s="71"/>
      <c r="P11" s="71"/>
    </row>
    <row r="12" spans="1:16" ht="16" outlineLevel="1" x14ac:dyDescent="0.2">
      <c r="A12" s="86" t="s">
        <v>67</v>
      </c>
      <c r="B12" s="87"/>
      <c r="C12" s="88"/>
      <c r="D12" s="293">
        <f>IFERROR(D39/C39-1,0)</f>
        <v>0</v>
      </c>
      <c r="E12" s="293">
        <f>IFERROR(E39/D39-1,0)</f>
        <v>6.5305025530771221E-2</v>
      </c>
      <c r="F12" s="293">
        <f>IFERROR(F39/E39-1,0)</f>
        <v>2.3662966700302768E-2</v>
      </c>
      <c r="G12" s="293">
        <f>IFERROR(G39/F39-1,0)</f>
        <v>4.2239637241855199E-2</v>
      </c>
      <c r="H12" s="293">
        <f>IFERROR(H39/G39-1,0)</f>
        <v>3.8730729215927351E-2</v>
      </c>
      <c r="I12" s="338"/>
      <c r="J12" s="338"/>
      <c r="K12" s="338"/>
      <c r="L12" s="338"/>
      <c r="M12" s="338"/>
      <c r="N12" s="71"/>
      <c r="O12" s="71"/>
      <c r="P12" s="71"/>
    </row>
    <row r="13" spans="1:16" ht="16" outlineLevel="1" x14ac:dyDescent="0.2">
      <c r="A13" s="89" t="s">
        <v>69</v>
      </c>
      <c r="B13" s="89"/>
      <c r="C13" s="90"/>
      <c r="D13" s="294">
        <f>IFERROR(D41/D$39, "NA")</f>
        <v>0.29207202364955659</v>
      </c>
      <c r="E13" s="294">
        <f t="shared" ref="E13:H13" si="6">IFERROR(E41/E$39, "NA")</f>
        <v>0.32204843592330978</v>
      </c>
      <c r="F13" s="294">
        <f t="shared" si="6"/>
        <v>0.33446695253585684</v>
      </c>
      <c r="G13" s="294">
        <f t="shared" si="6"/>
        <v>0.34545540527759389</v>
      </c>
      <c r="H13" s="294">
        <f t="shared" si="6"/>
        <v>0.34823582972911449</v>
      </c>
      <c r="I13" s="338">
        <f>Scenarios!I14</f>
        <v>0.34</v>
      </c>
      <c r="J13" s="338">
        <f>Scenarios!J14</f>
        <v>0.34</v>
      </c>
      <c r="K13" s="338">
        <f>Scenarios!K14</f>
        <v>0.34</v>
      </c>
      <c r="L13" s="338">
        <f>Scenarios!L14</f>
        <v>0.34</v>
      </c>
      <c r="M13" s="338">
        <f>Scenarios!M14</f>
        <v>0.34</v>
      </c>
      <c r="N13" s="71"/>
      <c r="O13" s="71"/>
      <c r="P13" s="71"/>
    </row>
    <row r="14" spans="1:16" ht="16" outlineLevel="1" x14ac:dyDescent="0.2">
      <c r="A14" s="89" t="s">
        <v>217</v>
      </c>
      <c r="B14" s="89"/>
      <c r="C14" s="90"/>
      <c r="D14" s="294">
        <f t="shared" ref="D14:H14" si="7">IFERROR(D42/D$39, "NA")</f>
        <v>5.2566514377855415E-2</v>
      </c>
      <c r="E14" s="294">
        <f t="shared" si="7"/>
        <v>5.0706357214934411E-2</v>
      </c>
      <c r="F14" s="294">
        <f t="shared" si="7"/>
        <v>5.1505742027699739E-2</v>
      </c>
      <c r="G14" s="294">
        <f t="shared" si="7"/>
        <v>4.7337557930577888E-2</v>
      </c>
      <c r="H14" s="294">
        <f t="shared" si="7"/>
        <v>5.0398361028909627E-2</v>
      </c>
      <c r="I14" s="338">
        <f>Scenarios!I15</f>
        <v>0.05</v>
      </c>
      <c r="J14" s="338">
        <f>Scenarios!J15</f>
        <v>0.05</v>
      </c>
      <c r="K14" s="338">
        <f>Scenarios!K15</f>
        <v>0.05</v>
      </c>
      <c r="L14" s="338">
        <f>Scenarios!L15</f>
        <v>0.05</v>
      </c>
      <c r="M14" s="338">
        <f>Scenarios!M15</f>
        <v>0.05</v>
      </c>
      <c r="N14" s="71"/>
      <c r="O14" s="71"/>
      <c r="P14" s="71"/>
    </row>
    <row r="15" spans="1:16" ht="16" outlineLevel="1" x14ac:dyDescent="0.2">
      <c r="A15" s="89" t="s">
        <v>218</v>
      </c>
      <c r="B15" s="89"/>
      <c r="C15" s="90"/>
      <c r="D15" s="294">
        <f t="shared" ref="D15:H15" si="8">IFERROR(D43/D$39, "NA")</f>
        <v>0.28449341574845471</v>
      </c>
      <c r="E15" s="294">
        <f t="shared" si="8"/>
        <v>0.18244197780020183</v>
      </c>
      <c r="F15" s="294">
        <f t="shared" si="8"/>
        <v>0.18734289516486766</v>
      </c>
      <c r="G15" s="294">
        <f t="shared" si="8"/>
        <v>0.19275513099404143</v>
      </c>
      <c r="H15" s="294">
        <f t="shared" si="8"/>
        <v>0.21015251536535398</v>
      </c>
      <c r="I15" s="338">
        <f>Scenarios!I16</f>
        <v>0.2</v>
      </c>
      <c r="J15" s="338">
        <f>Scenarios!J16</f>
        <v>0.2</v>
      </c>
      <c r="K15" s="338">
        <f>Scenarios!K16</f>
        <v>0.2</v>
      </c>
      <c r="L15" s="338">
        <f>Scenarios!L16</f>
        <v>0.2</v>
      </c>
      <c r="M15" s="338">
        <f>Scenarios!M16</f>
        <v>0.2</v>
      </c>
      <c r="N15" s="71"/>
      <c r="O15" s="71"/>
      <c r="P15" s="71"/>
    </row>
    <row r="16" spans="1:16" ht="16" outlineLevel="1" x14ac:dyDescent="0.2">
      <c r="A16" s="89" t="s">
        <v>219</v>
      </c>
      <c r="B16" s="89"/>
      <c r="C16" s="90"/>
      <c r="D16" s="294">
        <f t="shared" ref="D16:H16" si="9">IFERROR(D44/D$39, "NA")</f>
        <v>5.97151303413061E-2</v>
      </c>
      <c r="E16" s="294">
        <f t="shared" si="9"/>
        <v>5.882946518668012E-2</v>
      </c>
      <c r="F16" s="294" t="str">
        <f>IFERROR(F44/F$39, "NA")</f>
        <v>NA</v>
      </c>
      <c r="G16" s="294" t="str">
        <f t="shared" si="9"/>
        <v>NA</v>
      </c>
      <c r="H16" s="294" t="str">
        <f t="shared" si="9"/>
        <v>NA</v>
      </c>
      <c r="I16" s="338">
        <f>Scenarios!I17</f>
        <v>0</v>
      </c>
      <c r="J16" s="338">
        <f>Scenarios!J17</f>
        <v>0</v>
      </c>
      <c r="K16" s="338">
        <f>Scenarios!K17</f>
        <v>0</v>
      </c>
      <c r="L16" s="338">
        <f>Scenarios!L17</f>
        <v>0</v>
      </c>
      <c r="M16" s="338">
        <f>Scenarios!M17</f>
        <v>0</v>
      </c>
      <c r="N16" s="71"/>
      <c r="O16" s="71"/>
      <c r="P16" s="71"/>
    </row>
    <row r="17" spans="1:16" ht="16" outlineLevel="1" x14ac:dyDescent="0.2">
      <c r="A17" s="89" t="s">
        <v>220</v>
      </c>
      <c r="B17" s="89"/>
      <c r="C17" s="90"/>
      <c r="D17" s="294" t="str">
        <f t="shared" ref="D17:H17" si="10">IFERROR(D45/D$39, "NA")</f>
        <v>NA</v>
      </c>
      <c r="E17" s="294" t="str">
        <f t="shared" si="10"/>
        <v>NA</v>
      </c>
      <c r="F17" s="294">
        <f t="shared" si="10"/>
        <v>5.9687515402434818E-2</v>
      </c>
      <c r="G17" s="294">
        <f t="shared" si="10"/>
        <v>6.1099025820486146E-2</v>
      </c>
      <c r="H17" s="294">
        <f t="shared" si="10"/>
        <v>6.0732984293193716E-2</v>
      </c>
      <c r="I17" s="338">
        <f>Scenarios!I18</f>
        <v>0.06</v>
      </c>
      <c r="J17" s="338">
        <f>Scenarios!J18</f>
        <v>0.06</v>
      </c>
      <c r="K17" s="338">
        <f>Scenarios!K18</f>
        <v>0.06</v>
      </c>
      <c r="L17" s="338">
        <f>Scenarios!L18</f>
        <v>0.06</v>
      </c>
      <c r="M17" s="338">
        <f>Scenarios!M18</f>
        <v>0.06</v>
      </c>
      <c r="N17" s="71"/>
      <c r="O17" s="71"/>
      <c r="P17" s="71"/>
    </row>
    <row r="18" spans="1:16" ht="16" outlineLevel="1" x14ac:dyDescent="0.2">
      <c r="A18" s="89" t="s">
        <v>221</v>
      </c>
      <c r="B18" s="89"/>
      <c r="C18" s="90"/>
      <c r="D18" s="294">
        <f t="shared" ref="D18:H18" si="11">IFERROR(D46/D$39, "NA")</f>
        <v>1.5855952700886859E-2</v>
      </c>
      <c r="E18" s="294">
        <f t="shared" si="11"/>
        <v>1.2008072653884965E-2</v>
      </c>
      <c r="F18" s="294" t="str">
        <f t="shared" si="11"/>
        <v>NA</v>
      </c>
      <c r="G18" s="294" t="str">
        <f t="shared" si="11"/>
        <v>NA</v>
      </c>
      <c r="H18" s="294" t="str">
        <f t="shared" si="11"/>
        <v>NA</v>
      </c>
      <c r="I18" s="338">
        <f>Scenarios!I19</f>
        <v>0</v>
      </c>
      <c r="J18" s="338">
        <f>Scenarios!J19</f>
        <v>0</v>
      </c>
      <c r="K18" s="338">
        <f>Scenarios!K19</f>
        <v>0</v>
      </c>
      <c r="L18" s="338">
        <f>Scenarios!L19</f>
        <v>0</v>
      </c>
      <c r="M18" s="338">
        <f>Scenarios!M19</f>
        <v>0</v>
      </c>
      <c r="N18" s="71"/>
      <c r="O18" s="71"/>
      <c r="P18" s="71"/>
    </row>
    <row r="19" spans="1:16" s="312" customFormat="1" ht="16" outlineLevel="1" x14ac:dyDescent="0.2">
      <c r="A19" s="89" t="s">
        <v>222</v>
      </c>
      <c r="B19" s="89"/>
      <c r="C19" s="90"/>
      <c r="D19" s="91">
        <f>IFERROR(D47/D$39, "NA")</f>
        <v>0.11851652781510347</v>
      </c>
      <c r="E19" s="91">
        <f>IFERROR(E47/E$39, "NA")</f>
        <v>0.11311806256306761</v>
      </c>
      <c r="F19" s="91">
        <f>IFERROR(F47/F$39, "NA")</f>
        <v>0.13322490019222238</v>
      </c>
      <c r="G19" s="91">
        <f>IFERROR(G47/G$39, "NA")</f>
        <v>0.13463539203631891</v>
      </c>
      <c r="H19" s="91">
        <f>IFERROR(H47/H$39, "NA")</f>
        <v>0.12984293193717278</v>
      </c>
      <c r="I19" s="338">
        <f>Scenarios!I20</f>
        <v>0.13</v>
      </c>
      <c r="J19" s="338">
        <f>Scenarios!J20</f>
        <v>0.13</v>
      </c>
      <c r="K19" s="338">
        <f>Scenarios!K20</f>
        <v>0.13</v>
      </c>
      <c r="L19" s="338">
        <f>Scenarios!L20</f>
        <v>0.13</v>
      </c>
      <c r="M19" s="338">
        <f>Scenarios!M20</f>
        <v>0.13</v>
      </c>
      <c r="N19" s="89"/>
      <c r="O19" s="89"/>
      <c r="P19" s="89"/>
    </row>
    <row r="20" spans="1:16" ht="16" outlineLevel="1" x14ac:dyDescent="0.2">
      <c r="A20" s="89" t="s">
        <v>71</v>
      </c>
      <c r="B20" s="89"/>
      <c r="C20" s="90"/>
      <c r="D20" s="91">
        <f>D48/SUM(D71:D74)</f>
        <v>7.157573445249904E-2</v>
      </c>
      <c r="E20" s="91">
        <f>E48/SUM(E71:E74)</f>
        <v>7.4648819592557175E-2</v>
      </c>
      <c r="F20" s="91">
        <f>F48/SUM(F71:F74)</f>
        <v>8.3435834358343577E-2</v>
      </c>
      <c r="G20" s="91">
        <f>G48/SUM(G71:G74)</f>
        <v>7.5760403060272444E-2</v>
      </c>
      <c r="H20" s="91">
        <f>H48/SUM(H71:H74)</f>
        <v>7.0721940878577319E-2</v>
      </c>
      <c r="I20" s="338">
        <f>Scenarios!I21</f>
        <v>7.4999999999999997E-2</v>
      </c>
      <c r="J20" s="338">
        <f>Scenarios!J21</f>
        <v>7.4999999999999997E-2</v>
      </c>
      <c r="K20" s="338">
        <f>Scenarios!K21</f>
        <v>7.4999999999999997E-2</v>
      </c>
      <c r="L20" s="338">
        <f>Scenarios!L21</f>
        <v>7.4999999999999997E-2</v>
      </c>
      <c r="M20" s="338">
        <f>Scenarios!M21</f>
        <v>7.4999999999999997E-2</v>
      </c>
      <c r="N20" s="71"/>
      <c r="O20" s="71"/>
      <c r="P20" s="71"/>
    </row>
    <row r="21" spans="1:16" ht="16" outlineLevel="1" x14ac:dyDescent="0.2">
      <c r="A21" s="89" t="s">
        <v>72</v>
      </c>
      <c r="B21" s="89"/>
      <c r="C21" s="90"/>
      <c r="D21" s="91">
        <f>SUM(D49:D51)/(D89+D85)</f>
        <v>3.7147102526002972E-2</v>
      </c>
      <c r="E21" s="91">
        <f t="shared" ref="E21:H21" si="12">SUM(E49:E51)/(E89+E85)</f>
        <v>2.5487728130899938E-2</v>
      </c>
      <c r="F21" s="91">
        <f t="shared" si="12"/>
        <v>1.5057573073516387E-2</v>
      </c>
      <c r="G21" s="91">
        <f t="shared" si="12"/>
        <v>8.1788440567066526E-3</v>
      </c>
      <c r="H21" s="91">
        <f t="shared" si="12"/>
        <v>7.1068996150429374E-3</v>
      </c>
      <c r="I21" s="338">
        <f>Scenarios!I22</f>
        <v>1.4999999999999999E-2</v>
      </c>
      <c r="J21" s="338">
        <f>Scenarios!J22</f>
        <v>1.4999999999999999E-2</v>
      </c>
      <c r="K21" s="338">
        <f>Scenarios!K22</f>
        <v>1.4999999999999999E-2</v>
      </c>
      <c r="L21" s="338">
        <f>Scenarios!L22</f>
        <v>1.4999999999999999E-2</v>
      </c>
      <c r="M21" s="338">
        <f>Scenarios!M22</f>
        <v>1.4999999999999999E-2</v>
      </c>
      <c r="N21" s="71"/>
      <c r="O21" s="71"/>
      <c r="P21" s="71"/>
    </row>
    <row r="22" spans="1:16" ht="16" outlineLevel="1" x14ac:dyDescent="0.2">
      <c r="A22" s="89" t="s">
        <v>73</v>
      </c>
      <c r="B22" s="93"/>
      <c r="C22" s="94"/>
      <c r="D22" s="91">
        <f>D57/D55</f>
        <v>0.37444933920704848</v>
      </c>
      <c r="E22" s="91">
        <f t="shared" ref="E22:H22" si="13">E57/E55</f>
        <v>0.37309571716010348</v>
      </c>
      <c r="F22" s="91">
        <f t="shared" si="13"/>
        <v>0.36724637681159422</v>
      </c>
      <c r="G22" s="91">
        <f t="shared" si="13"/>
        <v>-2.8177641653905055E-2</v>
      </c>
      <c r="H22" s="91">
        <f t="shared" si="13"/>
        <v>0.2209228824273072</v>
      </c>
      <c r="I22" s="338">
        <f>Scenarios!I23</f>
        <v>0.21</v>
      </c>
      <c r="J22" s="338">
        <f>Scenarios!J23</f>
        <v>0.21</v>
      </c>
      <c r="K22" s="338">
        <f>Scenarios!K23</f>
        <v>0.21</v>
      </c>
      <c r="L22" s="338">
        <f>Scenarios!L23</f>
        <v>0.21</v>
      </c>
      <c r="M22" s="338">
        <f>Scenarios!M23</f>
        <v>0.21</v>
      </c>
      <c r="N22" s="71"/>
      <c r="O22" s="71"/>
      <c r="P22" s="71"/>
    </row>
    <row r="23" spans="1:16" ht="16" outlineLevel="1" x14ac:dyDescent="0.2">
      <c r="A23" s="89"/>
      <c r="B23" s="93"/>
      <c r="C23" s="94"/>
      <c r="D23" s="91"/>
      <c r="E23" s="91"/>
      <c r="F23" s="91"/>
      <c r="G23" s="91"/>
      <c r="H23" s="91"/>
      <c r="I23" s="338"/>
      <c r="J23" s="338"/>
      <c r="K23" s="338"/>
      <c r="L23" s="338"/>
      <c r="M23" s="338"/>
      <c r="N23" s="71"/>
      <c r="O23" s="71"/>
      <c r="P23" s="71"/>
    </row>
    <row r="24" spans="1:16" ht="16" outlineLevel="1" x14ac:dyDescent="0.2">
      <c r="A24" s="89"/>
      <c r="B24" s="93"/>
      <c r="C24" s="94"/>
      <c r="D24" s="91"/>
      <c r="E24" s="91"/>
      <c r="F24" s="91"/>
      <c r="G24" s="91"/>
      <c r="H24" s="91"/>
      <c r="I24" s="338"/>
      <c r="J24" s="338"/>
      <c r="K24" s="338"/>
      <c r="L24" s="338"/>
      <c r="M24" s="338"/>
      <c r="N24" s="71"/>
      <c r="O24" s="71"/>
      <c r="P24" s="71"/>
    </row>
    <row r="25" spans="1:16" ht="16" outlineLevel="1" x14ac:dyDescent="0.2">
      <c r="A25" s="71" t="s">
        <v>74</v>
      </c>
      <c r="B25" s="71"/>
      <c r="C25" s="95"/>
      <c r="D25" s="83">
        <f t="shared" ref="D25:F25" si="14">D66/D39*365</f>
        <v>7.160709486697125</v>
      </c>
      <c r="E25" s="83">
        <f t="shared" si="14"/>
        <v>8.729061553985872</v>
      </c>
      <c r="F25" s="83">
        <f t="shared" si="14"/>
        <v>9.8225639509093607</v>
      </c>
      <c r="G25" s="83">
        <f>G66/G39*365</f>
        <v>11.426747375390145</v>
      </c>
      <c r="H25" s="83">
        <f>H66/H39*365</f>
        <v>9.4386524015479178</v>
      </c>
      <c r="I25" s="332">
        <f>Scenarios!I24</f>
        <v>10</v>
      </c>
      <c r="J25" s="332">
        <f>Scenarios!J24</f>
        <v>10</v>
      </c>
      <c r="K25" s="332">
        <f>Scenarios!K24</f>
        <v>10</v>
      </c>
      <c r="L25" s="332">
        <f>Scenarios!L24</f>
        <v>10</v>
      </c>
      <c r="M25" s="332">
        <f>Scenarios!M24</f>
        <v>10</v>
      </c>
      <c r="N25" s="71"/>
      <c r="O25" s="71"/>
      <c r="P25" s="71"/>
    </row>
    <row r="26" spans="1:16" ht="16" outlineLevel="1" x14ac:dyDescent="0.2">
      <c r="A26" s="71" t="s">
        <v>277</v>
      </c>
      <c r="B26" s="71"/>
      <c r="C26" s="95"/>
      <c r="D26" s="83">
        <f>D67/D42*365</f>
        <v>127.63803680981594</v>
      </c>
      <c r="E26" s="83">
        <f t="shared" ref="E26:G26" si="15">E67/E42*365</f>
        <v>112.95024875621891</v>
      </c>
      <c r="F26" s="83">
        <f t="shared" si="15"/>
        <v>117.70813397129186</v>
      </c>
      <c r="G26" s="83">
        <f t="shared" si="15"/>
        <v>153.14685314685315</v>
      </c>
      <c r="H26" s="83">
        <f>H67/H42*365</f>
        <v>152.00090334236677</v>
      </c>
      <c r="I26" s="332">
        <f>Scenarios!I25</f>
        <v>130</v>
      </c>
      <c r="J26" s="332">
        <f>Scenarios!J25</f>
        <v>130</v>
      </c>
      <c r="K26" s="332">
        <f>Scenarios!K25</f>
        <v>130</v>
      </c>
      <c r="L26" s="332">
        <f>Scenarios!L25</f>
        <v>130</v>
      </c>
      <c r="M26" s="332">
        <f>Scenarios!M25</f>
        <v>130</v>
      </c>
      <c r="N26" s="71"/>
      <c r="O26" s="71"/>
      <c r="P26" s="71"/>
    </row>
    <row r="27" spans="1:16" ht="16" outlineLevel="1" x14ac:dyDescent="0.2">
      <c r="A27" s="71" t="s">
        <v>278</v>
      </c>
      <c r="B27" s="71"/>
      <c r="C27" s="95"/>
      <c r="D27" s="83">
        <f>D67/D43*365</f>
        <v>23.583978839977327</v>
      </c>
      <c r="E27" s="83">
        <f t="shared" ref="E27:H27" si="16">E67/E43*365</f>
        <v>31.392422566371682</v>
      </c>
      <c r="F27" s="83">
        <f t="shared" si="16"/>
        <v>32.361220731386474</v>
      </c>
      <c r="G27" s="83">
        <f t="shared" si="16"/>
        <v>37.610402355250244</v>
      </c>
      <c r="H27" s="83">
        <f t="shared" si="16"/>
        <v>36.452556325823224</v>
      </c>
      <c r="I27" s="332">
        <f>Scenarios!I26</f>
        <v>36.452556325823224</v>
      </c>
      <c r="J27" s="332">
        <f>Scenarios!J26</f>
        <v>36.452556325823224</v>
      </c>
      <c r="K27" s="332">
        <f>Scenarios!K26</f>
        <v>36.452556325823224</v>
      </c>
      <c r="L27" s="332">
        <f>Scenarios!L26</f>
        <v>36.452556325823224</v>
      </c>
      <c r="M27" s="332">
        <f>Scenarios!M26</f>
        <v>36.452556325823224</v>
      </c>
      <c r="N27" s="71"/>
      <c r="O27" s="71"/>
      <c r="P27" s="71"/>
    </row>
    <row r="28" spans="1:16" ht="16" outlineLevel="1" x14ac:dyDescent="0.2">
      <c r="A28" s="71" t="s">
        <v>76</v>
      </c>
      <c r="B28" s="71"/>
      <c r="C28" s="95"/>
      <c r="D28" s="83">
        <f>D83/D54*365</f>
        <v>26.153731609982724</v>
      </c>
      <c r="E28" s="83">
        <f t="shared" ref="E28:H28" si="17">E83/E54*365</f>
        <v>26.535707729025152</v>
      </c>
      <c r="F28" s="83">
        <f t="shared" si="17"/>
        <v>25.53417661381317</v>
      </c>
      <c r="G28" s="83">
        <f t="shared" si="17"/>
        <v>26.944801744868851</v>
      </c>
      <c r="H28" s="83">
        <f t="shared" si="17"/>
        <v>27.490027126216692</v>
      </c>
      <c r="I28" s="332">
        <f>Scenarios!I27</f>
        <v>27.490027126216692</v>
      </c>
      <c r="J28" s="332">
        <f>Scenarios!J27</f>
        <v>27.490027126216692</v>
      </c>
      <c r="K28" s="332">
        <f>Scenarios!K27</f>
        <v>27.490027126216692</v>
      </c>
      <c r="L28" s="332">
        <f>Scenarios!L27</f>
        <v>27.490027126216692</v>
      </c>
      <c r="M28" s="332">
        <f>Scenarios!M27</f>
        <v>27.490027126216692</v>
      </c>
    </row>
    <row r="29" spans="1:16" ht="16" outlineLevel="1" x14ac:dyDescent="0.2">
      <c r="A29" s="71" t="s">
        <v>77</v>
      </c>
      <c r="B29" s="71"/>
      <c r="C29" s="78"/>
      <c r="D29" s="83">
        <f>-D128</f>
        <v>1748</v>
      </c>
      <c r="E29" s="83">
        <f t="shared" ref="E29:H29" si="18">-E128</f>
        <v>2041</v>
      </c>
      <c r="F29" s="83">
        <f t="shared" si="18"/>
        <v>2038</v>
      </c>
      <c r="G29" s="83">
        <f t="shared" si="18"/>
        <v>2123</v>
      </c>
      <c r="H29" s="83">
        <f t="shared" si="18"/>
        <v>1922</v>
      </c>
      <c r="I29" s="332">
        <f>Scenarios!I28</f>
        <v>2000</v>
      </c>
      <c r="J29" s="332">
        <f>Scenarios!J28</f>
        <v>2000</v>
      </c>
      <c r="K29" s="332">
        <f>Scenarios!K28</f>
        <v>2000</v>
      </c>
      <c r="L29" s="332">
        <f>Scenarios!L28</f>
        <v>2000</v>
      </c>
      <c r="M29" s="332">
        <f>Scenarios!M28</f>
        <v>2000</v>
      </c>
    </row>
    <row r="30" spans="1:16" ht="16" outlineLevel="1" x14ac:dyDescent="0.2">
      <c r="A30" s="71" t="s">
        <v>78</v>
      </c>
      <c r="B30" s="71"/>
      <c r="C30" s="78"/>
      <c r="D30" s="83">
        <f>SUM(D135:D137)</f>
        <v>-261</v>
      </c>
      <c r="E30" s="83">
        <f t="shared" ref="E30:H30" si="19">SUM(E135:E137)</f>
        <v>287</v>
      </c>
      <c r="F30" s="83">
        <f t="shared" si="19"/>
        <v>-76</v>
      </c>
      <c r="G30" s="83">
        <f t="shared" si="19"/>
        <v>8</v>
      </c>
      <c r="H30" s="83">
        <f t="shared" si="19"/>
        <v>-342</v>
      </c>
      <c r="I30" s="332">
        <f>Scenarios!I29</f>
        <v>-250</v>
      </c>
      <c r="J30" s="332">
        <f>Scenarios!J29</f>
        <v>-250</v>
      </c>
      <c r="K30" s="332">
        <f>Scenarios!K29</f>
        <v>-250</v>
      </c>
      <c r="L30" s="332">
        <f>Scenarios!L29</f>
        <v>-250</v>
      </c>
      <c r="M30" s="332">
        <f>Scenarios!M29</f>
        <v>-250</v>
      </c>
    </row>
    <row r="31" spans="1:16" ht="16" outlineLevel="1" x14ac:dyDescent="0.2">
      <c r="A31" s="71" t="s">
        <v>79</v>
      </c>
      <c r="B31" s="71"/>
      <c r="C31" s="78"/>
      <c r="D31" s="83">
        <f>D139</f>
        <v>-955</v>
      </c>
      <c r="E31" s="83">
        <f t="shared" ref="E31:H31" si="20">E139</f>
        <v>-1180</v>
      </c>
      <c r="F31" s="83">
        <f t="shared" si="20"/>
        <v>-1750</v>
      </c>
      <c r="G31" s="83">
        <f t="shared" si="20"/>
        <v>-1600</v>
      </c>
      <c r="H31" s="83">
        <f t="shared" si="20"/>
        <v>-2000</v>
      </c>
      <c r="I31" s="332">
        <f>Scenarios!I30</f>
        <v>-500</v>
      </c>
      <c r="J31" s="332">
        <f>Scenarios!J30</f>
        <v>-500</v>
      </c>
      <c r="K31" s="332">
        <f>Scenarios!K30</f>
        <v>-500</v>
      </c>
      <c r="L31" s="332">
        <f>Scenarios!L30</f>
        <v>-500</v>
      </c>
      <c r="M31" s="332">
        <f>Scenarios!M30</f>
        <v>-500</v>
      </c>
    </row>
    <row r="32" spans="1:16" ht="16" outlineLevel="1" x14ac:dyDescent="0.2">
      <c r="A32" s="71" t="s">
        <v>295</v>
      </c>
      <c r="B32" s="71"/>
      <c r="C32" s="78"/>
      <c r="D32" s="83">
        <f>D140</f>
        <v>-139</v>
      </c>
      <c r="E32" s="83">
        <f t="shared" ref="E32:H32" si="21">E140</f>
        <v>-180</v>
      </c>
      <c r="F32" s="83">
        <f t="shared" si="21"/>
        <v>-222</v>
      </c>
      <c r="G32" s="83">
        <f t="shared" si="21"/>
        <v>-274</v>
      </c>
      <c r="H32" s="83">
        <f t="shared" si="21"/>
        <v>-332</v>
      </c>
      <c r="I32" s="332">
        <f>Scenarios!I31</f>
        <v>340</v>
      </c>
      <c r="J32" s="332">
        <f>Scenarios!J31</f>
        <v>340</v>
      </c>
      <c r="K32" s="332">
        <f>Scenarios!K31</f>
        <v>340</v>
      </c>
      <c r="L32" s="332">
        <f>Scenarios!L31</f>
        <v>340</v>
      </c>
      <c r="M32" s="332">
        <f>Scenarios!M31</f>
        <v>340</v>
      </c>
    </row>
    <row r="33" spans="1:15" ht="16" x14ac:dyDescent="0.2">
      <c r="A33" s="71"/>
      <c r="B33" s="71"/>
      <c r="C33" s="78"/>
      <c r="D33" s="83"/>
      <c r="E33" s="83"/>
      <c r="F33" s="83"/>
      <c r="G33" s="83"/>
      <c r="H33" s="83"/>
      <c r="I33" s="84"/>
      <c r="J33" s="84"/>
      <c r="K33" s="84"/>
      <c r="L33" s="84"/>
      <c r="M33" s="84"/>
    </row>
    <row r="34" spans="1:15" ht="20" x14ac:dyDescent="0.2">
      <c r="A34" s="80" t="s">
        <v>80</v>
      </c>
      <c r="B34" s="81"/>
      <c r="C34" s="82"/>
      <c r="D34" s="81"/>
      <c r="E34" s="81"/>
      <c r="F34" s="81"/>
      <c r="G34" s="81"/>
      <c r="H34" s="81"/>
      <c r="I34" s="81"/>
      <c r="J34" s="81"/>
      <c r="K34" s="81"/>
      <c r="L34" s="81"/>
      <c r="M34" s="81"/>
    </row>
    <row r="35" spans="1:15" ht="16" outlineLevel="1" x14ac:dyDescent="0.2">
      <c r="A35" s="89" t="s">
        <v>199</v>
      </c>
      <c r="B35" s="96"/>
      <c r="C35" s="97"/>
      <c r="D35" s="296">
        <v>175</v>
      </c>
      <c r="E35" s="296">
        <v>179</v>
      </c>
      <c r="F35" s="296">
        <v>171</v>
      </c>
      <c r="G35" s="296">
        <v>173</v>
      </c>
      <c r="H35" s="296">
        <v>175</v>
      </c>
      <c r="I35" s="121">
        <f>H35*(1+I8)</f>
        <v>177.1</v>
      </c>
      <c r="J35" s="121">
        <f t="shared" ref="J35:M35" si="22">I35*(1+J8)</f>
        <v>179.2252</v>
      </c>
      <c r="K35" s="121">
        <f t="shared" si="22"/>
        <v>181.3759024</v>
      </c>
      <c r="L35" s="121">
        <f t="shared" si="22"/>
        <v>183.55241322879999</v>
      </c>
      <c r="M35" s="121">
        <f t="shared" si="22"/>
        <v>185.7550421875456</v>
      </c>
    </row>
    <row r="36" spans="1:15" ht="16" outlineLevel="1" x14ac:dyDescent="0.2">
      <c r="A36" s="89" t="s">
        <v>200</v>
      </c>
      <c r="B36" s="96"/>
      <c r="C36" s="97"/>
      <c r="D36" s="296">
        <v>17658</v>
      </c>
      <c r="E36" s="296">
        <v>18299</v>
      </c>
      <c r="F36" s="296">
        <v>19068</v>
      </c>
      <c r="G36" s="296">
        <v>19763</v>
      </c>
      <c r="H36" s="296">
        <v>20455</v>
      </c>
      <c r="I36" s="121">
        <f t="shared" ref="I36:M36" si="23">H36*(1+I9)</f>
        <v>21170.924999999999</v>
      </c>
      <c r="J36" s="121">
        <f t="shared" si="23"/>
        <v>21911.907374999999</v>
      </c>
      <c r="K36" s="121">
        <f t="shared" si="23"/>
        <v>22678.824133124996</v>
      </c>
      <c r="L36" s="121">
        <f t="shared" si="23"/>
        <v>23472.582977784368</v>
      </c>
      <c r="M36" s="121">
        <f t="shared" si="23"/>
        <v>24294.123382006819</v>
      </c>
    </row>
    <row r="37" spans="1:15" ht="16" outlineLevel="1" x14ac:dyDescent="0.2">
      <c r="A37" s="89" t="s">
        <v>201</v>
      </c>
      <c r="B37" s="96"/>
      <c r="C37" s="97"/>
      <c r="D37" s="296" t="s">
        <v>202</v>
      </c>
      <c r="E37" s="296">
        <v>172</v>
      </c>
      <c r="F37" s="296">
        <v>0</v>
      </c>
      <c r="G37" s="296">
        <v>0</v>
      </c>
      <c r="H37" s="296">
        <v>0</v>
      </c>
      <c r="I37" s="121">
        <f t="shared" ref="I37:M37" si="24">H37*(1+I10)</f>
        <v>0</v>
      </c>
      <c r="J37" s="121">
        <f t="shared" si="24"/>
        <v>0</v>
      </c>
      <c r="K37" s="121">
        <f t="shared" si="24"/>
        <v>0</v>
      </c>
      <c r="L37" s="121">
        <f t="shared" si="24"/>
        <v>0</v>
      </c>
      <c r="M37" s="121">
        <f t="shared" si="24"/>
        <v>0</v>
      </c>
    </row>
    <row r="38" spans="1:15" ht="16" outlineLevel="1" x14ac:dyDescent="0.2">
      <c r="A38" s="105" t="s">
        <v>203</v>
      </c>
      <c r="B38" s="335"/>
      <c r="C38" s="336"/>
      <c r="D38" s="299">
        <v>772</v>
      </c>
      <c r="E38" s="299">
        <v>1170</v>
      </c>
      <c r="F38" s="299">
        <v>1050</v>
      </c>
      <c r="G38" s="299">
        <v>1210</v>
      </c>
      <c r="H38" s="299">
        <v>1335</v>
      </c>
      <c r="I38" s="107">
        <f t="shared" ref="I38:M38" si="25">H38*(1+I11)</f>
        <v>1335</v>
      </c>
      <c r="J38" s="107">
        <f t="shared" si="25"/>
        <v>1335</v>
      </c>
      <c r="K38" s="107">
        <f t="shared" si="25"/>
        <v>1335</v>
      </c>
      <c r="L38" s="107">
        <f t="shared" si="25"/>
        <v>1335</v>
      </c>
      <c r="M38" s="107">
        <f t="shared" si="25"/>
        <v>1335</v>
      </c>
    </row>
    <row r="39" spans="1:15" ht="16" outlineLevel="1" x14ac:dyDescent="0.2">
      <c r="A39" s="85" t="s">
        <v>81</v>
      </c>
      <c r="B39" s="85"/>
      <c r="C39" s="100"/>
      <c r="D39" s="297">
        <f>SUM(D35:D38)</f>
        <v>18605</v>
      </c>
      <c r="E39" s="297">
        <f t="shared" ref="E39:H39" si="26">SUM(E35:E38)</f>
        <v>19820</v>
      </c>
      <c r="F39" s="297">
        <f t="shared" si="26"/>
        <v>20289</v>
      </c>
      <c r="G39" s="297">
        <f t="shared" si="26"/>
        <v>21146</v>
      </c>
      <c r="H39" s="297">
        <f t="shared" si="26"/>
        <v>21965</v>
      </c>
      <c r="I39" s="99">
        <f>SUM(I35:I38)</f>
        <v>22683.024999999998</v>
      </c>
      <c r="J39" s="99">
        <f t="shared" ref="J39:M39" si="27">SUM(J35:J38)</f>
        <v>23426.132575</v>
      </c>
      <c r="K39" s="99">
        <f t="shared" si="27"/>
        <v>24195.200035524995</v>
      </c>
      <c r="L39" s="99">
        <f t="shared" si="27"/>
        <v>24991.135391013169</v>
      </c>
      <c r="M39" s="99">
        <f t="shared" si="27"/>
        <v>25814.878424194365</v>
      </c>
    </row>
    <row r="40" spans="1:15" ht="16" outlineLevel="1" x14ac:dyDescent="0.2">
      <c r="A40" s="96" t="s">
        <v>84</v>
      </c>
      <c r="B40" s="96"/>
      <c r="C40" s="97"/>
      <c r="D40" s="298"/>
      <c r="E40" s="298"/>
      <c r="F40" s="298"/>
      <c r="G40" s="298"/>
      <c r="H40" s="298"/>
      <c r="I40" s="103"/>
      <c r="J40" s="103"/>
      <c r="K40" s="103"/>
      <c r="L40" s="99"/>
      <c r="M40" s="99"/>
    </row>
    <row r="41" spans="1:15" ht="16" outlineLevel="1" x14ac:dyDescent="0.2">
      <c r="A41" s="89" t="s">
        <v>204</v>
      </c>
      <c r="B41" s="89"/>
      <c r="C41" s="90"/>
      <c r="D41" s="296">
        <v>5434</v>
      </c>
      <c r="E41" s="296">
        <v>6383</v>
      </c>
      <c r="F41" s="296">
        <v>6786</v>
      </c>
      <c r="G41" s="296">
        <v>7305</v>
      </c>
      <c r="H41" s="296">
        <v>7649</v>
      </c>
      <c r="I41" s="337">
        <f>I$39*I13</f>
        <v>7712.2285000000002</v>
      </c>
      <c r="J41" s="337">
        <f t="shared" ref="J41:M41" si="28">J$39*J13</f>
        <v>7964.8850755000003</v>
      </c>
      <c r="K41" s="337">
        <f t="shared" si="28"/>
        <v>8226.3680120784993</v>
      </c>
      <c r="L41" s="337">
        <f t="shared" si="28"/>
        <v>8496.9860329444782</v>
      </c>
      <c r="M41" s="337">
        <f t="shared" si="28"/>
        <v>8777.0586642260841</v>
      </c>
    </row>
    <row r="42" spans="1:15" ht="16" outlineLevel="1" x14ac:dyDescent="0.2">
      <c r="A42" s="89" t="s">
        <v>205</v>
      </c>
      <c r="B42" s="89"/>
      <c r="C42" s="90"/>
      <c r="D42" s="296">
        <v>978</v>
      </c>
      <c r="E42" s="296">
        <v>1005</v>
      </c>
      <c r="F42" s="296">
        <v>1045</v>
      </c>
      <c r="G42" s="296">
        <v>1001</v>
      </c>
      <c r="H42" s="296">
        <v>1107</v>
      </c>
      <c r="I42" s="337">
        <f t="shared" ref="I42:M42" si="29">I$39*I14</f>
        <v>1134.1512499999999</v>
      </c>
      <c r="J42" s="337">
        <f t="shared" si="29"/>
        <v>1171.3066287500001</v>
      </c>
      <c r="K42" s="337">
        <f t="shared" si="29"/>
        <v>1209.7600017762497</v>
      </c>
      <c r="L42" s="337">
        <f t="shared" si="29"/>
        <v>1249.5567695506586</v>
      </c>
      <c r="M42" s="337">
        <f t="shared" si="29"/>
        <v>1290.7439212097183</v>
      </c>
    </row>
    <row r="43" spans="1:15" ht="16" outlineLevel="1" x14ac:dyDescent="0.2">
      <c r="A43" s="89" t="s">
        <v>206</v>
      </c>
      <c r="B43" s="89"/>
      <c r="C43" s="90"/>
      <c r="D43" s="296">
        <v>5293</v>
      </c>
      <c r="E43" s="296">
        <v>3616</v>
      </c>
      <c r="F43" s="296">
        <v>3801</v>
      </c>
      <c r="G43" s="296">
        <v>4076</v>
      </c>
      <c r="H43" s="296">
        <v>4616</v>
      </c>
      <c r="I43" s="337">
        <f t="shared" ref="I43:M43" si="30">I$39*I15</f>
        <v>4536.6049999999996</v>
      </c>
      <c r="J43" s="337">
        <f t="shared" si="30"/>
        <v>4685.2265150000003</v>
      </c>
      <c r="K43" s="337">
        <f t="shared" si="30"/>
        <v>4839.0400071049989</v>
      </c>
      <c r="L43" s="337">
        <f t="shared" si="30"/>
        <v>4998.2270782026344</v>
      </c>
      <c r="M43" s="337">
        <f t="shared" si="30"/>
        <v>5162.9756848388733</v>
      </c>
    </row>
    <row r="44" spans="1:15" ht="16" outlineLevel="1" x14ac:dyDescent="0.2">
      <c r="A44" s="89" t="s">
        <v>207</v>
      </c>
      <c r="B44" s="89"/>
      <c r="C44" s="90"/>
      <c r="D44" s="296">
        <v>1111</v>
      </c>
      <c r="E44" s="296">
        <v>1166</v>
      </c>
      <c r="F44" s="296" t="s">
        <v>202</v>
      </c>
      <c r="G44" s="296" t="s">
        <v>202</v>
      </c>
      <c r="H44" s="296" t="s">
        <v>202</v>
      </c>
      <c r="I44" s="337">
        <f t="shared" ref="I44:M44" si="31">I$39*I16</f>
        <v>0</v>
      </c>
      <c r="J44" s="337">
        <f t="shared" si="31"/>
        <v>0</v>
      </c>
      <c r="K44" s="337">
        <f t="shared" si="31"/>
        <v>0</v>
      </c>
      <c r="L44" s="337">
        <f t="shared" si="31"/>
        <v>0</v>
      </c>
      <c r="M44" s="337">
        <f t="shared" si="31"/>
        <v>0</v>
      </c>
    </row>
    <row r="45" spans="1:15" ht="16" outlineLevel="1" x14ac:dyDescent="0.2">
      <c r="A45" s="89" t="s">
        <v>208</v>
      </c>
      <c r="B45" s="89"/>
      <c r="C45" s="90"/>
      <c r="D45" s="296" t="s">
        <v>202</v>
      </c>
      <c r="E45" s="296" t="s">
        <v>202</v>
      </c>
      <c r="F45" s="296">
        <v>1211</v>
      </c>
      <c r="G45" s="296">
        <v>1292</v>
      </c>
      <c r="H45" s="296">
        <v>1334</v>
      </c>
      <c r="I45" s="337">
        <f t="shared" ref="I45:M45" si="32">I$39*I17</f>
        <v>1360.9814999999999</v>
      </c>
      <c r="J45" s="337">
        <f t="shared" si="32"/>
        <v>1405.5679544999998</v>
      </c>
      <c r="K45" s="337">
        <f t="shared" si="32"/>
        <v>1451.7120021314997</v>
      </c>
      <c r="L45" s="337">
        <f t="shared" si="32"/>
        <v>1499.4681234607901</v>
      </c>
      <c r="M45" s="337">
        <f t="shared" si="32"/>
        <v>1548.8927054516619</v>
      </c>
    </row>
    <row r="46" spans="1:15" ht="16" outlineLevel="1" x14ac:dyDescent="0.2">
      <c r="A46" s="89" t="s">
        <v>209</v>
      </c>
      <c r="B46" s="89"/>
      <c r="C46" s="90"/>
      <c r="D46" s="296">
        <v>295</v>
      </c>
      <c r="E46" s="296">
        <v>238</v>
      </c>
      <c r="F46" s="296" t="s">
        <v>202</v>
      </c>
      <c r="G46" s="296" t="s">
        <v>202</v>
      </c>
      <c r="H46" s="296" t="s">
        <v>202</v>
      </c>
      <c r="I46" s="337">
        <f t="shared" ref="I46:M46" si="33">I$39*I18</f>
        <v>0</v>
      </c>
      <c r="J46" s="337">
        <f t="shared" si="33"/>
        <v>0</v>
      </c>
      <c r="K46" s="337">
        <f t="shared" si="33"/>
        <v>0</v>
      </c>
      <c r="L46" s="337">
        <f t="shared" si="33"/>
        <v>0</v>
      </c>
      <c r="M46" s="337">
        <f t="shared" si="33"/>
        <v>0</v>
      </c>
      <c r="O46" s="341">
        <f>17739</f>
        <v>17739</v>
      </c>
    </row>
    <row r="47" spans="1:15" ht="16" outlineLevel="1" x14ac:dyDescent="0.2">
      <c r="A47" s="89" t="s">
        <v>210</v>
      </c>
      <c r="B47" s="89"/>
      <c r="C47" s="90"/>
      <c r="D47" s="296">
        <v>2205</v>
      </c>
      <c r="E47" s="296">
        <v>2242</v>
      </c>
      <c r="F47" s="296">
        <v>2703</v>
      </c>
      <c r="G47" s="296">
        <v>2847</v>
      </c>
      <c r="H47" s="296">
        <v>2852</v>
      </c>
      <c r="I47" s="337">
        <f t="shared" ref="I47:M47" si="34">I$39*I19</f>
        <v>2948.7932499999997</v>
      </c>
      <c r="J47" s="337">
        <f t="shared" si="34"/>
        <v>3045.3972347500003</v>
      </c>
      <c r="K47" s="337">
        <f t="shared" si="34"/>
        <v>3145.3760046182492</v>
      </c>
      <c r="L47" s="337">
        <f t="shared" si="34"/>
        <v>3248.847600831712</v>
      </c>
      <c r="M47" s="337">
        <f t="shared" si="34"/>
        <v>3355.9341951452675</v>
      </c>
      <c r="O47" s="341">
        <f>O46-G43</f>
        <v>13663</v>
      </c>
    </row>
    <row r="48" spans="1:15" ht="16" outlineLevel="1" x14ac:dyDescent="0.2">
      <c r="A48" s="89" t="s">
        <v>211</v>
      </c>
      <c r="B48" s="89"/>
      <c r="C48" s="90"/>
      <c r="D48" s="296">
        <v>938</v>
      </c>
      <c r="E48" s="296">
        <v>1015</v>
      </c>
      <c r="F48" s="296">
        <v>1221</v>
      </c>
      <c r="G48" s="296">
        <v>1218</v>
      </c>
      <c r="H48" s="296">
        <v>1201</v>
      </c>
      <c r="I48" s="337">
        <f>I165</f>
        <v>1423.6499999999999</v>
      </c>
      <c r="J48" s="337">
        <f t="shared" ref="J48:M48" si="35">J165</f>
        <v>1466.8762499999998</v>
      </c>
      <c r="K48" s="337">
        <f t="shared" si="35"/>
        <v>1506.8605312499997</v>
      </c>
      <c r="L48" s="337">
        <f t="shared" si="35"/>
        <v>1543.8459914062498</v>
      </c>
      <c r="M48" s="337">
        <f t="shared" si="35"/>
        <v>1578.057542050781</v>
      </c>
      <c r="O48" s="341">
        <f>O47-13650</f>
        <v>13</v>
      </c>
    </row>
    <row r="49" spans="1:14" ht="16" outlineLevel="1" x14ac:dyDescent="0.2">
      <c r="A49" s="89" t="s">
        <v>212</v>
      </c>
      <c r="B49" s="89"/>
      <c r="C49" s="90"/>
      <c r="D49" s="296">
        <v>130</v>
      </c>
      <c r="E49" s="296">
        <v>121</v>
      </c>
      <c r="F49" s="296">
        <v>122</v>
      </c>
      <c r="G49" s="296">
        <v>114</v>
      </c>
      <c r="H49" s="296">
        <v>131</v>
      </c>
      <c r="I49" s="337">
        <f>I172</f>
        <v>46.905000000000001</v>
      </c>
      <c r="J49" s="337">
        <f t="shared" ref="J49:M49" si="36">J172</f>
        <v>43.155000000000001</v>
      </c>
      <c r="K49" s="337">
        <f t="shared" si="36"/>
        <v>39.405000000000001</v>
      </c>
      <c r="L49" s="337">
        <f t="shared" si="36"/>
        <v>35.655000000000001</v>
      </c>
      <c r="M49" s="337">
        <f t="shared" si="36"/>
        <v>31.904999999999998</v>
      </c>
    </row>
    <row r="50" spans="1:14" ht="16" outlineLevel="1" x14ac:dyDescent="0.2">
      <c r="A50" s="89" t="s">
        <v>213</v>
      </c>
      <c r="B50" s="89"/>
      <c r="C50" s="90"/>
      <c r="D50" s="296">
        <v>-23</v>
      </c>
      <c r="E50" s="296">
        <v>-31</v>
      </c>
      <c r="F50" s="296">
        <v>-47</v>
      </c>
      <c r="G50" s="296">
        <v>-49</v>
      </c>
      <c r="H50" s="296">
        <v>-38</v>
      </c>
      <c r="I50" s="337">
        <v>0</v>
      </c>
      <c r="J50" s="337">
        <v>0</v>
      </c>
      <c r="K50" s="337">
        <v>0</v>
      </c>
      <c r="L50" s="337">
        <v>0</v>
      </c>
      <c r="M50" s="337">
        <v>0</v>
      </c>
    </row>
    <row r="51" spans="1:14" ht="16" outlineLevel="1" x14ac:dyDescent="0.2">
      <c r="A51" s="89" t="s">
        <v>214</v>
      </c>
      <c r="B51" s="89"/>
      <c r="C51" s="90"/>
      <c r="D51" s="296">
        <v>-7</v>
      </c>
      <c r="E51" s="296">
        <v>-9</v>
      </c>
      <c r="F51" s="296">
        <v>-24</v>
      </c>
      <c r="G51" s="296">
        <v>-35</v>
      </c>
      <c r="H51" s="296">
        <v>-69</v>
      </c>
      <c r="I51" s="337">
        <v>0</v>
      </c>
      <c r="J51" s="337">
        <v>0</v>
      </c>
      <c r="K51" s="337">
        <v>0</v>
      </c>
      <c r="L51" s="337">
        <v>0</v>
      </c>
      <c r="M51" s="337">
        <v>0</v>
      </c>
    </row>
    <row r="52" spans="1:14" ht="16" outlineLevel="1" x14ac:dyDescent="0.2">
      <c r="A52" s="89" t="s">
        <v>215</v>
      </c>
      <c r="B52" s="89"/>
      <c r="C52" s="90"/>
      <c r="D52" s="296">
        <v>309</v>
      </c>
      <c r="E52" s="296">
        <v>556</v>
      </c>
      <c r="F52" s="296">
        <v>21</v>
      </c>
      <c r="G52" s="296">
        <v>112</v>
      </c>
      <c r="H52" s="296">
        <v>18</v>
      </c>
      <c r="I52" s="337">
        <v>0</v>
      </c>
      <c r="J52" s="337">
        <v>0</v>
      </c>
      <c r="K52" s="337">
        <v>0</v>
      </c>
      <c r="L52" s="337">
        <v>0</v>
      </c>
      <c r="M52" s="337">
        <v>0</v>
      </c>
    </row>
    <row r="53" spans="1:14" ht="16" outlineLevel="1" x14ac:dyDescent="0.2">
      <c r="A53" s="105" t="s">
        <v>216</v>
      </c>
      <c r="B53" s="105"/>
      <c r="C53" s="106"/>
      <c r="D53" s="299">
        <v>126</v>
      </c>
      <c r="E53" s="299">
        <v>39</v>
      </c>
      <c r="F53" s="299" t="s">
        <v>202</v>
      </c>
      <c r="G53" s="299" t="s">
        <v>202</v>
      </c>
      <c r="H53" s="299" t="s">
        <v>202</v>
      </c>
      <c r="I53" s="340">
        <v>0</v>
      </c>
      <c r="J53" s="340">
        <v>0</v>
      </c>
      <c r="K53" s="340">
        <v>0</v>
      </c>
      <c r="L53" s="340">
        <v>0</v>
      </c>
      <c r="M53" s="340">
        <v>0</v>
      </c>
    </row>
    <row r="54" spans="1:14" ht="16" outlineLevel="1" x14ac:dyDescent="0.2">
      <c r="A54" s="96" t="s">
        <v>89</v>
      </c>
      <c r="B54" s="89"/>
      <c r="C54" s="90"/>
      <c r="D54" s="99">
        <f>SUM(D41:D53)</f>
        <v>16789</v>
      </c>
      <c r="E54" s="99">
        <f t="shared" ref="E54:H54" si="37">SUM(E41:E53)</f>
        <v>16341</v>
      </c>
      <c r="F54" s="99">
        <f t="shared" si="37"/>
        <v>16839</v>
      </c>
      <c r="G54" s="99">
        <f t="shared" si="37"/>
        <v>17881</v>
      </c>
      <c r="H54" s="99">
        <f t="shared" si="37"/>
        <v>18801</v>
      </c>
      <c r="I54" s="99">
        <f t="shared" ref="I54" si="38">SUM(I41:I53)</f>
        <v>19163.3145</v>
      </c>
      <c r="J54" s="99">
        <f t="shared" ref="J54" si="39">SUM(J41:J53)</f>
        <v>19782.414658500002</v>
      </c>
      <c r="K54" s="99">
        <f t="shared" ref="K54" si="40">SUM(K41:K53)</f>
        <v>20418.521558959495</v>
      </c>
      <c r="L54" s="99">
        <f t="shared" ref="L54" si="41">SUM(L41:L53)</f>
        <v>21072.586596396523</v>
      </c>
      <c r="M54" s="99">
        <f t="shared" ref="M54" si="42">SUM(M41:M53)</f>
        <v>21745.567712922384</v>
      </c>
    </row>
    <row r="55" spans="1:14" ht="16" outlineLevel="1" x14ac:dyDescent="0.2">
      <c r="A55" s="87" t="s">
        <v>90</v>
      </c>
      <c r="B55" s="87"/>
      <c r="C55" s="88"/>
      <c r="D55" s="102">
        <f>D39-D54</f>
        <v>1816</v>
      </c>
      <c r="E55" s="102">
        <f t="shared" ref="E55:M55" si="43">E39-E54</f>
        <v>3479</v>
      </c>
      <c r="F55" s="102">
        <f t="shared" si="43"/>
        <v>3450</v>
      </c>
      <c r="G55" s="102">
        <f t="shared" si="43"/>
        <v>3265</v>
      </c>
      <c r="H55" s="102">
        <f t="shared" si="43"/>
        <v>3164</v>
      </c>
      <c r="I55" s="102">
        <f t="shared" si="43"/>
        <v>3519.7104999999974</v>
      </c>
      <c r="J55" s="102">
        <f t="shared" si="43"/>
        <v>3643.717916499998</v>
      </c>
      <c r="K55" s="102">
        <f t="shared" si="43"/>
        <v>3776.6784765654993</v>
      </c>
      <c r="L55" s="102">
        <f t="shared" si="43"/>
        <v>3918.5487946166468</v>
      </c>
      <c r="M55" s="102">
        <f t="shared" si="43"/>
        <v>4069.3107112719808</v>
      </c>
    </row>
    <row r="56" spans="1:14" ht="16" outlineLevel="1" x14ac:dyDescent="0.2">
      <c r="A56" s="96"/>
      <c r="B56" s="96"/>
      <c r="C56" s="97"/>
      <c r="D56" s="98"/>
      <c r="E56" s="98"/>
      <c r="F56" s="98"/>
      <c r="G56" s="98"/>
      <c r="H56" s="98"/>
      <c r="I56" s="99"/>
      <c r="J56" s="99"/>
      <c r="K56" s="99"/>
      <c r="L56" s="99"/>
      <c r="M56" s="99"/>
    </row>
    <row r="57" spans="1:14" ht="16" outlineLevel="1" x14ac:dyDescent="0.2">
      <c r="A57" s="89" t="s">
        <v>91</v>
      </c>
      <c r="B57" s="89"/>
      <c r="C57" s="90"/>
      <c r="D57" s="101">
        <v>680</v>
      </c>
      <c r="E57" s="101">
        <v>1298</v>
      </c>
      <c r="F57" s="101">
        <v>1267</v>
      </c>
      <c r="G57" s="101">
        <v>-92</v>
      </c>
      <c r="H57" s="101">
        <v>699</v>
      </c>
      <c r="I57" s="108">
        <f>I55*I22</f>
        <v>739.13920499999938</v>
      </c>
      <c r="J57" s="108">
        <f>J55*J22</f>
        <v>765.18076246499959</v>
      </c>
      <c r="K57" s="108">
        <f>K55*K22</f>
        <v>793.10248007875487</v>
      </c>
      <c r="L57" s="108">
        <f>L55*L22</f>
        <v>822.89524686949574</v>
      </c>
      <c r="M57" s="108">
        <f>M55*M22</f>
        <v>854.55524936711595</v>
      </c>
    </row>
    <row r="58" spans="1:14" ht="17" outlineLevel="1" thickBot="1" x14ac:dyDescent="0.25">
      <c r="A58" s="109" t="s">
        <v>92</v>
      </c>
      <c r="B58" s="109"/>
      <c r="C58" s="110"/>
      <c r="D58" s="111">
        <f>D55-D57</f>
        <v>1136</v>
      </c>
      <c r="E58" s="111">
        <f t="shared" ref="E58:M58" si="44">E55-E57</f>
        <v>2181</v>
      </c>
      <c r="F58" s="111">
        <f t="shared" si="44"/>
        <v>2183</v>
      </c>
      <c r="G58" s="111">
        <f t="shared" si="44"/>
        <v>3357</v>
      </c>
      <c r="H58" s="111">
        <f t="shared" si="44"/>
        <v>2465</v>
      </c>
      <c r="I58" s="111">
        <f t="shared" si="44"/>
        <v>2780.5712949999979</v>
      </c>
      <c r="J58" s="111">
        <f t="shared" si="44"/>
        <v>2878.5371540349984</v>
      </c>
      <c r="K58" s="111">
        <f t="shared" si="44"/>
        <v>2983.5759964867443</v>
      </c>
      <c r="L58" s="111">
        <f t="shared" si="44"/>
        <v>3095.6535477471512</v>
      </c>
      <c r="M58" s="111">
        <f t="shared" si="44"/>
        <v>3214.7554619048651</v>
      </c>
    </row>
    <row r="59" spans="1:14" ht="17" outlineLevel="1" collapsed="1" thickTop="1" x14ac:dyDescent="0.2">
      <c r="A59" s="71"/>
      <c r="B59" s="71"/>
      <c r="C59" s="78"/>
      <c r="D59" s="104"/>
      <c r="E59" s="104"/>
      <c r="F59" s="104"/>
      <c r="G59" s="104"/>
      <c r="H59" s="104"/>
      <c r="I59" s="71"/>
      <c r="J59" s="71"/>
      <c r="K59" s="71"/>
      <c r="L59" s="71"/>
      <c r="M59" s="71"/>
    </row>
    <row r="60" spans="1:14" ht="16" x14ac:dyDescent="0.2">
      <c r="A60" s="71"/>
      <c r="B60" s="71"/>
      <c r="C60" s="78"/>
      <c r="D60" s="104"/>
      <c r="E60" s="104"/>
      <c r="F60" s="104"/>
      <c r="G60" s="104"/>
      <c r="H60" s="104"/>
      <c r="I60" s="71"/>
      <c r="J60" s="71"/>
      <c r="K60" s="71"/>
      <c r="L60" s="71"/>
      <c r="M60" s="71"/>
    </row>
    <row r="61" spans="1:14" ht="20" x14ac:dyDescent="0.2">
      <c r="A61" s="80" t="s">
        <v>93</v>
      </c>
      <c r="B61" s="81"/>
      <c r="C61" s="82"/>
      <c r="D61" s="81"/>
      <c r="E61" s="81"/>
      <c r="F61" s="81"/>
      <c r="G61" s="81"/>
      <c r="H61" s="81"/>
      <c r="I61" s="81"/>
      <c r="J61" s="81"/>
      <c r="K61" s="81"/>
      <c r="L61" s="81"/>
      <c r="M61" s="81"/>
    </row>
    <row r="62" spans="1:14" ht="16" outlineLevel="1" x14ac:dyDescent="0.2">
      <c r="A62" s="71"/>
      <c r="B62" s="71"/>
      <c r="C62" s="78"/>
      <c r="D62" s="104"/>
      <c r="E62" s="104"/>
      <c r="F62" s="104"/>
      <c r="G62" s="104"/>
      <c r="H62" s="104"/>
      <c r="I62" s="71"/>
      <c r="J62" s="71"/>
      <c r="K62" s="71"/>
      <c r="L62" s="71"/>
      <c r="M62" s="71"/>
    </row>
    <row r="63" spans="1:14" ht="16" outlineLevel="1" x14ac:dyDescent="0.2">
      <c r="A63" s="85" t="s">
        <v>94</v>
      </c>
      <c r="B63" s="71"/>
      <c r="C63" s="78"/>
      <c r="D63" s="104"/>
      <c r="E63" s="104"/>
      <c r="F63" s="104"/>
      <c r="G63" s="104"/>
      <c r="H63" s="104"/>
      <c r="I63" s="71"/>
      <c r="J63" s="71"/>
      <c r="K63" s="71"/>
      <c r="L63" s="71"/>
      <c r="M63" s="71"/>
    </row>
    <row r="64" spans="1:14" ht="16" outlineLevel="1" x14ac:dyDescent="0.2">
      <c r="A64" s="71" t="s">
        <v>223</v>
      </c>
      <c r="B64" s="71"/>
      <c r="C64" s="112"/>
      <c r="D64" s="104">
        <v>1282</v>
      </c>
      <c r="E64" s="104">
        <v>1583</v>
      </c>
      <c r="F64" s="104">
        <v>1680</v>
      </c>
      <c r="G64" s="104">
        <v>1495</v>
      </c>
      <c r="H64" s="104">
        <v>1854</v>
      </c>
      <c r="I64" s="71">
        <f>I149</f>
        <v>2360.3120427622489</v>
      </c>
      <c r="J64" s="71">
        <f t="shared" ref="J64:M64" si="45">J149</f>
        <v>3785.200529437001</v>
      </c>
      <c r="K64" s="71">
        <f t="shared" si="45"/>
        <v>5162.7074759412599</v>
      </c>
      <c r="L64" s="71">
        <f t="shared" si="45"/>
        <v>6778.40097743959</v>
      </c>
      <c r="M64" s="71">
        <f t="shared" si="45"/>
        <v>8539.1582715356126</v>
      </c>
      <c r="N64" s="341"/>
    </row>
    <row r="65" spans="1:14" ht="16" outlineLevel="1" x14ac:dyDescent="0.2">
      <c r="A65" s="71" t="s">
        <v>224</v>
      </c>
      <c r="B65" s="71"/>
      <c r="C65" s="112"/>
      <c r="D65" s="104">
        <v>1706</v>
      </c>
      <c r="E65" s="104">
        <v>1468</v>
      </c>
      <c r="F65" s="104">
        <v>1625</v>
      </c>
      <c r="G65" s="104">
        <v>1778</v>
      </c>
      <c r="H65" s="104">
        <v>1835</v>
      </c>
      <c r="I65" s="113">
        <f>H65</f>
        <v>1835</v>
      </c>
      <c r="J65" s="113">
        <f t="shared" ref="J65:M65" si="46">I65</f>
        <v>1835</v>
      </c>
      <c r="K65" s="113">
        <f t="shared" si="46"/>
        <v>1835</v>
      </c>
      <c r="L65" s="113">
        <f t="shared" si="46"/>
        <v>1835</v>
      </c>
      <c r="M65" s="113">
        <f t="shared" si="46"/>
        <v>1835</v>
      </c>
      <c r="N65" s="341"/>
    </row>
    <row r="66" spans="1:14" ht="16" outlineLevel="1" x14ac:dyDescent="0.2">
      <c r="A66" s="71" t="s">
        <v>225</v>
      </c>
      <c r="B66" s="71"/>
      <c r="C66" s="112"/>
      <c r="D66" s="104">
        <v>365</v>
      </c>
      <c r="E66" s="104">
        <v>474</v>
      </c>
      <c r="F66" s="104">
        <v>546</v>
      </c>
      <c r="G66" s="104">
        <v>662</v>
      </c>
      <c r="H66" s="104">
        <v>568</v>
      </c>
      <c r="I66" s="71">
        <f>I39/365*I25</f>
        <v>621.45273972602729</v>
      </c>
      <c r="J66" s="71">
        <f t="shared" ref="J66:M66" si="47">J39/365*J25</f>
        <v>641.81185136986301</v>
      </c>
      <c r="K66" s="71">
        <f t="shared" si="47"/>
        <v>662.88219275410938</v>
      </c>
      <c r="L66" s="71">
        <f t="shared" si="47"/>
        <v>684.68864084967595</v>
      </c>
      <c r="M66" s="71">
        <f t="shared" si="47"/>
        <v>707.25694312861276</v>
      </c>
      <c r="N66" s="341"/>
    </row>
    <row r="67" spans="1:14" ht="16" outlineLevel="1" x14ac:dyDescent="0.2">
      <c r="A67" s="71" t="s">
        <v>226</v>
      </c>
      <c r="B67" s="71"/>
      <c r="C67" s="112"/>
      <c r="D67" s="104">
        <v>342</v>
      </c>
      <c r="E67" s="104">
        <v>311</v>
      </c>
      <c r="F67" s="104">
        <v>337</v>
      </c>
      <c r="G67" s="104">
        <v>420</v>
      </c>
      <c r="H67" s="104">
        <v>461</v>
      </c>
      <c r="I67" s="71">
        <f>I42/365*I26</f>
        <v>403.94428082191774</v>
      </c>
      <c r="J67" s="71">
        <f t="shared" ref="J67:M67" si="48">J42/365*J26</f>
        <v>417.17770339041101</v>
      </c>
      <c r="K67" s="71">
        <f t="shared" si="48"/>
        <v>430.87342529017116</v>
      </c>
      <c r="L67" s="71">
        <f t="shared" si="48"/>
        <v>445.04761655228936</v>
      </c>
      <c r="M67" s="71">
        <f t="shared" si="48"/>
        <v>459.71701303359833</v>
      </c>
      <c r="N67" s="341"/>
    </row>
    <row r="68" spans="1:14" ht="16" outlineLevel="1" x14ac:dyDescent="0.2">
      <c r="A68" s="71" t="s">
        <v>227</v>
      </c>
      <c r="B68" s="71"/>
      <c r="C68" s="78"/>
      <c r="D68" s="104">
        <v>232</v>
      </c>
      <c r="E68" s="104">
        <v>188</v>
      </c>
      <c r="F68" s="104">
        <v>310</v>
      </c>
      <c r="G68" s="104">
        <v>460</v>
      </c>
      <c r="H68" s="104">
        <v>310</v>
      </c>
      <c r="I68" s="71">
        <f>H68</f>
        <v>310</v>
      </c>
      <c r="J68" s="71">
        <f t="shared" ref="J68:M68" si="49">I68</f>
        <v>310</v>
      </c>
      <c r="K68" s="71">
        <f t="shared" si="49"/>
        <v>310</v>
      </c>
      <c r="L68" s="71">
        <f t="shared" si="49"/>
        <v>310</v>
      </c>
      <c r="M68" s="71">
        <f t="shared" si="49"/>
        <v>310</v>
      </c>
      <c r="N68" s="341"/>
    </row>
    <row r="69" spans="1:14" ht="16" outlineLevel="1" x14ac:dyDescent="0.2">
      <c r="A69" s="114" t="s">
        <v>228</v>
      </c>
      <c r="B69" s="114"/>
      <c r="C69" s="115"/>
      <c r="D69" s="116">
        <f>SUM(D64:D68)</f>
        <v>3927</v>
      </c>
      <c r="E69" s="116">
        <f t="shared" ref="E69:H69" si="50">SUM(E64:E68)</f>
        <v>4024</v>
      </c>
      <c r="F69" s="116">
        <f t="shared" si="50"/>
        <v>4498</v>
      </c>
      <c r="G69" s="116">
        <f t="shared" si="50"/>
        <v>4815</v>
      </c>
      <c r="H69" s="116">
        <f t="shared" si="50"/>
        <v>5028</v>
      </c>
      <c r="I69" s="116">
        <f t="shared" ref="I69" si="51">SUM(I64:I68)</f>
        <v>5530.7090633101934</v>
      </c>
      <c r="J69" s="116">
        <f t="shared" ref="J69" si="52">SUM(J64:J68)</f>
        <v>6989.1900841972747</v>
      </c>
      <c r="K69" s="116">
        <f t="shared" ref="K69" si="53">SUM(K64:K68)</f>
        <v>8401.4630939855415</v>
      </c>
      <c r="L69" s="116">
        <f t="shared" ref="L69" si="54">SUM(L64:L68)</f>
        <v>10053.137234841553</v>
      </c>
      <c r="M69" s="116">
        <f t="shared" ref="M69" si="55">SUM(M64:M68)</f>
        <v>11851.132227697823</v>
      </c>
      <c r="N69" s="341"/>
    </row>
    <row r="70" spans="1:14" ht="16" outlineLevel="1" x14ac:dyDescent="0.2">
      <c r="A70" s="85" t="s">
        <v>229</v>
      </c>
      <c r="B70" s="71"/>
      <c r="C70" s="112"/>
      <c r="D70" s="104"/>
      <c r="E70" s="104"/>
      <c r="F70" s="104"/>
      <c r="G70" s="104"/>
      <c r="H70" s="104"/>
      <c r="I70" s="71"/>
      <c r="J70" s="71"/>
      <c r="K70" s="71"/>
      <c r="L70" s="71"/>
      <c r="M70" s="71"/>
      <c r="N70" s="341"/>
    </row>
    <row r="71" spans="1:14" ht="16" outlineLevel="1" x14ac:dyDescent="0.2">
      <c r="A71" s="71" t="s">
        <v>230</v>
      </c>
      <c r="B71" s="71"/>
      <c r="C71" s="112"/>
      <c r="D71" s="295">
        <v>2853</v>
      </c>
      <c r="E71" s="295">
        <v>3219</v>
      </c>
      <c r="F71" s="295">
        <v>3779</v>
      </c>
      <c r="G71" s="295">
        <v>4399</v>
      </c>
      <c r="H71" s="295">
        <v>4960</v>
      </c>
      <c r="I71" s="71"/>
      <c r="J71" s="71"/>
      <c r="K71" s="71"/>
      <c r="L71" s="71"/>
      <c r="M71" s="71"/>
      <c r="N71" s="341"/>
    </row>
    <row r="72" spans="1:14" ht="16" outlineLevel="1" x14ac:dyDescent="0.2">
      <c r="A72" s="71" t="s">
        <v>231</v>
      </c>
      <c r="B72" s="71"/>
      <c r="C72" s="112"/>
      <c r="D72" s="295" t="s">
        <v>202</v>
      </c>
      <c r="E72" s="295">
        <v>-9084</v>
      </c>
      <c r="F72" s="295">
        <v>-9420</v>
      </c>
      <c r="G72" s="295" t="s">
        <v>202</v>
      </c>
      <c r="H72" s="295" t="s">
        <v>202</v>
      </c>
      <c r="I72" s="71"/>
      <c r="J72" s="71"/>
      <c r="K72" s="71"/>
      <c r="L72" s="71"/>
      <c r="M72" s="71"/>
      <c r="N72" s="341"/>
    </row>
    <row r="73" spans="1:14" ht="16" outlineLevel="1" x14ac:dyDescent="0.2">
      <c r="A73" s="71" t="s">
        <v>232</v>
      </c>
      <c r="B73" s="71"/>
      <c r="C73" s="112"/>
      <c r="D73" s="295">
        <v>18473</v>
      </c>
      <c r="E73" s="295">
        <v>19462</v>
      </c>
      <c r="F73" s="295">
        <v>20275</v>
      </c>
      <c r="G73" s="295">
        <v>21368</v>
      </c>
      <c r="H73" s="295">
        <v>21753</v>
      </c>
      <c r="I73" s="71"/>
      <c r="J73" s="71"/>
      <c r="K73" s="71"/>
      <c r="L73" s="71"/>
      <c r="M73" s="71"/>
      <c r="N73" s="341"/>
    </row>
    <row r="74" spans="1:14" ht="16" outlineLevel="1" x14ac:dyDescent="0.2">
      <c r="A74" s="71" t="s">
        <v>233</v>
      </c>
      <c r="B74" s="71"/>
      <c r="C74" s="112"/>
      <c r="D74" s="295">
        <v>-8221</v>
      </c>
      <c r="E74" s="295" t="s">
        <v>202</v>
      </c>
      <c r="F74" s="295" t="s">
        <v>202</v>
      </c>
      <c r="G74" s="295">
        <v>-9690</v>
      </c>
      <c r="H74" s="295">
        <v>-9731</v>
      </c>
      <c r="I74" s="71"/>
      <c r="J74" s="71"/>
      <c r="K74" s="71"/>
      <c r="L74" s="71"/>
      <c r="M74" s="71"/>
      <c r="N74" s="341"/>
    </row>
    <row r="75" spans="1:14" ht="16" outlineLevel="1" x14ac:dyDescent="0.2">
      <c r="A75" s="71" t="s">
        <v>296</v>
      </c>
      <c r="B75" s="71"/>
      <c r="C75" s="112"/>
      <c r="D75" s="295"/>
      <c r="E75" s="295"/>
      <c r="F75" s="295"/>
      <c r="G75" s="295"/>
      <c r="H75" s="295"/>
      <c r="I75" s="71">
        <f>I166</f>
        <v>17558.349999999999</v>
      </c>
      <c r="J75" s="71">
        <f t="shared" ref="J75:M75" si="56">J166</f>
        <v>18091.473749999997</v>
      </c>
      <c r="K75" s="71">
        <f t="shared" si="56"/>
        <v>18584.613218749997</v>
      </c>
      <c r="L75" s="71">
        <f t="shared" si="56"/>
        <v>19040.767227343746</v>
      </c>
      <c r="M75" s="71">
        <f t="shared" si="56"/>
        <v>19462.709685292964</v>
      </c>
      <c r="N75" s="341"/>
    </row>
    <row r="76" spans="1:14" ht="16" outlineLevel="1" x14ac:dyDescent="0.2">
      <c r="A76" s="71" t="s">
        <v>234</v>
      </c>
      <c r="B76" s="71"/>
      <c r="C76" s="112"/>
      <c r="D76" s="295">
        <v>621</v>
      </c>
      <c r="E76" s="295">
        <v>915</v>
      </c>
      <c r="F76" s="295">
        <v>1220</v>
      </c>
      <c r="G76" s="295">
        <v>1543</v>
      </c>
      <c r="H76" s="295">
        <v>1768</v>
      </c>
      <c r="I76" s="71">
        <f>H76</f>
        <v>1768</v>
      </c>
      <c r="J76" s="71">
        <f t="shared" ref="J76:M76" si="57">I76</f>
        <v>1768</v>
      </c>
      <c r="K76" s="71">
        <f t="shared" si="57"/>
        <v>1768</v>
      </c>
      <c r="L76" s="71">
        <f t="shared" si="57"/>
        <v>1768</v>
      </c>
      <c r="M76" s="71">
        <f t="shared" si="57"/>
        <v>1768</v>
      </c>
      <c r="N76" s="341"/>
    </row>
    <row r="77" spans="1:14" ht="16" outlineLevel="1" x14ac:dyDescent="0.2">
      <c r="A77" s="71" t="s">
        <v>235</v>
      </c>
      <c r="B77" s="71"/>
      <c r="C77" s="112"/>
      <c r="D77" s="295">
        <v>970</v>
      </c>
      <c r="E77" s="295">
        <v>970</v>
      </c>
      <c r="F77" s="295">
        <v>970</v>
      </c>
      <c r="G77" s="295">
        <v>970</v>
      </c>
      <c r="H77" s="295">
        <v>970</v>
      </c>
      <c r="I77" s="71">
        <f>H77</f>
        <v>970</v>
      </c>
      <c r="J77" s="71">
        <f t="shared" ref="J77:M77" si="58">I77</f>
        <v>970</v>
      </c>
      <c r="K77" s="71">
        <f t="shared" si="58"/>
        <v>970</v>
      </c>
      <c r="L77" s="71">
        <f t="shared" si="58"/>
        <v>970</v>
      </c>
      <c r="M77" s="71">
        <f t="shared" si="58"/>
        <v>970</v>
      </c>
      <c r="N77" s="341"/>
    </row>
    <row r="78" spans="1:14" ht="16" outlineLevel="1" x14ac:dyDescent="0.2">
      <c r="A78" s="71" t="s">
        <v>236</v>
      </c>
      <c r="B78" s="71"/>
      <c r="C78" s="112"/>
      <c r="D78" s="295">
        <v>534</v>
      </c>
      <c r="E78" s="295">
        <v>717</v>
      </c>
      <c r="F78" s="295">
        <v>774</v>
      </c>
      <c r="G78" s="295">
        <v>786</v>
      </c>
      <c r="H78" s="295">
        <v>720</v>
      </c>
      <c r="I78" s="71">
        <v>720</v>
      </c>
      <c r="J78" s="71">
        <v>720</v>
      </c>
      <c r="K78" s="71">
        <v>720</v>
      </c>
      <c r="L78" s="71">
        <v>720</v>
      </c>
      <c r="M78" s="71">
        <v>720</v>
      </c>
      <c r="N78" s="341"/>
    </row>
    <row r="79" spans="1:14" ht="16" x14ac:dyDescent="0.2">
      <c r="A79" s="71" t="s">
        <v>237</v>
      </c>
      <c r="D79" s="299">
        <v>566</v>
      </c>
      <c r="E79" s="299">
        <v>1089</v>
      </c>
      <c r="F79" s="299">
        <v>1190</v>
      </c>
      <c r="G79" s="299">
        <v>919</v>
      </c>
      <c r="H79" s="299">
        <v>775</v>
      </c>
      <c r="I79" s="299">
        <f>H79</f>
        <v>775</v>
      </c>
      <c r="J79" s="299">
        <f t="shared" ref="J79:M79" si="59">I79</f>
        <v>775</v>
      </c>
      <c r="K79" s="299">
        <f t="shared" si="59"/>
        <v>775</v>
      </c>
      <c r="L79" s="299">
        <f t="shared" si="59"/>
        <v>775</v>
      </c>
      <c r="M79" s="299">
        <f t="shared" si="59"/>
        <v>775</v>
      </c>
      <c r="N79" s="341"/>
    </row>
    <row r="80" spans="1:14" ht="17" outlineLevel="1" thickBot="1" x14ac:dyDescent="0.25">
      <c r="A80" s="109" t="s">
        <v>99</v>
      </c>
      <c r="B80" s="109"/>
      <c r="C80" s="110"/>
      <c r="D80" s="111">
        <f>SUM(D71:D79)+D69</f>
        <v>19723</v>
      </c>
      <c r="E80" s="111">
        <f>SUM(E71:E79)+E69</f>
        <v>21312</v>
      </c>
      <c r="F80" s="111">
        <f>SUM(F71:F79)+F69</f>
        <v>23286</v>
      </c>
      <c r="G80" s="111">
        <f>SUM(G71:G79)+G69</f>
        <v>25110</v>
      </c>
      <c r="H80" s="111">
        <f>SUM(H71:H79)+H69</f>
        <v>26243</v>
      </c>
      <c r="I80" s="111">
        <f>SUM(I71:I79)+I69</f>
        <v>27322.059063310193</v>
      </c>
      <c r="J80" s="111">
        <f>SUM(J71:J79)+J69</f>
        <v>29313.663834197272</v>
      </c>
      <c r="K80" s="111">
        <f>SUM(K71:K79)+K69</f>
        <v>31219.076312735539</v>
      </c>
      <c r="L80" s="111">
        <f>SUM(L71:L79)+L69</f>
        <v>33326.904462185295</v>
      </c>
      <c r="M80" s="111">
        <f>SUM(M71:M79)+M69</f>
        <v>35546.841912990785</v>
      </c>
      <c r="N80" s="341"/>
    </row>
    <row r="81" spans="1:15" ht="17" outlineLevel="1" thickTop="1" x14ac:dyDescent="0.2">
      <c r="A81" s="96"/>
      <c r="B81" s="96"/>
      <c r="C81" s="97"/>
      <c r="D81" s="98"/>
      <c r="E81" s="98"/>
      <c r="F81" s="98"/>
      <c r="G81" s="98"/>
      <c r="H81" s="98"/>
      <c r="I81" s="96"/>
      <c r="J81" s="96"/>
      <c r="K81" s="96"/>
      <c r="L81" s="96"/>
      <c r="M81" s="96"/>
      <c r="N81" s="341"/>
    </row>
    <row r="82" spans="1:15" ht="17" outlineLevel="1" thickTop="1" x14ac:dyDescent="0.2">
      <c r="A82" s="85" t="s">
        <v>238</v>
      </c>
      <c r="B82" s="96"/>
      <c r="C82" s="97"/>
      <c r="D82" s="98"/>
      <c r="E82" s="98"/>
      <c r="F82" s="98"/>
      <c r="G82" s="98"/>
      <c r="H82" s="98"/>
      <c r="I82" s="96"/>
      <c r="J82" s="96"/>
      <c r="K82" s="96"/>
      <c r="L82" s="96"/>
      <c r="M82" s="96"/>
      <c r="N82" s="341"/>
    </row>
    <row r="83" spans="1:15" ht="16" outlineLevel="1" x14ac:dyDescent="0.2">
      <c r="A83" s="71" t="s">
        <v>240</v>
      </c>
      <c r="B83" s="96"/>
      <c r="C83" s="97"/>
      <c r="D83" s="101">
        <v>1203</v>
      </c>
      <c r="E83" s="101">
        <v>1188</v>
      </c>
      <c r="F83" s="101">
        <v>1178</v>
      </c>
      <c r="G83" s="101">
        <v>1320</v>
      </c>
      <c r="H83" s="101">
        <v>1416</v>
      </c>
      <c r="I83" s="89">
        <f>I54/365*I28</f>
        <v>1443.2877683101963</v>
      </c>
      <c r="J83" s="89">
        <f t="shared" ref="J83:M83" si="60">J54/365*J28</f>
        <v>1489.9153851622787</v>
      </c>
      <c r="K83" s="89">
        <f t="shared" si="60"/>
        <v>1537.8238672137995</v>
      </c>
      <c r="L83" s="89">
        <f t="shared" si="60"/>
        <v>1587.0848689164129</v>
      </c>
      <c r="M83" s="89">
        <f t="shared" si="60"/>
        <v>1637.7705378170363</v>
      </c>
      <c r="N83" s="341"/>
    </row>
    <row r="84" spans="1:15" ht="16" outlineLevel="1" x14ac:dyDescent="0.2">
      <c r="A84" s="71" t="s">
        <v>241</v>
      </c>
      <c r="B84" s="96"/>
      <c r="C84" s="97"/>
      <c r="D84" s="101">
        <v>1565</v>
      </c>
      <c r="E84" s="101">
        <v>2591</v>
      </c>
      <c r="F84" s="101">
        <v>1985</v>
      </c>
      <c r="G84" s="101">
        <v>1700</v>
      </c>
      <c r="H84" s="101">
        <v>1749</v>
      </c>
      <c r="I84" s="89">
        <f>AVERAGE(D84:H84)</f>
        <v>1918</v>
      </c>
      <c r="J84" s="89">
        <f t="shared" ref="J84:M84" si="61">AVERAGE(E84:I84)</f>
        <v>1988.6</v>
      </c>
      <c r="K84" s="89">
        <f t="shared" si="61"/>
        <v>1868.1200000000001</v>
      </c>
      <c r="L84" s="89">
        <f t="shared" si="61"/>
        <v>1844.7440000000001</v>
      </c>
      <c r="M84" s="89">
        <f t="shared" si="61"/>
        <v>1873.6928</v>
      </c>
      <c r="N84" s="341"/>
    </row>
    <row r="85" spans="1:15" ht="16" outlineLevel="1" x14ac:dyDescent="0.2">
      <c r="A85" s="71" t="s">
        <v>242</v>
      </c>
      <c r="B85" s="96"/>
      <c r="C85" s="97"/>
      <c r="D85" s="101">
        <v>258</v>
      </c>
      <c r="E85" s="101">
        <v>637</v>
      </c>
      <c r="F85" s="101">
        <v>566</v>
      </c>
      <c r="G85" s="101">
        <v>348</v>
      </c>
      <c r="H85" s="101">
        <v>606</v>
      </c>
      <c r="I85" s="89"/>
      <c r="J85" s="89"/>
      <c r="K85" s="89"/>
      <c r="L85" s="89"/>
      <c r="M85" s="89"/>
      <c r="N85" s="341"/>
    </row>
    <row r="86" spans="1:15" ht="16" outlineLevel="1" x14ac:dyDescent="0.2">
      <c r="A86" s="71" t="s">
        <v>243</v>
      </c>
      <c r="B86" s="96"/>
      <c r="C86" s="97"/>
      <c r="D86" s="101">
        <v>2897</v>
      </c>
      <c r="E86" s="101">
        <v>2990</v>
      </c>
      <c r="F86" s="101">
        <v>3115</v>
      </c>
      <c r="G86" s="101">
        <v>3495</v>
      </c>
      <c r="H86" s="101">
        <v>4134</v>
      </c>
      <c r="I86" s="89">
        <f>AVERAGE(D86:H86)</f>
        <v>3326.2</v>
      </c>
      <c r="J86" s="89">
        <f t="shared" ref="J86:M86" si="62">AVERAGE(E86:I86)</f>
        <v>3412.04</v>
      </c>
      <c r="K86" s="89">
        <f t="shared" si="62"/>
        <v>3496.4480000000003</v>
      </c>
      <c r="L86" s="89">
        <f t="shared" si="62"/>
        <v>3572.7376000000004</v>
      </c>
      <c r="M86" s="89">
        <f t="shared" si="62"/>
        <v>3588.2851200000005</v>
      </c>
      <c r="N86" s="341"/>
    </row>
    <row r="87" spans="1:15" ht="16" outlineLevel="1" x14ac:dyDescent="0.2">
      <c r="A87" s="114" t="s">
        <v>239</v>
      </c>
      <c r="B87" s="114"/>
      <c r="C87" s="115"/>
      <c r="D87" s="116">
        <f>SUM(D83:D86)</f>
        <v>5923</v>
      </c>
      <c r="E87" s="116">
        <f t="shared" ref="E87:M87" si="63">SUM(E83:E86)</f>
        <v>7406</v>
      </c>
      <c r="F87" s="116">
        <f t="shared" si="63"/>
        <v>6844</v>
      </c>
      <c r="G87" s="116">
        <f t="shared" si="63"/>
        <v>6863</v>
      </c>
      <c r="H87" s="116">
        <f t="shared" si="63"/>
        <v>7905</v>
      </c>
      <c r="I87" s="116">
        <f t="shared" si="63"/>
        <v>6687.4877683101959</v>
      </c>
      <c r="J87" s="116">
        <f t="shared" si="63"/>
        <v>6890.555385162279</v>
      </c>
      <c r="K87" s="116">
        <f t="shared" si="63"/>
        <v>6902.3918672137997</v>
      </c>
      <c r="L87" s="116">
        <f t="shared" si="63"/>
        <v>7004.5664689164132</v>
      </c>
      <c r="M87" s="116">
        <f t="shared" si="63"/>
        <v>7099.748457817037</v>
      </c>
      <c r="N87" s="341"/>
    </row>
    <row r="88" spans="1:15" ht="16" outlineLevel="1" x14ac:dyDescent="0.2">
      <c r="A88" s="85" t="s">
        <v>244</v>
      </c>
      <c r="B88" s="71"/>
      <c r="C88" s="112"/>
      <c r="D88" s="104"/>
      <c r="E88" s="104"/>
      <c r="F88" s="104"/>
      <c r="G88" s="104"/>
      <c r="H88" s="104"/>
      <c r="I88" s="71"/>
      <c r="J88" s="71"/>
      <c r="K88" s="71"/>
      <c r="L88" s="71"/>
      <c r="M88" s="71"/>
      <c r="N88" s="341"/>
    </row>
    <row r="89" spans="1:15" ht="16" outlineLevel="1" x14ac:dyDescent="0.2">
      <c r="A89" s="71" t="s">
        <v>245</v>
      </c>
      <c r="B89" s="71"/>
      <c r="C89" s="112"/>
      <c r="D89" s="295">
        <v>2434</v>
      </c>
      <c r="E89" s="295">
        <v>2541</v>
      </c>
      <c r="F89" s="295">
        <v>2821</v>
      </c>
      <c r="G89" s="295">
        <v>3320</v>
      </c>
      <c r="H89" s="295">
        <v>2771</v>
      </c>
      <c r="I89" s="71"/>
      <c r="J89" s="71"/>
      <c r="K89" s="71"/>
      <c r="L89" s="71"/>
      <c r="M89" s="71"/>
      <c r="N89" s="341"/>
      <c r="O89" s="341"/>
    </row>
    <row r="90" spans="1:15" ht="16" outlineLevel="1" x14ac:dyDescent="0.2">
      <c r="A90" s="71" t="s">
        <v>297</v>
      </c>
      <c r="B90" s="71"/>
      <c r="C90" s="112"/>
      <c r="D90" s="295"/>
      <c r="E90" s="295"/>
      <c r="F90" s="295"/>
      <c r="G90" s="295"/>
      <c r="H90" s="295"/>
      <c r="I90" s="71">
        <f>I171</f>
        <v>3127</v>
      </c>
      <c r="J90" s="71">
        <f t="shared" ref="J90:M90" si="64">J171</f>
        <v>2877</v>
      </c>
      <c r="K90" s="71">
        <f t="shared" si="64"/>
        <v>2627</v>
      </c>
      <c r="L90" s="71">
        <f t="shared" si="64"/>
        <v>2377</v>
      </c>
      <c r="M90" s="71">
        <f t="shared" si="64"/>
        <v>2127</v>
      </c>
      <c r="N90" s="341"/>
      <c r="O90" s="341"/>
    </row>
    <row r="91" spans="1:15" ht="16" outlineLevel="1" x14ac:dyDescent="0.2">
      <c r="A91" s="71" t="s">
        <v>246</v>
      </c>
      <c r="B91" s="71"/>
      <c r="C91" s="112"/>
      <c r="D91" s="295" t="s">
        <v>202</v>
      </c>
      <c r="E91" s="295" t="s">
        <v>202</v>
      </c>
      <c r="F91" s="295" t="s">
        <v>202</v>
      </c>
      <c r="G91" s="295">
        <v>1070</v>
      </c>
      <c r="H91" s="295">
        <v>936</v>
      </c>
      <c r="I91" s="71">
        <f>H91</f>
        <v>936</v>
      </c>
      <c r="J91" s="71">
        <f t="shared" ref="J91:M91" si="65">I91</f>
        <v>936</v>
      </c>
      <c r="K91" s="71">
        <f t="shared" si="65"/>
        <v>936</v>
      </c>
      <c r="L91" s="71">
        <f t="shared" si="65"/>
        <v>936</v>
      </c>
      <c r="M91" s="71">
        <f t="shared" si="65"/>
        <v>936</v>
      </c>
      <c r="N91" s="341"/>
      <c r="O91" s="341"/>
    </row>
    <row r="92" spans="1:15" ht="16" outlineLevel="1" x14ac:dyDescent="0.2">
      <c r="A92" s="71" t="s">
        <v>247</v>
      </c>
      <c r="B92" s="71"/>
      <c r="C92" s="112"/>
      <c r="D92" s="295">
        <v>2782</v>
      </c>
      <c r="E92" s="295">
        <v>2490</v>
      </c>
      <c r="F92" s="295">
        <v>3374</v>
      </c>
      <c r="G92" s="295">
        <v>2119</v>
      </c>
      <c r="H92" s="295">
        <v>2427</v>
      </c>
      <c r="I92" s="71">
        <f>H92</f>
        <v>2427</v>
      </c>
      <c r="J92" s="71">
        <f t="shared" ref="J92:M92" si="66">I92</f>
        <v>2427</v>
      </c>
      <c r="K92" s="71">
        <f t="shared" si="66"/>
        <v>2427</v>
      </c>
      <c r="L92" s="71">
        <f t="shared" si="66"/>
        <v>2427</v>
      </c>
      <c r="M92" s="71">
        <f t="shared" si="66"/>
        <v>2427</v>
      </c>
      <c r="N92" s="341"/>
    </row>
    <row r="93" spans="1:15" ht="16" outlineLevel="1" x14ac:dyDescent="0.2">
      <c r="A93" s="71" t="s">
        <v>248</v>
      </c>
      <c r="B93" s="71"/>
      <c r="C93" s="112"/>
      <c r="D93" s="295">
        <v>1255</v>
      </c>
      <c r="E93" s="295">
        <v>760</v>
      </c>
      <c r="F93" s="295">
        <v>728</v>
      </c>
      <c r="G93" s="295">
        <v>707</v>
      </c>
      <c r="H93" s="295">
        <v>650</v>
      </c>
      <c r="I93" s="71">
        <f>H93</f>
        <v>650</v>
      </c>
      <c r="J93" s="71">
        <f t="shared" ref="J93:M93" si="67">I93</f>
        <v>650</v>
      </c>
      <c r="K93" s="71">
        <f t="shared" si="67"/>
        <v>650</v>
      </c>
      <c r="L93" s="71">
        <f t="shared" si="67"/>
        <v>650</v>
      </c>
      <c r="M93" s="71">
        <f t="shared" si="67"/>
        <v>650</v>
      </c>
      <c r="N93" s="341"/>
    </row>
    <row r="94" spans="1:15" ht="16" outlineLevel="1" x14ac:dyDescent="0.2">
      <c r="A94" s="71" t="s">
        <v>249</v>
      </c>
      <c r="B94" s="71"/>
      <c r="C94" s="78"/>
      <c r="D94" s="295">
        <v>554</v>
      </c>
      <c r="E94" s="295">
        <v>757</v>
      </c>
      <c r="F94" s="295">
        <v>1078</v>
      </c>
      <c r="G94" s="295">
        <v>1390</v>
      </c>
      <c r="H94" s="295">
        <v>1701</v>
      </c>
      <c r="I94" s="71">
        <f>H94</f>
        <v>1701</v>
      </c>
      <c r="J94" s="71">
        <f t="shared" ref="J94:M94" si="68">I94</f>
        <v>1701</v>
      </c>
      <c r="K94" s="71">
        <f t="shared" si="68"/>
        <v>1701</v>
      </c>
      <c r="L94" s="71">
        <f t="shared" si="68"/>
        <v>1701</v>
      </c>
      <c r="M94" s="71">
        <f t="shared" si="68"/>
        <v>1701</v>
      </c>
      <c r="N94" s="341"/>
    </row>
    <row r="95" spans="1:15" ht="16" outlineLevel="1" x14ac:dyDescent="0.2">
      <c r="A95" s="114" t="s">
        <v>103</v>
      </c>
      <c r="B95" s="114"/>
      <c r="C95" s="115"/>
      <c r="D95" s="116">
        <f>SUM(D89:D94)+D87</f>
        <v>12948</v>
      </c>
      <c r="E95" s="116">
        <f>SUM(E89:E94)+E87</f>
        <v>13954</v>
      </c>
      <c r="F95" s="116">
        <f>SUM(F89:F94)+F87</f>
        <v>14845</v>
      </c>
      <c r="G95" s="116">
        <f>SUM(G89:G94)+G87</f>
        <v>15469</v>
      </c>
      <c r="H95" s="116">
        <f>SUM(H89:H94)+H87</f>
        <v>16390</v>
      </c>
      <c r="I95" s="116">
        <f>SUM(I89:I94)+I87</f>
        <v>15528.487768310195</v>
      </c>
      <c r="J95" s="116">
        <f>SUM(J89:J94)+J87</f>
        <v>15481.555385162279</v>
      </c>
      <c r="K95" s="116">
        <f>SUM(K89:K94)+K87</f>
        <v>15243.391867213799</v>
      </c>
      <c r="L95" s="116">
        <f>SUM(L89:L94)+L87</f>
        <v>15095.566468916413</v>
      </c>
      <c r="M95" s="116">
        <f>SUM(M89:M94)+M87</f>
        <v>14940.748457817037</v>
      </c>
      <c r="N95" s="341"/>
    </row>
    <row r="96" spans="1:15" ht="16" outlineLevel="1" x14ac:dyDescent="0.2">
      <c r="A96" s="85" t="s">
        <v>104</v>
      </c>
      <c r="B96" s="71"/>
      <c r="C96" s="78"/>
      <c r="D96" s="104"/>
      <c r="E96" s="104"/>
      <c r="F96" s="104"/>
      <c r="G96" s="104"/>
      <c r="H96" s="104"/>
      <c r="I96" s="71"/>
      <c r="J96" s="71"/>
      <c r="K96" s="71"/>
      <c r="L96" s="71"/>
      <c r="M96" s="71"/>
      <c r="N96" s="341"/>
    </row>
    <row r="97" spans="1:14" ht="16" outlineLevel="1" x14ac:dyDescent="0.2">
      <c r="A97" s="71" t="s">
        <v>250</v>
      </c>
      <c r="B97" s="71"/>
      <c r="C97" s="78"/>
      <c r="D97" s="104">
        <v>808</v>
      </c>
      <c r="E97" s="104">
        <v>808</v>
      </c>
      <c r="F97" s="104">
        <v>808</v>
      </c>
      <c r="G97" s="104">
        <v>808</v>
      </c>
      <c r="H97" s="104">
        <v>808</v>
      </c>
      <c r="I97" s="71">
        <f>H97</f>
        <v>808</v>
      </c>
      <c r="J97" s="71">
        <f t="shared" ref="J97:M97" si="69">I97</f>
        <v>808</v>
      </c>
      <c r="K97" s="71">
        <f t="shared" si="69"/>
        <v>808</v>
      </c>
      <c r="L97" s="71">
        <f t="shared" si="69"/>
        <v>808</v>
      </c>
      <c r="M97" s="71">
        <f t="shared" si="69"/>
        <v>808</v>
      </c>
      <c r="N97" s="341"/>
    </row>
    <row r="98" spans="1:14" ht="16" outlineLevel="1" x14ac:dyDescent="0.2">
      <c r="A98" s="71" t="s">
        <v>251</v>
      </c>
      <c r="B98" s="71"/>
      <c r="C98" s="78"/>
      <c r="D98" s="104">
        <v>1315</v>
      </c>
      <c r="E98" s="104">
        <v>1374</v>
      </c>
      <c r="F98" s="104">
        <v>1410</v>
      </c>
      <c r="G98" s="104">
        <v>1451</v>
      </c>
      <c r="H98" s="104">
        <v>1510</v>
      </c>
      <c r="I98" s="71">
        <f>H98</f>
        <v>1510</v>
      </c>
      <c r="J98" s="71">
        <f t="shared" ref="J98:M98" si="70">I98</f>
        <v>1510</v>
      </c>
      <c r="K98" s="71">
        <f t="shared" si="70"/>
        <v>1510</v>
      </c>
      <c r="L98" s="71">
        <f t="shared" si="70"/>
        <v>1510</v>
      </c>
      <c r="M98" s="71">
        <f t="shared" si="70"/>
        <v>1510</v>
      </c>
      <c r="N98" s="341"/>
    </row>
    <row r="99" spans="1:14" ht="16" outlineLevel="1" x14ac:dyDescent="0.2">
      <c r="A99" s="71" t="s">
        <v>252</v>
      </c>
      <c r="B99" s="71"/>
      <c r="C99" s="78"/>
      <c r="D99" s="104">
        <v>-2026</v>
      </c>
      <c r="E99" s="104">
        <v>-3182</v>
      </c>
      <c r="F99" s="104">
        <v>-4872</v>
      </c>
      <c r="G99" s="104">
        <v>-6462</v>
      </c>
      <c r="H99" s="104">
        <v>-8452</v>
      </c>
      <c r="I99" s="71">
        <f>H99+I139</f>
        <v>-8952</v>
      </c>
      <c r="J99" s="71">
        <f t="shared" ref="J99:M99" si="71">I99+J139</f>
        <v>-9452</v>
      </c>
      <c r="K99" s="71">
        <f t="shared" si="71"/>
        <v>-9952</v>
      </c>
      <c r="L99" s="71">
        <f t="shared" si="71"/>
        <v>-10452</v>
      </c>
      <c r="M99" s="71">
        <f t="shared" si="71"/>
        <v>-10952</v>
      </c>
      <c r="N99" s="341"/>
    </row>
    <row r="100" spans="1:14" ht="16" outlineLevel="1" x14ac:dyDescent="0.2">
      <c r="A100" s="71" t="s">
        <v>253</v>
      </c>
      <c r="B100" s="71"/>
      <c r="C100" s="78"/>
      <c r="D100" s="104">
        <v>7416</v>
      </c>
      <c r="E100" s="104">
        <v>9409</v>
      </c>
      <c r="F100" s="104">
        <v>11418</v>
      </c>
      <c r="G100" s="104">
        <v>13832</v>
      </c>
      <c r="H100" s="104">
        <v>15967</v>
      </c>
      <c r="I100" s="71">
        <f>H100+I111+I140</f>
        <v>18407.571294999998</v>
      </c>
      <c r="J100" s="71">
        <f t="shared" ref="J100:M100" si="72">I100+J111+J140</f>
        <v>20946.108449034997</v>
      </c>
      <c r="K100" s="71">
        <f t="shared" si="72"/>
        <v>23589.68444552174</v>
      </c>
      <c r="L100" s="71">
        <f t="shared" si="72"/>
        <v>26345.337993268891</v>
      </c>
      <c r="M100" s="71">
        <f t="shared" si="72"/>
        <v>29220.093455173756</v>
      </c>
      <c r="N100" s="341"/>
    </row>
    <row r="101" spans="1:14" ht="16" outlineLevel="1" x14ac:dyDescent="0.2">
      <c r="A101" s="71" t="s">
        <v>254</v>
      </c>
      <c r="B101" s="71"/>
      <c r="C101" s="78"/>
      <c r="D101" s="104">
        <v>-738</v>
      </c>
      <c r="E101" s="104">
        <v>-1051</v>
      </c>
      <c r="F101" s="104">
        <v>-323</v>
      </c>
      <c r="G101" s="104">
        <v>12</v>
      </c>
      <c r="H101" s="104">
        <v>20</v>
      </c>
      <c r="I101" s="71">
        <f>H101</f>
        <v>20</v>
      </c>
      <c r="J101" s="71">
        <f t="shared" ref="J101:M101" si="73">I101</f>
        <v>20</v>
      </c>
      <c r="K101" s="71">
        <f t="shared" si="73"/>
        <v>20</v>
      </c>
      <c r="L101" s="71">
        <f t="shared" si="73"/>
        <v>20</v>
      </c>
      <c r="M101" s="71">
        <f t="shared" si="73"/>
        <v>20</v>
      </c>
      <c r="N101" s="341"/>
    </row>
    <row r="102" spans="1:14" ht="16" outlineLevel="1" x14ac:dyDescent="0.2">
      <c r="A102" s="114" t="s">
        <v>255</v>
      </c>
      <c r="B102" s="114"/>
      <c r="C102" s="115"/>
      <c r="D102" s="116">
        <f>SUM(D97:D101)</f>
        <v>6775</v>
      </c>
      <c r="E102" s="116">
        <f t="shared" ref="E102:M102" si="74">SUM(E97:E101)</f>
        <v>7358</v>
      </c>
      <c r="F102" s="116">
        <f t="shared" si="74"/>
        <v>8441</v>
      </c>
      <c r="G102" s="116">
        <f t="shared" si="74"/>
        <v>9641</v>
      </c>
      <c r="H102" s="116">
        <f t="shared" si="74"/>
        <v>9853</v>
      </c>
      <c r="I102" s="116">
        <f t="shared" si="74"/>
        <v>11793.571294999998</v>
      </c>
      <c r="J102" s="116">
        <f t="shared" si="74"/>
        <v>13832.108449034997</v>
      </c>
      <c r="K102" s="116">
        <f t="shared" si="74"/>
        <v>15975.68444552174</v>
      </c>
      <c r="L102" s="116">
        <f t="shared" si="74"/>
        <v>18231.337993268891</v>
      </c>
      <c r="M102" s="116">
        <f t="shared" si="74"/>
        <v>20606.093455173756</v>
      </c>
      <c r="N102" s="341"/>
    </row>
    <row r="103" spans="1:14" ht="17" outlineLevel="1" thickBot="1" x14ac:dyDescent="0.25">
      <c r="A103" s="109" t="s">
        <v>107</v>
      </c>
      <c r="B103" s="109"/>
      <c r="C103" s="110"/>
      <c r="D103" s="111">
        <f>D95+D102</f>
        <v>19723</v>
      </c>
      <c r="E103" s="111">
        <f t="shared" ref="E103:M103" si="75">E95+E102</f>
        <v>21312</v>
      </c>
      <c r="F103" s="111">
        <f t="shared" si="75"/>
        <v>23286</v>
      </c>
      <c r="G103" s="111">
        <f t="shared" si="75"/>
        <v>25110</v>
      </c>
      <c r="H103" s="111">
        <f t="shared" si="75"/>
        <v>26243</v>
      </c>
      <c r="I103" s="111">
        <f t="shared" si="75"/>
        <v>27322.059063310193</v>
      </c>
      <c r="J103" s="111">
        <f t="shared" si="75"/>
        <v>29313.663834197276</v>
      </c>
      <c r="K103" s="111">
        <f t="shared" si="75"/>
        <v>31219.076312735539</v>
      </c>
      <c r="L103" s="111">
        <f t="shared" si="75"/>
        <v>33326.904462185303</v>
      </c>
      <c r="M103" s="111">
        <f t="shared" si="75"/>
        <v>35546.841912990792</v>
      </c>
      <c r="N103" s="341"/>
    </row>
    <row r="104" spans="1:14" ht="17" outlineLevel="1" thickTop="1" x14ac:dyDescent="0.2">
      <c r="A104" s="71"/>
      <c r="B104" s="71"/>
      <c r="C104" s="78"/>
      <c r="D104" s="104"/>
      <c r="E104" s="104"/>
      <c r="F104" s="104"/>
      <c r="G104" s="104"/>
      <c r="H104" s="104"/>
      <c r="I104" s="71"/>
      <c r="J104" s="71"/>
      <c r="K104" s="71"/>
      <c r="L104" s="71"/>
      <c r="M104" s="71"/>
    </row>
    <row r="105" spans="1:14" ht="16" outlineLevel="1" x14ac:dyDescent="0.2">
      <c r="A105" s="117" t="s">
        <v>108</v>
      </c>
      <c r="B105" s="118"/>
      <c r="C105" s="119"/>
      <c r="D105" s="118">
        <f>D103-D80</f>
        <v>0</v>
      </c>
      <c r="E105" s="118">
        <f>E103-E80</f>
        <v>0</v>
      </c>
      <c r="F105" s="118">
        <f>F103-F80</f>
        <v>0</v>
      </c>
      <c r="G105" s="118">
        <f>G103-G80</f>
        <v>0</v>
      </c>
      <c r="H105" s="118">
        <f>H103-H80</f>
        <v>0</v>
      </c>
      <c r="I105" s="118">
        <f>I103-I80</f>
        <v>0</v>
      </c>
      <c r="J105" s="118">
        <f>J103-J80</f>
        <v>0</v>
      </c>
      <c r="K105" s="118">
        <f>K103-K80</f>
        <v>0</v>
      </c>
      <c r="L105" s="118">
        <f>L103-L80</f>
        <v>0</v>
      </c>
      <c r="M105" s="118">
        <f>M103-M80</f>
        <v>0</v>
      </c>
    </row>
    <row r="106" spans="1:14" ht="16" outlineLevel="1" x14ac:dyDescent="0.2">
      <c r="A106" s="118"/>
      <c r="B106" s="118"/>
      <c r="C106" s="119"/>
      <c r="D106" s="118"/>
      <c r="E106" s="118"/>
      <c r="F106" s="118"/>
      <c r="G106" s="118"/>
      <c r="H106" s="118"/>
      <c r="I106" s="118"/>
      <c r="J106" s="118"/>
      <c r="K106" s="118"/>
      <c r="L106" s="118"/>
      <c r="M106" s="118"/>
      <c r="N106" s="118"/>
    </row>
    <row r="107" spans="1:14" ht="16" x14ac:dyDescent="0.2">
      <c r="A107" s="71"/>
      <c r="B107" s="71"/>
      <c r="C107" s="78"/>
      <c r="D107" s="104"/>
      <c r="E107" s="104"/>
      <c r="F107" s="104"/>
      <c r="G107" s="104"/>
      <c r="H107" s="104"/>
      <c r="I107" s="71"/>
      <c r="J107" s="71"/>
      <c r="K107" s="71"/>
      <c r="L107" s="71"/>
      <c r="M107" s="71"/>
    </row>
    <row r="108" spans="1:14" ht="20" x14ac:dyDescent="0.2">
      <c r="A108" s="80" t="s">
        <v>109</v>
      </c>
      <c r="B108" s="81"/>
      <c r="C108" s="82"/>
      <c r="D108" s="81"/>
      <c r="E108" s="81"/>
      <c r="F108" s="81"/>
      <c r="G108" s="81"/>
      <c r="H108" s="81"/>
      <c r="I108" s="81"/>
      <c r="J108" s="81"/>
      <c r="K108" s="81"/>
      <c r="L108" s="81"/>
      <c r="M108" s="81"/>
    </row>
    <row r="109" spans="1:14" ht="16" outlineLevel="1" x14ac:dyDescent="0.2">
      <c r="A109" s="85"/>
      <c r="B109" s="71"/>
      <c r="C109" s="78"/>
      <c r="D109" s="98"/>
      <c r="E109" s="104"/>
      <c r="F109" s="104"/>
      <c r="G109" s="104"/>
      <c r="H109" s="104"/>
      <c r="I109" s="71"/>
      <c r="J109" s="71"/>
      <c r="K109" s="71"/>
      <c r="L109" s="71"/>
      <c r="M109" s="71"/>
    </row>
    <row r="110" spans="1:14" ht="16" outlineLevel="1" x14ac:dyDescent="0.2">
      <c r="A110" s="85" t="s">
        <v>110</v>
      </c>
      <c r="B110" s="71"/>
      <c r="C110" s="78"/>
      <c r="D110" s="104"/>
      <c r="E110" s="104"/>
      <c r="F110" s="104"/>
      <c r="G110" s="104"/>
      <c r="H110" s="104"/>
      <c r="I110" s="71"/>
      <c r="J110" s="71"/>
      <c r="K110" s="71"/>
      <c r="L110" s="71"/>
      <c r="M110" s="71"/>
    </row>
    <row r="111" spans="1:14" ht="16" outlineLevel="1" x14ac:dyDescent="0.2">
      <c r="A111" s="71" t="s">
        <v>92</v>
      </c>
      <c r="B111" s="71"/>
      <c r="C111" s="78"/>
      <c r="D111" s="295">
        <f>D58</f>
        <v>1136</v>
      </c>
      <c r="E111" s="295">
        <f>E58</f>
        <v>2181</v>
      </c>
      <c r="F111" s="295">
        <f>F58</f>
        <v>2183</v>
      </c>
      <c r="G111" s="295">
        <f>G58</f>
        <v>3357</v>
      </c>
      <c r="H111" s="295">
        <f>H58</f>
        <v>2465</v>
      </c>
      <c r="I111" s="295">
        <f>I58</f>
        <v>2780.5712949999979</v>
      </c>
      <c r="J111" s="295">
        <f t="shared" ref="J111:M111" si="76">J58</f>
        <v>2878.5371540349984</v>
      </c>
      <c r="K111" s="295">
        <f t="shared" si="76"/>
        <v>2983.5759964867443</v>
      </c>
      <c r="L111" s="295">
        <f t="shared" si="76"/>
        <v>3095.6535477471512</v>
      </c>
      <c r="M111" s="295">
        <f t="shared" si="76"/>
        <v>3214.7554619048651</v>
      </c>
    </row>
    <row r="112" spans="1:14" ht="16" outlineLevel="1" x14ac:dyDescent="0.2">
      <c r="A112" s="71" t="s">
        <v>211</v>
      </c>
      <c r="B112" s="71"/>
      <c r="C112" s="78"/>
      <c r="D112" s="295">
        <v>938</v>
      </c>
      <c r="E112" s="295">
        <v>1015</v>
      </c>
      <c r="F112" s="295">
        <v>1221</v>
      </c>
      <c r="G112" s="295">
        <v>1218</v>
      </c>
      <c r="H112" s="295">
        <v>1201</v>
      </c>
      <c r="I112" s="300">
        <f>I165</f>
        <v>1423.6499999999999</v>
      </c>
      <c r="J112" s="300">
        <f t="shared" ref="J112:M112" si="77">J165</f>
        <v>1466.8762499999998</v>
      </c>
      <c r="K112" s="300">
        <f t="shared" si="77"/>
        <v>1506.8605312499997</v>
      </c>
      <c r="L112" s="300">
        <f t="shared" si="77"/>
        <v>1543.8459914062498</v>
      </c>
      <c r="M112" s="300">
        <f t="shared" si="77"/>
        <v>1578.057542050781</v>
      </c>
    </row>
    <row r="113" spans="1:13" ht="16" outlineLevel="1" x14ac:dyDescent="0.2">
      <c r="A113" s="71" t="s">
        <v>256</v>
      </c>
      <c r="B113" s="71"/>
      <c r="C113" s="78"/>
      <c r="D113" s="295">
        <v>0</v>
      </c>
      <c r="E113" s="295">
        <v>0</v>
      </c>
      <c r="F113" s="295">
        <v>21</v>
      </c>
      <c r="G113" s="295">
        <v>0</v>
      </c>
      <c r="H113" s="295">
        <v>0</v>
      </c>
      <c r="I113" s="300"/>
      <c r="J113" s="300"/>
      <c r="K113" s="300"/>
      <c r="L113" s="300"/>
      <c r="M113" s="300"/>
    </row>
    <row r="114" spans="1:13" ht="16" outlineLevel="1" x14ac:dyDescent="0.2">
      <c r="A114" s="71" t="s">
        <v>247</v>
      </c>
      <c r="B114" s="71"/>
      <c r="C114" s="78"/>
      <c r="D114" s="295">
        <v>501</v>
      </c>
      <c r="E114" s="295">
        <v>-109</v>
      </c>
      <c r="F114" s="295">
        <v>419</v>
      </c>
      <c r="G114" s="295">
        <v>-1066</v>
      </c>
      <c r="H114" s="295">
        <v>301</v>
      </c>
      <c r="I114" s="300"/>
      <c r="J114" s="300"/>
      <c r="K114" s="300"/>
      <c r="L114" s="300"/>
      <c r="M114" s="300"/>
    </row>
    <row r="115" spans="1:13" ht="16" outlineLevel="1" x14ac:dyDescent="0.2">
      <c r="A115" s="71" t="s">
        <v>257</v>
      </c>
      <c r="B115" s="71"/>
      <c r="C115" s="78"/>
      <c r="D115" s="295">
        <v>-277</v>
      </c>
      <c r="E115" s="295">
        <v>-462</v>
      </c>
      <c r="F115" s="295">
        <v>-165</v>
      </c>
      <c r="G115" s="295">
        <v>-121</v>
      </c>
      <c r="H115" s="295">
        <v>14</v>
      </c>
      <c r="I115" s="300">
        <f>-( I157-H157)</f>
        <v>57.055719178082256</v>
      </c>
      <c r="J115" s="300">
        <f t="shared" ref="J115:M115" si="78">-( J157-I157)</f>
        <v>-13.233422568493268</v>
      </c>
      <c r="K115" s="300">
        <f t="shared" si="78"/>
        <v>-13.695721899760144</v>
      </c>
      <c r="L115" s="300">
        <f t="shared" si="78"/>
        <v>-14.1741912621182</v>
      </c>
      <c r="M115" s="300">
        <f t="shared" si="78"/>
        <v>-14.669396481308979</v>
      </c>
    </row>
    <row r="116" spans="1:13" ht="16" outlineLevel="1" x14ac:dyDescent="0.2">
      <c r="A116" s="71" t="s">
        <v>236</v>
      </c>
      <c r="B116" s="71"/>
      <c r="C116" s="78"/>
      <c r="D116" s="295">
        <v>142</v>
      </c>
      <c r="E116" s="295">
        <v>103</v>
      </c>
      <c r="F116" s="295">
        <v>-119</v>
      </c>
      <c r="G116" s="295">
        <v>-262</v>
      </c>
      <c r="H116" s="295">
        <v>-227</v>
      </c>
      <c r="I116" s="300">
        <f>I78-H78</f>
        <v>0</v>
      </c>
      <c r="J116" s="300">
        <f t="shared" ref="J116:M116" si="79">J78-I78</f>
        <v>0</v>
      </c>
      <c r="K116" s="300">
        <f t="shared" si="79"/>
        <v>0</v>
      </c>
      <c r="L116" s="300">
        <f t="shared" si="79"/>
        <v>0</v>
      </c>
      <c r="M116" s="300">
        <f t="shared" si="79"/>
        <v>0</v>
      </c>
    </row>
    <row r="117" spans="1:13" ht="16" outlineLevel="1" x14ac:dyDescent="0.2">
      <c r="A117" s="71" t="s">
        <v>258</v>
      </c>
      <c r="B117" s="71"/>
      <c r="C117" s="78"/>
      <c r="D117" s="295">
        <v>279</v>
      </c>
      <c r="E117" s="295">
        <v>113</v>
      </c>
      <c r="F117" s="295" t="s">
        <v>202</v>
      </c>
      <c r="G117" s="295" t="s">
        <v>202</v>
      </c>
      <c r="H117" s="295" t="s">
        <v>202</v>
      </c>
      <c r="I117" s="300"/>
      <c r="J117" s="300"/>
      <c r="K117" s="300"/>
      <c r="L117" s="300"/>
      <c r="M117" s="300"/>
    </row>
    <row r="118" spans="1:13" ht="16" outlineLevel="1" x14ac:dyDescent="0.2">
      <c r="A118" s="71" t="s">
        <v>259</v>
      </c>
      <c r="B118" s="71"/>
      <c r="C118" s="78"/>
      <c r="D118" s="295" t="s">
        <v>202</v>
      </c>
      <c r="E118" s="295" t="s">
        <v>202</v>
      </c>
      <c r="F118" s="295">
        <v>-200</v>
      </c>
      <c r="G118" s="295">
        <v>-50</v>
      </c>
      <c r="H118" s="295">
        <v>-14</v>
      </c>
      <c r="I118" s="300"/>
      <c r="J118" s="300"/>
      <c r="K118" s="300"/>
      <c r="L118" s="300"/>
      <c r="M118" s="300"/>
    </row>
    <row r="119" spans="1:13" ht="16" outlineLevel="1" x14ac:dyDescent="0.2">
      <c r="A119" s="71" t="s">
        <v>260</v>
      </c>
      <c r="B119" s="71"/>
      <c r="C119" s="78"/>
      <c r="D119" s="295" t="s">
        <v>202</v>
      </c>
      <c r="E119" s="295" t="s">
        <v>202</v>
      </c>
      <c r="F119" s="295" t="s">
        <v>202</v>
      </c>
      <c r="G119" s="295">
        <v>63</v>
      </c>
      <c r="H119" s="295" t="s">
        <v>202</v>
      </c>
      <c r="I119" s="300"/>
      <c r="J119" s="300"/>
      <c r="K119" s="300"/>
      <c r="L119" s="300"/>
      <c r="M119" s="300"/>
    </row>
    <row r="120" spans="1:13" ht="16" outlineLevel="1" x14ac:dyDescent="0.2">
      <c r="A120" s="71" t="s">
        <v>261</v>
      </c>
      <c r="B120" s="71"/>
      <c r="C120" s="78"/>
      <c r="D120" s="295">
        <v>54</v>
      </c>
      <c r="E120" s="295">
        <v>-88</v>
      </c>
      <c r="F120" s="295">
        <v>-50</v>
      </c>
      <c r="G120" s="295">
        <v>-102</v>
      </c>
      <c r="H120" s="295">
        <v>117</v>
      </c>
      <c r="I120" s="300">
        <f>H66-I66</f>
        <v>-53.452739726027289</v>
      </c>
      <c r="J120" s="300">
        <f t="shared" ref="J120:M120" si="80">I66-J66</f>
        <v>-20.359111643835718</v>
      </c>
      <c r="K120" s="300">
        <f t="shared" si="80"/>
        <v>-21.070341384246376</v>
      </c>
      <c r="L120" s="300">
        <f t="shared" si="80"/>
        <v>-21.806448095566566</v>
      </c>
      <c r="M120" s="300">
        <f t="shared" si="80"/>
        <v>-22.568302278936812</v>
      </c>
    </row>
    <row r="121" spans="1:13" ht="16" outlineLevel="1" x14ac:dyDescent="0.2">
      <c r="A121" s="71" t="s">
        <v>262</v>
      </c>
      <c r="B121" s="71"/>
      <c r="C121" s="78"/>
      <c r="D121" s="295">
        <v>36</v>
      </c>
      <c r="E121" s="295">
        <v>961</v>
      </c>
      <c r="F121" s="295">
        <v>221</v>
      </c>
      <c r="G121" s="295">
        <v>233</v>
      </c>
      <c r="H121" s="295">
        <v>545</v>
      </c>
      <c r="I121" s="300">
        <f>SUM(I83:I84)-SUM(H83:H84)</f>
        <v>196.28776831019604</v>
      </c>
      <c r="J121" s="300">
        <f t="shared" ref="J121:M121" si="81">SUM(J83:J84)-SUM(I83:I84)</f>
        <v>117.22761685208252</v>
      </c>
      <c r="K121" s="300">
        <f t="shared" si="81"/>
        <v>-72.571517948479141</v>
      </c>
      <c r="L121" s="300">
        <f t="shared" si="81"/>
        <v>25.885001702613408</v>
      </c>
      <c r="M121" s="300">
        <f t="shared" si="81"/>
        <v>79.634468900623688</v>
      </c>
    </row>
    <row r="122" spans="1:13" ht="16" outlineLevel="1" x14ac:dyDescent="0.2">
      <c r="A122" s="71" t="s">
        <v>263</v>
      </c>
      <c r="B122" s="71"/>
      <c r="C122" s="78"/>
      <c r="D122" s="295">
        <v>326</v>
      </c>
      <c r="E122" s="295">
        <v>94</v>
      </c>
      <c r="F122" s="295">
        <v>227</v>
      </c>
      <c r="G122" s="295">
        <v>343</v>
      </c>
      <c r="H122" s="295">
        <v>506</v>
      </c>
      <c r="I122" s="300">
        <f>I86-H86</f>
        <v>-807.80000000000018</v>
      </c>
      <c r="J122" s="300">
        <f t="shared" ref="J122:M122" si="82">J86-I86</f>
        <v>85.840000000000146</v>
      </c>
      <c r="K122" s="300">
        <f t="shared" si="82"/>
        <v>84.408000000000357</v>
      </c>
      <c r="L122" s="300">
        <f t="shared" si="82"/>
        <v>76.289600000000064</v>
      </c>
      <c r="M122" s="300">
        <f t="shared" si="82"/>
        <v>15.547520000000077</v>
      </c>
    </row>
    <row r="123" spans="1:13" ht="16" outlineLevel="1" x14ac:dyDescent="0.2">
      <c r="A123" s="71" t="s">
        <v>264</v>
      </c>
      <c r="B123" s="71"/>
      <c r="C123" s="78"/>
      <c r="D123" s="295">
        <v>-233</v>
      </c>
      <c r="E123" s="295">
        <v>-570</v>
      </c>
      <c r="F123" s="295">
        <v>535</v>
      </c>
      <c r="G123" s="295">
        <v>316</v>
      </c>
      <c r="H123" s="295">
        <v>-15</v>
      </c>
      <c r="I123" s="300"/>
      <c r="J123" s="300"/>
      <c r="K123" s="300"/>
      <c r="L123" s="300"/>
      <c r="M123" s="300"/>
    </row>
    <row r="124" spans="1:13" ht="16" outlineLevel="1" x14ac:dyDescent="0.2">
      <c r="A124" s="87" t="s">
        <v>113</v>
      </c>
      <c r="B124" s="86"/>
      <c r="C124" s="120"/>
      <c r="D124" s="301">
        <f>SUM(D111:D123)</f>
        <v>2902</v>
      </c>
      <c r="E124" s="301">
        <f t="shared" ref="E124:M124" si="83">SUM(E111:E123)</f>
        <v>3238</v>
      </c>
      <c r="F124" s="301">
        <f t="shared" si="83"/>
        <v>4293</v>
      </c>
      <c r="G124" s="301">
        <f t="shared" si="83"/>
        <v>3929</v>
      </c>
      <c r="H124" s="301">
        <f t="shared" si="83"/>
        <v>4893</v>
      </c>
      <c r="I124" s="301">
        <f>SUM(I111:I123)</f>
        <v>3596.3120427622489</v>
      </c>
      <c r="J124" s="301">
        <f t="shared" si="83"/>
        <v>4514.8884866747521</v>
      </c>
      <c r="K124" s="301">
        <f t="shared" si="83"/>
        <v>4467.5069465042588</v>
      </c>
      <c r="L124" s="301">
        <f t="shared" si="83"/>
        <v>4705.6935014983301</v>
      </c>
      <c r="M124" s="301">
        <f t="shared" si="83"/>
        <v>4850.7572940960235</v>
      </c>
    </row>
    <row r="125" spans="1:13" ht="16" outlineLevel="1" x14ac:dyDescent="0.2">
      <c r="A125" s="96"/>
      <c r="B125" s="89"/>
      <c r="C125" s="90"/>
      <c r="D125" s="302"/>
      <c r="E125" s="302"/>
      <c r="F125" s="302"/>
      <c r="G125" s="302"/>
      <c r="H125" s="302"/>
      <c r="I125" s="96"/>
      <c r="J125" s="96"/>
      <c r="K125" s="96"/>
      <c r="L125" s="96"/>
      <c r="M125" s="96"/>
    </row>
    <row r="126" spans="1:13" ht="16" outlineLevel="1" x14ac:dyDescent="0.2">
      <c r="A126" s="85" t="s">
        <v>114</v>
      </c>
      <c r="B126" s="71"/>
      <c r="C126" s="78"/>
      <c r="D126" s="296"/>
      <c r="E126" s="296"/>
      <c r="F126" s="296"/>
      <c r="G126" s="296"/>
      <c r="H126" s="296"/>
      <c r="I126" s="89"/>
      <c r="J126" s="89"/>
      <c r="K126" s="89"/>
      <c r="L126" s="89"/>
      <c r="M126" s="89"/>
    </row>
    <row r="127" spans="1:13" ht="16" outlineLevel="1" x14ac:dyDescent="0.2">
      <c r="A127" s="71" t="s">
        <v>257</v>
      </c>
      <c r="B127" s="71"/>
      <c r="C127" s="78"/>
      <c r="D127" s="296">
        <v>-4</v>
      </c>
      <c r="E127" s="296">
        <v>-7</v>
      </c>
      <c r="F127" s="296" t="s">
        <v>202</v>
      </c>
      <c r="G127" s="296" t="s">
        <v>202</v>
      </c>
      <c r="H127" s="296">
        <v>5</v>
      </c>
      <c r="I127" s="89"/>
      <c r="J127" s="89"/>
      <c r="K127" s="89"/>
      <c r="L127" s="89"/>
      <c r="M127" s="89"/>
    </row>
    <row r="128" spans="1:13" ht="16" outlineLevel="1" x14ac:dyDescent="0.2">
      <c r="A128" s="71" t="s">
        <v>265</v>
      </c>
      <c r="B128" s="71"/>
      <c r="C128" s="78"/>
      <c r="D128" s="296">
        <v>-1748</v>
      </c>
      <c r="E128" s="296">
        <v>-2041</v>
      </c>
      <c r="F128" s="296">
        <v>-2038</v>
      </c>
      <c r="G128" s="296">
        <v>-2123</v>
      </c>
      <c r="H128" s="296">
        <v>-1922</v>
      </c>
      <c r="I128" s="89">
        <f>-I29</f>
        <v>-2000</v>
      </c>
      <c r="J128" s="89">
        <f t="shared" ref="J128:M128" si="84">-J29</f>
        <v>-2000</v>
      </c>
      <c r="K128" s="89">
        <f t="shared" si="84"/>
        <v>-2000</v>
      </c>
      <c r="L128" s="89">
        <f t="shared" si="84"/>
        <v>-2000</v>
      </c>
      <c r="M128" s="89">
        <f t="shared" si="84"/>
        <v>-2000</v>
      </c>
    </row>
    <row r="129" spans="1:13" ht="16" outlineLevel="1" x14ac:dyDescent="0.2">
      <c r="A129" s="71" t="s">
        <v>234</v>
      </c>
      <c r="B129" s="71"/>
      <c r="C129" s="78"/>
      <c r="D129" s="296">
        <v>-80</v>
      </c>
      <c r="E129" s="296">
        <v>-102</v>
      </c>
      <c r="F129" s="296">
        <v>-109</v>
      </c>
      <c r="G129" s="296">
        <v>-126</v>
      </c>
      <c r="H129" s="296">
        <v>-54</v>
      </c>
      <c r="I129" s="89"/>
      <c r="J129" s="89"/>
      <c r="K129" s="89"/>
      <c r="L129" s="89"/>
      <c r="M129" s="89"/>
    </row>
    <row r="130" spans="1:13" ht="16" outlineLevel="1" x14ac:dyDescent="0.2">
      <c r="A130" s="71" t="s">
        <v>266</v>
      </c>
      <c r="B130" s="71"/>
      <c r="C130" s="78"/>
      <c r="D130" s="296">
        <v>-3080</v>
      </c>
      <c r="E130" s="296">
        <v>-1986</v>
      </c>
      <c r="F130" s="296">
        <v>-2388</v>
      </c>
      <c r="G130" s="296">
        <v>-2380</v>
      </c>
      <c r="H130" s="296">
        <v>-2409</v>
      </c>
      <c r="I130" s="89"/>
      <c r="J130" s="89"/>
      <c r="K130" s="89"/>
      <c r="L130" s="89"/>
      <c r="M130" s="89"/>
    </row>
    <row r="131" spans="1:13" ht="16" outlineLevel="1" x14ac:dyDescent="0.2">
      <c r="A131" s="71" t="s">
        <v>267</v>
      </c>
      <c r="B131" s="71"/>
      <c r="C131" s="78"/>
      <c r="D131" s="296">
        <v>3185</v>
      </c>
      <c r="E131" s="296">
        <v>2223</v>
      </c>
      <c r="F131" s="296">
        <v>2263</v>
      </c>
      <c r="G131" s="296">
        <v>2221</v>
      </c>
      <c r="H131" s="296">
        <v>2342</v>
      </c>
      <c r="I131" s="89"/>
      <c r="J131" s="89"/>
      <c r="K131" s="89"/>
      <c r="L131" s="89"/>
      <c r="M131" s="89"/>
    </row>
    <row r="132" spans="1:13" ht="16" outlineLevel="1" x14ac:dyDescent="0.2">
      <c r="A132" s="87" t="s">
        <v>116</v>
      </c>
      <c r="B132" s="86"/>
      <c r="C132" s="120"/>
      <c r="D132" s="301">
        <f>SUM(D127:D131)</f>
        <v>-1727</v>
      </c>
      <c r="E132" s="301">
        <f t="shared" ref="E132:M132" si="85">SUM(E127:E131)</f>
        <v>-1913</v>
      </c>
      <c r="F132" s="301">
        <f t="shared" si="85"/>
        <v>-2272</v>
      </c>
      <c r="G132" s="301">
        <f t="shared" si="85"/>
        <v>-2408</v>
      </c>
      <c r="H132" s="301">
        <f t="shared" si="85"/>
        <v>-2038</v>
      </c>
      <c r="I132" s="102">
        <f>SUM(I127:I131)</f>
        <v>-2000</v>
      </c>
      <c r="J132" s="102">
        <f t="shared" si="85"/>
        <v>-2000</v>
      </c>
      <c r="K132" s="102">
        <f t="shared" si="85"/>
        <v>-2000</v>
      </c>
      <c r="L132" s="102">
        <f t="shared" si="85"/>
        <v>-2000</v>
      </c>
      <c r="M132" s="102">
        <f t="shared" si="85"/>
        <v>-2000</v>
      </c>
    </row>
    <row r="133" spans="1:13" ht="16" outlineLevel="1" x14ac:dyDescent="0.2">
      <c r="A133" s="96"/>
      <c r="B133" s="89"/>
      <c r="C133" s="90"/>
      <c r="D133" s="302"/>
      <c r="E133" s="302"/>
      <c r="F133" s="302"/>
      <c r="G133" s="302"/>
      <c r="H133" s="302"/>
      <c r="I133" s="96"/>
      <c r="J133" s="96"/>
      <c r="K133" s="96"/>
      <c r="L133" s="96"/>
      <c r="M133" s="96"/>
    </row>
    <row r="134" spans="1:13" ht="16" outlineLevel="1" x14ac:dyDescent="0.2">
      <c r="A134" s="85" t="s">
        <v>117</v>
      </c>
      <c r="B134" s="71"/>
      <c r="C134" s="78"/>
      <c r="D134" s="296"/>
      <c r="E134" s="296"/>
      <c r="F134" s="296"/>
      <c r="G134" s="296"/>
      <c r="H134" s="296"/>
      <c r="I134" s="89"/>
      <c r="J134" s="89"/>
      <c r="K134" s="89"/>
      <c r="L134" s="89"/>
      <c r="M134" s="89"/>
    </row>
    <row r="135" spans="1:13" ht="16" outlineLevel="1" x14ac:dyDescent="0.2">
      <c r="A135" s="71" t="s">
        <v>268</v>
      </c>
      <c r="B135" s="71"/>
      <c r="C135" s="78"/>
      <c r="D135" s="296">
        <v>-561</v>
      </c>
      <c r="E135" s="296">
        <v>-213</v>
      </c>
      <c r="F135" s="296">
        <v>-523</v>
      </c>
      <c r="G135" s="296">
        <v>-592</v>
      </c>
      <c r="H135" s="296">
        <v>-342</v>
      </c>
      <c r="I135" s="303">
        <f>IF(I30&lt;0,I30,0)</f>
        <v>-250</v>
      </c>
      <c r="J135" s="303">
        <f t="shared" ref="J135:M135" si="86">IF(J30&lt;0,J30,0)</f>
        <v>-250</v>
      </c>
      <c r="K135" s="303">
        <f t="shared" si="86"/>
        <v>-250</v>
      </c>
      <c r="L135" s="303">
        <f t="shared" si="86"/>
        <v>-250</v>
      </c>
      <c r="M135" s="303">
        <f t="shared" si="86"/>
        <v>-250</v>
      </c>
    </row>
    <row r="136" spans="1:13" ht="16" outlineLevel="1" x14ac:dyDescent="0.2">
      <c r="A136" s="71" t="s">
        <v>269</v>
      </c>
      <c r="B136" s="71"/>
      <c r="C136" s="78"/>
      <c r="D136" s="296">
        <v>300</v>
      </c>
      <c r="E136" s="296">
        <v>500</v>
      </c>
      <c r="F136" s="296">
        <v>515</v>
      </c>
      <c r="G136" s="296">
        <v>600</v>
      </c>
      <c r="H136" s="296">
        <v>0</v>
      </c>
      <c r="I136" s="303">
        <f>IF(I30&gt;0,I30,0)</f>
        <v>0</v>
      </c>
      <c r="J136" s="303">
        <f t="shared" ref="J136:M136" si="87">IF(J30&gt;0,J30,0)</f>
        <v>0</v>
      </c>
      <c r="K136" s="303">
        <f t="shared" si="87"/>
        <v>0</v>
      </c>
      <c r="L136" s="303">
        <f t="shared" si="87"/>
        <v>0</v>
      </c>
      <c r="M136" s="303">
        <f t="shared" si="87"/>
        <v>0</v>
      </c>
    </row>
    <row r="137" spans="1:13" ht="16" outlineLevel="1" x14ac:dyDescent="0.2">
      <c r="A137" s="71" t="s">
        <v>270</v>
      </c>
      <c r="B137" s="71"/>
      <c r="C137" s="78"/>
      <c r="D137" s="296" t="s">
        <v>202</v>
      </c>
      <c r="E137" s="296" t="s">
        <v>202</v>
      </c>
      <c r="F137" s="296">
        <v>-68</v>
      </c>
      <c r="G137" s="296" t="s">
        <v>202</v>
      </c>
      <c r="H137" s="296" t="s">
        <v>202</v>
      </c>
      <c r="I137" s="303">
        <v>0</v>
      </c>
      <c r="J137" s="303">
        <v>0</v>
      </c>
      <c r="K137" s="303">
        <v>0</v>
      </c>
      <c r="L137" s="303">
        <v>0</v>
      </c>
      <c r="M137" s="303">
        <v>0</v>
      </c>
    </row>
    <row r="138" spans="1:13" ht="16" outlineLevel="1" x14ac:dyDescent="0.2">
      <c r="A138" s="71" t="s">
        <v>271</v>
      </c>
      <c r="B138" s="71"/>
      <c r="C138" s="78"/>
      <c r="D138" s="296">
        <v>110</v>
      </c>
      <c r="E138" s="296">
        <v>46</v>
      </c>
      <c r="F138" s="296">
        <v>29</v>
      </c>
      <c r="G138" s="296">
        <v>29</v>
      </c>
      <c r="H138" s="296">
        <v>35</v>
      </c>
      <c r="I138" s="303">
        <v>0</v>
      </c>
      <c r="J138" s="303">
        <v>0</v>
      </c>
      <c r="K138" s="303">
        <v>0</v>
      </c>
      <c r="L138" s="303">
        <v>0</v>
      </c>
      <c r="M138" s="303">
        <v>0</v>
      </c>
    </row>
    <row r="139" spans="1:13" ht="16" outlineLevel="1" x14ac:dyDescent="0.2">
      <c r="A139" s="71" t="s">
        <v>272</v>
      </c>
      <c r="B139" s="71"/>
      <c r="C139" s="78"/>
      <c r="D139" s="296">
        <v>-955</v>
      </c>
      <c r="E139" s="296">
        <v>-1180</v>
      </c>
      <c r="F139" s="296">
        <v>-1750</v>
      </c>
      <c r="G139" s="296">
        <v>-1600</v>
      </c>
      <c r="H139" s="296">
        <v>-2000</v>
      </c>
      <c r="I139" s="303">
        <f>IF(I31&lt;0,I31,0)</f>
        <v>-500</v>
      </c>
      <c r="J139" s="303">
        <f t="shared" ref="J139:M139" si="88">IF(J31&lt;0,J31,0)</f>
        <v>-500</v>
      </c>
      <c r="K139" s="303">
        <f t="shared" si="88"/>
        <v>-500</v>
      </c>
      <c r="L139" s="303">
        <f t="shared" si="88"/>
        <v>-500</v>
      </c>
      <c r="M139" s="303">
        <f t="shared" si="88"/>
        <v>-500</v>
      </c>
    </row>
    <row r="140" spans="1:13" ht="16" outlineLevel="1" x14ac:dyDescent="0.2">
      <c r="A140" s="71" t="s">
        <v>273</v>
      </c>
      <c r="B140" s="71"/>
      <c r="C140" s="78"/>
      <c r="D140" s="296">
        <v>-139</v>
      </c>
      <c r="E140" s="296">
        <v>-180</v>
      </c>
      <c r="F140" s="296">
        <v>-222</v>
      </c>
      <c r="G140" s="296">
        <v>-274</v>
      </c>
      <c r="H140" s="296">
        <v>-332</v>
      </c>
      <c r="I140" s="303">
        <f>-I32</f>
        <v>-340</v>
      </c>
      <c r="J140" s="303">
        <f t="shared" ref="J140:M140" si="89">-J32</f>
        <v>-340</v>
      </c>
      <c r="K140" s="303">
        <f t="shared" si="89"/>
        <v>-340</v>
      </c>
      <c r="L140" s="303">
        <f t="shared" si="89"/>
        <v>-340</v>
      </c>
      <c r="M140" s="303">
        <f t="shared" si="89"/>
        <v>-340</v>
      </c>
    </row>
    <row r="141" spans="1:13" ht="16" outlineLevel="1" x14ac:dyDescent="0.2">
      <c r="A141" s="71" t="s">
        <v>203</v>
      </c>
      <c r="B141" s="71"/>
      <c r="C141" s="78"/>
      <c r="D141" s="296">
        <v>-19</v>
      </c>
      <c r="E141" s="296">
        <v>-23</v>
      </c>
      <c r="F141" s="296">
        <v>-3</v>
      </c>
      <c r="G141" s="296">
        <v>15</v>
      </c>
      <c r="H141" s="296">
        <v>3</v>
      </c>
      <c r="I141" s="303"/>
      <c r="J141" s="303"/>
      <c r="K141" s="303"/>
      <c r="L141" s="303"/>
      <c r="M141" s="303"/>
    </row>
    <row r="142" spans="1:13" ht="16" outlineLevel="1" x14ac:dyDescent="0.2">
      <c r="A142" s="71" t="s">
        <v>274</v>
      </c>
      <c r="B142" s="71"/>
      <c r="C142" s="78"/>
      <c r="D142" s="296" t="s">
        <v>202</v>
      </c>
      <c r="E142" s="296">
        <v>12</v>
      </c>
      <c r="F142" s="296" t="s">
        <v>202</v>
      </c>
      <c r="G142" s="296" t="s">
        <v>202</v>
      </c>
      <c r="H142" s="296" t="s">
        <v>202</v>
      </c>
      <c r="I142" s="303"/>
      <c r="J142" s="303"/>
      <c r="K142" s="303"/>
      <c r="L142" s="303"/>
      <c r="M142" s="303"/>
    </row>
    <row r="143" spans="1:13" ht="16" outlineLevel="1" x14ac:dyDescent="0.2">
      <c r="A143" s="71" t="s">
        <v>275</v>
      </c>
      <c r="B143" s="71"/>
      <c r="C143" s="78"/>
      <c r="D143" s="296">
        <v>-11</v>
      </c>
      <c r="E143" s="296">
        <v>-10</v>
      </c>
      <c r="F143" s="296">
        <v>-9</v>
      </c>
      <c r="G143" s="296">
        <v>-10</v>
      </c>
      <c r="H143" s="296">
        <v>-30</v>
      </c>
      <c r="I143" s="303"/>
      <c r="J143" s="303"/>
      <c r="K143" s="303"/>
      <c r="L143" s="303"/>
      <c r="M143" s="303"/>
    </row>
    <row r="144" spans="1:13" ht="16" outlineLevel="1" x14ac:dyDescent="0.2">
      <c r="A144" s="71" t="s">
        <v>276</v>
      </c>
      <c r="B144" s="71"/>
      <c r="C144" s="78"/>
      <c r="D144" s="296">
        <v>27</v>
      </c>
      <c r="E144" s="296">
        <v>24</v>
      </c>
      <c r="F144" s="296">
        <v>107</v>
      </c>
      <c r="G144" s="296">
        <v>126</v>
      </c>
      <c r="H144" s="296">
        <v>170</v>
      </c>
      <c r="I144" s="303"/>
      <c r="J144" s="303"/>
      <c r="K144" s="303"/>
      <c r="L144" s="303"/>
      <c r="M144" s="303"/>
    </row>
    <row r="145" spans="1:13" ht="16" outlineLevel="1" x14ac:dyDescent="0.2">
      <c r="A145" s="87" t="s">
        <v>120</v>
      </c>
      <c r="B145" s="86"/>
      <c r="C145" s="120"/>
      <c r="D145" s="301">
        <f>SUM(D135:D144)</f>
        <v>-1248</v>
      </c>
      <c r="E145" s="301">
        <f t="shared" ref="E145:M145" si="90">SUM(E135:E144)</f>
        <v>-1024</v>
      </c>
      <c r="F145" s="301">
        <f t="shared" si="90"/>
        <v>-1924</v>
      </c>
      <c r="G145" s="301">
        <f t="shared" si="90"/>
        <v>-1706</v>
      </c>
      <c r="H145" s="301">
        <f t="shared" si="90"/>
        <v>-2496</v>
      </c>
      <c r="I145" s="301">
        <f>SUM(I135:I144)</f>
        <v>-1090</v>
      </c>
      <c r="J145" s="301">
        <f t="shared" si="90"/>
        <v>-1090</v>
      </c>
      <c r="K145" s="301">
        <f t="shared" si="90"/>
        <v>-1090</v>
      </c>
      <c r="L145" s="301">
        <f t="shared" si="90"/>
        <v>-1090</v>
      </c>
      <c r="M145" s="301">
        <f t="shared" si="90"/>
        <v>-1090</v>
      </c>
    </row>
    <row r="146" spans="1:13" ht="16" outlineLevel="1" x14ac:dyDescent="0.2">
      <c r="A146" s="96"/>
      <c r="B146" s="89"/>
      <c r="C146" s="90"/>
      <c r="D146" s="302"/>
      <c r="E146" s="302"/>
      <c r="F146" s="302"/>
      <c r="G146" s="302"/>
      <c r="H146" s="302"/>
      <c r="I146" s="307"/>
      <c r="J146" s="307"/>
      <c r="K146" s="307"/>
      <c r="L146" s="307"/>
      <c r="M146" s="307"/>
    </row>
    <row r="147" spans="1:13" ht="16" outlineLevel="1" x14ac:dyDescent="0.2">
      <c r="A147" s="71" t="s">
        <v>121</v>
      </c>
      <c r="B147" s="71"/>
      <c r="C147" s="78"/>
      <c r="D147" s="310">
        <f>SUM(D145,D132,D124)</f>
        <v>-73</v>
      </c>
      <c r="E147" s="310">
        <f t="shared" ref="E147:M147" si="91">SUM(E145,E132,E124)</f>
        <v>301</v>
      </c>
      <c r="F147" s="310">
        <f t="shared" si="91"/>
        <v>97</v>
      </c>
      <c r="G147" s="310">
        <f t="shared" si="91"/>
        <v>-185</v>
      </c>
      <c r="H147" s="310">
        <f t="shared" si="91"/>
        <v>359</v>
      </c>
      <c r="I147" s="310">
        <f>SUM(I145,I132,I124)</f>
        <v>506.31204276224889</v>
      </c>
      <c r="J147" s="310">
        <f t="shared" si="91"/>
        <v>1424.8884866747521</v>
      </c>
      <c r="K147" s="310">
        <f t="shared" si="91"/>
        <v>1377.5069465042588</v>
      </c>
      <c r="L147" s="310">
        <f t="shared" si="91"/>
        <v>1615.6935014983301</v>
      </c>
      <c r="M147" s="310">
        <f t="shared" si="91"/>
        <v>1760.7572940960235</v>
      </c>
    </row>
    <row r="148" spans="1:13" ht="16" outlineLevel="1" x14ac:dyDescent="0.2">
      <c r="A148" s="71" t="s">
        <v>122</v>
      </c>
      <c r="B148" s="71"/>
      <c r="C148" s="78"/>
      <c r="D148" s="296">
        <v>0</v>
      </c>
      <c r="E148" s="311">
        <f>D149</f>
        <v>1282</v>
      </c>
      <c r="F148" s="311">
        <f t="shared" ref="F148:M148" si="92">E149</f>
        <v>1583</v>
      </c>
      <c r="G148" s="311">
        <f t="shared" si="92"/>
        <v>1680</v>
      </c>
      <c r="H148" s="311">
        <f t="shared" si="92"/>
        <v>1495</v>
      </c>
      <c r="I148" s="311">
        <f>H149</f>
        <v>1854</v>
      </c>
      <c r="J148" s="311">
        <f t="shared" si="92"/>
        <v>2360.3120427622489</v>
      </c>
      <c r="K148" s="311">
        <f t="shared" si="92"/>
        <v>3785.200529437001</v>
      </c>
      <c r="L148" s="311">
        <f t="shared" si="92"/>
        <v>5162.7074759412599</v>
      </c>
      <c r="M148" s="311">
        <f t="shared" si="92"/>
        <v>6778.40097743959</v>
      </c>
    </row>
    <row r="149" spans="1:13" ht="16" outlineLevel="1" x14ac:dyDescent="0.2">
      <c r="A149" s="87" t="s">
        <v>123</v>
      </c>
      <c r="B149" s="86"/>
      <c r="C149" s="120"/>
      <c r="D149" s="304">
        <v>1282</v>
      </c>
      <c r="E149" s="305">
        <f t="shared" ref="E149" si="93">SUM(E147:E148)</f>
        <v>1583</v>
      </c>
      <c r="F149" s="305">
        <f t="shared" ref="F149:M149" si="94">SUM(F147:F148)</f>
        <v>1680</v>
      </c>
      <c r="G149" s="305">
        <f t="shared" si="94"/>
        <v>1495</v>
      </c>
      <c r="H149" s="305">
        <f t="shared" si="94"/>
        <v>1854</v>
      </c>
      <c r="I149" s="305">
        <f>SUM(I147:I148)</f>
        <v>2360.3120427622489</v>
      </c>
      <c r="J149" s="305">
        <f t="shared" si="94"/>
        <v>3785.200529437001</v>
      </c>
      <c r="K149" s="305">
        <f t="shared" si="94"/>
        <v>5162.7074759412599</v>
      </c>
      <c r="L149" s="305">
        <f t="shared" si="94"/>
        <v>6778.40097743959</v>
      </c>
      <c r="M149" s="305">
        <f t="shared" si="94"/>
        <v>8539.1582715356126</v>
      </c>
    </row>
    <row r="150" spans="1:13" ht="16" outlineLevel="1" x14ac:dyDescent="0.2">
      <c r="A150" s="85"/>
      <c r="B150" s="71"/>
      <c r="C150" s="78"/>
      <c r="D150" s="306"/>
      <c r="E150" s="308"/>
      <c r="F150" s="308"/>
      <c r="G150" s="308"/>
      <c r="H150" s="308"/>
      <c r="I150" s="309"/>
      <c r="J150" s="309"/>
      <c r="K150" s="309"/>
      <c r="L150" s="309"/>
      <c r="M150" s="309"/>
    </row>
    <row r="151" spans="1:13" ht="16" outlineLevel="1" x14ac:dyDescent="0.2">
      <c r="A151" s="85"/>
      <c r="B151" s="71"/>
      <c r="C151" s="78"/>
      <c r="D151" s="306"/>
      <c r="E151" s="308"/>
      <c r="F151" s="308"/>
      <c r="G151" s="308"/>
      <c r="H151" s="308"/>
      <c r="I151" s="309"/>
      <c r="J151" s="309"/>
      <c r="K151" s="309"/>
      <c r="L151" s="309"/>
      <c r="M151" s="309"/>
    </row>
    <row r="152" spans="1:13" ht="16" x14ac:dyDescent="0.2">
      <c r="A152" s="71"/>
      <c r="B152" s="71"/>
      <c r="C152" s="78"/>
      <c r="D152" s="104"/>
      <c r="E152" s="104"/>
      <c r="F152" s="104"/>
      <c r="G152" s="104"/>
      <c r="H152" s="104"/>
      <c r="I152" s="71"/>
      <c r="J152" s="71"/>
      <c r="K152" s="71"/>
      <c r="L152" s="71"/>
      <c r="M152" s="71"/>
    </row>
    <row r="153" spans="1:13" ht="20" x14ac:dyDescent="0.2">
      <c r="A153" s="80" t="s">
        <v>124</v>
      </c>
      <c r="B153" s="81"/>
      <c r="C153" s="82"/>
      <c r="D153" s="81"/>
      <c r="E153" s="81"/>
      <c r="F153" s="81"/>
      <c r="G153" s="81"/>
      <c r="H153" s="81"/>
      <c r="I153" s="81"/>
      <c r="J153" s="81"/>
      <c r="K153" s="81"/>
      <c r="L153" s="81"/>
      <c r="M153" s="81"/>
    </row>
    <row r="154" spans="1:13" ht="16" outlineLevel="1" x14ac:dyDescent="0.2">
      <c r="A154" s="71"/>
      <c r="B154" s="71"/>
      <c r="C154" s="78"/>
      <c r="D154" s="104"/>
      <c r="E154" s="104"/>
      <c r="F154" s="104"/>
      <c r="G154" s="104"/>
      <c r="H154" s="104"/>
      <c r="I154" s="71"/>
      <c r="J154" s="71"/>
      <c r="K154" s="71"/>
      <c r="L154" s="71"/>
      <c r="M154" s="71"/>
    </row>
    <row r="155" spans="1:13" ht="16" outlineLevel="1" x14ac:dyDescent="0.2">
      <c r="A155" s="85" t="s">
        <v>125</v>
      </c>
      <c r="B155" s="71"/>
      <c r="C155" s="78"/>
      <c r="D155" s="104"/>
      <c r="E155" s="104"/>
      <c r="F155" s="104"/>
      <c r="G155" s="104"/>
      <c r="H155" s="104"/>
      <c r="I155" s="71"/>
      <c r="J155" s="71"/>
      <c r="K155" s="71"/>
      <c r="L155" s="71"/>
      <c r="M155" s="71"/>
    </row>
    <row r="156" spans="1:13" ht="16" outlineLevel="1" x14ac:dyDescent="0.2">
      <c r="A156" s="71" t="s">
        <v>96</v>
      </c>
      <c r="B156" s="71"/>
      <c r="C156" s="78"/>
      <c r="D156" s="104">
        <f>D66</f>
        <v>365</v>
      </c>
      <c r="E156" s="104">
        <f t="shared" ref="E156:H156" si="95">E66</f>
        <v>474</v>
      </c>
      <c r="F156" s="104">
        <f t="shared" si="95"/>
        <v>546</v>
      </c>
      <c r="G156" s="104">
        <f t="shared" si="95"/>
        <v>662</v>
      </c>
      <c r="H156" s="104">
        <f t="shared" si="95"/>
        <v>568</v>
      </c>
      <c r="I156" s="122">
        <f t="shared" ref="I156:M156" si="96">I66</f>
        <v>621.45273972602729</v>
      </c>
      <c r="J156" s="122">
        <f t="shared" si="96"/>
        <v>641.81185136986301</v>
      </c>
      <c r="K156" s="122">
        <f t="shared" si="96"/>
        <v>662.88219275410938</v>
      </c>
      <c r="L156" s="122">
        <f t="shared" si="96"/>
        <v>684.68864084967595</v>
      </c>
      <c r="M156" s="122">
        <f t="shared" si="96"/>
        <v>707.25694312861276</v>
      </c>
    </row>
    <row r="157" spans="1:13" ht="16" outlineLevel="1" x14ac:dyDescent="0.2">
      <c r="A157" s="71" t="s">
        <v>97</v>
      </c>
      <c r="B157" s="71"/>
      <c r="C157" s="78"/>
      <c r="D157" s="104">
        <f>D67</f>
        <v>342</v>
      </c>
      <c r="E157" s="104">
        <f t="shared" ref="E157:H157" si="97">E67</f>
        <v>311</v>
      </c>
      <c r="F157" s="104">
        <f t="shared" si="97"/>
        <v>337</v>
      </c>
      <c r="G157" s="104">
        <f t="shared" si="97"/>
        <v>420</v>
      </c>
      <c r="H157" s="104">
        <f t="shared" si="97"/>
        <v>461</v>
      </c>
      <c r="I157" s="122">
        <f t="shared" ref="I157:M157" si="98">I67</f>
        <v>403.94428082191774</v>
      </c>
      <c r="J157" s="122">
        <f t="shared" si="98"/>
        <v>417.17770339041101</v>
      </c>
      <c r="K157" s="122">
        <f t="shared" si="98"/>
        <v>430.87342529017116</v>
      </c>
      <c r="L157" s="122">
        <f t="shared" si="98"/>
        <v>445.04761655228936</v>
      </c>
      <c r="M157" s="122">
        <f t="shared" si="98"/>
        <v>459.71701303359833</v>
      </c>
    </row>
    <row r="158" spans="1:13" ht="16" outlineLevel="1" x14ac:dyDescent="0.2">
      <c r="A158" s="71" t="s">
        <v>101</v>
      </c>
      <c r="B158" s="71"/>
      <c r="C158" s="78"/>
      <c r="D158" s="104">
        <f>D83</f>
        <v>1203</v>
      </c>
      <c r="E158" s="104">
        <f t="shared" ref="E158:H158" si="99">E83</f>
        <v>1188</v>
      </c>
      <c r="F158" s="104">
        <f t="shared" si="99"/>
        <v>1178</v>
      </c>
      <c r="G158" s="104">
        <f t="shared" si="99"/>
        <v>1320</v>
      </c>
      <c r="H158" s="104">
        <f t="shared" si="99"/>
        <v>1416</v>
      </c>
      <c r="I158" s="122">
        <f t="shared" ref="I158:M158" si="100">I83</f>
        <v>1443.2877683101963</v>
      </c>
      <c r="J158" s="122">
        <f t="shared" si="100"/>
        <v>1489.9153851622787</v>
      </c>
      <c r="K158" s="122">
        <f t="shared" si="100"/>
        <v>1537.8238672137995</v>
      </c>
      <c r="L158" s="122">
        <f t="shared" si="100"/>
        <v>1587.0848689164129</v>
      </c>
      <c r="M158" s="122">
        <f t="shared" si="100"/>
        <v>1637.7705378170363</v>
      </c>
    </row>
    <row r="159" spans="1:13" ht="16" outlineLevel="1" x14ac:dyDescent="0.2">
      <c r="A159" s="86" t="s">
        <v>126</v>
      </c>
      <c r="B159" s="86"/>
      <c r="C159" s="120"/>
      <c r="D159" s="123">
        <f>D156+D157-D158</f>
        <v>-496</v>
      </c>
      <c r="E159" s="123">
        <f t="shared" ref="E159:M159" si="101">E156+E157-E158</f>
        <v>-403</v>
      </c>
      <c r="F159" s="123">
        <f t="shared" si="101"/>
        <v>-295</v>
      </c>
      <c r="G159" s="123">
        <f t="shared" si="101"/>
        <v>-238</v>
      </c>
      <c r="H159" s="123">
        <f t="shared" si="101"/>
        <v>-387</v>
      </c>
      <c r="I159" s="124">
        <f t="shared" si="101"/>
        <v>-417.89074776225129</v>
      </c>
      <c r="J159" s="124">
        <f t="shared" si="101"/>
        <v>-430.92583040200452</v>
      </c>
      <c r="K159" s="124">
        <f t="shared" si="101"/>
        <v>-444.06824916951905</v>
      </c>
      <c r="L159" s="124">
        <f t="shared" si="101"/>
        <v>-457.34861151444761</v>
      </c>
      <c r="M159" s="124">
        <f t="shared" si="101"/>
        <v>-470.7965816548251</v>
      </c>
    </row>
    <row r="160" spans="1:13" ht="16" outlineLevel="1" x14ac:dyDescent="0.2">
      <c r="A160" s="71" t="s">
        <v>127</v>
      </c>
      <c r="B160" s="71"/>
      <c r="C160" s="78"/>
      <c r="D160" s="125"/>
      <c r="E160" s="125">
        <f t="shared" ref="E160:M160" si="102">E159-D159</f>
        <v>93</v>
      </c>
      <c r="F160" s="125">
        <f t="shared" si="102"/>
        <v>108</v>
      </c>
      <c r="G160" s="125">
        <f t="shared" si="102"/>
        <v>57</v>
      </c>
      <c r="H160" s="125">
        <f t="shared" si="102"/>
        <v>-149</v>
      </c>
      <c r="I160" s="122">
        <f t="shared" si="102"/>
        <v>-30.890747762251294</v>
      </c>
      <c r="J160" s="122">
        <f t="shared" si="102"/>
        <v>-13.035082639753227</v>
      </c>
      <c r="K160" s="122">
        <f t="shared" si="102"/>
        <v>-13.142418767514528</v>
      </c>
      <c r="L160" s="122">
        <f t="shared" si="102"/>
        <v>-13.280362344928562</v>
      </c>
      <c r="M160" s="122">
        <f t="shared" si="102"/>
        <v>-13.447970140377492</v>
      </c>
    </row>
    <row r="161" spans="1:13" ht="16" outlineLevel="1" x14ac:dyDescent="0.2">
      <c r="A161" s="71"/>
      <c r="B161" s="71"/>
      <c r="C161" s="78"/>
      <c r="D161" s="104"/>
      <c r="E161" s="104"/>
      <c r="F161" s="104"/>
      <c r="G161" s="104"/>
      <c r="H161" s="104"/>
      <c r="I161" s="122"/>
      <c r="J161" s="122"/>
      <c r="K161" s="122"/>
      <c r="L161" s="122"/>
      <c r="M161" s="122"/>
    </row>
    <row r="162" spans="1:13" ht="16" outlineLevel="1" x14ac:dyDescent="0.2">
      <c r="A162" s="85" t="s">
        <v>128</v>
      </c>
      <c r="B162" s="71"/>
      <c r="C162" s="78"/>
      <c r="D162" s="104"/>
      <c r="E162" s="104"/>
      <c r="F162" s="104"/>
      <c r="G162" s="104"/>
      <c r="H162" s="104"/>
      <c r="I162" s="122"/>
      <c r="J162" s="122"/>
      <c r="K162" s="122"/>
      <c r="L162" s="122"/>
      <c r="M162" s="122"/>
    </row>
    <row r="163" spans="1:13" ht="16" outlineLevel="1" x14ac:dyDescent="0.2">
      <c r="A163" s="71" t="s">
        <v>129</v>
      </c>
      <c r="B163" s="71"/>
      <c r="C163" s="78"/>
      <c r="D163" s="104">
        <f>SUM(D71:D74)</f>
        <v>13105</v>
      </c>
      <c r="E163" s="104">
        <f t="shared" ref="E163:H163" si="103">SUM(E71:E74)</f>
        <v>13597</v>
      </c>
      <c r="F163" s="104">
        <f t="shared" si="103"/>
        <v>14634</v>
      </c>
      <c r="G163" s="104">
        <f t="shared" si="103"/>
        <v>16077</v>
      </c>
      <c r="H163" s="104">
        <f t="shared" si="103"/>
        <v>16982</v>
      </c>
      <c r="I163" s="314">
        <f>SUM(H71:H74)</f>
        <v>16982</v>
      </c>
      <c r="J163" s="314">
        <f t="shared" ref="J163:M163" si="104">I166</f>
        <v>17558.349999999999</v>
      </c>
      <c r="K163" s="314">
        <f t="shared" si="104"/>
        <v>18091.473749999997</v>
      </c>
      <c r="L163" s="314">
        <f t="shared" si="104"/>
        <v>18584.613218749997</v>
      </c>
      <c r="M163" s="314">
        <f t="shared" si="104"/>
        <v>19040.767227343746</v>
      </c>
    </row>
    <row r="164" spans="1:13" ht="16" outlineLevel="1" x14ac:dyDescent="0.2">
      <c r="A164" s="71" t="s">
        <v>130</v>
      </c>
      <c r="B164" s="71"/>
      <c r="C164" s="78"/>
      <c r="D164" s="104">
        <f>-D128</f>
        <v>1748</v>
      </c>
      <c r="E164" s="104">
        <f t="shared" ref="E164:H164" si="105">-E128</f>
        <v>2041</v>
      </c>
      <c r="F164" s="104">
        <f t="shared" si="105"/>
        <v>2038</v>
      </c>
      <c r="G164" s="104">
        <f t="shared" si="105"/>
        <v>2123</v>
      </c>
      <c r="H164" s="104">
        <f t="shared" si="105"/>
        <v>1922</v>
      </c>
      <c r="I164" s="314">
        <f>I29</f>
        <v>2000</v>
      </c>
      <c r="J164" s="314">
        <f t="shared" ref="J164:M164" si="106">J29</f>
        <v>2000</v>
      </c>
      <c r="K164" s="314">
        <f t="shared" si="106"/>
        <v>2000</v>
      </c>
      <c r="L164" s="314">
        <f t="shared" si="106"/>
        <v>2000</v>
      </c>
      <c r="M164" s="314">
        <f t="shared" si="106"/>
        <v>2000</v>
      </c>
    </row>
    <row r="165" spans="1:13" ht="16" outlineLevel="1" x14ac:dyDescent="0.2">
      <c r="A165" s="71" t="s">
        <v>131</v>
      </c>
      <c r="B165" s="71"/>
      <c r="C165" s="112"/>
      <c r="D165" s="104">
        <f>D112</f>
        <v>938</v>
      </c>
      <c r="E165" s="104">
        <f t="shared" ref="E165:H165" si="107">E112</f>
        <v>1015</v>
      </c>
      <c r="F165" s="104">
        <f t="shared" si="107"/>
        <v>1221</v>
      </c>
      <c r="G165" s="104">
        <f t="shared" si="107"/>
        <v>1218</v>
      </c>
      <c r="H165" s="104">
        <f t="shared" si="107"/>
        <v>1201</v>
      </c>
      <c r="I165" s="313">
        <f>I20*SUM(I163:I164)</f>
        <v>1423.6499999999999</v>
      </c>
      <c r="J165" s="313">
        <f t="shared" ref="J165:M165" si="108">J20*SUM(J163:J164)</f>
        <v>1466.8762499999998</v>
      </c>
      <c r="K165" s="313">
        <f t="shared" si="108"/>
        <v>1506.8605312499997</v>
      </c>
      <c r="L165" s="313">
        <f t="shared" si="108"/>
        <v>1543.8459914062498</v>
      </c>
      <c r="M165" s="313">
        <f t="shared" si="108"/>
        <v>1578.057542050781</v>
      </c>
    </row>
    <row r="166" spans="1:13" ht="16" outlineLevel="1" x14ac:dyDescent="0.2">
      <c r="A166" s="86" t="s">
        <v>132</v>
      </c>
      <c r="B166" s="86"/>
      <c r="C166" s="120"/>
      <c r="D166" s="123">
        <f>D163+D164-D165</f>
        <v>13915</v>
      </c>
      <c r="E166" s="123">
        <f t="shared" ref="E166:M166" si="109">E163+E164-E165</f>
        <v>14623</v>
      </c>
      <c r="F166" s="123">
        <f t="shared" si="109"/>
        <v>15451</v>
      </c>
      <c r="G166" s="123">
        <f t="shared" si="109"/>
        <v>16982</v>
      </c>
      <c r="H166" s="123">
        <f t="shared" si="109"/>
        <v>17703</v>
      </c>
      <c r="I166" s="124">
        <f t="shared" si="109"/>
        <v>17558.349999999999</v>
      </c>
      <c r="J166" s="124">
        <f t="shared" si="109"/>
        <v>18091.473749999997</v>
      </c>
      <c r="K166" s="124">
        <f t="shared" si="109"/>
        <v>18584.613218749997</v>
      </c>
      <c r="L166" s="124">
        <f t="shared" si="109"/>
        <v>19040.767227343746</v>
      </c>
      <c r="M166" s="124">
        <f t="shared" si="109"/>
        <v>19462.709685292964</v>
      </c>
    </row>
    <row r="167" spans="1:13" ht="16" outlineLevel="1" x14ac:dyDescent="0.2">
      <c r="A167" s="71"/>
      <c r="B167" s="71"/>
      <c r="C167" s="78"/>
      <c r="D167" s="104"/>
      <c r="E167" s="104"/>
      <c r="F167" s="104"/>
      <c r="G167" s="104"/>
      <c r="H167" s="104"/>
      <c r="I167" s="122"/>
      <c r="J167" s="122"/>
      <c r="K167" s="122"/>
      <c r="L167" s="122"/>
      <c r="M167" s="122"/>
    </row>
    <row r="168" spans="1:13" ht="16" outlineLevel="1" x14ac:dyDescent="0.2">
      <c r="A168" s="85" t="s">
        <v>133</v>
      </c>
      <c r="B168" s="71"/>
      <c r="C168" s="78"/>
      <c r="D168" s="104"/>
      <c r="E168" s="104"/>
      <c r="F168" s="104"/>
      <c r="G168" s="104"/>
      <c r="H168" s="104"/>
      <c r="I168" s="122"/>
      <c r="J168" s="122"/>
      <c r="K168" s="122"/>
      <c r="L168" s="122"/>
      <c r="M168" s="122"/>
    </row>
    <row r="169" spans="1:13" ht="16" outlineLevel="1" x14ac:dyDescent="0.2">
      <c r="A169" s="71" t="s">
        <v>134</v>
      </c>
      <c r="B169" s="71"/>
      <c r="C169" s="78"/>
      <c r="D169" s="104"/>
      <c r="E169" s="104">
        <f>SUM(D85,D89)</f>
        <v>2692</v>
      </c>
      <c r="F169" s="104">
        <f t="shared" ref="F169:H169" si="110">SUM(E85,E89)</f>
        <v>3178</v>
      </c>
      <c r="G169" s="104">
        <f t="shared" si="110"/>
        <v>3387</v>
      </c>
      <c r="H169" s="104">
        <f t="shared" si="110"/>
        <v>3668</v>
      </c>
      <c r="I169" s="122">
        <f t="shared" ref="I169" si="111">SUM(H85,H89)</f>
        <v>3377</v>
      </c>
      <c r="J169" s="122">
        <f>I171</f>
        <v>3127</v>
      </c>
      <c r="K169" s="122">
        <f t="shared" ref="K169:M169" si="112">J171</f>
        <v>2877</v>
      </c>
      <c r="L169" s="122">
        <f t="shared" si="112"/>
        <v>2627</v>
      </c>
      <c r="M169" s="122">
        <f t="shared" si="112"/>
        <v>2377</v>
      </c>
    </row>
    <row r="170" spans="1:13" ht="16" outlineLevel="1" x14ac:dyDescent="0.2">
      <c r="A170" s="71" t="s">
        <v>135</v>
      </c>
      <c r="B170" s="71"/>
      <c r="C170" s="78"/>
      <c r="D170" s="104">
        <f>D30</f>
        <v>-261</v>
      </c>
      <c r="E170" s="104">
        <f t="shared" ref="E170:H170" si="113">E30</f>
        <v>287</v>
      </c>
      <c r="F170" s="104">
        <f t="shared" si="113"/>
        <v>-76</v>
      </c>
      <c r="G170" s="104">
        <f t="shared" si="113"/>
        <v>8</v>
      </c>
      <c r="H170" s="104">
        <f t="shared" si="113"/>
        <v>-342</v>
      </c>
      <c r="I170" s="126">
        <f t="shared" ref="I170:M170" si="114">I30</f>
        <v>-250</v>
      </c>
      <c r="J170" s="126">
        <f t="shared" si="114"/>
        <v>-250</v>
      </c>
      <c r="K170" s="126">
        <f t="shared" si="114"/>
        <v>-250</v>
      </c>
      <c r="L170" s="126">
        <f t="shared" si="114"/>
        <v>-250</v>
      </c>
      <c r="M170" s="126">
        <f t="shared" si="114"/>
        <v>-250</v>
      </c>
    </row>
    <row r="171" spans="1:13" ht="16" outlineLevel="1" x14ac:dyDescent="0.2">
      <c r="A171" s="86" t="s">
        <v>136</v>
      </c>
      <c r="B171" s="86"/>
      <c r="C171" s="120"/>
      <c r="D171" s="123">
        <f>SUM(D85,D89)</f>
        <v>2692</v>
      </c>
      <c r="E171" s="123">
        <f t="shared" ref="E171:H171" si="115">SUM(E85,E89)</f>
        <v>3178</v>
      </c>
      <c r="F171" s="123">
        <f t="shared" si="115"/>
        <v>3387</v>
      </c>
      <c r="G171" s="123">
        <f t="shared" si="115"/>
        <v>3668</v>
      </c>
      <c r="H171" s="123">
        <f t="shared" si="115"/>
        <v>3377</v>
      </c>
      <c r="I171" s="127">
        <f t="shared" ref="E171:M171" si="116">SUM(I169:I170)</f>
        <v>3127</v>
      </c>
      <c r="J171" s="127">
        <f t="shared" si="116"/>
        <v>2877</v>
      </c>
      <c r="K171" s="127">
        <f t="shared" si="116"/>
        <v>2627</v>
      </c>
      <c r="L171" s="127">
        <f t="shared" si="116"/>
        <v>2377</v>
      </c>
      <c r="M171" s="127">
        <f t="shared" si="116"/>
        <v>2127</v>
      </c>
    </row>
    <row r="172" spans="1:13" ht="16" outlineLevel="1" x14ac:dyDescent="0.2">
      <c r="A172" s="71" t="s">
        <v>137</v>
      </c>
      <c r="B172" s="71"/>
      <c r="C172" s="112"/>
      <c r="D172" s="104">
        <f>SUM(D49:D51)</f>
        <v>100</v>
      </c>
      <c r="E172" s="104">
        <f t="shared" ref="E172:H172" si="117">SUM(E49:E51)</f>
        <v>81</v>
      </c>
      <c r="F172" s="104">
        <f t="shared" si="117"/>
        <v>51</v>
      </c>
      <c r="G172" s="104">
        <f t="shared" si="117"/>
        <v>30</v>
      </c>
      <c r="H172" s="104">
        <f t="shared" si="117"/>
        <v>24</v>
      </c>
      <c r="I172" s="122">
        <f>I171*I21</f>
        <v>46.905000000000001</v>
      </c>
      <c r="J172" s="122">
        <f>J171*J21</f>
        <v>43.155000000000001</v>
      </c>
      <c r="K172" s="122">
        <f>K171*K21</f>
        <v>39.405000000000001</v>
      </c>
      <c r="L172" s="122">
        <f>L171*L21</f>
        <v>35.655000000000001</v>
      </c>
      <c r="M172" s="122">
        <f>M171*M21</f>
        <v>31.904999999999998</v>
      </c>
    </row>
    <row r="173" spans="1:13" ht="16" outlineLevel="1" x14ac:dyDescent="0.2">
      <c r="A173" s="71"/>
      <c r="B173" s="71"/>
      <c r="C173" s="78"/>
      <c r="D173" s="104"/>
      <c r="E173" s="104"/>
      <c r="F173" s="104"/>
      <c r="G173" s="104"/>
      <c r="H173" s="104"/>
      <c r="I173" s="71"/>
      <c r="J173" s="71"/>
      <c r="K173" s="71"/>
      <c r="L173" s="71"/>
      <c r="M173" s="71"/>
    </row>
    <row r="174" spans="1:13" ht="16" outlineLevel="1" x14ac:dyDescent="0.2">
      <c r="A174" s="71"/>
      <c r="B174" s="71"/>
      <c r="C174" s="78"/>
      <c r="D174" s="104"/>
      <c r="E174" s="104"/>
      <c r="F174" s="104"/>
      <c r="G174" s="104"/>
      <c r="H174" s="104"/>
      <c r="I174" s="71"/>
      <c r="J174" s="71"/>
      <c r="K174" s="71"/>
      <c r="L174" s="71"/>
      <c r="M174" s="71"/>
    </row>
    <row r="175" spans="1:13" ht="16" x14ac:dyDescent="0.2">
      <c r="A175" s="71"/>
      <c r="B175" s="71"/>
      <c r="C175" s="78"/>
      <c r="D175" s="104"/>
      <c r="E175" s="104"/>
      <c r="F175" s="104"/>
      <c r="G175" s="104"/>
      <c r="H175" s="104"/>
      <c r="I175" s="71"/>
      <c r="J175" s="71"/>
      <c r="K175" s="71"/>
      <c r="L175" s="71"/>
      <c r="M175" s="71"/>
    </row>
    <row r="176" spans="1:13" ht="20" x14ac:dyDescent="0.2">
      <c r="A176" s="80" t="s">
        <v>138</v>
      </c>
      <c r="B176" s="81"/>
      <c r="C176" s="82"/>
      <c r="D176" s="81"/>
      <c r="E176" s="81"/>
      <c r="F176" s="81"/>
      <c r="G176" s="81"/>
      <c r="H176" s="81"/>
      <c r="I176" s="81"/>
      <c r="J176" s="81"/>
      <c r="K176" s="81"/>
      <c r="L176" s="81"/>
      <c r="M176" s="81"/>
    </row>
    <row r="177" spans="1:14" ht="16" outlineLevel="1" x14ac:dyDescent="0.2">
      <c r="A177" s="85"/>
      <c r="B177" s="71"/>
      <c r="C177" s="78"/>
      <c r="D177" s="104"/>
      <c r="E177" s="104"/>
      <c r="F177" s="104"/>
      <c r="G177" s="104"/>
      <c r="H177" s="104"/>
      <c r="I177" s="71"/>
      <c r="J177" s="71"/>
      <c r="K177" s="71"/>
      <c r="L177" s="71"/>
      <c r="M177" s="71"/>
    </row>
    <row r="178" spans="1:14" ht="16" outlineLevel="1" x14ac:dyDescent="0.2">
      <c r="A178" s="128" t="s">
        <v>66</v>
      </c>
      <c r="B178" s="104"/>
      <c r="C178" s="104"/>
      <c r="D178" s="104"/>
      <c r="E178" s="71"/>
      <c r="F178" s="71"/>
      <c r="G178" s="71"/>
      <c r="H178" s="71"/>
      <c r="I178" s="71"/>
      <c r="J178" s="71"/>
      <c r="K178" s="71"/>
      <c r="L178" s="71"/>
      <c r="M178" s="71"/>
    </row>
    <row r="179" spans="1:14" ht="16" outlineLevel="1" x14ac:dyDescent="0.2">
      <c r="A179" s="123" t="s">
        <v>139</v>
      </c>
      <c r="B179" s="129"/>
      <c r="C179" s="130">
        <v>0.21</v>
      </c>
      <c r="D179" s="104"/>
      <c r="E179" s="71"/>
      <c r="F179" s="71"/>
      <c r="G179" s="71"/>
      <c r="H179" s="71"/>
      <c r="I179" s="71"/>
      <c r="J179" s="71"/>
      <c r="K179" s="71"/>
      <c r="L179" s="71"/>
      <c r="M179" s="71"/>
    </row>
    <row r="180" spans="1:14" ht="16" outlineLevel="1" x14ac:dyDescent="0.2">
      <c r="A180" s="125" t="s">
        <v>140</v>
      </c>
      <c r="B180" s="71"/>
      <c r="C180" s="131">
        <v>0.12</v>
      </c>
      <c r="D180" s="71"/>
      <c r="E180" s="71"/>
      <c r="F180" s="71"/>
      <c r="G180" s="71"/>
      <c r="H180" s="71"/>
      <c r="I180" s="71"/>
      <c r="J180" s="71"/>
      <c r="K180" s="71"/>
      <c r="L180" s="71"/>
      <c r="M180" s="71"/>
    </row>
    <row r="181" spans="1:14" ht="16" outlineLevel="1" x14ac:dyDescent="0.2">
      <c r="A181" s="71" t="s">
        <v>141</v>
      </c>
      <c r="B181" s="71"/>
      <c r="C181" s="131">
        <v>0.04</v>
      </c>
      <c r="D181" s="71"/>
      <c r="E181" s="71"/>
      <c r="F181" s="71"/>
      <c r="G181" s="71"/>
      <c r="H181" s="71"/>
      <c r="I181" s="71"/>
      <c r="J181" s="112"/>
      <c r="K181" s="112"/>
      <c r="L181" s="112"/>
      <c r="M181" s="112"/>
      <c r="N181" s="71"/>
    </row>
    <row r="182" spans="1:14" ht="16" outlineLevel="1" x14ac:dyDescent="0.2">
      <c r="A182" s="71" t="s">
        <v>142</v>
      </c>
      <c r="B182" s="71"/>
      <c r="C182" s="132">
        <v>6.5</v>
      </c>
      <c r="D182" s="71"/>
      <c r="E182" s="71"/>
      <c r="F182" s="71"/>
      <c r="G182" s="71"/>
      <c r="H182" s="71"/>
      <c r="I182" s="71"/>
      <c r="J182" s="112"/>
      <c r="K182" s="112"/>
      <c r="L182" s="112"/>
      <c r="M182" s="112"/>
      <c r="N182" s="71"/>
    </row>
    <row r="183" spans="1:14" ht="16" outlineLevel="1" x14ac:dyDescent="0.2">
      <c r="A183" s="71" t="s">
        <v>143</v>
      </c>
      <c r="B183" s="71"/>
      <c r="C183" s="133">
        <v>43466</v>
      </c>
      <c r="D183" s="71"/>
      <c r="E183" s="71"/>
      <c r="F183" s="71"/>
      <c r="G183" s="71"/>
      <c r="H183" s="71"/>
      <c r="I183" s="71"/>
      <c r="J183" s="112"/>
      <c r="K183" s="112"/>
      <c r="L183" s="112"/>
      <c r="M183" s="112"/>
      <c r="N183" s="71"/>
    </row>
    <row r="184" spans="1:14" ht="16" outlineLevel="1" x14ac:dyDescent="0.2">
      <c r="A184" s="71" t="s">
        <v>156</v>
      </c>
      <c r="B184" s="71"/>
      <c r="C184" s="133">
        <v>43830</v>
      </c>
      <c r="D184" s="71"/>
      <c r="E184" s="71"/>
      <c r="F184" s="71"/>
      <c r="G184" s="71"/>
      <c r="H184" s="71"/>
      <c r="I184" s="71"/>
      <c r="J184" s="112"/>
      <c r="K184" s="112"/>
      <c r="L184" s="112"/>
      <c r="M184" s="112"/>
      <c r="N184" s="71"/>
    </row>
    <row r="185" spans="1:14" ht="16" outlineLevel="1" x14ac:dyDescent="0.2">
      <c r="A185" s="71" t="s">
        <v>46</v>
      </c>
      <c r="B185" s="71"/>
      <c r="C185" s="134">
        <v>54.9</v>
      </c>
      <c r="D185" s="71"/>
      <c r="E185" s="71"/>
      <c r="F185" s="71"/>
      <c r="G185" s="71"/>
      <c r="H185" s="71"/>
      <c r="I185" s="71"/>
      <c r="J185" s="112"/>
      <c r="K185" s="112"/>
      <c r="L185" s="112"/>
      <c r="M185" s="112"/>
      <c r="N185" s="71"/>
    </row>
    <row r="186" spans="1:14" ht="16" outlineLevel="1" x14ac:dyDescent="0.2">
      <c r="A186" s="71" t="s">
        <v>144</v>
      </c>
      <c r="B186" s="71"/>
      <c r="C186" s="135">
        <v>526.29999999999995</v>
      </c>
      <c r="D186" s="71"/>
      <c r="E186" s="71"/>
      <c r="F186" s="71"/>
      <c r="G186" s="71"/>
      <c r="H186" s="71"/>
      <c r="I186" s="71"/>
      <c r="J186" s="71"/>
      <c r="K186" s="71"/>
      <c r="L186" s="71"/>
      <c r="M186" s="71"/>
      <c r="N186" s="71"/>
    </row>
    <row r="187" spans="1:14" ht="16" outlineLevel="1" x14ac:dyDescent="0.2">
      <c r="A187" s="71"/>
      <c r="B187" s="71"/>
      <c r="C187" s="135"/>
      <c r="D187" s="71"/>
      <c r="E187" s="71"/>
      <c r="F187" s="71"/>
      <c r="G187" s="71"/>
      <c r="H187" s="71"/>
      <c r="I187" s="71"/>
      <c r="J187" s="71"/>
      <c r="K187" s="71"/>
      <c r="L187" s="71"/>
      <c r="M187" s="71"/>
      <c r="N187" s="71"/>
    </row>
    <row r="188" spans="1:14" ht="16" outlineLevel="1" x14ac:dyDescent="0.2">
      <c r="A188" s="89"/>
      <c r="B188" s="89"/>
      <c r="C188" s="136"/>
      <c r="D188" s="136"/>
      <c r="E188" s="136"/>
      <c r="F188" s="136"/>
      <c r="G188" s="136"/>
      <c r="H188" s="136"/>
      <c r="I188" s="136"/>
      <c r="J188" s="89"/>
      <c r="K188" s="89"/>
      <c r="L188" s="89"/>
      <c r="M188" s="89"/>
      <c r="N188" s="89"/>
    </row>
    <row r="189" spans="1:14" ht="16" outlineLevel="1" x14ac:dyDescent="0.2">
      <c r="A189" s="137" t="s">
        <v>159</v>
      </c>
      <c r="B189" s="138"/>
      <c r="C189" s="139" t="s">
        <v>160</v>
      </c>
      <c r="D189" s="140">
        <f>YEAR(C183)</f>
        <v>2019</v>
      </c>
      <c r="E189" s="140">
        <f>D189+1</f>
        <v>2020</v>
      </c>
      <c r="F189" s="140">
        <f t="shared" ref="F189:H189" si="118">E189+1</f>
        <v>2021</v>
      </c>
      <c r="G189" s="140">
        <f t="shared" si="118"/>
        <v>2022</v>
      </c>
      <c r="H189" s="140">
        <f t="shared" si="118"/>
        <v>2023</v>
      </c>
      <c r="I189" s="139" t="s">
        <v>161</v>
      </c>
      <c r="J189" s="89"/>
      <c r="K189" s="96" t="s">
        <v>162</v>
      </c>
      <c r="L189" s="89"/>
      <c r="M189" s="89"/>
      <c r="N189" s="89"/>
    </row>
    <row r="190" spans="1:14" ht="16" outlineLevel="1" x14ac:dyDescent="0.2">
      <c r="A190" s="150" t="s">
        <v>1</v>
      </c>
      <c r="B190" s="150"/>
      <c r="C190" s="151">
        <f>C183</f>
        <v>43466</v>
      </c>
      <c r="D190" s="151">
        <f>DATE(YEAR($C$190)+D191,MONTH($C$184),DAY($C$184))</f>
        <v>43830</v>
      </c>
      <c r="E190" s="151">
        <f t="shared" ref="E190:H190" si="119">DATE(YEAR($C$190)+E191,MONTH($C$184),DAY($C$184))</f>
        <v>44196</v>
      </c>
      <c r="F190" s="151">
        <f t="shared" si="119"/>
        <v>44561</v>
      </c>
      <c r="G190" s="151">
        <f t="shared" si="119"/>
        <v>44926</v>
      </c>
      <c r="H190" s="151">
        <f t="shared" si="119"/>
        <v>45291</v>
      </c>
      <c r="I190" s="151">
        <f>H190</f>
        <v>45291</v>
      </c>
      <c r="J190" s="89"/>
      <c r="K190" s="86" t="s">
        <v>6</v>
      </c>
      <c r="L190" s="86"/>
      <c r="M190" s="152">
        <f>H198*C182</f>
        <v>36915.276146597949</v>
      </c>
      <c r="N190" s="89"/>
    </row>
    <row r="191" spans="1:14" ht="16" outlineLevel="1" x14ac:dyDescent="0.2">
      <c r="A191" s="93" t="s">
        <v>184</v>
      </c>
      <c r="B191" s="93"/>
      <c r="C191" s="141"/>
      <c r="D191" s="143">
        <v>0</v>
      </c>
      <c r="E191" s="144">
        <f>D191+1</f>
        <v>1</v>
      </c>
      <c r="F191" s="144">
        <f t="shared" ref="F191:H191" si="120">E191+1</f>
        <v>2</v>
      </c>
      <c r="G191" s="144">
        <f t="shared" si="120"/>
        <v>3</v>
      </c>
      <c r="H191" s="144">
        <f t="shared" si="120"/>
        <v>4</v>
      </c>
      <c r="I191" s="144"/>
      <c r="J191" s="89"/>
      <c r="K191" s="89" t="s">
        <v>185</v>
      </c>
      <c r="L191" s="89"/>
      <c r="M191" s="142">
        <f>(H201*(1+$C$181))/(C180-C181)</f>
        <v>36809.057013248312</v>
      </c>
      <c r="N191" s="89"/>
    </row>
    <row r="192" spans="1:14" ht="16" outlineLevel="1" x14ac:dyDescent="0.2">
      <c r="A192" s="93" t="s">
        <v>186</v>
      </c>
      <c r="B192" s="93"/>
      <c r="C192" s="93"/>
      <c r="D192" s="145">
        <f>YEARFRAC(C190,D190)</f>
        <v>1</v>
      </c>
      <c r="E192" s="145">
        <f t="shared" ref="E192:H192" si="121">YEARFRAC(D190,E190)</f>
        <v>1</v>
      </c>
      <c r="F192" s="145">
        <f t="shared" si="121"/>
        <v>1</v>
      </c>
      <c r="G192" s="145">
        <f t="shared" si="121"/>
        <v>1</v>
      </c>
      <c r="H192" s="145">
        <f t="shared" si="121"/>
        <v>1</v>
      </c>
      <c r="I192" s="155">
        <v>1</v>
      </c>
      <c r="J192" s="89"/>
      <c r="K192" s="89" t="s">
        <v>8</v>
      </c>
      <c r="L192" s="89"/>
      <c r="M192" s="86">
        <f>AVERAGE(M190:M191)</f>
        <v>36862.166579923127</v>
      </c>
      <c r="N192" s="89"/>
    </row>
    <row r="193" spans="1:19" ht="16" outlineLevel="1" x14ac:dyDescent="0.2">
      <c r="A193" s="93"/>
      <c r="B193" s="93"/>
      <c r="C193" s="93"/>
      <c r="D193" s="145"/>
      <c r="E193" s="145"/>
      <c r="F193" s="145"/>
      <c r="G193" s="145"/>
      <c r="H193" s="145"/>
      <c r="I193" s="146"/>
      <c r="J193" s="89"/>
      <c r="K193" s="89"/>
      <c r="L193" s="89"/>
      <c r="M193" s="89"/>
      <c r="N193" s="89"/>
    </row>
    <row r="194" spans="1:19" ht="16" outlineLevel="1" x14ac:dyDescent="0.2">
      <c r="A194" s="89" t="s">
        <v>25</v>
      </c>
      <c r="B194" s="89"/>
      <c r="C194" s="89"/>
      <c r="D194" s="89">
        <f>I55+I49</f>
        <v>3566.6154999999976</v>
      </c>
      <c r="E194" s="89">
        <f t="shared" ref="E194:H194" si="122">J55+J49</f>
        <v>3686.8729164999982</v>
      </c>
      <c r="F194" s="89">
        <f t="shared" si="122"/>
        <v>3816.0834765654995</v>
      </c>
      <c r="G194" s="89">
        <f t="shared" si="122"/>
        <v>3954.203794616647</v>
      </c>
      <c r="H194" s="89">
        <f t="shared" si="122"/>
        <v>4101.2157112719806</v>
      </c>
      <c r="I194" s="89"/>
      <c r="J194" s="89"/>
      <c r="K194" s="89"/>
      <c r="L194" s="89"/>
      <c r="M194" s="89"/>
      <c r="N194" s="89"/>
    </row>
    <row r="195" spans="1:19" ht="16" outlineLevel="1" x14ac:dyDescent="0.2">
      <c r="A195" s="89" t="s">
        <v>163</v>
      </c>
      <c r="B195" s="89"/>
      <c r="C195" s="89"/>
      <c r="D195" s="142">
        <f>D194*$C$179</f>
        <v>748.9892549999995</v>
      </c>
      <c r="E195" s="142">
        <f t="shared" ref="E195:H195" si="123">E194*$C$179</f>
        <v>774.24331246499958</v>
      </c>
      <c r="F195" s="142">
        <f t="shared" si="123"/>
        <v>801.37753007875483</v>
      </c>
      <c r="G195" s="142">
        <f t="shared" si="123"/>
        <v>830.38279686949579</v>
      </c>
      <c r="H195" s="142">
        <f t="shared" si="123"/>
        <v>861.25529936711587</v>
      </c>
      <c r="I195" s="89"/>
      <c r="J195" s="89"/>
      <c r="K195" s="89"/>
      <c r="L195" s="89"/>
      <c r="M195" s="89"/>
      <c r="N195" s="89"/>
    </row>
    <row r="196" spans="1:19" ht="16" outlineLevel="1" x14ac:dyDescent="0.2">
      <c r="A196" s="86" t="s">
        <v>164</v>
      </c>
      <c r="B196" s="86"/>
      <c r="C196" s="86"/>
      <c r="D196" s="152">
        <f>D194-D195</f>
        <v>2817.6262449999981</v>
      </c>
      <c r="E196" s="152">
        <f t="shared" ref="E196:H196" si="124">E194-E195</f>
        <v>2912.6296040349985</v>
      </c>
      <c r="F196" s="152">
        <f t="shared" si="124"/>
        <v>3014.7059464867448</v>
      </c>
      <c r="G196" s="152">
        <f t="shared" si="124"/>
        <v>3123.8209977471511</v>
      </c>
      <c r="H196" s="152">
        <f t="shared" si="124"/>
        <v>3239.9604119048645</v>
      </c>
      <c r="I196" s="89"/>
      <c r="J196" s="89"/>
      <c r="K196" s="89"/>
      <c r="L196" s="89"/>
      <c r="M196" s="89"/>
      <c r="N196" s="89"/>
    </row>
    <row r="197" spans="1:19" ht="16" outlineLevel="1" x14ac:dyDescent="0.2">
      <c r="A197" s="89" t="s">
        <v>165</v>
      </c>
      <c r="B197" s="89"/>
      <c r="C197" s="89"/>
      <c r="D197" s="142">
        <f>I112</f>
        <v>1423.6499999999999</v>
      </c>
      <c r="E197" s="142">
        <f>J112</f>
        <v>1466.8762499999998</v>
      </c>
      <c r="F197" s="142">
        <f>K112</f>
        <v>1506.8605312499997</v>
      </c>
      <c r="G197" s="142">
        <f>L112</f>
        <v>1543.8459914062498</v>
      </c>
      <c r="H197" s="142">
        <f>M112</f>
        <v>1578.057542050781</v>
      </c>
      <c r="I197" s="89"/>
      <c r="J197" s="89"/>
      <c r="K197" s="89"/>
      <c r="L197" s="89"/>
      <c r="M197" s="89"/>
      <c r="N197" s="89"/>
      <c r="O197" s="71"/>
      <c r="P197" s="71"/>
      <c r="Q197" s="71"/>
      <c r="R197" s="71"/>
      <c r="S197" s="71"/>
    </row>
    <row r="198" spans="1:19" ht="16" outlineLevel="1" x14ac:dyDescent="0.2">
      <c r="A198" s="89" t="s">
        <v>24</v>
      </c>
      <c r="B198" s="89"/>
      <c r="C198" s="89"/>
      <c r="D198" s="142">
        <f>D194+D197</f>
        <v>4990.2654999999977</v>
      </c>
      <c r="E198" s="142">
        <f t="shared" ref="E198:H198" si="125">E194+E197</f>
        <v>5153.749166499998</v>
      </c>
      <c r="F198" s="142">
        <f t="shared" si="125"/>
        <v>5322.9440078154994</v>
      </c>
      <c r="G198" s="142">
        <f t="shared" si="125"/>
        <v>5498.049786022897</v>
      </c>
      <c r="H198" s="142">
        <f t="shared" si="125"/>
        <v>5679.2732533227618</v>
      </c>
      <c r="I198" s="89"/>
      <c r="J198" s="89"/>
      <c r="K198" s="89"/>
      <c r="L198" s="89"/>
      <c r="M198" s="89"/>
      <c r="N198" s="89"/>
      <c r="O198" s="71"/>
      <c r="P198" s="71"/>
      <c r="Q198" s="71"/>
      <c r="R198" s="71"/>
      <c r="S198" s="71"/>
    </row>
    <row r="199" spans="1:19" ht="16" outlineLevel="1" x14ac:dyDescent="0.2">
      <c r="A199" s="89" t="s">
        <v>166</v>
      </c>
      <c r="B199" s="89"/>
      <c r="C199" s="89"/>
      <c r="D199" s="89">
        <f>I164</f>
        <v>2000</v>
      </c>
      <c r="E199" s="89">
        <f t="shared" ref="E199:H199" si="126">J164</f>
        <v>2000</v>
      </c>
      <c r="F199" s="89">
        <f t="shared" si="126"/>
        <v>2000</v>
      </c>
      <c r="G199" s="89">
        <f t="shared" si="126"/>
        <v>2000</v>
      </c>
      <c r="H199" s="89">
        <f t="shared" si="126"/>
        <v>2000</v>
      </c>
      <c r="I199" s="89"/>
      <c r="J199" s="89"/>
      <c r="K199" s="89"/>
      <c r="L199" s="89"/>
      <c r="M199" s="89"/>
      <c r="N199" s="89"/>
      <c r="O199" s="71"/>
      <c r="P199" s="71"/>
      <c r="Q199" s="71"/>
      <c r="R199" s="71"/>
      <c r="S199" s="71"/>
    </row>
    <row r="200" spans="1:19" ht="16" outlineLevel="1" x14ac:dyDescent="0.2">
      <c r="A200" s="89" t="s">
        <v>167</v>
      </c>
      <c r="B200" s="89"/>
      <c r="C200" s="89"/>
      <c r="D200" s="89">
        <f>I160</f>
        <v>-30.890747762251294</v>
      </c>
      <c r="E200" s="89">
        <f t="shared" ref="E200:H200" si="127">J160</f>
        <v>-13.035082639753227</v>
      </c>
      <c r="F200" s="89">
        <f t="shared" si="127"/>
        <v>-13.142418767514528</v>
      </c>
      <c r="G200" s="89">
        <f t="shared" si="127"/>
        <v>-13.280362344928562</v>
      </c>
      <c r="H200" s="89">
        <f t="shared" si="127"/>
        <v>-13.447970140377492</v>
      </c>
      <c r="I200" s="89"/>
      <c r="J200" s="89"/>
      <c r="K200" s="89"/>
      <c r="L200" s="89"/>
      <c r="M200" s="89"/>
      <c r="N200" s="89"/>
      <c r="O200" s="71"/>
      <c r="P200" s="71"/>
      <c r="Q200" s="71"/>
      <c r="R200" s="71"/>
      <c r="S200" s="71"/>
    </row>
    <row r="201" spans="1:19" ht="16" outlineLevel="1" x14ac:dyDescent="0.2">
      <c r="A201" s="87" t="s">
        <v>187</v>
      </c>
      <c r="B201" s="87"/>
      <c r="C201" s="87"/>
      <c r="D201" s="87">
        <f>D196+D197-D199-D200</f>
        <v>2272.1669927622497</v>
      </c>
      <c r="E201" s="87">
        <f t="shared" ref="E201:H201" si="128">E196+E197-E199-E200</f>
        <v>2392.5409366747517</v>
      </c>
      <c r="F201" s="87">
        <f t="shared" si="128"/>
        <v>2534.7088965042594</v>
      </c>
      <c r="G201" s="87">
        <f t="shared" si="128"/>
        <v>2680.9473514983297</v>
      </c>
      <c r="H201" s="87">
        <f t="shared" si="128"/>
        <v>2831.4659240960232</v>
      </c>
      <c r="I201" s="153">
        <f>M192</f>
        <v>36862.166579923127</v>
      </c>
      <c r="J201" s="89"/>
      <c r="K201" s="89"/>
      <c r="L201" s="89"/>
      <c r="M201" s="89"/>
      <c r="N201" s="89"/>
      <c r="O201" s="71"/>
      <c r="P201" s="71"/>
      <c r="Q201" s="71"/>
      <c r="R201" s="71"/>
      <c r="S201" s="71"/>
    </row>
    <row r="202" spans="1:19" ht="16" outlineLevel="1" x14ac:dyDescent="0.2">
      <c r="A202" s="89"/>
      <c r="B202" s="89"/>
      <c r="C202" s="89"/>
      <c r="D202" s="89"/>
      <c r="E202" s="89"/>
      <c r="F202" s="89"/>
      <c r="G202" s="89"/>
      <c r="H202" s="89"/>
      <c r="I202" s="138"/>
      <c r="J202" s="89"/>
      <c r="K202" s="89"/>
      <c r="L202" s="89"/>
      <c r="M202" s="89"/>
      <c r="N202" s="89"/>
      <c r="O202" s="71"/>
      <c r="P202" s="71"/>
      <c r="Q202" s="71"/>
      <c r="R202" s="71"/>
      <c r="S202" s="71"/>
    </row>
    <row r="203" spans="1:19" ht="16" outlineLevel="1" x14ac:dyDescent="0.2">
      <c r="A203" s="156" t="s">
        <v>168</v>
      </c>
      <c r="B203" s="156"/>
      <c r="C203" s="157">
        <v>0</v>
      </c>
      <c r="D203" s="156">
        <f>D201*D192</f>
        <v>2272.1669927622497</v>
      </c>
      <c r="E203" s="156">
        <f t="shared" ref="E203:I203" si="129">E201*E192</f>
        <v>2392.5409366747517</v>
      </c>
      <c r="F203" s="156">
        <f t="shared" si="129"/>
        <v>2534.7088965042594</v>
      </c>
      <c r="G203" s="156">
        <f t="shared" si="129"/>
        <v>2680.9473514983297</v>
      </c>
      <c r="H203" s="156">
        <f t="shared" si="129"/>
        <v>2831.4659240960232</v>
      </c>
      <c r="I203" s="156">
        <f>I201*I192</f>
        <v>36862.166579923127</v>
      </c>
      <c r="J203" s="92"/>
      <c r="K203" s="92"/>
      <c r="L203" s="92"/>
      <c r="M203" s="92"/>
      <c r="N203" s="92"/>
      <c r="O203" s="92"/>
      <c r="P203" s="92"/>
      <c r="Q203" s="92"/>
      <c r="R203" s="92"/>
      <c r="S203" s="92"/>
    </row>
    <row r="204" spans="1:19" ht="16" outlineLevel="1" x14ac:dyDescent="0.2">
      <c r="A204" s="92"/>
      <c r="B204" s="92"/>
      <c r="C204" s="92"/>
      <c r="D204" s="92"/>
      <c r="E204" s="92"/>
      <c r="F204" s="92"/>
      <c r="G204" s="92"/>
      <c r="H204" s="92"/>
      <c r="I204" s="92"/>
      <c r="J204" s="92"/>
      <c r="K204" s="92"/>
      <c r="L204" s="92"/>
      <c r="M204" s="92"/>
      <c r="N204" s="92"/>
      <c r="O204" s="92"/>
      <c r="P204" s="92"/>
      <c r="Q204" s="92"/>
      <c r="R204" s="92"/>
      <c r="S204" s="92"/>
    </row>
    <row r="205" spans="1:19" ht="16" outlineLevel="1" x14ac:dyDescent="0.2">
      <c r="A205" s="156" t="s">
        <v>169</v>
      </c>
      <c r="B205" s="156"/>
      <c r="C205" s="156">
        <f>-G211</f>
        <v>-28581.869999999995</v>
      </c>
      <c r="D205" s="156">
        <f>D203</f>
        <v>2272.1669927622497</v>
      </c>
      <c r="E205" s="156">
        <f t="shared" ref="E205:I205" si="130">E203</f>
        <v>2392.5409366747517</v>
      </c>
      <c r="F205" s="156">
        <f t="shared" si="130"/>
        <v>2534.7088965042594</v>
      </c>
      <c r="G205" s="156">
        <f t="shared" si="130"/>
        <v>2680.9473514983297</v>
      </c>
      <c r="H205" s="156">
        <f t="shared" si="130"/>
        <v>2831.4659240960232</v>
      </c>
      <c r="I205" s="156">
        <f t="shared" si="130"/>
        <v>36862.166579923127</v>
      </c>
      <c r="J205" s="92"/>
      <c r="K205" s="92"/>
      <c r="L205" s="158"/>
      <c r="M205" s="158"/>
      <c r="N205" s="158"/>
      <c r="O205" s="158"/>
      <c r="P205" s="158"/>
      <c r="Q205" s="158"/>
      <c r="R205" s="158"/>
      <c r="S205" s="92"/>
    </row>
    <row r="206" spans="1:19" ht="16" outlineLevel="1" x14ac:dyDescent="0.2">
      <c r="A206" s="92"/>
      <c r="B206" s="159"/>
      <c r="C206" s="92"/>
      <c r="D206" s="92"/>
      <c r="E206" s="92"/>
      <c r="F206" s="92"/>
      <c r="G206" s="92"/>
      <c r="H206" s="92"/>
      <c r="I206" s="92"/>
      <c r="J206" s="92"/>
      <c r="K206" s="92"/>
      <c r="L206" s="92"/>
      <c r="M206" s="92"/>
      <c r="N206" s="92"/>
      <c r="O206" s="92"/>
      <c r="P206" s="92"/>
      <c r="Q206" s="92"/>
      <c r="R206" s="92"/>
      <c r="S206" s="92"/>
    </row>
    <row r="207" spans="1:19" ht="16" outlineLevel="1" x14ac:dyDescent="0.2">
      <c r="A207" s="156" t="s">
        <v>170</v>
      </c>
      <c r="B207" s="92"/>
      <c r="C207" s="92"/>
      <c r="D207" s="92"/>
      <c r="E207" s="156" t="s">
        <v>171</v>
      </c>
      <c r="F207" s="92"/>
      <c r="G207" s="92"/>
      <c r="H207" s="92"/>
      <c r="I207" s="156" t="s">
        <v>172</v>
      </c>
      <c r="J207" s="92"/>
      <c r="K207" s="92"/>
      <c r="L207" s="92"/>
      <c r="M207" s="92"/>
      <c r="N207" s="92"/>
      <c r="O207" s="92"/>
      <c r="P207" s="92"/>
      <c r="Q207" s="92"/>
      <c r="R207" s="92"/>
      <c r="S207" s="92"/>
    </row>
    <row r="208" spans="1:19" ht="16" outlineLevel="1" x14ac:dyDescent="0.2">
      <c r="A208" s="160" t="s">
        <v>173</v>
      </c>
      <c r="B208" s="160"/>
      <c r="C208" s="160">
        <f>XNPV(C180,C203:I203,C190:I190)</f>
        <v>29967.848829501883</v>
      </c>
      <c r="D208" s="92"/>
      <c r="E208" s="160" t="s">
        <v>20</v>
      </c>
      <c r="F208" s="160"/>
      <c r="G208" s="160">
        <f>C185*C186</f>
        <v>28893.869999999995</v>
      </c>
      <c r="H208" s="92"/>
      <c r="I208" s="160" t="s">
        <v>46</v>
      </c>
      <c r="J208" s="160"/>
      <c r="K208" s="161">
        <f>C185</f>
        <v>54.9</v>
      </c>
      <c r="L208" s="92"/>
      <c r="M208" s="92"/>
      <c r="N208" s="92"/>
      <c r="O208" s="92"/>
      <c r="P208" s="92"/>
      <c r="Q208" s="92"/>
      <c r="R208" s="92"/>
      <c r="S208" s="92"/>
    </row>
    <row r="209" spans="1:19" ht="16" outlineLevel="1" x14ac:dyDescent="0.2">
      <c r="A209" s="92" t="s">
        <v>174</v>
      </c>
      <c r="B209" s="92"/>
      <c r="C209" s="92">
        <f>H64+H65</f>
        <v>3689</v>
      </c>
      <c r="D209" s="92"/>
      <c r="E209" s="92" t="s">
        <v>175</v>
      </c>
      <c r="F209" s="92"/>
      <c r="G209" s="92">
        <f>C210</f>
        <v>3377</v>
      </c>
      <c r="H209" s="92"/>
      <c r="I209" s="92" t="s">
        <v>176</v>
      </c>
      <c r="J209" s="92"/>
      <c r="K209" s="162">
        <f>C213</f>
        <v>57.533438779216958</v>
      </c>
      <c r="L209" s="92"/>
      <c r="M209" s="92"/>
      <c r="N209" s="92"/>
      <c r="O209" s="92"/>
      <c r="P209" s="92"/>
      <c r="Q209" s="92"/>
      <c r="R209" s="92"/>
      <c r="S209" s="92"/>
    </row>
    <row r="210" spans="1:19" ht="16" outlineLevel="1" x14ac:dyDescent="0.2">
      <c r="A210" s="92" t="s">
        <v>177</v>
      </c>
      <c r="B210" s="92"/>
      <c r="C210" s="92">
        <f>H89+H85</f>
        <v>3377</v>
      </c>
      <c r="D210" s="92"/>
      <c r="E210" s="92" t="s">
        <v>178</v>
      </c>
      <c r="F210" s="92"/>
      <c r="G210" s="92">
        <f>C209</f>
        <v>3689</v>
      </c>
      <c r="H210" s="92"/>
      <c r="I210" s="92" t="s">
        <v>188</v>
      </c>
      <c r="J210" s="92"/>
      <c r="K210" s="159">
        <f>K209/K208-1</f>
        <v>4.7967919475718768E-2</v>
      </c>
      <c r="L210" s="92"/>
      <c r="M210" s="92"/>
      <c r="N210" s="92"/>
      <c r="O210" s="92"/>
      <c r="P210" s="92"/>
      <c r="Q210" s="92"/>
      <c r="R210" s="92"/>
      <c r="S210" s="92"/>
    </row>
    <row r="211" spans="1:19" ht="16" outlineLevel="1" x14ac:dyDescent="0.2">
      <c r="A211" s="92" t="s">
        <v>47</v>
      </c>
      <c r="B211" s="92"/>
      <c r="C211" s="160">
        <f>C208+C209-C210</f>
        <v>30279.848829501883</v>
      </c>
      <c r="D211" s="92"/>
      <c r="E211" s="92" t="s">
        <v>173</v>
      </c>
      <c r="F211" s="92"/>
      <c r="G211" s="160">
        <f>G208+G209-G210</f>
        <v>28581.869999999995</v>
      </c>
      <c r="H211" s="92"/>
      <c r="I211" s="92" t="s">
        <v>179</v>
      </c>
      <c r="J211" s="92"/>
      <c r="K211" s="159">
        <f>XIRR(C205:I205,C190:I190)</f>
        <v>0.13225209116935729</v>
      </c>
      <c r="L211" s="92"/>
      <c r="M211" s="92"/>
      <c r="N211" s="92"/>
      <c r="O211" s="92"/>
      <c r="P211" s="92"/>
      <c r="Q211" s="92"/>
      <c r="R211" s="92"/>
      <c r="S211" s="92"/>
    </row>
    <row r="212" spans="1:19" ht="16" outlineLevel="1" x14ac:dyDescent="0.2">
      <c r="A212" s="92"/>
      <c r="B212" s="92"/>
      <c r="C212" s="92"/>
      <c r="D212" s="92"/>
      <c r="E212" s="92"/>
      <c r="F212" s="92"/>
      <c r="G212" s="163"/>
      <c r="H212" s="92"/>
      <c r="I212" s="92"/>
      <c r="J212" s="92"/>
      <c r="K212" s="92"/>
      <c r="L212" s="92"/>
      <c r="M212" s="92"/>
      <c r="N212" s="92"/>
      <c r="O212" s="92"/>
      <c r="P212" s="92"/>
      <c r="Q212" s="92"/>
      <c r="R212" s="92"/>
      <c r="S212" s="92"/>
    </row>
    <row r="213" spans="1:19" ht="16" outlineLevel="1" x14ac:dyDescent="0.2">
      <c r="A213" s="156" t="s">
        <v>180</v>
      </c>
      <c r="B213" s="92"/>
      <c r="C213" s="164">
        <f>C211/C186</f>
        <v>57.533438779216958</v>
      </c>
      <c r="D213" s="92"/>
      <c r="E213" s="156" t="s">
        <v>180</v>
      </c>
      <c r="F213" s="156"/>
      <c r="G213" s="165">
        <f>G208/C186</f>
        <v>54.9</v>
      </c>
      <c r="H213" s="92"/>
      <c r="I213" s="92"/>
      <c r="J213" s="92"/>
      <c r="K213" s="92"/>
      <c r="L213" s="92"/>
      <c r="M213" s="92"/>
      <c r="N213" s="92"/>
      <c r="O213" s="92"/>
      <c r="P213" s="92"/>
      <c r="Q213" s="92"/>
      <c r="R213" s="92"/>
      <c r="S213" s="92"/>
    </row>
    <row r="214" spans="1:19" ht="16" outlineLevel="1" x14ac:dyDescent="0.2">
      <c r="A214" s="92"/>
      <c r="B214" s="92"/>
      <c r="C214" s="92"/>
      <c r="D214" s="92"/>
      <c r="E214" s="92"/>
      <c r="F214" s="92"/>
      <c r="G214" s="92"/>
      <c r="H214" s="92"/>
      <c r="I214" s="92"/>
      <c r="J214" s="92"/>
      <c r="K214" s="92"/>
      <c r="L214" s="92"/>
      <c r="M214" s="92"/>
      <c r="N214" s="92"/>
      <c r="O214" s="92"/>
      <c r="P214" s="92"/>
      <c r="Q214" s="92"/>
      <c r="R214" s="92"/>
      <c r="S214" s="92"/>
    </row>
    <row r="215" spans="1:19" ht="16" outlineLevel="1" x14ac:dyDescent="0.2">
      <c r="A215" s="89"/>
      <c r="B215" s="89"/>
      <c r="C215" s="89"/>
      <c r="D215" s="89"/>
      <c r="E215" s="89"/>
      <c r="F215" s="89"/>
      <c r="G215" s="89"/>
      <c r="H215" s="89"/>
      <c r="I215" s="89"/>
      <c r="J215" s="89"/>
      <c r="K215" s="89"/>
      <c r="L215" s="89"/>
      <c r="M215" s="89"/>
      <c r="N215" s="89"/>
      <c r="O215" s="71"/>
      <c r="P215" s="71"/>
      <c r="Q215" s="71"/>
      <c r="R215" s="71"/>
      <c r="S215" s="71"/>
    </row>
    <row r="216" spans="1:19" ht="16" x14ac:dyDescent="0.2">
      <c r="A216" s="71"/>
      <c r="B216" s="71"/>
      <c r="C216" s="71"/>
      <c r="D216" s="71"/>
      <c r="E216" s="71"/>
      <c r="F216" s="71"/>
      <c r="G216" s="71"/>
      <c r="H216" s="71"/>
      <c r="I216" s="71"/>
      <c r="J216" s="71"/>
      <c r="K216" s="71"/>
      <c r="L216" s="71"/>
      <c r="M216" s="71"/>
      <c r="N216" s="71"/>
      <c r="O216" s="71"/>
      <c r="P216" s="71"/>
      <c r="Q216" s="71"/>
      <c r="R216" s="71"/>
      <c r="S216" s="71"/>
    </row>
    <row r="217" spans="1:19" ht="20" x14ac:dyDescent="0.2">
      <c r="A217" s="80" t="s">
        <v>157</v>
      </c>
      <c r="B217" s="81"/>
      <c r="C217" s="82"/>
      <c r="D217" s="81"/>
      <c r="E217" s="81"/>
      <c r="F217" s="81"/>
      <c r="G217" s="81"/>
      <c r="H217" s="81"/>
      <c r="I217" s="81"/>
      <c r="J217" s="81"/>
      <c r="K217" s="81"/>
      <c r="L217" s="81"/>
      <c r="M217" s="81"/>
      <c r="N217" s="71"/>
      <c r="O217" s="71"/>
      <c r="P217" s="71"/>
      <c r="Q217" s="71"/>
      <c r="R217" s="71"/>
      <c r="S217" s="71"/>
    </row>
    <row r="218" spans="1:19" ht="16" outlineLevel="1" x14ac:dyDescent="0.2">
      <c r="A218" s="71"/>
      <c r="B218" s="71"/>
      <c r="C218" s="71"/>
      <c r="D218" s="71"/>
      <c r="E218" s="71"/>
      <c r="F218" s="71"/>
      <c r="G218" s="71"/>
      <c r="H218" s="71"/>
      <c r="I218" s="71"/>
      <c r="J218" s="71"/>
      <c r="K218" s="71"/>
      <c r="L218" s="71"/>
      <c r="M218" s="71"/>
      <c r="N218" s="71"/>
      <c r="O218" s="71"/>
      <c r="P218" s="71"/>
      <c r="Q218" s="71"/>
      <c r="R218" s="71"/>
      <c r="S218" s="71"/>
    </row>
    <row r="219" spans="1:19" ht="16" outlineLevel="1" x14ac:dyDescent="0.2">
      <c r="A219" s="71" t="s">
        <v>1</v>
      </c>
      <c r="B219" s="71"/>
      <c r="C219" s="78"/>
      <c r="D219" s="154">
        <f>YEAR(D190)</f>
        <v>2019</v>
      </c>
      <c r="E219" s="154">
        <f>YEAR(E190)</f>
        <v>2020</v>
      </c>
      <c r="F219" s="154">
        <f>YEAR(F190)</f>
        <v>2021</v>
      </c>
      <c r="G219" s="154">
        <f>YEAR(G190)</f>
        <v>2022</v>
      </c>
      <c r="H219" s="154">
        <f>YEAR(H190)</f>
        <v>2023</v>
      </c>
      <c r="I219" s="71"/>
      <c r="J219" s="71" t="s">
        <v>181</v>
      </c>
      <c r="K219" s="71"/>
      <c r="L219" s="71"/>
      <c r="M219" s="71"/>
      <c r="N219" s="71"/>
      <c r="O219" s="71"/>
      <c r="P219" s="71"/>
      <c r="Q219" s="71"/>
      <c r="R219" s="71"/>
      <c r="S219" s="71"/>
    </row>
    <row r="220" spans="1:19" ht="16" outlineLevel="1" x14ac:dyDescent="0.2">
      <c r="A220" s="86" t="s">
        <v>182</v>
      </c>
      <c r="B220" s="86"/>
      <c r="C220" s="120"/>
      <c r="D220" s="86">
        <f>D205</f>
        <v>2272.1669927622497</v>
      </c>
      <c r="E220" s="86">
        <f>E205</f>
        <v>2392.5409366747517</v>
      </c>
      <c r="F220" s="86">
        <f>F205</f>
        <v>2534.7088965042594</v>
      </c>
      <c r="G220" s="86">
        <f>G205</f>
        <v>2680.9473514983297</v>
      </c>
      <c r="H220" s="86">
        <f>H205</f>
        <v>2831.4659240960232</v>
      </c>
      <c r="I220" s="71"/>
      <c r="J220" s="86" t="s">
        <v>171</v>
      </c>
      <c r="K220" s="86"/>
      <c r="L220" s="166">
        <f>G213</f>
        <v>54.9</v>
      </c>
      <c r="M220" s="71"/>
      <c r="N220" s="71"/>
      <c r="O220" s="71"/>
      <c r="P220" s="71"/>
      <c r="Q220" s="71"/>
      <c r="R220" s="71"/>
      <c r="S220" s="71"/>
    </row>
    <row r="221" spans="1:19" ht="16" outlineLevel="1" x14ac:dyDescent="0.2">
      <c r="A221" s="71"/>
      <c r="B221" s="71"/>
      <c r="C221" s="78"/>
      <c r="D221" s="71"/>
      <c r="E221" s="71"/>
      <c r="F221" s="71"/>
      <c r="G221" s="71"/>
      <c r="H221" s="71"/>
      <c r="I221" s="71"/>
      <c r="J221" s="71" t="s">
        <v>183</v>
      </c>
      <c r="K221" s="71"/>
      <c r="L221" s="147">
        <f>L222-L220</f>
        <v>2.6334387792169593</v>
      </c>
      <c r="M221" s="71"/>
      <c r="N221" s="71"/>
      <c r="O221" s="71"/>
      <c r="P221" s="71"/>
      <c r="Q221" s="71"/>
      <c r="R221" s="71"/>
      <c r="S221" s="71"/>
    </row>
    <row r="222" spans="1:19" ht="16" outlineLevel="1" x14ac:dyDescent="0.2">
      <c r="A222" s="71"/>
      <c r="B222" s="71"/>
      <c r="C222" s="78"/>
      <c r="D222" s="71"/>
      <c r="E222" s="71"/>
      <c r="F222" s="71"/>
      <c r="G222" s="71"/>
      <c r="H222" s="71"/>
      <c r="I222" s="71"/>
      <c r="J222" s="71" t="s">
        <v>170</v>
      </c>
      <c r="K222" s="71"/>
      <c r="L222" s="147">
        <f>C213</f>
        <v>57.533438779216958</v>
      </c>
      <c r="M222" s="71"/>
      <c r="N222" s="71"/>
      <c r="O222" s="71"/>
      <c r="P222" s="71"/>
      <c r="Q222" s="71"/>
      <c r="R222" s="71"/>
      <c r="S222" s="71"/>
    </row>
    <row r="223" spans="1:19" ht="16" outlineLevel="1" x14ac:dyDescent="0.2">
      <c r="A223" s="71"/>
      <c r="B223" s="71"/>
      <c r="C223" s="78"/>
      <c r="D223" s="71"/>
      <c r="E223" s="71"/>
      <c r="F223" s="71"/>
      <c r="G223" s="71"/>
      <c r="H223" s="71"/>
      <c r="I223" s="71"/>
      <c r="J223" s="71"/>
      <c r="K223" s="71"/>
      <c r="L223" s="71"/>
      <c r="M223" s="71"/>
      <c r="N223" s="71"/>
      <c r="O223" s="71"/>
      <c r="P223" s="71"/>
      <c r="Q223" s="71"/>
      <c r="R223" s="71"/>
      <c r="S223" s="71"/>
    </row>
    <row r="224" spans="1:19" ht="16" outlineLevel="1" x14ac:dyDescent="0.2">
      <c r="A224" s="71"/>
      <c r="B224" s="71"/>
      <c r="C224" s="78"/>
      <c r="D224" s="71"/>
      <c r="E224" s="71"/>
      <c r="F224" s="71"/>
      <c r="G224" s="71"/>
      <c r="H224" s="71"/>
      <c r="I224" s="71"/>
      <c r="J224" s="71"/>
      <c r="K224" s="71"/>
      <c r="L224" s="71"/>
      <c r="M224" s="71"/>
      <c r="N224" s="71"/>
      <c r="O224" s="71"/>
      <c r="P224" s="71"/>
      <c r="Q224" s="71"/>
      <c r="R224" s="71"/>
      <c r="S224" s="71"/>
    </row>
    <row r="225" spans="1:19" ht="16" outlineLevel="1" x14ac:dyDescent="0.2">
      <c r="A225" s="71"/>
      <c r="B225" s="71"/>
      <c r="C225" s="78"/>
      <c r="D225" s="71"/>
      <c r="E225" s="71"/>
      <c r="F225" s="71"/>
      <c r="G225" s="71"/>
      <c r="H225" s="71"/>
      <c r="I225" s="71"/>
      <c r="J225" s="71"/>
      <c r="K225" s="71"/>
      <c r="L225" s="71"/>
      <c r="M225" s="71"/>
      <c r="N225" s="71"/>
      <c r="O225" s="71"/>
      <c r="P225" s="71"/>
      <c r="Q225" s="71"/>
      <c r="R225" s="71"/>
      <c r="S225" s="71"/>
    </row>
    <row r="226" spans="1:19" ht="16" outlineLevel="1" x14ac:dyDescent="0.2">
      <c r="A226" s="71"/>
      <c r="B226" s="71"/>
      <c r="C226" s="78"/>
      <c r="D226" s="71"/>
      <c r="E226" s="71"/>
      <c r="F226" s="71"/>
      <c r="G226" s="71"/>
      <c r="H226" s="71"/>
      <c r="I226" s="71"/>
      <c r="J226" s="71"/>
      <c r="K226" s="71"/>
      <c r="L226" s="71"/>
      <c r="M226" s="71"/>
      <c r="N226" s="71"/>
      <c r="O226" s="71"/>
      <c r="P226" s="71"/>
      <c r="Q226" s="71"/>
      <c r="R226" s="71"/>
      <c r="S226" s="71"/>
    </row>
    <row r="227" spans="1:19" ht="16" outlineLevel="1" x14ac:dyDescent="0.2">
      <c r="A227" s="71"/>
      <c r="B227" s="71"/>
      <c r="C227" s="78"/>
      <c r="D227" s="71"/>
      <c r="E227" s="71"/>
      <c r="F227" s="71"/>
      <c r="G227" s="71"/>
      <c r="H227" s="71"/>
      <c r="I227" s="71"/>
      <c r="J227" s="71"/>
      <c r="K227" s="71"/>
      <c r="L227" s="71"/>
      <c r="M227" s="71"/>
      <c r="N227" s="71"/>
      <c r="O227" s="71"/>
      <c r="P227" s="71"/>
      <c r="Q227" s="71"/>
      <c r="R227" s="71"/>
      <c r="S227" s="71"/>
    </row>
    <row r="228" spans="1:19" ht="16" outlineLevel="1" x14ac:dyDescent="0.2">
      <c r="A228" s="71"/>
      <c r="B228" s="71"/>
      <c r="C228" s="78"/>
      <c r="D228" s="71"/>
      <c r="E228" s="71"/>
      <c r="F228" s="71"/>
      <c r="G228" s="71"/>
      <c r="H228" s="71"/>
      <c r="I228" s="71"/>
      <c r="J228" s="71"/>
      <c r="K228" s="71"/>
      <c r="L228" s="71"/>
      <c r="M228" s="71"/>
      <c r="N228" s="71"/>
      <c r="O228" s="71"/>
      <c r="P228" s="71"/>
      <c r="Q228" s="71"/>
      <c r="R228" s="71"/>
      <c r="S228" s="71"/>
    </row>
    <row r="229" spans="1:19" outlineLevel="1" x14ac:dyDescent="0.15"/>
    <row r="230" spans="1:19" outlineLevel="1" x14ac:dyDescent="0.15"/>
    <row r="231" spans="1:19" outlineLevel="1" x14ac:dyDescent="0.15"/>
    <row r="232" spans="1:19" outlineLevel="1" x14ac:dyDescent="0.15"/>
    <row r="233" spans="1:19" outlineLevel="1" x14ac:dyDescent="0.15"/>
    <row r="234" spans="1:19" outlineLevel="1" x14ac:dyDescent="0.15"/>
    <row r="235" spans="1:19" outlineLevel="1" x14ac:dyDescent="0.15"/>
    <row r="236" spans="1:19" outlineLevel="1" x14ac:dyDescent="0.15"/>
    <row r="237" spans="1:19" outlineLevel="1" x14ac:dyDescent="0.15"/>
    <row r="238" spans="1:19" outlineLevel="1" x14ac:dyDescent="0.15"/>
    <row r="239" spans="1:19" outlineLevel="1" x14ac:dyDescent="0.15"/>
  </sheetData>
  <sheetProtection formatCells="0" formatColumns="0" formatRows="0" insertColumns="0" insertRows="0" insertHyperlinks="0" deleteColumns="0" deleteRows="0" sort="0" autoFilter="0" pivotTables="0"/>
  <conditionalFormatting sqref="D3:M3">
    <cfRule type="containsText" dxfId="3" priority="1" operator="containsText" text="OK">
      <formula>NOT(ISERROR(SEARCH("OK",D3)))</formula>
    </cfRule>
    <cfRule type="containsText" dxfId="2" priority="2" operator="containsText" text="ERROR">
      <formula>NOT(ISERROR(SEARCH("ERROR",D3)))</formula>
    </cfRule>
  </conditionalFormatting>
  <pageMargins left="0.70866141732283472" right="0.70866141732283472" top="0.74803149606299213" bottom="0.74803149606299213" header="0.31496062992125984" footer="0.31496062992125984"/>
  <pageSetup scale="78"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9"/>
  <sheetViews>
    <sheetView showGridLines="0" tabSelected="1" topLeftCell="A79" zoomScale="88" workbookViewId="0">
      <selection activeCell="D106" sqref="D106"/>
    </sheetView>
  </sheetViews>
  <sheetFormatPr baseColWidth="10" defaultRowHeight="16" x14ac:dyDescent="0.2"/>
  <cols>
    <col min="1" max="1" width="16.6640625" style="343" customWidth="1"/>
    <col min="2" max="2" width="47.5" style="343" customWidth="1"/>
    <col min="3" max="12" width="20.83203125" style="343" customWidth="1"/>
    <col min="13" max="13" width="17" style="343" bestFit="1" customWidth="1"/>
    <col min="14" max="14" width="46.5" style="343" customWidth="1"/>
    <col min="15" max="15" width="21.1640625" style="343" bestFit="1" customWidth="1"/>
    <col min="16" max="16" width="14.83203125" style="343" bestFit="1" customWidth="1"/>
    <col min="17" max="17" width="18.6640625" style="343" bestFit="1" customWidth="1"/>
    <col min="18" max="18" width="16" style="343" customWidth="1"/>
    <col min="19" max="19" width="14.83203125" style="343" customWidth="1"/>
    <col min="20" max="16384" width="10.83203125" style="343"/>
  </cols>
  <sheetData>
    <row r="1" spans="1:12" x14ac:dyDescent="0.2">
      <c r="A1" s="406" t="s">
        <v>440</v>
      </c>
      <c r="B1" s="350"/>
      <c r="C1" s="380">
        <v>2014</v>
      </c>
      <c r="D1" s="380">
        <f>C1+1</f>
        <v>2015</v>
      </c>
      <c r="E1" s="380">
        <f t="shared" ref="E1:L1" si="0">D1+1</f>
        <v>2016</v>
      </c>
      <c r="F1" s="380">
        <f t="shared" si="0"/>
        <v>2017</v>
      </c>
      <c r="G1" s="380">
        <f t="shared" si="0"/>
        <v>2018</v>
      </c>
      <c r="H1" s="380">
        <f t="shared" si="0"/>
        <v>2019</v>
      </c>
      <c r="I1" s="380">
        <f t="shared" si="0"/>
        <v>2020</v>
      </c>
      <c r="J1" s="380">
        <f t="shared" si="0"/>
        <v>2021</v>
      </c>
      <c r="K1" s="380">
        <f t="shared" si="0"/>
        <v>2022</v>
      </c>
      <c r="L1" s="380">
        <f t="shared" si="0"/>
        <v>2023</v>
      </c>
    </row>
    <row r="2" spans="1:12" ht="16" customHeight="1" x14ac:dyDescent="0.2">
      <c r="A2" s="415" t="s">
        <v>457</v>
      </c>
      <c r="B2" s="343" t="s">
        <v>417</v>
      </c>
      <c r="G2" s="384">
        <f>G13/F13-1</f>
        <v>3.8905398175756778E-2</v>
      </c>
      <c r="H2" s="440">
        <v>2.5000000000000001E-2</v>
      </c>
      <c r="I2" s="375">
        <v>2.5000000000000001E-2</v>
      </c>
      <c r="J2" s="375">
        <v>2.5000000000000001E-2</v>
      </c>
      <c r="K2" s="375">
        <v>2.5000000000000001E-2</v>
      </c>
      <c r="L2" s="375">
        <v>2.5000000000000001E-2</v>
      </c>
    </row>
    <row r="3" spans="1:12" ht="16" customHeight="1" x14ac:dyDescent="0.2">
      <c r="A3" s="415"/>
      <c r="B3" s="343" t="s">
        <v>443</v>
      </c>
      <c r="G3" s="384">
        <f>G14/F14-1</f>
        <v>0</v>
      </c>
      <c r="H3" s="440">
        <v>4.4999999999999998E-2</v>
      </c>
      <c r="I3" s="375">
        <v>4.4999999999999998E-2</v>
      </c>
      <c r="J3" s="375">
        <v>4.4999999999999998E-2</v>
      </c>
      <c r="K3" s="375">
        <v>4.4999999999999998E-2</v>
      </c>
      <c r="L3" s="375">
        <v>4.4999999999999998E-2</v>
      </c>
    </row>
    <row r="4" spans="1:12" ht="16" customHeight="1" x14ac:dyDescent="0.2">
      <c r="A4" s="415"/>
      <c r="B4" s="343" t="s">
        <v>444</v>
      </c>
      <c r="G4" s="384">
        <f>G15/F15-1</f>
        <v>-3.8910505836574627E-3</v>
      </c>
      <c r="H4" s="440">
        <f>G4</f>
        <v>-3.8910505836574627E-3</v>
      </c>
      <c r="I4" s="375">
        <f t="shared" ref="I4:L4" si="1">H4</f>
        <v>-3.8910505836574627E-3</v>
      </c>
      <c r="J4" s="375">
        <f t="shared" si="1"/>
        <v>-3.8910505836574627E-3</v>
      </c>
      <c r="K4" s="375">
        <f t="shared" si="1"/>
        <v>-3.8910505836574627E-3</v>
      </c>
      <c r="L4" s="375">
        <f t="shared" si="1"/>
        <v>-3.8910505836574627E-3</v>
      </c>
    </row>
    <row r="5" spans="1:12" x14ac:dyDescent="0.2">
      <c r="A5" s="415"/>
      <c r="B5" s="343" t="s">
        <v>427</v>
      </c>
      <c r="E5" s="364">
        <f>G22/F22-1</f>
        <v>0.1055276381909549</v>
      </c>
      <c r="G5" s="384">
        <f>G20/F20-1</f>
        <v>1.8213356461405095E-2</v>
      </c>
      <c r="H5" s="375">
        <f>H20/G20-1</f>
        <v>-1.4840483196531085E-2</v>
      </c>
      <c r="I5" s="375">
        <f t="shared" ref="I5:L5" si="2">H5</f>
        <v>-1.4840483196531085E-2</v>
      </c>
      <c r="J5" s="375">
        <f t="shared" si="2"/>
        <v>-1.4840483196531085E-2</v>
      </c>
      <c r="K5" s="375">
        <f t="shared" si="2"/>
        <v>-1.4840483196531085E-2</v>
      </c>
      <c r="L5" s="375">
        <f t="shared" si="2"/>
        <v>-1.4840483196531085E-2</v>
      </c>
    </row>
    <row r="6" spans="1:12" x14ac:dyDescent="0.2">
      <c r="A6" s="415"/>
      <c r="B6" s="343" t="s">
        <v>456</v>
      </c>
      <c r="D6" s="372"/>
      <c r="G6" s="384">
        <f>G21/F21-1</f>
        <v>-3.3783783783785104E-3</v>
      </c>
      <c r="H6" s="440">
        <v>0.01</v>
      </c>
      <c r="I6" s="375">
        <f t="shared" ref="I6:L6" si="3">H6</f>
        <v>0.01</v>
      </c>
      <c r="J6" s="375">
        <f t="shared" si="3"/>
        <v>0.01</v>
      </c>
      <c r="K6" s="375">
        <f t="shared" si="3"/>
        <v>0.01</v>
      </c>
      <c r="L6" s="375">
        <f t="shared" si="3"/>
        <v>0.01</v>
      </c>
    </row>
    <row r="7" spans="1:12" x14ac:dyDescent="0.2">
      <c r="A7" s="415"/>
      <c r="B7" s="343" t="s">
        <v>431</v>
      </c>
      <c r="G7" s="437">
        <f>G22/F22-1</f>
        <v>0.1055276381909549</v>
      </c>
      <c r="H7" s="437">
        <f>H22/G22-1</f>
        <v>-6.8181818181818343E-2</v>
      </c>
      <c r="I7" s="437">
        <f t="shared" ref="I7:L7" si="4">I22/H22-1</f>
        <v>0</v>
      </c>
      <c r="J7" s="437">
        <f t="shared" si="4"/>
        <v>0</v>
      </c>
      <c r="K7" s="437">
        <f t="shared" si="4"/>
        <v>0</v>
      </c>
      <c r="L7" s="437">
        <f t="shared" si="4"/>
        <v>0</v>
      </c>
    </row>
    <row r="8" spans="1:12" x14ac:dyDescent="0.2">
      <c r="A8" s="415"/>
      <c r="F8" s="408"/>
      <c r="G8" s="437"/>
      <c r="H8" s="363"/>
      <c r="I8" s="363"/>
      <c r="J8" s="363"/>
      <c r="K8" s="363"/>
      <c r="L8" s="363"/>
    </row>
    <row r="9" spans="1:12" x14ac:dyDescent="0.2">
      <c r="A9" s="415"/>
      <c r="G9" s="437"/>
      <c r="H9" s="437"/>
      <c r="I9" s="437"/>
      <c r="J9" s="437"/>
      <c r="K9" s="437"/>
      <c r="L9" s="437"/>
    </row>
    <row r="10" spans="1:12" x14ac:dyDescent="0.2">
      <c r="A10" s="415"/>
      <c r="G10" s="437"/>
      <c r="H10" s="437"/>
      <c r="I10" s="437"/>
      <c r="J10" s="437"/>
      <c r="K10" s="437"/>
      <c r="L10" s="437"/>
    </row>
    <row r="11" spans="1:12" x14ac:dyDescent="0.2">
      <c r="A11" s="415"/>
      <c r="G11" s="437"/>
      <c r="H11" s="437"/>
      <c r="I11" s="437"/>
      <c r="J11" s="437"/>
      <c r="K11" s="437"/>
      <c r="L11" s="437"/>
    </row>
    <row r="12" spans="1:12" x14ac:dyDescent="0.2">
      <c r="A12" s="416"/>
      <c r="B12" s="350"/>
      <c r="C12" s="350"/>
      <c r="D12" s="350"/>
      <c r="E12" s="350"/>
      <c r="F12" s="412"/>
      <c r="G12" s="438"/>
      <c r="H12" s="438"/>
      <c r="I12" s="438"/>
      <c r="J12" s="438"/>
      <c r="K12" s="438"/>
      <c r="L12" s="438"/>
    </row>
    <row r="13" spans="1:12" x14ac:dyDescent="0.2">
      <c r="B13" s="89" t="s">
        <v>417</v>
      </c>
      <c r="F13" s="345">
        <v>153811072</v>
      </c>
      <c r="G13" s="346">
        <v>159795153</v>
      </c>
      <c r="H13" s="376">
        <f>G13*(1+H2)</f>
        <v>163790031.82499999</v>
      </c>
      <c r="I13" s="376">
        <f>H13*(1+I2)</f>
        <v>167884782.62062496</v>
      </c>
      <c r="J13" s="376">
        <f>I13*(1+J2)</f>
        <v>172081902.18614057</v>
      </c>
      <c r="K13" s="376">
        <f>J13*(1+K2)</f>
        <v>176383949.74079406</v>
      </c>
      <c r="L13" s="376">
        <f>K13*(1+L2)</f>
        <v>180793548.48431391</v>
      </c>
    </row>
    <row r="14" spans="1:12" x14ac:dyDescent="0.2">
      <c r="B14" s="343" t="s">
        <v>443</v>
      </c>
      <c r="F14" s="343">
        <f>F71</f>
        <v>13.75</v>
      </c>
      <c r="G14" s="343">
        <f>G71</f>
        <v>13.75</v>
      </c>
      <c r="H14" s="359">
        <f>G14*(1+H3)</f>
        <v>14.368749999999999</v>
      </c>
      <c r="I14" s="359">
        <f>H14*(1+I3)</f>
        <v>15.015343749999998</v>
      </c>
      <c r="J14" s="359">
        <f>I14*(1+J3)</f>
        <v>15.691034218749996</v>
      </c>
      <c r="K14" s="359">
        <f>J14*(1+K3)</f>
        <v>16.397130758593743</v>
      </c>
      <c r="L14" s="359">
        <f>K14*(1+L3)</f>
        <v>17.135001642730462</v>
      </c>
    </row>
    <row r="15" spans="1:12" x14ac:dyDescent="0.2">
      <c r="B15" s="89" t="s">
        <v>444</v>
      </c>
      <c r="F15" s="343">
        <f>F72</f>
        <v>12.85</v>
      </c>
      <c r="G15" s="343">
        <f>G72</f>
        <v>12.8</v>
      </c>
      <c r="H15" s="359">
        <f>G15*(1+H4)</f>
        <v>12.750194552529186</v>
      </c>
      <c r="I15" s="359">
        <f t="shared" ref="I15:L15" si="5">H15*(1+I4)</f>
        <v>12.700582900573821</v>
      </c>
      <c r="J15" s="359">
        <f t="shared" si="5"/>
        <v>12.651164290065752</v>
      </c>
      <c r="K15" s="359">
        <f t="shared" si="5"/>
        <v>12.601937969870946</v>
      </c>
      <c r="L15" s="359">
        <f t="shared" si="5"/>
        <v>12.552903191778064</v>
      </c>
    </row>
    <row r="16" spans="1:12" x14ac:dyDescent="0.2">
      <c r="B16" s="89" t="s">
        <v>291</v>
      </c>
      <c r="F16" s="384">
        <v>8.4282123318054122E-3</v>
      </c>
      <c r="G16" s="428">
        <v>8.1812163056842902E-3</v>
      </c>
      <c r="H16" s="359"/>
      <c r="I16" s="359"/>
      <c r="J16" s="359"/>
      <c r="K16" s="359"/>
      <c r="L16" s="359"/>
    </row>
    <row r="17" spans="2:12" x14ac:dyDescent="0.2">
      <c r="B17" s="89" t="s">
        <v>292</v>
      </c>
      <c r="F17" s="384">
        <v>0.93981960668342457</v>
      </c>
      <c r="G17" s="428">
        <v>0.93459755982218862</v>
      </c>
      <c r="H17" s="359"/>
      <c r="I17" s="359"/>
      <c r="J17" s="359"/>
      <c r="K17" s="359"/>
      <c r="L17" s="359"/>
    </row>
    <row r="18" spans="2:12" x14ac:dyDescent="0.2">
      <c r="B18" s="89" t="s">
        <v>293</v>
      </c>
      <c r="F18" s="384">
        <v>0</v>
      </c>
      <c r="G18" s="428">
        <v>0</v>
      </c>
      <c r="H18" s="359"/>
      <c r="I18" s="359"/>
      <c r="J18" s="359"/>
      <c r="K18" s="359"/>
      <c r="L18" s="359"/>
    </row>
    <row r="19" spans="2:12" s="350" customFormat="1" x14ac:dyDescent="0.2">
      <c r="B19" s="105" t="s">
        <v>294</v>
      </c>
      <c r="F19" s="413">
        <v>5.1752180984770073E-2</v>
      </c>
      <c r="G19" s="439">
        <v>5.7221223872127115E-2</v>
      </c>
      <c r="H19" s="403"/>
      <c r="I19" s="403"/>
      <c r="J19" s="403"/>
      <c r="K19" s="403"/>
      <c r="L19" s="403"/>
    </row>
    <row r="20" spans="2:12" x14ac:dyDescent="0.2">
      <c r="B20" s="89" t="s">
        <v>427</v>
      </c>
      <c r="F20" s="372">
        <f>F73</f>
        <v>11.53</v>
      </c>
      <c r="G20" s="372">
        <f>G73</f>
        <v>11.74</v>
      </c>
      <c r="H20" s="359">
        <f>H46/H13*100000</f>
        <v>11.565772727272725</v>
      </c>
      <c r="I20" s="359">
        <f t="shared" ref="I20:L20" si="6">H20*(1+I5)</f>
        <v>11.394131071458736</v>
      </c>
      <c r="J20" s="359">
        <f t="shared" si="6"/>
        <v>11.225036660753679</v>
      </c>
      <c r="K20" s="359">
        <f t="shared" si="6"/>
        <v>11.058451692809319</v>
      </c>
      <c r="L20" s="359">
        <f t="shared" si="6"/>
        <v>10.894338926282531</v>
      </c>
    </row>
    <row r="21" spans="2:12" x14ac:dyDescent="0.2">
      <c r="B21" s="89" t="s">
        <v>456</v>
      </c>
      <c r="C21" s="383"/>
      <c r="D21" s="383"/>
      <c r="E21" s="383"/>
      <c r="F21" s="343">
        <v>8.8800000000000008</v>
      </c>
      <c r="G21" s="409">
        <v>8.85</v>
      </c>
      <c r="H21" s="359">
        <f>G21*(1+H6)</f>
        <v>8.9384999999999994</v>
      </c>
      <c r="I21" s="359">
        <f t="shared" ref="I21:L21" si="7">H21*(1+I6)</f>
        <v>9.0278849999999995</v>
      </c>
      <c r="J21" s="359">
        <f t="shared" si="7"/>
        <v>9.1181638500000002</v>
      </c>
      <c r="K21" s="359">
        <f t="shared" si="7"/>
        <v>9.2093454885000003</v>
      </c>
      <c r="L21" s="359">
        <f t="shared" si="7"/>
        <v>9.3014389433849995</v>
      </c>
    </row>
    <row r="22" spans="2:12" x14ac:dyDescent="0.2">
      <c r="B22" s="89" t="s">
        <v>431</v>
      </c>
      <c r="F22" s="343">
        <v>1.99</v>
      </c>
      <c r="G22" s="347">
        <v>2.2000000000000002</v>
      </c>
      <c r="H22" s="343">
        <v>2.0499999999999998</v>
      </c>
      <c r="I22" s="343">
        <v>2.0499999999999998</v>
      </c>
      <c r="J22" s="343">
        <v>2.0499999999999998</v>
      </c>
      <c r="K22" s="343">
        <v>2.0499999999999998</v>
      </c>
      <c r="L22" s="343">
        <v>2.0499999999999998</v>
      </c>
    </row>
    <row r="23" spans="2:12" x14ac:dyDescent="0.2">
      <c r="B23" s="89" t="s">
        <v>460</v>
      </c>
      <c r="F23" s="343">
        <v>2045</v>
      </c>
      <c r="G23" s="347">
        <v>2094</v>
      </c>
      <c r="H23" s="368">
        <f>H24/H22</f>
        <v>2099.1272371363634</v>
      </c>
      <c r="I23" s="368">
        <f t="shared" ref="I23:L23" si="8">I24/I22</f>
        <v>2099.1272371363634</v>
      </c>
      <c r="J23" s="368">
        <f t="shared" si="8"/>
        <v>2099.1272371363634</v>
      </c>
      <c r="K23" s="368">
        <f t="shared" si="8"/>
        <v>2099.1272371363634</v>
      </c>
      <c r="L23" s="368">
        <f t="shared" si="8"/>
        <v>2099.1272371363634</v>
      </c>
    </row>
    <row r="24" spans="2:12" x14ac:dyDescent="0.2">
      <c r="B24" s="89" t="s">
        <v>449</v>
      </c>
      <c r="F24" s="345">
        <f>F22*F23</f>
        <v>4069.55</v>
      </c>
      <c r="G24" s="345">
        <f>G22*G23</f>
        <v>4606.8</v>
      </c>
      <c r="H24" s="376">
        <f>H45</f>
        <v>4303.210836129545</v>
      </c>
      <c r="I24" s="376">
        <f>H24*(1+I11)</f>
        <v>4303.210836129545</v>
      </c>
      <c r="J24" s="376">
        <f>I24*(1+J11)</f>
        <v>4303.210836129545</v>
      </c>
      <c r="K24" s="376">
        <f>J24*(1+K11)</f>
        <v>4303.210836129545</v>
      </c>
      <c r="L24" s="376">
        <f>K24*(1+L11)</f>
        <v>4303.210836129545</v>
      </c>
    </row>
    <row r="26" spans="2:12" x14ac:dyDescent="0.2">
      <c r="G26" s="345"/>
    </row>
    <row r="27" spans="2:12" x14ac:dyDescent="0.2">
      <c r="B27" s="343" t="s">
        <v>462</v>
      </c>
    </row>
    <row r="28" spans="2:12" x14ac:dyDescent="0.2">
      <c r="F28" s="368"/>
      <c r="G28" s="368"/>
      <c r="H28" s="368"/>
      <c r="I28" s="368"/>
      <c r="J28" s="368"/>
      <c r="K28" s="368"/>
      <c r="L28" s="368"/>
    </row>
    <row r="30" spans="2:12" x14ac:dyDescent="0.2">
      <c r="F30" s="395"/>
      <c r="G30" s="395"/>
      <c r="H30" s="376"/>
      <c r="I30" s="376"/>
      <c r="J30" s="376"/>
      <c r="K30" s="376"/>
      <c r="L30" s="376"/>
    </row>
    <row r="31" spans="2:12" x14ac:dyDescent="0.2">
      <c r="F31" s="390"/>
      <c r="G31" s="390"/>
      <c r="H31" s="390"/>
      <c r="I31" s="390"/>
      <c r="J31" s="390"/>
      <c r="K31" s="390"/>
      <c r="L31" s="390"/>
    </row>
    <row r="32" spans="2:12" x14ac:dyDescent="0.2">
      <c r="B32" s="399"/>
      <c r="C32" s="401"/>
      <c r="D32" s="399"/>
      <c r="E32" s="399"/>
      <c r="F32" s="408"/>
      <c r="G32" s="408"/>
      <c r="H32" s="408"/>
      <c r="I32" s="408"/>
      <c r="J32" s="408"/>
      <c r="K32" s="408"/>
      <c r="L32" s="408"/>
    </row>
    <row r="33" spans="2:12" x14ac:dyDescent="0.2">
      <c r="B33" s="399"/>
      <c r="C33" s="399"/>
      <c r="D33" s="399"/>
      <c r="E33" s="399"/>
      <c r="F33" s="400"/>
      <c r="G33" s="400"/>
      <c r="H33" s="400"/>
      <c r="I33" s="400"/>
      <c r="J33" s="400"/>
      <c r="K33" s="400"/>
      <c r="L33" s="400"/>
    </row>
    <row r="34" spans="2:12" x14ac:dyDescent="0.2">
      <c r="H34" s="384"/>
      <c r="I34" s="384"/>
      <c r="J34" s="384"/>
      <c r="K34" s="384"/>
      <c r="L34" s="384"/>
    </row>
    <row r="35" spans="2:12" x14ac:dyDescent="0.2">
      <c r="H35" s="369"/>
      <c r="I35" s="369"/>
      <c r="J35" s="369"/>
      <c r="K35" s="369"/>
      <c r="L35" s="369"/>
    </row>
    <row r="37" spans="2:12" x14ac:dyDescent="0.2">
      <c r="H37" s="359"/>
      <c r="I37" s="359"/>
      <c r="J37" s="359"/>
      <c r="K37" s="359"/>
      <c r="L37" s="359"/>
    </row>
    <row r="39" spans="2:12" x14ac:dyDescent="0.2">
      <c r="B39" s="363" t="s">
        <v>442</v>
      </c>
      <c r="C39" s="363"/>
      <c r="D39" s="363"/>
      <c r="E39" s="363"/>
      <c r="F39" s="363"/>
      <c r="G39" s="367">
        <v>2045377958.4000001</v>
      </c>
      <c r="H39" s="367">
        <f>H15*H13/100000</f>
        <v>20883.547715336968</v>
      </c>
      <c r="I39" s="367">
        <f>I15*I13/100000</f>
        <v>21322.345994180621</v>
      </c>
      <c r="J39" s="367">
        <f>J15*J13/100000</f>
        <v>21770.364159038891</v>
      </c>
      <c r="K39" s="367">
        <f>K15*K13/100000</f>
        <v>22227.795935143215</v>
      </c>
      <c r="L39" s="367">
        <f>L15*L13/100000</f>
        <v>22694.839118216263</v>
      </c>
    </row>
    <row r="40" spans="2:12" x14ac:dyDescent="0.2">
      <c r="B40" s="363" t="s">
        <v>291</v>
      </c>
      <c r="C40" s="363"/>
      <c r="D40" s="363"/>
      <c r="E40" s="363"/>
      <c r="F40" s="363"/>
      <c r="G40" s="363"/>
      <c r="H40" s="367"/>
      <c r="I40" s="367"/>
      <c r="J40" s="367"/>
      <c r="K40" s="367"/>
      <c r="L40" s="367"/>
    </row>
    <row r="41" spans="2:12" x14ac:dyDescent="0.2">
      <c r="B41" s="363" t="s">
        <v>293</v>
      </c>
      <c r="C41" s="363"/>
      <c r="D41" s="363"/>
      <c r="E41" s="363"/>
      <c r="F41" s="363"/>
      <c r="G41" s="363"/>
      <c r="H41" s="366"/>
      <c r="I41" s="366"/>
      <c r="J41" s="366"/>
      <c r="K41" s="366"/>
      <c r="L41" s="366"/>
    </row>
    <row r="42" spans="2:12" x14ac:dyDescent="0.2">
      <c r="B42" s="363" t="s">
        <v>294</v>
      </c>
      <c r="C42" s="363"/>
      <c r="D42" s="363"/>
      <c r="E42" s="363"/>
      <c r="F42" s="363"/>
      <c r="G42" s="363"/>
      <c r="H42" s="367"/>
      <c r="I42" s="367"/>
      <c r="J42" s="367"/>
      <c r="K42" s="367"/>
      <c r="L42" s="367"/>
    </row>
    <row r="43" spans="2:12" x14ac:dyDescent="0.2">
      <c r="B43" s="404" t="s">
        <v>455</v>
      </c>
      <c r="C43" s="404"/>
      <c r="D43" s="404"/>
      <c r="E43" s="404"/>
      <c r="F43" s="404"/>
      <c r="G43" s="405">
        <f>G13*G14/100000</f>
        <v>21971.833537499999</v>
      </c>
      <c r="H43" s="405">
        <f>H13*H14/100000</f>
        <v>23534.580197854684</v>
      </c>
      <c r="I43" s="405">
        <f>I13*I14/100000</f>
        <v>25208.477214427094</v>
      </c>
      <c r="J43" s="405">
        <f>J13*J14/100000</f>
        <v>27001.430156303217</v>
      </c>
      <c r="K43" s="405">
        <f>K13*K14/100000</f>
        <v>28921.906876170273</v>
      </c>
      <c r="L43" s="405">
        <f>L13*L14/100000</f>
        <v>30978.977502737878</v>
      </c>
    </row>
    <row r="44" spans="2:12" x14ac:dyDescent="0.2">
      <c r="B44" s="383" t="s">
        <v>448</v>
      </c>
      <c r="C44" s="383"/>
      <c r="D44" s="383"/>
      <c r="E44" s="383"/>
      <c r="F44" s="383"/>
      <c r="G44" s="397">
        <f>G21*G13/100000</f>
        <v>14141.8710405</v>
      </c>
      <c r="H44" s="397">
        <f>H21*H13/100000</f>
        <v>14640.371994677622</v>
      </c>
      <c r="I44" s="397">
        <f t="shared" ref="I44:L44" si="9">I21*I13/100000</f>
        <v>15156.445107490008</v>
      </c>
      <c r="J44" s="397">
        <f t="shared" si="9"/>
        <v>15690.709797529029</v>
      </c>
      <c r="K44" s="397">
        <f t="shared" si="9"/>
        <v>16243.807317891928</v>
      </c>
      <c r="L44" s="397">
        <f t="shared" si="9"/>
        <v>16816.401525847614</v>
      </c>
    </row>
    <row r="45" spans="2:12" x14ac:dyDescent="0.2">
      <c r="B45" s="343" t="s">
        <v>449</v>
      </c>
      <c r="F45" s="368">
        <f>F33*F22</f>
        <v>0</v>
      </c>
      <c r="G45" s="368">
        <f>G46-G44</f>
        <v>4618.0799217000003</v>
      </c>
      <c r="H45" s="368">
        <f>G45*(1+(H22/G22-1))</f>
        <v>4303.210836129545</v>
      </c>
      <c r="I45" s="368">
        <f t="shared" ref="I45:L45" si="10">H45*(1+(I22/H22-1))</f>
        <v>4303.210836129545</v>
      </c>
      <c r="J45" s="368">
        <f t="shared" si="10"/>
        <v>4303.210836129545</v>
      </c>
      <c r="K45" s="368">
        <f t="shared" si="10"/>
        <v>4303.210836129545</v>
      </c>
      <c r="L45" s="368">
        <f t="shared" si="10"/>
        <v>4303.210836129545</v>
      </c>
    </row>
    <row r="46" spans="2:12" x14ac:dyDescent="0.2">
      <c r="B46" s="383" t="s">
        <v>450</v>
      </c>
      <c r="C46" s="383"/>
      <c r="D46" s="383"/>
      <c r="E46" s="383"/>
      <c r="F46" s="383"/>
      <c r="G46" s="397">
        <f>G20*G13/100000</f>
        <v>18759.950962200001</v>
      </c>
      <c r="H46" s="397">
        <f>SUM(H44:H45)</f>
        <v>18943.582830807165</v>
      </c>
      <c r="I46" s="397">
        <f t="shared" ref="I46:L46" si="11">SUM(I44:I45)</f>
        <v>19459.655943619553</v>
      </c>
      <c r="J46" s="397">
        <f t="shared" si="11"/>
        <v>19993.920633658574</v>
      </c>
      <c r="K46" s="397">
        <f t="shared" si="11"/>
        <v>20547.018154021473</v>
      </c>
      <c r="L46" s="397">
        <f t="shared" si="11"/>
        <v>21119.612361977161</v>
      </c>
    </row>
    <row r="47" spans="2:12" ht="17" thickBot="1" x14ac:dyDescent="0.25">
      <c r="B47" s="351" t="s">
        <v>447</v>
      </c>
      <c r="C47" s="351"/>
      <c r="D47" s="351"/>
      <c r="E47" s="351"/>
      <c r="F47" s="351">
        <v>3407</v>
      </c>
      <c r="G47" s="382">
        <f>G43-G46</f>
        <v>3211.8825752999983</v>
      </c>
      <c r="H47" s="382">
        <f>H43-H46</f>
        <v>4590.9973670475192</v>
      </c>
      <c r="I47" s="382">
        <f t="shared" ref="I47:L47" si="12">I43-I46</f>
        <v>5748.8212708075407</v>
      </c>
      <c r="J47" s="382">
        <f t="shared" si="12"/>
        <v>7007.5095226446429</v>
      </c>
      <c r="K47" s="382">
        <f t="shared" si="12"/>
        <v>8374.8887221488003</v>
      </c>
      <c r="L47" s="382">
        <f t="shared" si="12"/>
        <v>9859.3651407607176</v>
      </c>
    </row>
    <row r="48" spans="2:12" ht="17" thickTop="1" x14ac:dyDescent="0.2">
      <c r="F48" s="343">
        <v>4069.5500000000006</v>
      </c>
      <c r="G48" s="343">
        <v>4616</v>
      </c>
      <c r="H48" s="368"/>
    </row>
    <row r="49" spans="1:11" x14ac:dyDescent="0.2">
      <c r="F49" s="343">
        <v>3407</v>
      </c>
      <c r="G49" s="343">
        <v>3206</v>
      </c>
    </row>
    <row r="51" spans="1:11" x14ac:dyDescent="0.2">
      <c r="G51" s="372"/>
    </row>
    <row r="52" spans="1:11" ht="16" customHeight="1" x14ac:dyDescent="0.2"/>
    <row r="53" spans="1:11" x14ac:dyDescent="0.2">
      <c r="G53" s="372"/>
    </row>
    <row r="54" spans="1:11" x14ac:dyDescent="0.2">
      <c r="G54" s="369"/>
    </row>
    <row r="56" spans="1:11" x14ac:dyDescent="0.2">
      <c r="F56" s="344">
        <v>2017</v>
      </c>
      <c r="G56" s="344">
        <v>2018</v>
      </c>
      <c r="I56" s="344">
        <v>2019</v>
      </c>
      <c r="J56" s="365" t="s">
        <v>414</v>
      </c>
    </row>
    <row r="57" spans="1:11" x14ac:dyDescent="0.2">
      <c r="A57" s="344" t="s">
        <v>324</v>
      </c>
      <c r="F57" s="344"/>
      <c r="G57" s="344"/>
      <c r="I57" s="344"/>
      <c r="J57" s="365"/>
    </row>
    <row r="58" spans="1:11" x14ac:dyDescent="0.2">
      <c r="A58" s="344"/>
      <c r="I58" s="354"/>
    </row>
    <row r="59" spans="1:11" x14ac:dyDescent="0.2">
      <c r="A59" s="343" t="s">
        <v>325</v>
      </c>
      <c r="F59" s="345">
        <v>130256190</v>
      </c>
      <c r="G59" s="346">
        <v>134890243</v>
      </c>
      <c r="I59" s="370">
        <f>G59*(1+I102)</f>
        <v>134890243</v>
      </c>
    </row>
    <row r="60" spans="1:11" x14ac:dyDescent="0.2">
      <c r="A60" s="343" t="s">
        <v>326</v>
      </c>
      <c r="F60" s="345">
        <v>157677218</v>
      </c>
      <c r="G60" s="346">
        <v>163605833</v>
      </c>
      <c r="I60" s="370">
        <f>I59*I103+I59</f>
        <v>134890243</v>
      </c>
    </row>
    <row r="61" spans="1:11" x14ac:dyDescent="0.2">
      <c r="A61" s="343" t="s">
        <v>327</v>
      </c>
      <c r="F61" s="345">
        <v>129041420</v>
      </c>
      <c r="G61" s="346">
        <v>133322322</v>
      </c>
      <c r="I61" s="371">
        <f>I59*I104</f>
        <v>0</v>
      </c>
      <c r="K61" s="372"/>
    </row>
    <row r="62" spans="1:11" x14ac:dyDescent="0.2">
      <c r="A62" s="343" t="s">
        <v>328</v>
      </c>
      <c r="F62" s="345">
        <v>153811072</v>
      </c>
      <c r="G62" s="346">
        <v>159795153</v>
      </c>
      <c r="I62" s="391">
        <f>I109</f>
        <v>0</v>
      </c>
      <c r="J62" s="343" t="s">
        <v>401</v>
      </c>
      <c r="K62" s="396"/>
    </row>
    <row r="63" spans="1:11" x14ac:dyDescent="0.2">
      <c r="A63" s="343" t="s">
        <v>416</v>
      </c>
      <c r="F63" s="375">
        <v>0.83899999999999997</v>
      </c>
      <c r="G63" s="384">
        <v>0.83399999999999996</v>
      </c>
      <c r="I63" s="373">
        <f>I120</f>
        <v>0</v>
      </c>
    </row>
    <row r="64" spans="1:11" x14ac:dyDescent="0.2">
      <c r="A64" s="343" t="s">
        <v>329</v>
      </c>
      <c r="F64" s="343">
        <v>991</v>
      </c>
      <c r="G64" s="347">
        <v>988</v>
      </c>
      <c r="I64" s="390">
        <v>990</v>
      </c>
    </row>
    <row r="65" spans="1:12" x14ac:dyDescent="0.2">
      <c r="A65" s="343" t="s">
        <v>330</v>
      </c>
      <c r="F65" s="343">
        <v>754</v>
      </c>
      <c r="G65" s="347">
        <v>757</v>
      </c>
      <c r="I65" s="363">
        <v>755</v>
      </c>
      <c r="K65" s="369"/>
    </row>
    <row r="66" spans="1:12" x14ac:dyDescent="0.2">
      <c r="A66" s="343" t="s">
        <v>331</v>
      </c>
      <c r="F66" s="414">
        <v>1347893</v>
      </c>
      <c r="G66" s="346">
        <v>1375030</v>
      </c>
      <c r="I66" s="367">
        <f>I115</f>
        <v>0</v>
      </c>
      <c r="J66" s="368"/>
      <c r="K66" s="369"/>
    </row>
    <row r="67" spans="1:12" x14ac:dyDescent="0.2">
      <c r="A67" s="343" t="s">
        <v>332</v>
      </c>
      <c r="F67" s="345">
        <v>200878967</v>
      </c>
      <c r="G67" s="346">
        <v>207223050</v>
      </c>
      <c r="I67" s="370">
        <f>I66*I68</f>
        <v>0</v>
      </c>
      <c r="J67" s="368"/>
    </row>
    <row r="68" spans="1:12" x14ac:dyDescent="0.2">
      <c r="A68" s="343" t="s">
        <v>333</v>
      </c>
      <c r="F68" s="343">
        <v>151.72999999999999</v>
      </c>
      <c r="G68" s="347">
        <v>150.69999999999999</v>
      </c>
      <c r="I68" s="390">
        <f>I121</f>
        <v>0</v>
      </c>
      <c r="J68" s="369"/>
      <c r="K68" s="388"/>
    </row>
    <row r="69" spans="1:12" x14ac:dyDescent="0.2">
      <c r="A69" s="343" t="s">
        <v>334</v>
      </c>
      <c r="F69" s="361">
        <v>149.03</v>
      </c>
      <c r="G69" s="377">
        <v>151.63999999999999</v>
      </c>
      <c r="I69" s="378">
        <f>I122</f>
        <v>0</v>
      </c>
    </row>
    <row r="70" spans="1:12" x14ac:dyDescent="0.2">
      <c r="A70" s="343" t="s">
        <v>335</v>
      </c>
      <c r="F70" s="361">
        <v>15.32</v>
      </c>
      <c r="G70" s="377">
        <v>15.34</v>
      </c>
      <c r="I70" s="378" t="e">
        <f>I138*100000/I61</f>
        <v>#DIV/0!</v>
      </c>
      <c r="J70" s="388"/>
      <c r="K70" s="398"/>
    </row>
    <row r="71" spans="1:12" x14ac:dyDescent="0.2">
      <c r="A71" s="343" t="s">
        <v>336</v>
      </c>
      <c r="E71" s="372">
        <f>F62/F71</f>
        <v>11186259.781818181</v>
      </c>
      <c r="F71" s="343">
        <v>13.75</v>
      </c>
      <c r="G71" s="410">
        <v>13.75</v>
      </c>
      <c r="I71" s="389"/>
      <c r="J71" s="343" t="s">
        <v>400</v>
      </c>
      <c r="K71" s="376"/>
      <c r="L71" s="376"/>
    </row>
    <row r="72" spans="1:12" x14ac:dyDescent="0.2">
      <c r="A72" s="343" t="s">
        <v>337</v>
      </c>
      <c r="F72" s="343">
        <v>12.85</v>
      </c>
      <c r="G72" s="347">
        <v>12.8</v>
      </c>
      <c r="I72" s="390"/>
      <c r="K72" s="369"/>
      <c r="L72" s="369"/>
    </row>
    <row r="73" spans="1:12" x14ac:dyDescent="0.2">
      <c r="A73" s="343" t="s">
        <v>338</v>
      </c>
      <c r="F73" s="343">
        <v>11.53</v>
      </c>
      <c r="G73" s="347">
        <v>11.74</v>
      </c>
      <c r="I73" s="390"/>
    </row>
    <row r="74" spans="1:12" x14ac:dyDescent="0.2">
      <c r="A74" s="343" t="s">
        <v>446</v>
      </c>
      <c r="F74" s="343">
        <v>8.8800000000000008</v>
      </c>
      <c r="G74" s="410">
        <v>8.85</v>
      </c>
      <c r="I74" s="390"/>
      <c r="J74" s="343" t="s">
        <v>357</v>
      </c>
    </row>
    <row r="75" spans="1:12" x14ac:dyDescent="0.2">
      <c r="A75" s="343" t="s">
        <v>339</v>
      </c>
      <c r="F75" s="343">
        <v>11.57</v>
      </c>
      <c r="G75" s="347">
        <v>11.76</v>
      </c>
      <c r="I75" s="390"/>
    </row>
    <row r="76" spans="1:12" x14ac:dyDescent="0.2">
      <c r="A76" s="343" t="s">
        <v>344</v>
      </c>
      <c r="F76" s="343">
        <v>8.82</v>
      </c>
      <c r="G76" s="347">
        <v>8.8699999999999992</v>
      </c>
      <c r="I76" s="390"/>
    </row>
    <row r="77" spans="1:12" x14ac:dyDescent="0.2">
      <c r="A77" s="343" t="s">
        <v>340</v>
      </c>
      <c r="F77" s="343">
        <v>8.4700000000000006</v>
      </c>
      <c r="G77" s="347">
        <v>8.5299999999999994</v>
      </c>
      <c r="I77" s="390"/>
    </row>
    <row r="78" spans="1:12" x14ac:dyDescent="0.2">
      <c r="A78" s="343" t="s">
        <v>342</v>
      </c>
      <c r="F78" s="343">
        <v>1.72</v>
      </c>
      <c r="G78" s="347">
        <v>2.21</v>
      </c>
      <c r="I78" s="363"/>
    </row>
    <row r="79" spans="1:12" x14ac:dyDescent="0.2">
      <c r="A79" s="343" t="s">
        <v>345</v>
      </c>
      <c r="F79" s="343">
        <v>1.99</v>
      </c>
      <c r="G79" s="347">
        <v>2.2000000000000002</v>
      </c>
      <c r="I79" s="363"/>
      <c r="J79" s="343" t="s">
        <v>412</v>
      </c>
      <c r="K79" s="392"/>
    </row>
    <row r="80" spans="1:12" x14ac:dyDescent="0.2">
      <c r="A80" s="343" t="s">
        <v>343</v>
      </c>
      <c r="F80" s="343">
        <v>2.06</v>
      </c>
      <c r="G80" s="347">
        <v>2.2000000000000002</v>
      </c>
      <c r="I80" s="363"/>
      <c r="K80" s="392"/>
    </row>
    <row r="81" spans="1:15" x14ac:dyDescent="0.2">
      <c r="A81" s="343" t="s">
        <v>346</v>
      </c>
      <c r="F81" s="345">
        <v>2045</v>
      </c>
      <c r="G81" s="346">
        <v>2094</v>
      </c>
      <c r="I81" s="363"/>
      <c r="K81" s="392"/>
    </row>
    <row r="82" spans="1:15" x14ac:dyDescent="0.2">
      <c r="A82" s="343" t="s">
        <v>341</v>
      </c>
      <c r="F82" s="345">
        <v>56110</v>
      </c>
      <c r="G82" s="346">
        <v>58803</v>
      </c>
      <c r="I82" s="363"/>
      <c r="K82" s="392"/>
    </row>
    <row r="83" spans="1:15" x14ac:dyDescent="0.2">
      <c r="A83" s="343" t="s">
        <v>347</v>
      </c>
      <c r="F83" s="343">
        <v>706</v>
      </c>
      <c r="G83" s="347">
        <v>750</v>
      </c>
      <c r="I83" s="363">
        <f>I136</f>
        <v>0</v>
      </c>
      <c r="J83" s="343" t="s">
        <v>411</v>
      </c>
      <c r="K83" s="392"/>
    </row>
    <row r="84" spans="1:15" x14ac:dyDescent="0.2">
      <c r="G84" s="343">
        <f>'DCF-N'!H36</f>
        <v>20455</v>
      </c>
    </row>
    <row r="85" spans="1:15" x14ac:dyDescent="0.2">
      <c r="H85" s="343">
        <f>'DCF-N'!H39</f>
        <v>21965</v>
      </c>
    </row>
    <row r="86" spans="1:15" x14ac:dyDescent="0.2">
      <c r="A86" s="343" t="s">
        <v>348</v>
      </c>
      <c r="H86" s="343">
        <f>H85/G62*100000</f>
        <v>13.745723563968177</v>
      </c>
      <c r="I86" s="343">
        <f>H86*G62</f>
        <v>2196500000</v>
      </c>
    </row>
    <row r="87" spans="1:15" x14ac:dyDescent="0.2">
      <c r="A87" s="343" t="s">
        <v>349</v>
      </c>
      <c r="H87" s="343">
        <f>'DCF-N'!H54</f>
        <v>18801</v>
      </c>
      <c r="N87" s="406"/>
      <c r="O87" s="407"/>
    </row>
    <row r="88" spans="1:15" x14ac:dyDescent="0.2">
      <c r="A88" s="343" t="s">
        <v>350</v>
      </c>
      <c r="H88" s="343">
        <f>'DCF-N'!H55</f>
        <v>3164</v>
      </c>
      <c r="O88" s="369"/>
    </row>
    <row r="89" spans="1:15" x14ac:dyDescent="0.2">
      <c r="A89" s="343" t="s">
        <v>351</v>
      </c>
      <c r="H89" s="343">
        <f>H87/G62</f>
        <v>1.1765688537499007E-4</v>
      </c>
      <c r="N89" s="347"/>
    </row>
    <row r="90" spans="1:15" x14ac:dyDescent="0.2">
      <c r="A90" s="343" t="s">
        <v>352</v>
      </c>
    </row>
    <row r="91" spans="1:15" x14ac:dyDescent="0.2">
      <c r="A91" s="343" t="s">
        <v>353</v>
      </c>
    </row>
    <row r="92" spans="1:15" x14ac:dyDescent="0.2">
      <c r="A92" s="343" t="s">
        <v>354</v>
      </c>
    </row>
    <row r="93" spans="1:15" x14ac:dyDescent="0.2">
      <c r="A93" s="343" t="s">
        <v>355</v>
      </c>
    </row>
    <row r="94" spans="1:15" x14ac:dyDescent="0.2">
      <c r="A94" s="343" t="s">
        <v>356</v>
      </c>
    </row>
    <row r="95" spans="1:15" x14ac:dyDescent="0.2">
      <c r="A95" s="380" t="s">
        <v>454</v>
      </c>
      <c r="B95" s="350"/>
      <c r="C95" s="350"/>
      <c r="D95" s="350"/>
      <c r="E95" s="350"/>
      <c r="F95" s="350"/>
      <c r="G95" s="350"/>
      <c r="H95" s="350"/>
      <c r="I95" s="350"/>
      <c r="J95" s="350"/>
      <c r="K95" s="350"/>
      <c r="L95" s="350"/>
    </row>
    <row r="96" spans="1:15" x14ac:dyDescent="0.2">
      <c r="A96" s="343" t="s">
        <v>199</v>
      </c>
      <c r="D96" s="384">
        <f>IFERROR('DCF-N'!D35/'DCF-N'!D$39,0)</f>
        <v>9.4060736361193231E-3</v>
      </c>
      <c r="E96" s="384">
        <f>IFERROR('DCF-N'!E35/'DCF-N'!E$39,0)</f>
        <v>9.0312815338042373E-3</v>
      </c>
      <c r="F96" s="384">
        <f>IFERROR('DCF-N'!F35/'DCF-N'!F$39,0)</f>
        <v>8.4282123318054122E-3</v>
      </c>
      <c r="G96" s="384">
        <f>IFERROR('DCF-N'!G35/'DCF-N'!G$39,0)</f>
        <v>8.1812163056842902E-3</v>
      </c>
      <c r="H96" s="384">
        <f>IFERROR('DCF-N'!H35/'DCF-N'!H$39,0)</f>
        <v>7.9672205781925794E-3</v>
      </c>
      <c r="I96" s="369">
        <f>I100*H96</f>
        <v>178.66638231160937</v>
      </c>
      <c r="J96" s="369">
        <f>J100*$H96</f>
        <v>182.42046193994665</v>
      </c>
      <c r="K96" s="369">
        <f>K100*$H96</f>
        <v>186.25342106242024</v>
      </c>
      <c r="L96" s="369">
        <f>L100*$H96</f>
        <v>190.16691706917931</v>
      </c>
      <c r="M96" s="369">
        <f>M100*$H96</f>
        <v>194.16264217491303</v>
      </c>
    </row>
    <row r="97" spans="1:13" x14ac:dyDescent="0.2">
      <c r="A97" s="343" t="s">
        <v>200</v>
      </c>
      <c r="D97" s="384">
        <f>IFERROR('DCF-N'!D36/'DCF-N'!D$39,0)</f>
        <v>0.94909970438054292</v>
      </c>
      <c r="E97" s="384">
        <f>IFERROR('DCF-N'!E36/'DCF-N'!E$39,0)</f>
        <v>0.92325933400605453</v>
      </c>
      <c r="F97" s="384">
        <f>IFERROR('DCF-N'!F36/'DCF-N'!F$39,0)</f>
        <v>0.93981960668342457</v>
      </c>
      <c r="G97" s="384">
        <f>IFERROR('DCF-N'!G36/'DCF-N'!G$39,0)</f>
        <v>0.93459755982218862</v>
      </c>
      <c r="H97" s="384">
        <f>IFERROR('DCF-N'!H36/'DCF-N'!H$39,0)</f>
        <v>0.93125426815388113</v>
      </c>
      <c r="I97" s="368">
        <f>H39</f>
        <v>20883.547715336968</v>
      </c>
      <c r="J97" s="368">
        <f>I39</f>
        <v>21322.345994180621</v>
      </c>
      <c r="K97" s="368">
        <f>J39</f>
        <v>21770.364159038891</v>
      </c>
      <c r="L97" s="368">
        <f>K39</f>
        <v>22227.795935143215</v>
      </c>
      <c r="M97" s="368">
        <f>L39</f>
        <v>22694.839118216263</v>
      </c>
    </row>
    <row r="98" spans="1:13" x14ac:dyDescent="0.2">
      <c r="A98" s="343" t="s">
        <v>201</v>
      </c>
      <c r="D98" s="384">
        <f>IFERROR('DCF-N'!D37/'DCF-N'!D$39,0)</f>
        <v>0</v>
      </c>
      <c r="E98" s="384">
        <f>IFERROR('DCF-N'!E37/'DCF-N'!E$39,0)</f>
        <v>8.6781029263370332E-3</v>
      </c>
      <c r="F98" s="384">
        <f>IFERROR('DCF-N'!F37/'DCF-N'!F$39,0)</f>
        <v>0</v>
      </c>
      <c r="G98" s="384">
        <f>IFERROR('DCF-N'!G37/'DCF-N'!G$39,0)</f>
        <v>0</v>
      </c>
      <c r="H98" s="384">
        <f>IFERROR('DCF-N'!H37/'DCF-N'!H$39,0)</f>
        <v>0</v>
      </c>
      <c r="I98" s="369">
        <f>I97*H98</f>
        <v>0</v>
      </c>
      <c r="J98" s="369">
        <f>J97*I98</f>
        <v>0</v>
      </c>
      <c r="K98" s="369">
        <f>K97*J98</f>
        <v>0</v>
      </c>
      <c r="L98" s="369">
        <f t="shared" ref="L98" si="13">L97*K98</f>
        <v>0</v>
      </c>
      <c r="M98" s="369">
        <f>M97*L98</f>
        <v>0</v>
      </c>
    </row>
    <row r="99" spans="1:13" x14ac:dyDescent="0.2">
      <c r="A99" s="343" t="s">
        <v>203</v>
      </c>
      <c r="D99" s="384">
        <f>IFERROR('DCF-N'!D38/'DCF-N'!D$39,0)</f>
        <v>4.1494221983337812E-2</v>
      </c>
      <c r="E99" s="384">
        <f>IFERROR('DCF-N'!E38/'DCF-N'!E$39,0)</f>
        <v>5.9031281533804235E-2</v>
      </c>
      <c r="F99" s="384">
        <f>IFERROR('DCF-N'!F38/'DCF-N'!F$39,0)</f>
        <v>5.1752180984770073E-2</v>
      </c>
      <c r="G99" s="384">
        <f>IFERROR('DCF-N'!G38/'DCF-N'!G$39,0)</f>
        <v>5.7221223872127115E-2</v>
      </c>
      <c r="H99" s="384">
        <f>IFERROR('DCF-N'!H38/'DCF-N'!H$39,0)</f>
        <v>6.0778511267926244E-2</v>
      </c>
      <c r="I99" s="369">
        <f>I100*H99</f>
        <v>1362.9692593485629</v>
      </c>
      <c r="J99" s="369">
        <f>J100*$H99</f>
        <v>1391.6075239418788</v>
      </c>
      <c r="K99" s="369">
        <f>K100*$H99</f>
        <v>1420.8475263904629</v>
      </c>
      <c r="L99" s="369">
        <f>L100*$H99</f>
        <v>1450.7019102134534</v>
      </c>
      <c r="M99" s="369">
        <f>M100*$H99</f>
        <v>1481.1835845914793</v>
      </c>
    </row>
    <row r="100" spans="1:13" ht="17" thickBot="1" x14ac:dyDescent="0.25">
      <c r="A100" s="348"/>
      <c r="B100" s="348"/>
      <c r="C100" s="348"/>
      <c r="D100" s="402">
        <f>SUM(D96:D99)</f>
        <v>1</v>
      </c>
      <c r="E100" s="402">
        <f>SUM(E96:E99)</f>
        <v>1.0000000000000002</v>
      </c>
      <c r="F100" s="402">
        <f>SUM(F96:F99)</f>
        <v>1</v>
      </c>
      <c r="G100" s="402">
        <f>SUM(G96:G99)</f>
        <v>1</v>
      </c>
      <c r="H100" s="402">
        <f>SUM(H96:H99)</f>
        <v>0.99999999999999989</v>
      </c>
      <c r="I100" s="386">
        <f>I97/H97</f>
        <v>22425.183356997142</v>
      </c>
      <c r="J100" s="386">
        <f>J97/$H97</f>
        <v>22896.373980062446</v>
      </c>
      <c r="K100" s="386">
        <f>K97/$H97</f>
        <v>23377.465106491774</v>
      </c>
      <c r="L100" s="386">
        <f>L97/$H97</f>
        <v>23868.664762425848</v>
      </c>
      <c r="M100" s="386">
        <f>M97/$H97</f>
        <v>24370.185344982656</v>
      </c>
    </row>
    <row r="101" spans="1:13" ht="17" thickTop="1" x14ac:dyDescent="0.2">
      <c r="A101" s="406"/>
      <c r="B101" s="383"/>
      <c r="C101" s="383"/>
      <c r="D101" s="383"/>
      <c r="E101" s="383"/>
      <c r="F101" s="383"/>
      <c r="G101" s="383"/>
      <c r="H101" s="383"/>
      <c r="I101" s="383"/>
    </row>
    <row r="102" spans="1:13" x14ac:dyDescent="0.2">
      <c r="A102" s="406" t="s">
        <v>472</v>
      </c>
      <c r="B102" s="383"/>
      <c r="C102" s="383"/>
      <c r="D102" s="383"/>
      <c r="E102" s="383"/>
      <c r="F102" s="383"/>
      <c r="G102" s="383"/>
      <c r="H102" s="441"/>
      <c r="I102" s="441"/>
    </row>
    <row r="103" spans="1:13" x14ac:dyDescent="0.2">
      <c r="A103" s="350" t="s">
        <v>463</v>
      </c>
      <c r="B103" s="456" t="s">
        <v>468</v>
      </c>
      <c r="C103" s="456" t="s">
        <v>469</v>
      </c>
      <c r="D103" s="456" t="s">
        <v>473</v>
      </c>
      <c r="E103" s="456" t="s">
        <v>470</v>
      </c>
      <c r="F103" s="456" t="s">
        <v>471</v>
      </c>
      <c r="H103" s="441"/>
      <c r="I103" s="441"/>
    </row>
    <row r="104" spans="1:13" x14ac:dyDescent="0.2">
      <c r="A104" s="383" t="s">
        <v>464</v>
      </c>
      <c r="B104" s="457">
        <v>143</v>
      </c>
      <c r="C104" s="457">
        <v>15</v>
      </c>
      <c r="D104" s="457">
        <v>512</v>
      </c>
      <c r="E104" s="457">
        <v>396</v>
      </c>
      <c r="F104" s="458">
        <v>116</v>
      </c>
      <c r="H104" s="441"/>
      <c r="I104" s="441"/>
    </row>
    <row r="105" spans="1:13" x14ac:dyDescent="0.2">
      <c r="A105" s="383" t="s">
        <v>465</v>
      </c>
      <c r="B105" s="457">
        <v>175</v>
      </c>
      <c r="C105" s="457">
        <v>3</v>
      </c>
      <c r="D105" s="457">
        <v>207</v>
      </c>
      <c r="E105" s="457">
        <v>200</v>
      </c>
      <c r="F105" s="459">
        <v>7</v>
      </c>
      <c r="H105" s="383"/>
      <c r="I105" s="383"/>
    </row>
    <row r="106" spans="1:13" x14ac:dyDescent="0.2">
      <c r="A106" s="383" t="s">
        <v>466</v>
      </c>
      <c r="B106" s="457">
        <v>175</v>
      </c>
      <c r="C106" s="457">
        <v>1</v>
      </c>
      <c r="D106" s="457">
        <v>31</v>
      </c>
      <c r="E106" s="457">
        <v>31</v>
      </c>
      <c r="F106" s="459">
        <v>0</v>
      </c>
      <c r="H106" s="383"/>
      <c r="I106" s="383"/>
    </row>
    <row r="107" spans="1:13" ht="17" thickBot="1" x14ac:dyDescent="0.25">
      <c r="A107" s="348" t="s">
        <v>467</v>
      </c>
      <c r="B107" s="460"/>
      <c r="C107" s="460">
        <v>11</v>
      </c>
      <c r="D107" s="460">
        <f>SUM(D104:D106)</f>
        <v>750</v>
      </c>
      <c r="E107" s="460">
        <f t="shared" ref="E107:F107" si="14">SUM(E104:E106)</f>
        <v>627</v>
      </c>
      <c r="F107" s="460">
        <f t="shared" si="14"/>
        <v>123</v>
      </c>
      <c r="H107" s="444"/>
      <c r="I107" s="444"/>
    </row>
    <row r="108" spans="1:13" ht="17" thickTop="1" x14ac:dyDescent="0.2">
      <c r="B108" s="383"/>
      <c r="C108" s="383"/>
      <c r="D108" s="383"/>
      <c r="E108" s="383"/>
      <c r="F108" s="383"/>
      <c r="G108" s="445"/>
      <c r="H108" s="446"/>
      <c r="I108" s="446"/>
    </row>
    <row r="109" spans="1:13" x14ac:dyDescent="0.2">
      <c r="B109" s="383"/>
      <c r="C109" s="383"/>
      <c r="D109" s="383"/>
      <c r="E109" s="383"/>
      <c r="F109" s="383"/>
      <c r="G109" s="397"/>
      <c r="H109" s="397"/>
      <c r="I109" s="397"/>
    </row>
    <row r="110" spans="1:13" x14ac:dyDescent="0.2">
      <c r="B110" s="383"/>
      <c r="C110" s="383"/>
      <c r="D110" s="383"/>
      <c r="E110" s="383"/>
      <c r="F110" s="383"/>
      <c r="G110" s="442"/>
      <c r="H110" s="383"/>
      <c r="I110" s="383"/>
    </row>
    <row r="111" spans="1:13" x14ac:dyDescent="0.2">
      <c r="B111" s="383"/>
      <c r="C111" s="383"/>
      <c r="D111" s="383"/>
      <c r="E111" s="383"/>
      <c r="F111" s="383"/>
      <c r="G111" s="442"/>
      <c r="H111" s="383"/>
      <c r="I111" s="383"/>
    </row>
    <row r="112" spans="1:13" x14ac:dyDescent="0.2">
      <c r="B112" s="383"/>
      <c r="C112" s="383"/>
      <c r="D112" s="383"/>
      <c r="E112" s="383"/>
      <c r="F112" s="383"/>
      <c r="G112" s="443"/>
      <c r="H112" s="444"/>
      <c r="I112" s="397"/>
    </row>
    <row r="113" spans="1:9" x14ac:dyDescent="0.2">
      <c r="B113" s="383"/>
      <c r="C113" s="383"/>
      <c r="D113" s="383"/>
      <c r="E113" s="383"/>
      <c r="F113" s="383"/>
      <c r="G113" s="383"/>
      <c r="H113" s="447"/>
      <c r="I113" s="447"/>
    </row>
    <row r="114" spans="1:9" x14ac:dyDescent="0.2">
      <c r="B114" s="383"/>
      <c r="C114" s="383"/>
      <c r="D114" s="383"/>
      <c r="E114" s="383"/>
      <c r="F114" s="383"/>
      <c r="G114" s="448"/>
      <c r="H114" s="448"/>
      <c r="I114" s="448"/>
    </row>
    <row r="115" spans="1:9" x14ac:dyDescent="0.2">
      <c r="B115" s="383"/>
      <c r="C115" s="383"/>
      <c r="D115" s="383"/>
      <c r="E115" s="383"/>
      <c r="F115" s="383"/>
      <c r="G115" s="443"/>
      <c r="H115" s="443"/>
      <c r="I115" s="443"/>
    </row>
    <row r="116" spans="1:9" x14ac:dyDescent="0.2">
      <c r="A116" s="383"/>
      <c r="B116" s="383"/>
      <c r="C116" s="383"/>
      <c r="D116" s="383"/>
      <c r="E116" s="383"/>
      <c r="F116" s="383"/>
      <c r="G116" s="449"/>
      <c r="H116" s="450"/>
      <c r="I116" s="397"/>
    </row>
    <row r="117" spans="1:9" x14ac:dyDescent="0.2">
      <c r="A117" s="383"/>
      <c r="B117" s="383"/>
      <c r="C117" s="383"/>
      <c r="D117" s="383"/>
      <c r="E117" s="383"/>
      <c r="F117" s="383"/>
      <c r="G117" s="449"/>
      <c r="H117" s="451"/>
      <c r="I117" s="397"/>
    </row>
    <row r="118" spans="1:9" x14ac:dyDescent="0.2">
      <c r="A118" s="383"/>
      <c r="B118" s="383"/>
      <c r="C118" s="383"/>
      <c r="D118" s="383"/>
      <c r="E118" s="383"/>
      <c r="F118" s="383"/>
      <c r="G118" s="449"/>
      <c r="H118" s="449"/>
      <c r="I118" s="397"/>
    </row>
    <row r="119" spans="1:9" x14ac:dyDescent="0.2">
      <c r="A119" s="383"/>
      <c r="B119" s="383"/>
      <c r="C119" s="383"/>
      <c r="D119" s="383"/>
      <c r="E119" s="383"/>
      <c r="F119" s="383"/>
      <c r="G119" s="449"/>
      <c r="H119" s="452"/>
      <c r="I119" s="383"/>
    </row>
    <row r="120" spans="1:9" x14ac:dyDescent="0.2">
      <c r="A120" s="383"/>
      <c r="B120" s="383"/>
      <c r="C120" s="383"/>
      <c r="D120" s="383"/>
      <c r="E120" s="383"/>
      <c r="F120" s="383"/>
      <c r="G120" s="441"/>
      <c r="H120" s="441"/>
      <c r="I120" s="441"/>
    </row>
    <row r="121" spans="1:9" x14ac:dyDescent="0.2">
      <c r="A121" s="383"/>
      <c r="B121" s="383"/>
      <c r="C121" s="383"/>
      <c r="D121" s="383"/>
      <c r="E121" s="383"/>
      <c r="F121" s="383"/>
      <c r="G121" s="452"/>
      <c r="H121" s="452"/>
      <c r="I121" s="383"/>
    </row>
    <row r="122" spans="1:9" x14ac:dyDescent="0.2">
      <c r="A122" s="383"/>
      <c r="B122" s="383"/>
      <c r="C122" s="383"/>
      <c r="D122" s="383"/>
      <c r="E122" s="383"/>
      <c r="F122" s="383"/>
      <c r="G122" s="453"/>
      <c r="H122" s="453"/>
      <c r="I122" s="383"/>
    </row>
    <row r="123" spans="1:9" x14ac:dyDescent="0.2">
      <c r="A123" s="383"/>
      <c r="B123" s="383"/>
      <c r="C123" s="383"/>
      <c r="D123" s="383"/>
      <c r="E123" s="383"/>
      <c r="F123" s="383"/>
      <c r="G123" s="383"/>
      <c r="H123" s="447"/>
      <c r="I123" s="454"/>
    </row>
    <row r="124" spans="1:9" x14ac:dyDescent="0.2">
      <c r="A124" s="383"/>
      <c r="B124" s="383"/>
      <c r="C124" s="383"/>
      <c r="D124" s="383"/>
      <c r="E124" s="383"/>
      <c r="F124" s="383"/>
      <c r="G124" s="383"/>
      <c r="H124" s="447"/>
      <c r="I124" s="454"/>
    </row>
    <row r="125" spans="1:9" x14ac:dyDescent="0.2">
      <c r="A125" s="383"/>
      <c r="B125" s="383"/>
      <c r="C125" s="383"/>
      <c r="D125" s="383"/>
      <c r="E125" s="383"/>
      <c r="F125" s="383"/>
      <c r="G125" s="453"/>
      <c r="H125" s="453"/>
      <c r="I125" s="383"/>
    </row>
    <row r="126" spans="1:9" x14ac:dyDescent="0.2">
      <c r="A126" s="383"/>
      <c r="B126" s="383"/>
      <c r="C126" s="383"/>
      <c r="D126" s="383"/>
      <c r="E126" s="383"/>
      <c r="F126" s="383"/>
      <c r="G126" s="453"/>
      <c r="H126" s="453"/>
      <c r="I126" s="383"/>
    </row>
    <row r="127" spans="1:9" x14ac:dyDescent="0.2">
      <c r="A127" s="383"/>
      <c r="B127" s="383"/>
      <c r="C127" s="383"/>
      <c r="D127" s="383"/>
      <c r="E127" s="383"/>
      <c r="F127" s="383"/>
      <c r="G127" s="453"/>
      <c r="H127" s="453"/>
      <c r="I127" s="383"/>
    </row>
    <row r="128" spans="1:9" x14ac:dyDescent="0.2">
      <c r="A128" s="383"/>
      <c r="B128" s="383"/>
      <c r="C128" s="383"/>
      <c r="D128" s="383"/>
      <c r="E128" s="383"/>
      <c r="F128" s="383"/>
      <c r="G128" s="453"/>
      <c r="H128" s="453"/>
      <c r="I128" s="383"/>
    </row>
    <row r="129" spans="1:10" x14ac:dyDescent="0.2">
      <c r="A129" s="383"/>
      <c r="B129" s="383"/>
      <c r="C129" s="383"/>
      <c r="D129" s="383"/>
      <c r="E129" s="383"/>
      <c r="F129" s="383"/>
      <c r="G129" s="455"/>
      <c r="H129" s="455"/>
      <c r="I129" s="383"/>
    </row>
    <row r="130" spans="1:10" x14ac:dyDescent="0.2">
      <c r="A130" s="383"/>
      <c r="B130" s="383"/>
      <c r="C130" s="383"/>
      <c r="D130" s="383"/>
      <c r="E130" s="383"/>
      <c r="F130" s="383"/>
      <c r="G130" s="452"/>
      <c r="H130" s="452"/>
      <c r="I130" s="383"/>
    </row>
    <row r="131" spans="1:10" x14ac:dyDescent="0.2">
      <c r="A131" s="383"/>
      <c r="B131" s="383"/>
      <c r="C131" s="383"/>
      <c r="D131" s="383"/>
      <c r="E131" s="383"/>
      <c r="F131" s="383"/>
      <c r="G131" s="411"/>
      <c r="H131" s="411"/>
      <c r="I131" s="383"/>
    </row>
    <row r="132" spans="1:10" x14ac:dyDescent="0.2">
      <c r="A132" s="383"/>
      <c r="B132" s="383"/>
      <c r="C132" s="383"/>
      <c r="D132" s="383"/>
      <c r="E132" s="383"/>
      <c r="F132" s="383"/>
      <c r="G132" s="411"/>
      <c r="H132" s="411"/>
      <c r="I132" s="411"/>
    </row>
    <row r="133" spans="1:10" x14ac:dyDescent="0.2">
      <c r="A133" s="383"/>
      <c r="B133" s="383"/>
      <c r="C133" s="383"/>
      <c r="D133" s="383"/>
      <c r="E133" s="383"/>
      <c r="F133" s="383"/>
      <c r="G133" s="383"/>
      <c r="H133" s="383"/>
      <c r="I133" s="383"/>
    </row>
    <row r="134" spans="1:10" x14ac:dyDescent="0.2">
      <c r="A134" s="383"/>
      <c r="B134" s="383"/>
      <c r="C134" s="383"/>
      <c r="D134" s="383"/>
      <c r="E134" s="383"/>
      <c r="F134" s="383"/>
      <c r="G134" s="383"/>
      <c r="H134" s="383"/>
      <c r="I134" s="383"/>
    </row>
    <row r="135" spans="1:10" s="383" customFormat="1" x14ac:dyDescent="0.2">
      <c r="J135" s="343"/>
    </row>
    <row r="136" spans="1:10" s="383" customFormat="1" x14ac:dyDescent="0.2">
      <c r="J136" s="343"/>
    </row>
    <row r="137" spans="1:10" s="383" customFormat="1" x14ac:dyDescent="0.2">
      <c r="J137" s="343"/>
    </row>
    <row r="138" spans="1:10" s="383" customFormat="1" x14ac:dyDescent="0.2">
      <c r="G138" s="448"/>
      <c r="H138" s="448"/>
      <c r="I138" s="448"/>
      <c r="J138" s="343"/>
    </row>
    <row r="139" spans="1:10" s="383" customFormat="1" x14ac:dyDescent="0.2">
      <c r="A139" s="343"/>
      <c r="B139" s="343"/>
      <c r="C139" s="343"/>
      <c r="D139" s="343"/>
      <c r="E139" s="343"/>
      <c r="F139" s="343"/>
      <c r="G139" s="343"/>
      <c r="H139" s="343"/>
      <c r="I139" s="343"/>
      <c r="J139" s="343"/>
    </row>
    <row r="140" spans="1:10" s="383" customFormat="1" x14ac:dyDescent="0.2">
      <c r="A140" s="343" t="s">
        <v>408</v>
      </c>
      <c r="B140" s="343"/>
      <c r="C140" s="343"/>
      <c r="D140" s="343"/>
      <c r="E140" s="343"/>
      <c r="F140" s="343"/>
      <c r="G140" s="343"/>
      <c r="H140" s="343"/>
      <c r="I140" s="343"/>
      <c r="J140" s="343"/>
    </row>
    <row r="141" spans="1:10" s="383" customFormat="1" x14ac:dyDescent="0.2">
      <c r="A141" s="358"/>
      <c r="B141" s="358"/>
      <c r="C141" s="358"/>
      <c r="D141" s="358"/>
      <c r="E141" s="358"/>
      <c r="F141" s="358"/>
      <c r="G141" s="358"/>
      <c r="H141" s="358"/>
      <c r="I141" s="358"/>
      <c r="J141" s="358"/>
    </row>
    <row r="142" spans="1:10" s="383" customFormat="1" x14ac:dyDescent="0.2">
      <c r="A142" s="344" t="s">
        <v>358</v>
      </c>
      <c r="B142" s="343"/>
      <c r="C142" s="343"/>
      <c r="D142" s="343"/>
      <c r="E142" s="343"/>
      <c r="F142" s="343"/>
      <c r="G142" s="343"/>
      <c r="H142" s="343"/>
      <c r="I142" s="343"/>
      <c r="J142" s="343"/>
    </row>
    <row r="143" spans="1:10" s="383" customFormat="1" x14ac:dyDescent="0.2">
      <c r="A143" s="343" t="s">
        <v>359</v>
      </c>
      <c r="B143" s="343"/>
      <c r="C143" s="343"/>
      <c r="D143" s="343"/>
      <c r="E143" s="343"/>
      <c r="F143" s="343"/>
      <c r="G143" s="343"/>
      <c r="H143" s="343"/>
      <c r="I143" s="343" t="s">
        <v>360</v>
      </c>
      <c r="J143" s="343"/>
    </row>
    <row r="144" spans="1:10" s="383" customFormat="1" x14ac:dyDescent="0.2">
      <c r="A144" s="343" t="s">
        <v>361</v>
      </c>
      <c r="B144" s="343"/>
      <c r="C144" s="343"/>
      <c r="D144" s="343"/>
      <c r="E144" s="343"/>
      <c r="F144" s="343"/>
      <c r="G144" s="343"/>
      <c r="H144" s="343"/>
      <c r="I144" s="343" t="s">
        <v>362</v>
      </c>
      <c r="J144" s="343"/>
    </row>
    <row r="145" spans="1:10" s="383" customFormat="1" x14ac:dyDescent="0.2">
      <c r="A145" s="343" t="s">
        <v>363</v>
      </c>
      <c r="B145" s="343"/>
      <c r="C145" s="343"/>
      <c r="D145" s="343"/>
      <c r="E145" s="343"/>
      <c r="F145" s="343"/>
      <c r="G145" s="343"/>
      <c r="H145" s="343"/>
      <c r="I145" s="343" t="s">
        <v>364</v>
      </c>
      <c r="J145" s="343"/>
    </row>
    <row r="146" spans="1:10" s="383" customFormat="1" x14ac:dyDescent="0.2">
      <c r="A146" s="343"/>
      <c r="B146" s="343"/>
      <c r="C146" s="343"/>
      <c r="D146" s="343"/>
      <c r="E146" s="343"/>
      <c r="F146" s="343"/>
      <c r="G146" s="343"/>
      <c r="H146" s="343"/>
      <c r="I146" s="343"/>
      <c r="J146" s="343"/>
    </row>
    <row r="147" spans="1:10" s="383" customFormat="1" x14ac:dyDescent="0.2">
      <c r="A147" s="343" t="s">
        <v>323</v>
      </c>
      <c r="B147" s="343"/>
      <c r="C147" s="343"/>
      <c r="D147" s="343"/>
      <c r="E147" s="343"/>
      <c r="F147" s="343"/>
      <c r="G147" s="343"/>
      <c r="H147" s="343"/>
      <c r="I147" s="343"/>
      <c r="J147" s="343"/>
    </row>
    <row r="148" spans="1:10" s="383" customFormat="1" x14ac:dyDescent="0.2">
      <c r="A148" s="343" t="s">
        <v>298</v>
      </c>
      <c r="B148" s="343"/>
      <c r="C148" s="343"/>
      <c r="D148" s="343"/>
      <c r="E148" s="343"/>
      <c r="F148" s="343"/>
      <c r="G148" s="343"/>
      <c r="H148" s="343"/>
      <c r="I148" s="343"/>
      <c r="J148" s="343"/>
    </row>
    <row r="149" spans="1:10" s="383" customFormat="1" x14ac:dyDescent="0.2">
      <c r="A149" s="343" t="s">
        <v>299</v>
      </c>
      <c r="B149" s="343"/>
      <c r="C149" s="343"/>
      <c r="D149" s="343"/>
      <c r="E149" s="343"/>
      <c r="F149" s="344">
        <v>2016</v>
      </c>
      <c r="G149" s="344">
        <v>2017</v>
      </c>
      <c r="H149" s="344">
        <v>2018</v>
      </c>
      <c r="I149" s="343"/>
      <c r="J149" s="343"/>
    </row>
    <row r="150" spans="1:10" s="383" customFormat="1" x14ac:dyDescent="0.2">
      <c r="A150" s="343" t="s">
        <v>300</v>
      </c>
      <c r="B150" s="343"/>
      <c r="C150" s="343"/>
      <c r="D150" s="343"/>
      <c r="E150" s="343"/>
      <c r="F150" s="345">
        <v>16534</v>
      </c>
      <c r="G150" s="345">
        <v>16934</v>
      </c>
      <c r="H150" s="345">
        <v>17506</v>
      </c>
      <c r="I150" s="343"/>
      <c r="J150" s="343"/>
    </row>
    <row r="151" spans="1:10" s="383" customFormat="1" x14ac:dyDescent="0.2">
      <c r="A151" s="343" t="s">
        <v>301</v>
      </c>
      <c r="B151" s="343"/>
      <c r="C151" s="343"/>
      <c r="D151" s="343"/>
      <c r="E151" s="343"/>
      <c r="F151" s="345">
        <v>1997</v>
      </c>
      <c r="G151" s="345">
        <v>2263</v>
      </c>
      <c r="H151" s="345">
        <v>2307</v>
      </c>
      <c r="I151" s="343"/>
      <c r="J151" s="343"/>
    </row>
    <row r="152" spans="1:10" s="383" customFormat="1" x14ac:dyDescent="0.2">
      <c r="A152" s="343" t="s">
        <v>302</v>
      </c>
      <c r="B152" s="343"/>
      <c r="C152" s="343"/>
      <c r="D152" s="343"/>
      <c r="E152" s="343"/>
      <c r="F152" s="343">
        <v>537</v>
      </c>
      <c r="G152" s="343">
        <v>566</v>
      </c>
      <c r="H152" s="343">
        <v>642</v>
      </c>
      <c r="I152" s="343"/>
      <c r="J152" s="343"/>
    </row>
    <row r="153" spans="1:10" s="383" customFormat="1" ht="17" thickBot="1" x14ac:dyDescent="0.25">
      <c r="A153" s="348" t="s">
        <v>303</v>
      </c>
      <c r="B153" s="348"/>
      <c r="C153" s="348"/>
      <c r="D153" s="348"/>
      <c r="E153" s="348"/>
      <c r="F153" s="349">
        <v>19068</v>
      </c>
      <c r="G153" s="349">
        <v>19763</v>
      </c>
      <c r="H153" s="349">
        <v>20455</v>
      </c>
    </row>
    <row r="154" spans="1:10" s="383" customFormat="1" ht="17" thickTop="1" x14ac:dyDescent="0.2"/>
    <row r="155" spans="1:10" s="383" customFormat="1" x14ac:dyDescent="0.2"/>
    <row r="156" spans="1:10" s="383" customFormat="1" x14ac:dyDescent="0.2">
      <c r="A156" s="343"/>
      <c r="B156" s="343"/>
      <c r="C156" s="343"/>
      <c r="D156" s="343"/>
      <c r="E156" s="343"/>
      <c r="F156" s="343"/>
      <c r="G156" s="343"/>
      <c r="H156" s="343"/>
      <c r="I156" s="343"/>
      <c r="J156" s="343"/>
    </row>
    <row r="157" spans="1:10" s="383" customFormat="1" x14ac:dyDescent="0.2">
      <c r="A157" s="344" t="s">
        <v>304</v>
      </c>
      <c r="B157" s="343"/>
      <c r="C157" s="343"/>
      <c r="D157" s="343"/>
      <c r="E157" s="343"/>
      <c r="F157" s="343"/>
      <c r="G157" s="343"/>
      <c r="H157" s="343"/>
      <c r="I157" s="343"/>
      <c r="J157" s="343"/>
    </row>
    <row r="158" spans="1:10" s="383" customFormat="1" x14ac:dyDescent="0.2">
      <c r="A158" s="343" t="s">
        <v>305</v>
      </c>
      <c r="B158" s="343"/>
      <c r="C158" s="343"/>
      <c r="D158" s="343"/>
      <c r="E158" s="343"/>
      <c r="F158" s="343"/>
      <c r="G158" s="343">
        <v>0</v>
      </c>
      <c r="H158" s="343">
        <v>1</v>
      </c>
      <c r="I158" s="343"/>
      <c r="J158" s="343"/>
    </row>
    <row r="159" spans="1:10" s="383" customFormat="1" x14ac:dyDescent="0.2">
      <c r="A159" s="343" t="s">
        <v>306</v>
      </c>
      <c r="B159" s="343"/>
      <c r="C159" s="343"/>
      <c r="D159" s="343"/>
      <c r="E159" s="343"/>
      <c r="F159" s="343"/>
      <c r="G159" s="343">
        <v>0</v>
      </c>
      <c r="H159" s="343">
        <v>3</v>
      </c>
      <c r="I159" s="343"/>
      <c r="J159" s="343"/>
    </row>
    <row r="160" spans="1:10" s="383" customFormat="1" x14ac:dyDescent="0.2">
      <c r="A160" s="343" t="s">
        <v>307</v>
      </c>
      <c r="B160" s="343"/>
      <c r="C160" s="343"/>
      <c r="D160" s="343"/>
      <c r="E160" s="343"/>
      <c r="F160" s="343"/>
      <c r="G160" s="343">
        <v>300</v>
      </c>
      <c r="H160" s="343">
        <v>300</v>
      </c>
      <c r="I160" s="343"/>
      <c r="J160" s="343"/>
    </row>
    <row r="161" spans="1:10" s="383" customFormat="1" x14ac:dyDescent="0.2">
      <c r="A161" s="343" t="s">
        <v>308</v>
      </c>
      <c r="B161" s="343"/>
      <c r="C161" s="343"/>
      <c r="D161" s="343"/>
      <c r="E161" s="343"/>
      <c r="F161" s="343"/>
      <c r="G161" s="343">
        <v>23</v>
      </c>
      <c r="H161" s="343">
        <v>66</v>
      </c>
      <c r="I161" s="343"/>
      <c r="J161" s="343"/>
    </row>
    <row r="162" spans="1:10" s="383" customFormat="1" x14ac:dyDescent="0.2">
      <c r="A162" s="343" t="s">
        <v>309</v>
      </c>
      <c r="B162" s="343"/>
      <c r="C162" s="343"/>
      <c r="D162" s="343"/>
      <c r="E162" s="343"/>
      <c r="F162" s="343"/>
      <c r="G162" s="343">
        <v>10</v>
      </c>
      <c r="H162" s="343">
        <v>19</v>
      </c>
      <c r="I162" s="343"/>
      <c r="J162" s="343"/>
    </row>
    <row r="163" spans="1:10" s="383" customFormat="1" x14ac:dyDescent="0.2">
      <c r="A163" s="343" t="s">
        <v>310</v>
      </c>
      <c r="B163" s="343"/>
      <c r="C163" s="343"/>
      <c r="D163" s="343"/>
      <c r="E163" s="343"/>
      <c r="F163" s="343"/>
      <c r="G163" s="343">
        <v>492</v>
      </c>
      <c r="H163" s="343">
        <v>491</v>
      </c>
      <c r="I163" s="343"/>
      <c r="J163" s="343"/>
    </row>
    <row r="164" spans="1:10" s="383" customFormat="1" x14ac:dyDescent="0.2">
      <c r="A164" s="345" t="s">
        <v>311</v>
      </c>
      <c r="B164" s="343"/>
      <c r="C164" s="343"/>
      <c r="D164" s="343"/>
      <c r="E164" s="343"/>
      <c r="F164" s="343"/>
      <c r="G164" s="343">
        <v>187</v>
      </c>
      <c r="H164" s="343">
        <v>237</v>
      </c>
      <c r="I164" s="343"/>
      <c r="J164" s="343"/>
    </row>
    <row r="165" spans="1:10" s="383" customFormat="1" x14ac:dyDescent="0.2">
      <c r="A165" s="345" t="s">
        <v>312</v>
      </c>
      <c r="B165" s="343"/>
      <c r="C165" s="343"/>
      <c r="D165" s="343"/>
      <c r="E165" s="343"/>
      <c r="F165" s="343"/>
      <c r="G165" s="343">
        <v>67</v>
      </c>
      <c r="H165" s="343">
        <v>155</v>
      </c>
      <c r="I165" s="343"/>
      <c r="J165" s="343"/>
    </row>
    <row r="166" spans="1:10" s="383" customFormat="1" x14ac:dyDescent="0.2">
      <c r="A166" s="343" t="s">
        <v>313</v>
      </c>
      <c r="B166" s="343"/>
      <c r="C166" s="343"/>
      <c r="D166" s="343"/>
      <c r="E166" s="343"/>
      <c r="F166" s="343"/>
      <c r="G166" s="343">
        <v>300</v>
      </c>
      <c r="H166" s="343">
        <v>300</v>
      </c>
      <c r="I166" s="343"/>
      <c r="J166" s="343"/>
    </row>
    <row r="167" spans="1:10" s="383" customFormat="1" x14ac:dyDescent="0.2">
      <c r="A167" s="345" t="s">
        <v>314</v>
      </c>
      <c r="B167" s="343"/>
      <c r="C167" s="343"/>
      <c r="D167" s="343"/>
      <c r="E167" s="343"/>
      <c r="F167" s="343"/>
      <c r="G167" s="343">
        <v>250</v>
      </c>
      <c r="H167" s="343">
        <v>294</v>
      </c>
      <c r="I167" s="343"/>
      <c r="J167" s="343"/>
    </row>
    <row r="168" spans="1:10" s="383" customFormat="1" x14ac:dyDescent="0.2">
      <c r="A168" s="343" t="s">
        <v>315</v>
      </c>
      <c r="B168" s="343"/>
      <c r="C168" s="343"/>
      <c r="D168" s="343"/>
      <c r="E168" s="343"/>
      <c r="F168" s="343"/>
      <c r="G168" s="343">
        <v>197</v>
      </c>
      <c r="H168" s="343">
        <v>215</v>
      </c>
      <c r="I168" s="343"/>
      <c r="J168" s="343"/>
    </row>
    <row r="169" spans="1:10" s="383" customFormat="1" x14ac:dyDescent="0.2">
      <c r="A169" s="343" t="s">
        <v>316</v>
      </c>
      <c r="B169" s="343"/>
      <c r="C169" s="343"/>
      <c r="D169" s="343"/>
      <c r="E169" s="343"/>
      <c r="F169" s="343"/>
      <c r="G169" s="343">
        <v>300</v>
      </c>
      <c r="H169" s="343">
        <v>300</v>
      </c>
      <c r="I169" s="343"/>
      <c r="J169" s="343"/>
    </row>
    <row r="170" spans="1:10" s="383" customFormat="1" x14ac:dyDescent="0.2">
      <c r="A170" s="343" t="s">
        <v>317</v>
      </c>
      <c r="B170" s="343"/>
      <c r="C170" s="343"/>
      <c r="D170" s="343"/>
      <c r="E170" s="343"/>
      <c r="F170" s="343"/>
      <c r="G170" s="343">
        <v>300</v>
      </c>
      <c r="H170" s="343">
        <v>300</v>
      </c>
      <c r="I170" s="343"/>
      <c r="J170" s="343"/>
    </row>
    <row r="171" spans="1:10" s="383" customFormat="1" x14ac:dyDescent="0.2">
      <c r="A171" s="343" t="s">
        <v>318</v>
      </c>
      <c r="B171" s="343"/>
      <c r="C171" s="343"/>
      <c r="D171" s="343"/>
      <c r="E171" s="343"/>
      <c r="F171" s="343"/>
      <c r="G171" s="343">
        <v>125</v>
      </c>
      <c r="H171" s="343">
        <v>127</v>
      </c>
      <c r="I171" s="343"/>
      <c r="J171" s="343"/>
    </row>
    <row r="172" spans="1:10" s="383" customFormat="1" x14ac:dyDescent="0.2">
      <c r="A172" s="343" t="s">
        <v>319</v>
      </c>
      <c r="B172" s="343"/>
      <c r="C172" s="343"/>
      <c r="D172" s="343"/>
      <c r="E172" s="343"/>
      <c r="F172" s="343"/>
      <c r="G172" s="350">
        <v>845</v>
      </c>
      <c r="H172" s="350">
        <v>885</v>
      </c>
      <c r="I172" s="343"/>
      <c r="J172" s="343"/>
    </row>
    <row r="173" spans="1:10" s="383" customFormat="1" x14ac:dyDescent="0.2">
      <c r="A173" s="343" t="s">
        <v>320</v>
      </c>
      <c r="B173" s="343"/>
      <c r="C173" s="343"/>
      <c r="D173" s="343"/>
      <c r="E173" s="343"/>
      <c r="F173" s="343"/>
      <c r="G173" s="344">
        <f>SUM(G158:G172)</f>
        <v>3396</v>
      </c>
      <c r="H173" s="344">
        <f>SUM(H158:H172)</f>
        <v>3693</v>
      </c>
      <c r="I173" s="343"/>
      <c r="J173" s="343"/>
    </row>
    <row r="174" spans="1:10" s="383" customFormat="1" x14ac:dyDescent="0.2">
      <c r="A174" s="343"/>
      <c r="B174" s="343"/>
      <c r="C174" s="343"/>
      <c r="D174" s="343"/>
      <c r="E174" s="343"/>
      <c r="F174" s="343"/>
      <c r="G174" s="343">
        <v>606</v>
      </c>
      <c r="H174" s="343">
        <v>348</v>
      </c>
      <c r="I174" s="343"/>
      <c r="J174" s="343"/>
    </row>
    <row r="175" spans="1:10" s="383" customFormat="1" x14ac:dyDescent="0.2">
      <c r="A175" s="343" t="s">
        <v>321</v>
      </c>
      <c r="B175" s="343"/>
      <c r="C175" s="343"/>
      <c r="D175" s="343"/>
      <c r="E175" s="343"/>
      <c r="F175" s="343"/>
      <c r="G175" s="343">
        <v>19</v>
      </c>
      <c r="H175" s="343">
        <v>25</v>
      </c>
      <c r="I175" s="343"/>
      <c r="J175" s="343"/>
    </row>
    <row r="176" spans="1:10" s="383" customFormat="1" ht="17" thickBot="1" x14ac:dyDescent="0.25">
      <c r="A176" s="343" t="s">
        <v>322</v>
      </c>
      <c r="B176" s="343"/>
      <c r="C176" s="343"/>
      <c r="D176" s="343"/>
      <c r="E176" s="343"/>
      <c r="F176" s="343"/>
      <c r="G176" s="351">
        <f>G173-G174-G175</f>
        <v>2771</v>
      </c>
      <c r="H176" s="351">
        <f>H173-H174-H175</f>
        <v>3320</v>
      </c>
      <c r="I176" s="343"/>
      <c r="J176" s="343"/>
    </row>
    <row r="177" spans="1:10" s="383" customFormat="1" ht="17" thickTop="1" x14ac:dyDescent="0.2">
      <c r="A177" s="358"/>
      <c r="B177" s="358"/>
      <c r="C177" s="358"/>
      <c r="D177" s="358"/>
      <c r="E177" s="358"/>
      <c r="F177" s="358"/>
      <c r="G177" s="358"/>
      <c r="H177" s="358"/>
      <c r="I177" s="358"/>
      <c r="J177" s="358"/>
    </row>
    <row r="178" spans="1:10" s="383" customFormat="1" x14ac:dyDescent="0.2">
      <c r="A178" s="343"/>
      <c r="B178" s="343"/>
      <c r="C178" s="343"/>
      <c r="D178" s="343"/>
      <c r="E178" s="343"/>
      <c r="F178" s="343"/>
      <c r="G178" s="343"/>
      <c r="H178" s="343"/>
      <c r="I178" s="343"/>
      <c r="J178" s="343"/>
    </row>
    <row r="179" spans="1:10" s="383" customFormat="1" x14ac:dyDescent="0.2">
      <c r="A179" s="344" t="s">
        <v>373</v>
      </c>
      <c r="B179" s="343"/>
      <c r="C179" s="343"/>
      <c r="D179" s="343"/>
      <c r="E179" s="343"/>
      <c r="F179" s="343"/>
      <c r="G179" s="343"/>
      <c r="H179" s="343"/>
      <c r="I179" s="343"/>
      <c r="J179" s="343"/>
    </row>
    <row r="180" spans="1:10" s="383" customFormat="1" x14ac:dyDescent="0.2">
      <c r="A180" s="343" t="s">
        <v>365</v>
      </c>
      <c r="B180" s="343"/>
      <c r="C180" s="343"/>
      <c r="D180" s="343"/>
      <c r="E180" s="343"/>
      <c r="F180" s="343" t="s">
        <v>366</v>
      </c>
      <c r="G180" s="343" t="s">
        <v>367</v>
      </c>
      <c r="H180" s="343" t="s">
        <v>368</v>
      </c>
      <c r="I180" s="343" t="s">
        <v>369</v>
      </c>
      <c r="J180" s="343" t="s">
        <v>370</v>
      </c>
    </row>
    <row r="181" spans="1:10" s="383" customFormat="1" x14ac:dyDescent="0.2">
      <c r="A181" s="343">
        <v>2019</v>
      </c>
      <c r="B181" s="343"/>
      <c r="C181" s="343"/>
      <c r="D181" s="343"/>
      <c r="E181" s="343"/>
      <c r="F181" s="343">
        <v>7</v>
      </c>
      <c r="G181" s="343">
        <v>21</v>
      </c>
      <c r="H181" s="343">
        <v>0</v>
      </c>
      <c r="I181" s="343">
        <v>16</v>
      </c>
      <c r="J181" s="343">
        <v>44</v>
      </c>
    </row>
    <row r="182" spans="1:10" s="383" customFormat="1" x14ac:dyDescent="0.2">
      <c r="A182" s="343">
        <f>A181+1</f>
        <v>2020</v>
      </c>
      <c r="B182" s="343"/>
      <c r="C182" s="343"/>
      <c r="D182" s="343"/>
      <c r="E182" s="343"/>
      <c r="F182" s="343">
        <v>0</v>
      </c>
      <c r="G182" s="343">
        <v>35</v>
      </c>
      <c r="H182" s="343">
        <v>0</v>
      </c>
      <c r="I182" s="343">
        <v>3</v>
      </c>
      <c r="J182" s="343">
        <v>38</v>
      </c>
    </row>
    <row r="183" spans="1:10" s="383" customFormat="1" x14ac:dyDescent="0.2">
      <c r="A183" s="343">
        <f t="shared" ref="A183:A188" si="15">A182+1</f>
        <v>2021</v>
      </c>
      <c r="B183" s="343"/>
      <c r="C183" s="343"/>
      <c r="D183" s="343"/>
      <c r="E183" s="343"/>
      <c r="F183" s="343">
        <v>0</v>
      </c>
      <c r="G183" s="343">
        <v>44</v>
      </c>
      <c r="H183" s="343">
        <v>0</v>
      </c>
      <c r="I183" s="343">
        <v>0</v>
      </c>
      <c r="J183" s="343">
        <v>44</v>
      </c>
    </row>
    <row r="184" spans="1:10" s="383" customFormat="1" x14ac:dyDescent="0.2">
      <c r="A184" s="343">
        <f t="shared" si="15"/>
        <v>2022</v>
      </c>
      <c r="B184" s="343"/>
      <c r="C184" s="343"/>
      <c r="D184" s="343"/>
      <c r="E184" s="343"/>
      <c r="F184" s="343">
        <v>0</v>
      </c>
      <c r="G184" s="343">
        <v>27</v>
      </c>
      <c r="H184" s="343">
        <v>14</v>
      </c>
      <c r="I184" s="343">
        <v>0</v>
      </c>
      <c r="J184" s="343">
        <v>41</v>
      </c>
    </row>
    <row r="185" spans="1:10" s="383" customFormat="1" x14ac:dyDescent="0.2">
      <c r="A185" s="343">
        <f t="shared" si="15"/>
        <v>2023</v>
      </c>
      <c r="B185" s="343"/>
      <c r="C185" s="343"/>
      <c r="D185" s="343"/>
      <c r="E185" s="343"/>
      <c r="F185" s="343">
        <v>12</v>
      </c>
      <c r="G185" s="343">
        <v>22</v>
      </c>
      <c r="H185" s="343">
        <v>23</v>
      </c>
      <c r="I185" s="343">
        <v>0</v>
      </c>
      <c r="J185" s="343">
        <v>57</v>
      </c>
    </row>
    <row r="186" spans="1:10" s="383" customFormat="1" x14ac:dyDescent="0.2">
      <c r="A186" s="343">
        <f t="shared" si="15"/>
        <v>2024</v>
      </c>
      <c r="B186" s="343"/>
      <c r="C186" s="343"/>
      <c r="D186" s="343"/>
      <c r="E186" s="343"/>
      <c r="F186" s="343">
        <v>11</v>
      </c>
      <c r="G186" s="343">
        <v>30</v>
      </c>
      <c r="H186" s="343">
        <v>23</v>
      </c>
      <c r="I186" s="343">
        <v>0</v>
      </c>
      <c r="J186" s="343">
        <v>64</v>
      </c>
    </row>
    <row r="187" spans="1:10" s="383" customFormat="1" x14ac:dyDescent="0.2">
      <c r="A187" s="343">
        <f t="shared" si="15"/>
        <v>2025</v>
      </c>
      <c r="B187" s="343"/>
      <c r="C187" s="343"/>
      <c r="D187" s="343"/>
      <c r="E187" s="343"/>
      <c r="F187" s="343">
        <v>0</v>
      </c>
      <c r="G187" s="343">
        <v>40</v>
      </c>
      <c r="H187" s="343">
        <v>36</v>
      </c>
      <c r="I187" s="343">
        <v>0</v>
      </c>
      <c r="J187" s="343">
        <v>76</v>
      </c>
    </row>
    <row r="188" spans="1:10" s="383" customFormat="1" x14ac:dyDescent="0.2">
      <c r="A188" s="343">
        <f t="shared" si="15"/>
        <v>2026</v>
      </c>
      <c r="B188" s="343"/>
      <c r="C188" s="343"/>
      <c r="D188" s="343"/>
      <c r="E188" s="343"/>
      <c r="F188" s="343">
        <v>0</v>
      </c>
      <c r="G188" s="343">
        <v>0</v>
      </c>
      <c r="H188" s="343">
        <v>19</v>
      </c>
      <c r="I188" s="343">
        <v>0</v>
      </c>
      <c r="J188" s="343">
        <v>19</v>
      </c>
    </row>
    <row r="189" spans="1:10" s="383" customFormat="1" ht="17" thickBot="1" x14ac:dyDescent="0.25">
      <c r="A189" s="343"/>
      <c r="B189" s="343"/>
      <c r="C189" s="343"/>
      <c r="D189" s="343"/>
      <c r="E189" s="343"/>
      <c r="F189" s="348">
        <f>SUM(F181:F188)</f>
        <v>30</v>
      </c>
      <c r="G189" s="348" t="s">
        <v>374</v>
      </c>
      <c r="H189" s="348">
        <f>SUM(H181:H188)</f>
        <v>115</v>
      </c>
      <c r="I189" s="348" t="s">
        <v>372</v>
      </c>
      <c r="J189" s="348">
        <f>SUM(J181:J188)</f>
        <v>383</v>
      </c>
    </row>
    <row r="190" spans="1:10" s="383" customFormat="1" ht="17" thickTop="1" x14ac:dyDescent="0.2">
      <c r="A190" s="343" t="s">
        <v>371</v>
      </c>
      <c r="B190" s="343"/>
      <c r="C190" s="343"/>
      <c r="D190" s="343"/>
      <c r="E190" s="343"/>
      <c r="F190" s="343"/>
      <c r="G190" s="343"/>
      <c r="H190" s="343"/>
      <c r="I190" s="343"/>
      <c r="J190" s="343"/>
    </row>
    <row r="191" spans="1:10" s="383" customFormat="1" x14ac:dyDescent="0.2">
      <c r="A191" s="358"/>
      <c r="B191" s="358"/>
      <c r="C191" s="358"/>
      <c r="D191" s="358"/>
      <c r="E191" s="358"/>
      <c r="F191" s="358"/>
      <c r="G191" s="358"/>
      <c r="H191" s="358"/>
      <c r="I191" s="358"/>
      <c r="J191" s="358"/>
    </row>
    <row r="192" spans="1:10" s="383" customFormat="1" x14ac:dyDescent="0.2">
      <c r="A192" s="343"/>
      <c r="B192" s="343"/>
      <c r="C192" s="343"/>
      <c r="D192" s="343"/>
      <c r="E192" s="343"/>
      <c r="F192" s="343"/>
      <c r="G192" s="343"/>
      <c r="H192" s="343"/>
      <c r="I192" s="343"/>
      <c r="J192" s="343"/>
    </row>
    <row r="193" spans="1:10" s="383" customFormat="1" x14ac:dyDescent="0.2">
      <c r="A193" s="344" t="s">
        <v>397</v>
      </c>
      <c r="B193" s="343"/>
      <c r="C193" s="343"/>
      <c r="D193" s="343"/>
      <c r="E193" s="343"/>
      <c r="F193" s="343"/>
      <c r="G193" s="343"/>
      <c r="H193" s="343"/>
      <c r="I193" s="343"/>
      <c r="J193" s="343"/>
    </row>
    <row r="194" spans="1:10" s="383" customFormat="1" x14ac:dyDescent="0.2">
      <c r="A194" s="343"/>
      <c r="B194" s="343"/>
      <c r="C194" s="343"/>
      <c r="D194" s="343"/>
      <c r="E194" s="343"/>
      <c r="F194" s="344" t="s">
        <v>380</v>
      </c>
      <c r="G194" s="343"/>
      <c r="H194" s="343"/>
      <c r="I194" s="343"/>
      <c r="J194" s="343"/>
    </row>
    <row r="195" spans="1:10" s="383" customFormat="1" x14ac:dyDescent="0.2">
      <c r="A195" s="343" t="s">
        <v>376</v>
      </c>
      <c r="B195" s="343"/>
      <c r="C195" s="343"/>
      <c r="D195" s="343"/>
      <c r="E195" s="343"/>
      <c r="F195" s="343"/>
      <c r="G195" s="355" t="s">
        <v>381</v>
      </c>
      <c r="H195" s="355" t="s">
        <v>382</v>
      </c>
      <c r="I195" s="343"/>
      <c r="J195" s="343"/>
    </row>
    <row r="196" spans="1:10" s="383" customFormat="1" x14ac:dyDescent="0.2">
      <c r="A196" s="352">
        <v>50</v>
      </c>
      <c r="B196" s="343"/>
      <c r="C196" s="343"/>
      <c r="D196" s="343"/>
      <c r="E196" s="343"/>
      <c r="F196" s="343"/>
      <c r="G196" s="355" t="s">
        <v>393</v>
      </c>
      <c r="H196" s="355" t="s">
        <v>375</v>
      </c>
      <c r="I196" s="343"/>
      <c r="J196" s="343"/>
    </row>
    <row r="197" spans="1:10" s="383" customFormat="1" x14ac:dyDescent="0.2">
      <c r="A197" s="352">
        <v>55</v>
      </c>
      <c r="B197" s="343"/>
      <c r="C197" s="343"/>
      <c r="D197" s="343"/>
      <c r="E197" s="343"/>
      <c r="F197" s="343"/>
      <c r="G197" s="355" t="s">
        <v>390</v>
      </c>
      <c r="H197" s="355" t="s">
        <v>394</v>
      </c>
      <c r="I197" s="343"/>
      <c r="J197" s="343"/>
    </row>
    <row r="198" spans="1:10" s="383" customFormat="1" x14ac:dyDescent="0.2">
      <c r="A198" s="352" t="s">
        <v>387</v>
      </c>
      <c r="B198" s="343"/>
      <c r="C198" s="343"/>
      <c r="D198" s="343"/>
      <c r="E198" s="343"/>
      <c r="F198" s="343"/>
      <c r="G198" s="355" t="s">
        <v>392</v>
      </c>
      <c r="H198" s="355" t="s">
        <v>383</v>
      </c>
      <c r="I198" s="343"/>
      <c r="J198" s="343"/>
    </row>
    <row r="199" spans="1:10" s="383" customFormat="1" x14ac:dyDescent="0.2">
      <c r="A199" s="352">
        <v>70</v>
      </c>
      <c r="B199" s="343"/>
      <c r="C199" s="343"/>
      <c r="D199" s="343"/>
      <c r="E199" s="343"/>
      <c r="F199" s="343"/>
      <c r="G199" s="355" t="s">
        <v>391</v>
      </c>
      <c r="H199" s="355" t="s">
        <v>395</v>
      </c>
      <c r="I199" s="343"/>
      <c r="J199" s="343"/>
    </row>
    <row r="200" spans="1:10" s="383" customFormat="1" x14ac:dyDescent="0.2">
      <c r="A200" s="352">
        <v>80</v>
      </c>
      <c r="B200" s="343"/>
      <c r="C200" s="343"/>
      <c r="D200" s="343"/>
      <c r="E200" s="343"/>
      <c r="F200" s="343"/>
      <c r="G200" s="355" t="s">
        <v>389</v>
      </c>
      <c r="H200" s="355" t="s">
        <v>384</v>
      </c>
      <c r="I200" s="343"/>
      <c r="J200" s="343"/>
    </row>
    <row r="201" spans="1:10" s="383" customFormat="1" x14ac:dyDescent="0.2">
      <c r="A201" s="352">
        <v>90</v>
      </c>
      <c r="B201" s="343"/>
      <c r="C201" s="343"/>
      <c r="D201" s="343"/>
      <c r="E201" s="343"/>
      <c r="F201" s="343"/>
      <c r="G201" s="355" t="s">
        <v>388</v>
      </c>
      <c r="H201" s="355" t="s">
        <v>396</v>
      </c>
      <c r="I201" s="343"/>
      <c r="J201" s="343"/>
    </row>
    <row r="202" spans="1:10" s="383" customFormat="1" x14ac:dyDescent="0.2">
      <c r="A202" s="343" t="s">
        <v>377</v>
      </c>
      <c r="B202" s="343"/>
      <c r="C202" s="343"/>
      <c r="D202" s="343"/>
      <c r="E202" s="343"/>
      <c r="F202" s="343"/>
      <c r="G202" s="356">
        <v>0.06</v>
      </c>
      <c r="H202" s="356">
        <v>0.04</v>
      </c>
      <c r="I202" s="343"/>
      <c r="J202" s="343"/>
    </row>
    <row r="203" spans="1:10" s="383" customFormat="1" x14ac:dyDescent="0.2">
      <c r="A203" s="343"/>
      <c r="B203" s="343"/>
      <c r="C203" s="343"/>
      <c r="D203" s="343"/>
      <c r="E203" s="343"/>
      <c r="F203" s="343"/>
      <c r="G203" s="356"/>
      <c r="H203" s="356"/>
      <c r="I203" s="343"/>
      <c r="J203" s="343"/>
    </row>
    <row r="204" spans="1:10" s="383" customFormat="1" x14ac:dyDescent="0.2">
      <c r="A204" s="343"/>
      <c r="B204" s="343"/>
      <c r="C204" s="343"/>
      <c r="D204" s="343"/>
      <c r="E204" s="343"/>
      <c r="F204" s="344" t="s">
        <v>385</v>
      </c>
      <c r="G204" s="356"/>
      <c r="H204" s="356"/>
      <c r="I204" s="343"/>
      <c r="J204" s="343"/>
    </row>
    <row r="205" spans="1:10" s="383" customFormat="1" x14ac:dyDescent="0.2">
      <c r="A205" s="343" t="s">
        <v>378</v>
      </c>
      <c r="B205" s="343"/>
      <c r="C205" s="343"/>
      <c r="D205" s="343"/>
      <c r="E205" s="343"/>
      <c r="F205" s="343"/>
      <c r="G205" s="343"/>
      <c r="H205" s="343"/>
      <c r="I205" s="343"/>
      <c r="J205" s="343"/>
    </row>
    <row r="206" spans="1:10" s="383" customFormat="1" x14ac:dyDescent="0.2">
      <c r="A206" s="343">
        <v>2019</v>
      </c>
      <c r="B206" s="343"/>
      <c r="C206" s="343"/>
      <c r="D206" s="343"/>
      <c r="E206" s="343"/>
      <c r="F206" s="343"/>
      <c r="G206" s="357">
        <v>0.7</v>
      </c>
      <c r="H206" s="343"/>
      <c r="I206" s="343"/>
      <c r="J206" s="343"/>
    </row>
    <row r="207" spans="1:10" s="383" customFormat="1" x14ac:dyDescent="0.2">
      <c r="A207" s="343">
        <v>2020</v>
      </c>
      <c r="B207" s="343"/>
      <c r="C207" s="343"/>
      <c r="D207" s="343"/>
      <c r="E207" s="343"/>
      <c r="F207" s="343"/>
      <c r="G207" s="357">
        <v>0.53</v>
      </c>
      <c r="H207" s="343"/>
      <c r="I207" s="343"/>
      <c r="J207" s="343"/>
    </row>
    <row r="208" spans="1:10" s="383" customFormat="1" x14ac:dyDescent="0.2">
      <c r="A208" s="343">
        <v>2021</v>
      </c>
      <c r="B208" s="343"/>
      <c r="C208" s="343"/>
      <c r="D208" s="343"/>
      <c r="E208" s="343"/>
      <c r="F208" s="343"/>
      <c r="G208" s="357">
        <v>0.25</v>
      </c>
      <c r="H208" s="343"/>
      <c r="I208" s="343"/>
      <c r="J208" s="343"/>
    </row>
    <row r="209" spans="1:10" s="383" customFormat="1" x14ac:dyDescent="0.2">
      <c r="A209" s="343" t="s">
        <v>379</v>
      </c>
      <c r="B209" s="343"/>
      <c r="C209" s="343"/>
      <c r="D209" s="343"/>
      <c r="E209" s="343"/>
      <c r="F209" s="343"/>
      <c r="G209" s="355" t="s">
        <v>386</v>
      </c>
      <c r="H209" s="343"/>
      <c r="I209" s="343"/>
      <c r="J209" s="343"/>
    </row>
    <row r="210" spans="1:10" s="383" customFormat="1" x14ac:dyDescent="0.2">
      <c r="A210" s="343"/>
      <c r="B210" s="343"/>
      <c r="C210" s="343"/>
      <c r="D210" s="343"/>
      <c r="E210" s="343"/>
      <c r="F210" s="343"/>
      <c r="G210" s="355"/>
      <c r="H210" s="343"/>
      <c r="I210" s="343"/>
      <c r="J210" s="343"/>
    </row>
    <row r="211" spans="1:10" s="383" customFormat="1" x14ac:dyDescent="0.2">
      <c r="A211" s="343" t="s">
        <v>399</v>
      </c>
      <c r="B211" s="343"/>
      <c r="C211" s="343"/>
      <c r="D211" s="343"/>
      <c r="E211" s="343"/>
      <c r="F211" s="343"/>
      <c r="G211" s="343"/>
      <c r="H211" s="343"/>
      <c r="I211" s="343"/>
      <c r="J211" s="343"/>
    </row>
    <row r="212" spans="1:10" s="383" customFormat="1" x14ac:dyDescent="0.2">
      <c r="A212" s="343" t="s">
        <v>398</v>
      </c>
      <c r="B212" s="343"/>
      <c r="C212" s="343"/>
      <c r="D212" s="343"/>
      <c r="E212" s="343"/>
      <c r="F212" s="343"/>
      <c r="G212" s="343"/>
      <c r="H212" s="343"/>
      <c r="I212" s="343"/>
      <c r="J212" s="343"/>
    </row>
    <row r="213" spans="1:10" s="383" customFormat="1" x14ac:dyDescent="0.2">
      <c r="A213" s="358"/>
      <c r="B213" s="358"/>
      <c r="C213" s="358"/>
      <c r="D213" s="358"/>
      <c r="E213" s="358"/>
      <c r="F213" s="358"/>
      <c r="G213" s="358"/>
      <c r="H213" s="358"/>
      <c r="I213" s="358"/>
      <c r="J213" s="358"/>
    </row>
    <row r="214" spans="1:10" s="383" customFormat="1" x14ac:dyDescent="0.2">
      <c r="B214" s="343"/>
      <c r="C214" s="343"/>
      <c r="D214" s="343"/>
      <c r="E214" s="343"/>
      <c r="F214" s="343"/>
      <c r="G214" s="343"/>
      <c r="H214" s="343"/>
      <c r="I214" s="343"/>
      <c r="J214" s="343"/>
    </row>
    <row r="215" spans="1:10" s="383" customFormat="1" x14ac:dyDescent="0.2">
      <c r="A215" s="343"/>
      <c r="B215" s="343"/>
      <c r="C215" s="343"/>
      <c r="D215" s="343"/>
      <c r="E215" s="343"/>
      <c r="F215" s="343"/>
      <c r="G215" s="343"/>
      <c r="H215" s="343"/>
      <c r="I215" s="343"/>
      <c r="J215" s="343"/>
    </row>
    <row r="216" spans="1:10" s="383" customFormat="1" x14ac:dyDescent="0.2">
      <c r="A216" s="343"/>
      <c r="B216" s="343"/>
      <c r="C216" s="343"/>
      <c r="D216" s="343"/>
      <c r="E216" s="343"/>
      <c r="F216" s="343"/>
      <c r="G216" s="343"/>
      <c r="H216" s="343"/>
      <c r="I216" s="343"/>
      <c r="J216" s="343"/>
    </row>
    <row r="217" spans="1:10" s="383" customFormat="1" x14ac:dyDescent="0.2">
      <c r="A217" s="343"/>
      <c r="B217" s="343"/>
      <c r="C217" s="343"/>
      <c r="D217" s="343"/>
      <c r="E217" s="343"/>
      <c r="F217" s="343"/>
      <c r="G217" s="343"/>
      <c r="H217" s="343"/>
      <c r="I217" s="343"/>
      <c r="J217" s="343"/>
    </row>
    <row r="218" spans="1:10" s="383" customFormat="1" x14ac:dyDescent="0.2">
      <c r="A218" s="353"/>
      <c r="B218" s="343"/>
      <c r="C218" s="343"/>
      <c r="D218" s="343"/>
      <c r="E218" s="343"/>
      <c r="F218" s="343"/>
      <c r="G218" s="343"/>
      <c r="H218" s="343"/>
      <c r="I218" s="343"/>
      <c r="J218" s="343"/>
    </row>
    <row r="227" spans="1:1" x14ac:dyDescent="0.2">
      <c r="A227" s="354"/>
    </row>
    <row r="228" spans="1:1" x14ac:dyDescent="0.2">
      <c r="A228" s="354"/>
    </row>
    <row r="229" spans="1:1" x14ac:dyDescent="0.2">
      <c r="A229" s="354"/>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2"/>
  <sheetViews>
    <sheetView showGridLines="0" workbookViewId="0">
      <selection activeCell="J23" sqref="J23"/>
    </sheetView>
  </sheetViews>
  <sheetFormatPr baseColWidth="10" defaultRowHeight="14" x14ac:dyDescent="0.15"/>
  <cols>
    <col min="1" max="3" width="10.83203125" style="1"/>
    <col min="4" max="4" width="26" style="1" customWidth="1"/>
    <col min="5" max="6" width="10.83203125" style="1"/>
    <col min="7" max="7" width="15.83203125" style="1" bestFit="1" customWidth="1"/>
    <col min="8" max="8" width="13.33203125" style="1" customWidth="1"/>
    <col min="9" max="9" width="13" style="1" bestFit="1" customWidth="1"/>
    <col min="10" max="13" width="12.83203125" style="1" bestFit="1" customWidth="1"/>
    <col min="14" max="16384" width="10.83203125" style="1"/>
  </cols>
  <sheetData>
    <row r="1" spans="1:14" ht="30" customHeight="1" x14ac:dyDescent="0.2">
      <c r="D1" s="67"/>
      <c r="E1" s="68"/>
      <c r="F1" s="68"/>
      <c r="G1" s="68"/>
      <c r="H1" s="68"/>
      <c r="I1" s="69" t="s">
        <v>62</v>
      </c>
      <c r="J1" s="70"/>
      <c r="K1" s="70"/>
      <c r="L1" s="70"/>
      <c r="M1" s="70"/>
    </row>
    <row r="2" spans="1:14" ht="18" x14ac:dyDescent="0.2">
      <c r="D2" s="75">
        <v>2014</v>
      </c>
      <c r="E2" s="75">
        <f>+D2+1</f>
        <v>2015</v>
      </c>
      <c r="F2" s="75">
        <f t="shared" ref="F2:M2" si="0">+E2+1</f>
        <v>2016</v>
      </c>
      <c r="G2" s="75">
        <f t="shared" si="0"/>
        <v>2017</v>
      </c>
      <c r="H2" s="75">
        <f t="shared" si="0"/>
        <v>2018</v>
      </c>
      <c r="I2" s="76">
        <f t="shared" si="0"/>
        <v>2019</v>
      </c>
      <c r="J2" s="76">
        <f t="shared" si="0"/>
        <v>2020</v>
      </c>
      <c r="K2" s="76">
        <f t="shared" si="0"/>
        <v>2021</v>
      </c>
      <c r="L2" s="76">
        <f t="shared" si="0"/>
        <v>2022</v>
      </c>
      <c r="M2" s="76">
        <f t="shared" si="0"/>
        <v>2023</v>
      </c>
    </row>
    <row r="3" spans="1:14" ht="18" x14ac:dyDescent="0.2">
      <c r="D3" s="323" t="s">
        <v>283</v>
      </c>
      <c r="E3" s="323" t="s">
        <v>284</v>
      </c>
      <c r="F3" s="323"/>
      <c r="G3" s="323"/>
      <c r="H3" s="323"/>
      <c r="I3" s="323" t="s">
        <v>285</v>
      </c>
      <c r="J3" s="324"/>
      <c r="K3" s="323" t="s">
        <v>286</v>
      </c>
      <c r="L3" s="323"/>
      <c r="M3" s="328"/>
    </row>
    <row r="4" spans="1:14" ht="18" x14ac:dyDescent="0.2">
      <c r="D4" s="321" t="s">
        <v>287</v>
      </c>
      <c r="E4" s="325"/>
      <c r="F4" s="325"/>
      <c r="G4" s="325"/>
      <c r="H4" s="325"/>
      <c r="I4" s="321">
        <v>1</v>
      </c>
      <c r="J4" s="324"/>
      <c r="K4" s="325" t="s">
        <v>285</v>
      </c>
      <c r="L4" s="326">
        <v>1</v>
      </c>
      <c r="M4" s="328"/>
    </row>
    <row r="5" spans="1:14" ht="18" x14ac:dyDescent="0.2">
      <c r="D5" s="322" t="s">
        <v>461</v>
      </c>
      <c r="E5" s="324"/>
      <c r="F5" s="324"/>
      <c r="G5" s="324"/>
      <c r="H5" s="324"/>
      <c r="I5" s="322">
        <v>2</v>
      </c>
      <c r="J5" s="324"/>
      <c r="K5" s="324" t="s">
        <v>289</v>
      </c>
      <c r="L5" s="327">
        <v>2024</v>
      </c>
      <c r="M5" s="328"/>
    </row>
    <row r="6" spans="1:14" x14ac:dyDescent="0.15">
      <c r="D6" s="322" t="s">
        <v>290</v>
      </c>
      <c r="E6" s="324"/>
      <c r="F6" s="324"/>
      <c r="G6" s="324"/>
      <c r="H6" s="324"/>
      <c r="I6" s="322">
        <v>3</v>
      </c>
      <c r="J6" s="324"/>
      <c r="K6" s="324"/>
      <c r="L6" s="324"/>
    </row>
    <row r="8" spans="1:14" x14ac:dyDescent="0.15">
      <c r="A8" s="317" t="s">
        <v>279</v>
      </c>
      <c r="B8" s="315"/>
      <c r="C8" s="315"/>
      <c r="D8" s="315"/>
      <c r="E8" s="315"/>
      <c r="F8" s="315"/>
      <c r="G8" s="315"/>
      <c r="H8" s="315"/>
      <c r="I8" s="315"/>
      <c r="J8" s="315"/>
      <c r="K8" s="315"/>
      <c r="L8" s="315"/>
      <c r="M8" s="315"/>
    </row>
    <row r="9" spans="1:14" s="331" customFormat="1" ht="16" x14ac:dyDescent="0.2">
      <c r="A9" s="89" t="s">
        <v>417</v>
      </c>
      <c r="B9" s="89"/>
      <c r="C9" s="89"/>
      <c r="D9" s="89"/>
      <c r="E9" s="89"/>
      <c r="F9" s="89"/>
      <c r="G9" s="89"/>
      <c r="H9" s="89"/>
      <c r="I9" s="425">
        <f>CHOOSE($L$4,I33,I56,I80)</f>
        <v>159795153</v>
      </c>
      <c r="J9" s="425">
        <f t="shared" ref="J9:M9" si="1">CHOOSE($L$4,J33,J56,J80)</f>
        <v>159795153</v>
      </c>
      <c r="K9" s="425">
        <f t="shared" si="1"/>
        <v>159795153</v>
      </c>
      <c r="L9" s="425">
        <f t="shared" si="1"/>
        <v>159795153</v>
      </c>
      <c r="M9" s="425">
        <f t="shared" si="1"/>
        <v>159795153</v>
      </c>
      <c r="N9" s="343" t="s">
        <v>417</v>
      </c>
    </row>
    <row r="10" spans="1:14" s="331" customFormat="1" ht="16" x14ac:dyDescent="0.2">
      <c r="A10" s="89" t="s">
        <v>443</v>
      </c>
      <c r="B10" s="89"/>
      <c r="C10" s="89"/>
      <c r="D10" s="89"/>
      <c r="E10" s="89"/>
      <c r="F10" s="89"/>
      <c r="G10" s="89"/>
      <c r="H10" s="89"/>
      <c r="I10" s="432">
        <f t="shared" ref="I10:M20" si="2">CHOOSE($L$4,I34,I57,I81)</f>
        <v>13.75</v>
      </c>
      <c r="J10" s="432">
        <f t="shared" si="2"/>
        <v>13.75</v>
      </c>
      <c r="K10" s="432">
        <f t="shared" si="2"/>
        <v>13.75</v>
      </c>
      <c r="L10" s="432">
        <f t="shared" si="2"/>
        <v>13.75</v>
      </c>
      <c r="M10" s="432">
        <f t="shared" si="2"/>
        <v>13.75</v>
      </c>
      <c r="N10" s="343" t="s">
        <v>443</v>
      </c>
    </row>
    <row r="11" spans="1:14" s="331" customFormat="1" ht="16" x14ac:dyDescent="0.2">
      <c r="A11" s="89" t="s">
        <v>291</v>
      </c>
      <c r="B11" s="89"/>
      <c r="C11" s="89"/>
      <c r="D11" s="89"/>
      <c r="E11" s="89"/>
      <c r="F11" s="89"/>
      <c r="G11" s="89"/>
      <c r="H11" s="89"/>
      <c r="I11" s="433">
        <f t="shared" si="2"/>
        <v>8.1812163056842902E-3</v>
      </c>
      <c r="J11" s="433">
        <f t="shared" si="2"/>
        <v>8.1812163056842902E-3</v>
      </c>
      <c r="K11" s="433">
        <f t="shared" si="2"/>
        <v>8.1812163056842902E-3</v>
      </c>
      <c r="L11" s="433">
        <f t="shared" si="2"/>
        <v>8.1812163056842902E-3</v>
      </c>
      <c r="M11" s="433">
        <f t="shared" si="2"/>
        <v>8.1812163056842902E-3</v>
      </c>
      <c r="N11" s="417" t="s">
        <v>444</v>
      </c>
    </row>
    <row r="12" spans="1:14" s="331" customFormat="1" ht="16" x14ac:dyDescent="0.2">
      <c r="A12" s="89" t="s">
        <v>292</v>
      </c>
      <c r="B12" s="89"/>
      <c r="C12" s="89"/>
      <c r="D12" s="89"/>
      <c r="E12" s="89"/>
      <c r="F12" s="89"/>
      <c r="G12" s="89"/>
      <c r="H12" s="89"/>
      <c r="I12" s="433">
        <f t="shared" si="2"/>
        <v>0.93459755982218862</v>
      </c>
      <c r="J12" s="433">
        <f t="shared" si="2"/>
        <v>0.93459755982218862</v>
      </c>
      <c r="K12" s="433">
        <f t="shared" si="2"/>
        <v>0.93459755982218862</v>
      </c>
      <c r="L12" s="433">
        <f t="shared" si="2"/>
        <v>0.93459755982218862</v>
      </c>
      <c r="M12" s="433">
        <f t="shared" si="2"/>
        <v>0.93459755982218862</v>
      </c>
      <c r="N12" s="89" t="s">
        <v>291</v>
      </c>
    </row>
    <row r="13" spans="1:14" ht="16" x14ac:dyDescent="0.2">
      <c r="A13" s="89" t="s">
        <v>293</v>
      </c>
      <c r="B13" s="89"/>
      <c r="C13" s="89"/>
      <c r="D13" s="89"/>
      <c r="E13" s="89"/>
      <c r="F13" s="89"/>
      <c r="G13" s="89"/>
      <c r="H13" s="89"/>
      <c r="I13" s="433">
        <f t="shared" si="2"/>
        <v>0</v>
      </c>
      <c r="J13" s="433">
        <f t="shared" si="2"/>
        <v>0</v>
      </c>
      <c r="K13" s="433">
        <f t="shared" si="2"/>
        <v>0</v>
      </c>
      <c r="L13" s="433">
        <f t="shared" si="2"/>
        <v>0</v>
      </c>
      <c r="M13" s="433">
        <f t="shared" si="2"/>
        <v>0</v>
      </c>
      <c r="N13" s="89" t="s">
        <v>292</v>
      </c>
    </row>
    <row r="14" spans="1:14" ht="16" x14ac:dyDescent="0.2">
      <c r="A14" s="105" t="s">
        <v>294</v>
      </c>
      <c r="B14" s="105"/>
      <c r="C14" s="105"/>
      <c r="D14" s="105"/>
      <c r="E14" s="105"/>
      <c r="F14" s="105"/>
      <c r="G14" s="105"/>
      <c r="H14" s="105"/>
      <c r="I14" s="434">
        <f t="shared" si="2"/>
        <v>5.7221223872127115E-2</v>
      </c>
      <c r="J14" s="434">
        <f t="shared" si="2"/>
        <v>5.7221223872127115E-2</v>
      </c>
      <c r="K14" s="434">
        <f t="shared" si="2"/>
        <v>5.7221223872127115E-2</v>
      </c>
      <c r="L14" s="434">
        <f t="shared" si="2"/>
        <v>5.7221223872127115E-2</v>
      </c>
      <c r="M14" s="434">
        <f t="shared" si="2"/>
        <v>5.7221223872127115E-2</v>
      </c>
      <c r="N14" s="89" t="s">
        <v>293</v>
      </c>
    </row>
    <row r="15" spans="1:14" ht="16" x14ac:dyDescent="0.2">
      <c r="A15" s="89" t="s">
        <v>456</v>
      </c>
      <c r="B15" s="89"/>
      <c r="C15" s="89"/>
      <c r="D15" s="89"/>
      <c r="E15" s="89"/>
      <c r="F15" s="89"/>
      <c r="G15" s="89"/>
      <c r="H15" s="89"/>
      <c r="I15" s="432">
        <f t="shared" si="2"/>
        <v>8.85</v>
      </c>
      <c r="J15" s="432">
        <f t="shared" si="2"/>
        <v>8.85</v>
      </c>
      <c r="K15" s="432">
        <f t="shared" si="2"/>
        <v>8.85</v>
      </c>
      <c r="L15" s="432">
        <f t="shared" si="2"/>
        <v>8.85</v>
      </c>
      <c r="M15" s="432">
        <f t="shared" si="2"/>
        <v>8.85</v>
      </c>
      <c r="N15" s="105" t="s">
        <v>294</v>
      </c>
    </row>
    <row r="16" spans="1:14" ht="16" x14ac:dyDescent="0.2">
      <c r="A16" s="89" t="s">
        <v>431</v>
      </c>
      <c r="B16" s="89"/>
      <c r="C16" s="89"/>
      <c r="D16" s="89"/>
      <c r="E16" s="89"/>
      <c r="F16" s="89"/>
      <c r="G16" s="89"/>
      <c r="H16" s="89"/>
      <c r="I16" s="432">
        <f t="shared" si="2"/>
        <v>2.2000000000000002</v>
      </c>
      <c r="J16" s="432">
        <f t="shared" si="2"/>
        <v>2.2000000000000002</v>
      </c>
      <c r="K16" s="432">
        <f t="shared" si="2"/>
        <v>2.2000000000000002</v>
      </c>
      <c r="L16" s="432">
        <f t="shared" si="2"/>
        <v>2.2000000000000002</v>
      </c>
      <c r="M16" s="432">
        <f t="shared" si="2"/>
        <v>2.2000000000000002</v>
      </c>
      <c r="N16" s="343" t="s">
        <v>456</v>
      </c>
    </row>
    <row r="17" spans="1:14" ht="16" x14ac:dyDescent="0.2">
      <c r="A17" s="89" t="s">
        <v>460</v>
      </c>
      <c r="B17" s="89"/>
      <c r="C17" s="89"/>
      <c r="D17" s="89"/>
      <c r="E17" s="89"/>
      <c r="F17" s="89"/>
      <c r="G17" s="89"/>
      <c r="H17" s="89"/>
      <c r="I17" s="425">
        <f t="shared" si="2"/>
        <v>2094</v>
      </c>
      <c r="J17" s="425">
        <f t="shared" si="2"/>
        <v>2094</v>
      </c>
      <c r="K17" s="425">
        <f t="shared" si="2"/>
        <v>2094</v>
      </c>
      <c r="L17" s="425">
        <f t="shared" si="2"/>
        <v>2094</v>
      </c>
      <c r="M17" s="425">
        <f t="shared" si="2"/>
        <v>2094</v>
      </c>
      <c r="N17" s="343" t="s">
        <v>431</v>
      </c>
    </row>
    <row r="18" spans="1:14" ht="16" x14ac:dyDescent="0.2">
      <c r="A18" s="89"/>
      <c r="I18" s="319">
        <f t="shared" si="2"/>
        <v>0</v>
      </c>
      <c r="J18" s="319">
        <f t="shared" si="2"/>
        <v>0</v>
      </c>
      <c r="K18" s="319">
        <f t="shared" si="2"/>
        <v>0</v>
      </c>
      <c r="L18" s="319">
        <f t="shared" si="2"/>
        <v>0</v>
      </c>
      <c r="M18" s="319">
        <f t="shared" si="2"/>
        <v>0</v>
      </c>
      <c r="N18" s="343" t="s">
        <v>437</v>
      </c>
    </row>
    <row r="19" spans="1:14" ht="16" x14ac:dyDescent="0.2">
      <c r="A19" s="89" t="s">
        <v>221</v>
      </c>
      <c r="I19" s="319">
        <f t="shared" si="2"/>
        <v>0</v>
      </c>
      <c r="J19" s="319">
        <f t="shared" si="2"/>
        <v>0</v>
      </c>
      <c r="K19" s="319">
        <f t="shared" si="2"/>
        <v>0</v>
      </c>
      <c r="L19" s="319">
        <f t="shared" si="2"/>
        <v>0</v>
      </c>
      <c r="M19" s="319">
        <f t="shared" si="2"/>
        <v>0</v>
      </c>
      <c r="N19" s="343" t="s">
        <v>331</v>
      </c>
    </row>
    <row r="20" spans="1:14" ht="16" x14ac:dyDescent="0.2">
      <c r="A20" s="89" t="s">
        <v>222</v>
      </c>
      <c r="I20" s="319">
        <f t="shared" si="2"/>
        <v>0</v>
      </c>
      <c r="J20" s="319">
        <f t="shared" si="2"/>
        <v>0</v>
      </c>
      <c r="K20" s="319">
        <f t="shared" si="2"/>
        <v>0</v>
      </c>
      <c r="L20" s="319">
        <f t="shared" si="2"/>
        <v>0</v>
      </c>
      <c r="M20" s="319">
        <f t="shared" si="2"/>
        <v>0</v>
      </c>
      <c r="N20" s="343" t="s">
        <v>449</v>
      </c>
    </row>
    <row r="21" spans="1:14" ht="16" x14ac:dyDescent="0.2">
      <c r="A21" s="89" t="s">
        <v>71</v>
      </c>
      <c r="E21" s="324"/>
      <c r="I21" s="319">
        <f>CHOOSE($L$4,I44,I68,I92)</f>
        <v>0</v>
      </c>
      <c r="J21" s="319">
        <f>CHOOSE($L$4,J44,J68,J92)</f>
        <v>0</v>
      </c>
      <c r="K21" s="319">
        <f>CHOOSE($L$4,K44,K68,K92)</f>
        <v>0</v>
      </c>
      <c r="L21" s="319">
        <f>CHOOSE($L$4,L44,L68,L92)</f>
        <v>0</v>
      </c>
      <c r="M21" s="319">
        <f>CHOOSE($L$4,M44,M68,M92)</f>
        <v>0</v>
      </c>
      <c r="N21" s="418" t="s">
        <v>450</v>
      </c>
    </row>
    <row r="22" spans="1:14" ht="16" x14ac:dyDescent="0.2">
      <c r="A22" s="89" t="s">
        <v>72</v>
      </c>
      <c r="I22" s="319">
        <f>CHOOSE($L$4,I45,I69,I93)</f>
        <v>0</v>
      </c>
      <c r="J22" s="319">
        <f>CHOOSE($L$4,J45,J69,J93)</f>
        <v>0</v>
      </c>
      <c r="K22" s="319">
        <f>CHOOSE($L$4,K45,K69,K93)</f>
        <v>0</v>
      </c>
      <c r="L22" s="319">
        <f>CHOOSE($L$4,L45,L69,L93)</f>
        <v>0</v>
      </c>
      <c r="M22" s="319">
        <f>CHOOSE($L$4,M45,M69,M93)</f>
        <v>0</v>
      </c>
      <c r="N22" s="350" t="s">
        <v>459</v>
      </c>
    </row>
    <row r="23" spans="1:14" ht="16" x14ac:dyDescent="0.2">
      <c r="A23" s="89" t="s">
        <v>73</v>
      </c>
      <c r="I23" s="319">
        <f>CHOOSE($L$4,I46,I70,I94)</f>
        <v>0.21</v>
      </c>
      <c r="J23" s="319">
        <f>CHOOSE($L$4,J46,J70,J94)</f>
        <v>0.21</v>
      </c>
      <c r="K23" s="319">
        <f>CHOOSE($L$4,K46,K70,K94)</f>
        <v>0.21</v>
      </c>
      <c r="L23" s="319">
        <f>CHOOSE($L$4,L46,L70,L94)</f>
        <v>0.21</v>
      </c>
      <c r="M23" s="319">
        <f>CHOOSE($L$4,M46,M70,M94)</f>
        <v>0.21</v>
      </c>
      <c r="N23" s="363"/>
    </row>
    <row r="24" spans="1:14" ht="16" x14ac:dyDescent="0.2">
      <c r="A24" s="71" t="s">
        <v>74</v>
      </c>
      <c r="I24" s="329">
        <f>CHOOSE($L$4,I47,I71,I95)</f>
        <v>10</v>
      </c>
      <c r="J24" s="329">
        <f>CHOOSE($L$4,J47,J71,J95)</f>
        <v>10</v>
      </c>
      <c r="K24" s="329">
        <f>CHOOSE($L$4,K47,K71,K95)</f>
        <v>10</v>
      </c>
      <c r="L24" s="329">
        <f>CHOOSE($L$4,L47,L71,L95)</f>
        <v>10</v>
      </c>
      <c r="M24" s="329">
        <f>CHOOSE($L$4,M47,M71,M95)</f>
        <v>10</v>
      </c>
      <c r="N24" s="363"/>
    </row>
    <row r="25" spans="1:14" ht="16" x14ac:dyDescent="0.2">
      <c r="A25" s="71" t="s">
        <v>277</v>
      </c>
      <c r="I25" s="329">
        <f>CHOOSE($L$4,I48,I72,I96)</f>
        <v>130</v>
      </c>
      <c r="J25" s="329">
        <f>CHOOSE($L$4,J48,J72,J96)</f>
        <v>130</v>
      </c>
      <c r="K25" s="329">
        <f>CHOOSE($L$4,K48,K72,K96)</f>
        <v>130</v>
      </c>
      <c r="L25" s="329">
        <f>CHOOSE($L$4,L48,L72,L96)</f>
        <v>130</v>
      </c>
      <c r="M25" s="329">
        <f>CHOOSE($L$4,M48,M72,M96)</f>
        <v>130</v>
      </c>
      <c r="N25" s="363"/>
    </row>
    <row r="26" spans="1:14" ht="16" x14ac:dyDescent="0.2">
      <c r="A26" s="71" t="s">
        <v>278</v>
      </c>
      <c r="I26" s="329">
        <f>CHOOSE($L$4,I49,I73,I97)</f>
        <v>36.452556325823224</v>
      </c>
      <c r="J26" s="329">
        <f>CHOOSE($L$4,J49,J73,J97)</f>
        <v>36.452556325823224</v>
      </c>
      <c r="K26" s="329">
        <f>CHOOSE($L$4,K49,K73,K97)</f>
        <v>36.452556325823224</v>
      </c>
      <c r="L26" s="329">
        <f>CHOOSE($L$4,L49,L73,L97)</f>
        <v>36.452556325823224</v>
      </c>
      <c r="M26" s="329">
        <f>CHOOSE($L$4,M49,M73,M97)</f>
        <v>36.452556325823224</v>
      </c>
      <c r="N26" s="363"/>
    </row>
    <row r="27" spans="1:14" ht="16" x14ac:dyDescent="0.2">
      <c r="A27" s="71" t="s">
        <v>76</v>
      </c>
      <c r="I27" s="329">
        <f>CHOOSE($L$4,I50,I74,I98)</f>
        <v>27.490027126216692</v>
      </c>
      <c r="J27" s="329">
        <f>CHOOSE($L$4,J50,J74,J98)</f>
        <v>27.490027126216692</v>
      </c>
      <c r="K27" s="329">
        <f>CHOOSE($L$4,K50,K74,K98)</f>
        <v>27.490027126216692</v>
      </c>
      <c r="L27" s="329">
        <f>CHOOSE($L$4,L50,L74,L98)</f>
        <v>27.490027126216692</v>
      </c>
      <c r="M27" s="329">
        <f>CHOOSE($L$4,M50,M74,M98)</f>
        <v>27.490027126216692</v>
      </c>
      <c r="N27" s="404"/>
    </row>
    <row r="28" spans="1:14" ht="16" x14ac:dyDescent="0.2">
      <c r="A28" s="71" t="s">
        <v>77</v>
      </c>
      <c r="I28" s="329">
        <f>CHOOSE($L$4,I51,I75,I99)</f>
        <v>2000</v>
      </c>
      <c r="J28" s="329">
        <f>CHOOSE($L$4,J51,J75,J99)</f>
        <v>2000</v>
      </c>
      <c r="K28" s="329">
        <f>CHOOSE($L$4,K51,K75,K99)</f>
        <v>2000</v>
      </c>
      <c r="L28" s="329">
        <f>CHOOSE($L$4,L51,L75,L99)</f>
        <v>2000</v>
      </c>
      <c r="M28" s="329">
        <f>CHOOSE($L$4,M51,M75,M99)</f>
        <v>2000</v>
      </c>
    </row>
    <row r="29" spans="1:14" ht="16" x14ac:dyDescent="0.2">
      <c r="A29" s="71" t="s">
        <v>78</v>
      </c>
      <c r="I29" s="329">
        <f>CHOOSE($L$4,I52,I76,I100)</f>
        <v>-250</v>
      </c>
      <c r="J29" s="329">
        <f>CHOOSE($L$4,J52,J76,J100)</f>
        <v>-250</v>
      </c>
      <c r="K29" s="329">
        <f>CHOOSE($L$4,K52,K76,K100)</f>
        <v>-250</v>
      </c>
      <c r="L29" s="329">
        <f>CHOOSE($L$4,L52,L76,L100)</f>
        <v>-250</v>
      </c>
      <c r="M29" s="329">
        <f>CHOOSE($L$4,M52,M76,M100)</f>
        <v>-250</v>
      </c>
    </row>
    <row r="30" spans="1:14" ht="16" x14ac:dyDescent="0.2">
      <c r="A30" s="71" t="s">
        <v>79</v>
      </c>
      <c r="I30" s="329">
        <f>CHOOSE($L$4,I53,I77,I101)</f>
        <v>-500</v>
      </c>
      <c r="J30" s="329">
        <f>CHOOSE($L$4,J53,J77,J101)</f>
        <v>-500</v>
      </c>
      <c r="K30" s="329">
        <f>CHOOSE($L$4,K53,K77,K101)</f>
        <v>-500</v>
      </c>
      <c r="L30" s="329">
        <f>CHOOSE($L$4,L53,L77,L101)</f>
        <v>-500</v>
      </c>
      <c r="M30" s="329">
        <f>CHOOSE($L$4,M53,M77,M101)</f>
        <v>-500</v>
      </c>
    </row>
    <row r="31" spans="1:14" ht="16" x14ac:dyDescent="0.2">
      <c r="A31" s="71" t="s">
        <v>295</v>
      </c>
      <c r="I31" s="329">
        <f>CHOOSE($L$4,I54,I78,I102)</f>
        <v>340</v>
      </c>
      <c r="J31" s="329">
        <f>CHOOSE($L$4,J54,J78,J102)</f>
        <v>340</v>
      </c>
      <c r="K31" s="329">
        <f>CHOOSE($L$4,K54,K78,K102)</f>
        <v>340</v>
      </c>
      <c r="L31" s="329">
        <f>CHOOSE($L$4,L54,L78,L102)</f>
        <v>340</v>
      </c>
      <c r="M31" s="329">
        <f>CHOOSE($L$4,M54,M78,M102)</f>
        <v>340</v>
      </c>
    </row>
    <row r="32" spans="1:14" x14ac:dyDescent="0.15">
      <c r="A32" s="315" t="s">
        <v>458</v>
      </c>
      <c r="B32" s="315"/>
      <c r="C32" s="315"/>
      <c r="D32" s="315"/>
      <c r="E32" s="315"/>
      <c r="F32" s="315"/>
      <c r="G32" s="315"/>
      <c r="H32" s="315"/>
      <c r="I32" s="315"/>
      <c r="J32" s="315"/>
      <c r="K32" s="315"/>
      <c r="L32" s="315"/>
      <c r="M32" s="315"/>
    </row>
    <row r="33" spans="1:13" ht="16" x14ac:dyDescent="0.2">
      <c r="A33" s="89" t="s">
        <v>417</v>
      </c>
      <c r="B33" s="89"/>
      <c r="C33" s="89"/>
      <c r="D33" s="89"/>
      <c r="E33" s="89"/>
      <c r="F33" s="89"/>
      <c r="G33" s="89">
        <f>'Analysis V2'!F13</f>
        <v>153811072</v>
      </c>
      <c r="H33" s="89">
        <f>'Analysis V2'!G13</f>
        <v>159795153</v>
      </c>
      <c r="I33" s="425">
        <f>H33</f>
        <v>159795153</v>
      </c>
      <c r="J33" s="425">
        <f t="shared" ref="J33:M33" si="3">I33</f>
        <v>159795153</v>
      </c>
      <c r="K33" s="425">
        <f t="shared" si="3"/>
        <v>159795153</v>
      </c>
      <c r="L33" s="425">
        <f t="shared" si="3"/>
        <v>159795153</v>
      </c>
      <c r="M33" s="425">
        <f t="shared" si="3"/>
        <v>159795153</v>
      </c>
    </row>
    <row r="34" spans="1:13" ht="16" x14ac:dyDescent="0.2">
      <c r="A34" s="89" t="s">
        <v>443</v>
      </c>
      <c r="B34" s="89"/>
      <c r="C34" s="89"/>
      <c r="D34" s="89"/>
      <c r="E34" s="89"/>
      <c r="F34" s="89"/>
      <c r="G34" s="427">
        <f>'Analysis V2'!F14</f>
        <v>13.75</v>
      </c>
      <c r="H34" s="427">
        <f>'Analysis V2'!G14</f>
        <v>13.75</v>
      </c>
      <c r="I34" s="432">
        <f t="shared" ref="I34:M41" si="4">H34</f>
        <v>13.75</v>
      </c>
      <c r="J34" s="432">
        <f t="shared" si="4"/>
        <v>13.75</v>
      </c>
      <c r="K34" s="432">
        <f t="shared" si="4"/>
        <v>13.75</v>
      </c>
      <c r="L34" s="432">
        <f t="shared" si="4"/>
        <v>13.75</v>
      </c>
      <c r="M34" s="432">
        <f t="shared" si="4"/>
        <v>13.75</v>
      </c>
    </row>
    <row r="35" spans="1:13" ht="16" x14ac:dyDescent="0.2">
      <c r="A35" s="89" t="s">
        <v>291</v>
      </c>
      <c r="B35" s="89"/>
      <c r="C35" s="89"/>
      <c r="D35" s="89"/>
      <c r="E35" s="89"/>
      <c r="F35" s="89"/>
      <c r="G35" s="429">
        <f>'Analysis V2'!F16</f>
        <v>8.4282123318054122E-3</v>
      </c>
      <c r="H35" s="429">
        <f>'Analysis V2'!G16</f>
        <v>8.1812163056842902E-3</v>
      </c>
      <c r="I35" s="433">
        <f t="shared" si="4"/>
        <v>8.1812163056842902E-3</v>
      </c>
      <c r="J35" s="433">
        <f t="shared" si="4"/>
        <v>8.1812163056842902E-3</v>
      </c>
      <c r="K35" s="433">
        <f t="shared" si="4"/>
        <v>8.1812163056842902E-3</v>
      </c>
      <c r="L35" s="433">
        <f t="shared" si="4"/>
        <v>8.1812163056842902E-3</v>
      </c>
      <c r="M35" s="433">
        <f t="shared" si="4"/>
        <v>8.1812163056842902E-3</v>
      </c>
    </row>
    <row r="36" spans="1:13" ht="16" x14ac:dyDescent="0.2">
      <c r="A36" s="89" t="s">
        <v>292</v>
      </c>
      <c r="B36" s="89"/>
      <c r="C36" s="89"/>
      <c r="D36" s="89"/>
      <c r="E36" s="89"/>
      <c r="F36" s="89"/>
      <c r="G36" s="429">
        <f>'Analysis V2'!F17</f>
        <v>0.93981960668342457</v>
      </c>
      <c r="H36" s="429">
        <f>'Analysis V2'!G17</f>
        <v>0.93459755982218862</v>
      </c>
      <c r="I36" s="433">
        <f t="shared" si="4"/>
        <v>0.93459755982218862</v>
      </c>
      <c r="J36" s="433">
        <f t="shared" si="4"/>
        <v>0.93459755982218862</v>
      </c>
      <c r="K36" s="433">
        <f t="shared" si="4"/>
        <v>0.93459755982218862</v>
      </c>
      <c r="L36" s="433">
        <f t="shared" si="4"/>
        <v>0.93459755982218862</v>
      </c>
      <c r="M36" s="433">
        <f t="shared" si="4"/>
        <v>0.93459755982218862</v>
      </c>
    </row>
    <row r="37" spans="1:13" ht="16" x14ac:dyDescent="0.2">
      <c r="A37" s="89" t="s">
        <v>293</v>
      </c>
      <c r="B37" s="89"/>
      <c r="C37" s="89"/>
      <c r="D37" s="89"/>
      <c r="E37" s="89"/>
      <c r="F37" s="89"/>
      <c r="G37" s="429">
        <f>'Analysis V2'!F18</f>
        <v>0</v>
      </c>
      <c r="H37" s="429">
        <f>'Analysis V2'!G18</f>
        <v>0</v>
      </c>
      <c r="I37" s="433">
        <f t="shared" si="4"/>
        <v>0</v>
      </c>
      <c r="J37" s="433">
        <f t="shared" si="4"/>
        <v>0</v>
      </c>
      <c r="K37" s="433">
        <f t="shared" si="4"/>
        <v>0</v>
      </c>
      <c r="L37" s="433">
        <f t="shared" si="4"/>
        <v>0</v>
      </c>
      <c r="M37" s="433">
        <f t="shared" si="4"/>
        <v>0</v>
      </c>
    </row>
    <row r="38" spans="1:13" ht="16" x14ac:dyDescent="0.2">
      <c r="A38" s="105" t="s">
        <v>294</v>
      </c>
      <c r="B38" s="105"/>
      <c r="C38" s="105"/>
      <c r="D38" s="105"/>
      <c r="E38" s="105"/>
      <c r="F38" s="105"/>
      <c r="G38" s="430">
        <f>'Analysis V2'!F19</f>
        <v>5.1752180984770073E-2</v>
      </c>
      <c r="H38" s="430">
        <f>'Analysis V2'!G19</f>
        <v>5.7221223872127115E-2</v>
      </c>
      <c r="I38" s="434">
        <f t="shared" si="4"/>
        <v>5.7221223872127115E-2</v>
      </c>
      <c r="J38" s="434">
        <f t="shared" si="4"/>
        <v>5.7221223872127115E-2</v>
      </c>
      <c r="K38" s="434">
        <f t="shared" si="4"/>
        <v>5.7221223872127115E-2</v>
      </c>
      <c r="L38" s="434">
        <f t="shared" si="4"/>
        <v>5.7221223872127115E-2</v>
      </c>
      <c r="M38" s="434">
        <f t="shared" si="4"/>
        <v>5.7221223872127115E-2</v>
      </c>
    </row>
    <row r="39" spans="1:13" ht="16" x14ac:dyDescent="0.2">
      <c r="A39" s="89" t="s">
        <v>456</v>
      </c>
      <c r="B39" s="89"/>
      <c r="C39" s="89"/>
      <c r="D39" s="89"/>
      <c r="E39" s="89"/>
      <c r="F39" s="89"/>
      <c r="G39" s="427">
        <f>'Analysis V2'!F21</f>
        <v>8.8800000000000008</v>
      </c>
      <c r="H39" s="427">
        <f>'Analysis V2'!G21</f>
        <v>8.85</v>
      </c>
      <c r="I39" s="432">
        <f t="shared" si="4"/>
        <v>8.85</v>
      </c>
      <c r="J39" s="432">
        <f t="shared" si="4"/>
        <v>8.85</v>
      </c>
      <c r="K39" s="432">
        <f t="shared" si="4"/>
        <v>8.85</v>
      </c>
      <c r="L39" s="432">
        <f t="shared" si="4"/>
        <v>8.85</v>
      </c>
      <c r="M39" s="432">
        <f t="shared" si="4"/>
        <v>8.85</v>
      </c>
    </row>
    <row r="40" spans="1:13" ht="16" x14ac:dyDescent="0.2">
      <c r="A40" s="89" t="s">
        <v>431</v>
      </c>
      <c r="B40" s="89"/>
      <c r="C40" s="89"/>
      <c r="D40" s="89"/>
      <c r="E40" s="89"/>
      <c r="F40" s="89"/>
      <c r="G40" s="427">
        <f>'Analysis V2'!F22</f>
        <v>1.99</v>
      </c>
      <c r="H40" s="427">
        <f>'Analysis V2'!G22</f>
        <v>2.2000000000000002</v>
      </c>
      <c r="I40" s="432">
        <f t="shared" si="4"/>
        <v>2.2000000000000002</v>
      </c>
      <c r="J40" s="432">
        <f t="shared" si="4"/>
        <v>2.2000000000000002</v>
      </c>
      <c r="K40" s="432">
        <f t="shared" si="4"/>
        <v>2.2000000000000002</v>
      </c>
      <c r="L40" s="432">
        <f t="shared" si="4"/>
        <v>2.2000000000000002</v>
      </c>
      <c r="M40" s="432">
        <f t="shared" si="4"/>
        <v>2.2000000000000002</v>
      </c>
    </row>
    <row r="41" spans="1:13" ht="16" x14ac:dyDescent="0.2">
      <c r="A41" s="89" t="s">
        <v>460</v>
      </c>
      <c r="B41" s="89"/>
      <c r="C41" s="89"/>
      <c r="D41" s="89"/>
      <c r="E41" s="89"/>
      <c r="F41" s="89"/>
      <c r="G41" s="431">
        <f>'Analysis V2'!F23</f>
        <v>2045</v>
      </c>
      <c r="H41" s="431">
        <f>'Analysis V2'!G23</f>
        <v>2094</v>
      </c>
      <c r="I41" s="425">
        <f t="shared" si="4"/>
        <v>2094</v>
      </c>
      <c r="J41" s="425">
        <f t="shared" si="4"/>
        <v>2094</v>
      </c>
      <c r="K41" s="425">
        <f t="shared" si="4"/>
        <v>2094</v>
      </c>
      <c r="L41" s="425">
        <f t="shared" si="4"/>
        <v>2094</v>
      </c>
      <c r="M41" s="425">
        <f t="shared" si="4"/>
        <v>2094</v>
      </c>
    </row>
    <row r="42" spans="1:13" ht="16" x14ac:dyDescent="0.2">
      <c r="A42" s="89"/>
      <c r="B42" s="89"/>
      <c r="C42" s="89"/>
      <c r="D42" s="89"/>
      <c r="E42" s="89"/>
      <c r="F42" s="89"/>
      <c r="G42" s="431"/>
      <c r="H42" s="431"/>
      <c r="I42" s="425"/>
      <c r="J42" s="425"/>
      <c r="K42" s="425"/>
      <c r="L42" s="425"/>
      <c r="M42" s="425"/>
    </row>
    <row r="43" spans="1:13" ht="16" x14ac:dyDescent="0.2">
      <c r="A43" s="89"/>
      <c r="B43" s="89"/>
      <c r="C43" s="89"/>
      <c r="D43" s="89"/>
      <c r="E43" s="89"/>
      <c r="F43" s="89"/>
      <c r="G43" s="431"/>
      <c r="H43" s="429"/>
      <c r="I43" s="425"/>
      <c r="J43" s="425"/>
      <c r="K43" s="425"/>
      <c r="L43" s="425"/>
      <c r="M43" s="425"/>
    </row>
    <row r="44" spans="1:13" ht="16" x14ac:dyDescent="0.2">
      <c r="A44" s="89"/>
      <c r="B44" s="89"/>
      <c r="C44" s="89"/>
      <c r="D44" s="89"/>
      <c r="E44" s="89"/>
      <c r="F44" s="89"/>
      <c r="G44" s="430"/>
      <c r="H44" s="430"/>
      <c r="I44" s="425"/>
      <c r="J44" s="425"/>
      <c r="K44" s="425"/>
      <c r="L44" s="425"/>
      <c r="M44" s="425"/>
    </row>
    <row r="45" spans="1:13" ht="17" thickBot="1" x14ac:dyDescent="0.25">
      <c r="A45" s="421"/>
      <c r="B45" s="421"/>
      <c r="C45" s="421"/>
      <c r="D45" s="421"/>
      <c r="E45" s="421"/>
      <c r="F45" s="421"/>
      <c r="G45" s="421"/>
      <c r="H45" s="421"/>
      <c r="I45" s="426"/>
      <c r="J45" s="426"/>
      <c r="K45" s="426"/>
      <c r="L45" s="426"/>
      <c r="M45" s="426"/>
    </row>
    <row r="46" spans="1:13" ht="17" thickTop="1" x14ac:dyDescent="0.2">
      <c r="A46" s="89" t="s">
        <v>73</v>
      </c>
      <c r="I46" s="318">
        <v>0.21</v>
      </c>
      <c r="J46" s="318">
        <v>0.21</v>
      </c>
      <c r="K46" s="318">
        <v>0.21</v>
      </c>
      <c r="L46" s="318">
        <v>0.21</v>
      </c>
      <c r="M46" s="318">
        <v>0.21</v>
      </c>
    </row>
    <row r="47" spans="1:13" ht="16" x14ac:dyDescent="0.2">
      <c r="A47" s="71" t="s">
        <v>74</v>
      </c>
      <c r="I47" s="320">
        <v>10</v>
      </c>
      <c r="J47" s="320">
        <v>10</v>
      </c>
      <c r="K47" s="320">
        <v>10</v>
      </c>
      <c r="L47" s="320">
        <v>10</v>
      </c>
      <c r="M47" s="320">
        <v>10</v>
      </c>
    </row>
    <row r="48" spans="1:13" ht="16" x14ac:dyDescent="0.2">
      <c r="A48" s="71" t="s">
        <v>277</v>
      </c>
      <c r="I48" s="320">
        <v>130</v>
      </c>
      <c r="J48" s="320">
        <v>130</v>
      </c>
      <c r="K48" s="320">
        <v>130</v>
      </c>
      <c r="L48" s="320">
        <v>130</v>
      </c>
      <c r="M48" s="320">
        <v>130</v>
      </c>
    </row>
    <row r="49" spans="1:13" ht="16" x14ac:dyDescent="0.2">
      <c r="A49" s="71" t="s">
        <v>278</v>
      </c>
      <c r="I49" s="320">
        <v>36.452556325823224</v>
      </c>
      <c r="J49" s="320">
        <v>36.452556325823224</v>
      </c>
      <c r="K49" s="320">
        <v>36.452556325823224</v>
      </c>
      <c r="L49" s="320">
        <v>36.452556325823224</v>
      </c>
      <c r="M49" s="320">
        <v>36.452556325823224</v>
      </c>
    </row>
    <row r="50" spans="1:13" ht="16" x14ac:dyDescent="0.2">
      <c r="A50" s="71" t="s">
        <v>76</v>
      </c>
      <c r="I50" s="320">
        <v>27.490027126216692</v>
      </c>
      <c r="J50" s="320">
        <v>27.490027126216692</v>
      </c>
      <c r="K50" s="320">
        <v>27.490027126216692</v>
      </c>
      <c r="L50" s="320">
        <v>27.490027126216692</v>
      </c>
      <c r="M50" s="320">
        <v>27.490027126216692</v>
      </c>
    </row>
    <row r="51" spans="1:13" ht="16" x14ac:dyDescent="0.2">
      <c r="A51" s="71" t="s">
        <v>77</v>
      </c>
      <c r="I51" s="320">
        <v>2000</v>
      </c>
      <c r="J51" s="320">
        <v>2000</v>
      </c>
      <c r="K51" s="320">
        <v>2000</v>
      </c>
      <c r="L51" s="320">
        <v>2000</v>
      </c>
      <c r="M51" s="320">
        <v>2000</v>
      </c>
    </row>
    <row r="52" spans="1:13" ht="16" x14ac:dyDescent="0.2">
      <c r="A52" s="71" t="s">
        <v>78</v>
      </c>
      <c r="I52" s="320">
        <v>-250</v>
      </c>
      <c r="J52" s="320">
        <v>-250</v>
      </c>
      <c r="K52" s="320">
        <v>-250</v>
      </c>
      <c r="L52" s="320">
        <v>-250</v>
      </c>
      <c r="M52" s="320">
        <v>-250</v>
      </c>
    </row>
    <row r="53" spans="1:13" ht="16" x14ac:dyDescent="0.2">
      <c r="A53" s="71" t="s">
        <v>79</v>
      </c>
      <c r="I53" s="320">
        <v>-500</v>
      </c>
      <c r="J53" s="320">
        <v>-500</v>
      </c>
      <c r="K53" s="320">
        <v>-500</v>
      </c>
      <c r="L53" s="320">
        <v>-500</v>
      </c>
      <c r="M53" s="320">
        <v>-500</v>
      </c>
    </row>
    <row r="54" spans="1:13" ht="16" x14ac:dyDescent="0.2">
      <c r="A54" s="71" t="s">
        <v>295</v>
      </c>
      <c r="I54" s="329">
        <v>340</v>
      </c>
      <c r="J54" s="329">
        <v>340</v>
      </c>
      <c r="K54" s="329">
        <v>340</v>
      </c>
      <c r="L54" s="329">
        <v>340</v>
      </c>
      <c r="M54" s="329">
        <v>340</v>
      </c>
    </row>
    <row r="55" spans="1:13" x14ac:dyDescent="0.15">
      <c r="A55" s="315" t="s">
        <v>280</v>
      </c>
      <c r="B55" s="315"/>
      <c r="C55" s="315"/>
      <c r="D55" s="315"/>
      <c r="E55" s="315"/>
      <c r="F55" s="315"/>
      <c r="G55" s="315"/>
      <c r="H55" s="315"/>
      <c r="I55" s="315"/>
      <c r="J55" s="315"/>
      <c r="K55" s="315"/>
      <c r="L55" s="315"/>
      <c r="M55" s="315"/>
    </row>
    <row r="56" spans="1:13" ht="16" x14ac:dyDescent="0.2">
      <c r="A56" s="89" t="s">
        <v>291</v>
      </c>
      <c r="B56" s="316"/>
      <c r="C56" s="316"/>
      <c r="D56" s="316"/>
      <c r="E56" s="316"/>
      <c r="F56" s="316"/>
      <c r="G56" s="316"/>
      <c r="H56" s="316"/>
      <c r="I56" s="318">
        <f>I33*2</f>
        <v>319590306</v>
      </c>
      <c r="J56" s="318">
        <f>J33*2</f>
        <v>319590306</v>
      </c>
      <c r="K56" s="318">
        <f>K33*2</f>
        <v>319590306</v>
      </c>
      <c r="L56" s="318">
        <f>L33*2</f>
        <v>319590306</v>
      </c>
      <c r="M56" s="318">
        <f>M33*2</f>
        <v>319590306</v>
      </c>
    </row>
    <row r="57" spans="1:13" ht="16" x14ac:dyDescent="0.2">
      <c r="A57" s="89" t="s">
        <v>292</v>
      </c>
      <c r="B57" s="316"/>
      <c r="C57" s="316"/>
      <c r="D57" s="316"/>
      <c r="E57" s="316"/>
      <c r="F57" s="316"/>
      <c r="G57" s="316"/>
      <c r="H57" s="316"/>
      <c r="I57" s="318">
        <f>I34*2</f>
        <v>27.5</v>
      </c>
      <c r="J57" s="318">
        <f>J34*2</f>
        <v>27.5</v>
      </c>
      <c r="K57" s="318">
        <f>K34*2</f>
        <v>27.5</v>
      </c>
      <c r="L57" s="318">
        <f>L34*2</f>
        <v>27.5</v>
      </c>
      <c r="M57" s="318">
        <f>M34*2</f>
        <v>27.5</v>
      </c>
    </row>
    <row r="58" spans="1:13" ht="16" x14ac:dyDescent="0.2">
      <c r="A58" s="89" t="s">
        <v>293</v>
      </c>
      <c r="B58" s="316"/>
      <c r="C58" s="316"/>
      <c r="D58" s="316"/>
      <c r="E58" s="316"/>
      <c r="F58" s="316"/>
      <c r="G58" s="316"/>
      <c r="H58" s="316"/>
      <c r="I58" s="318" t="e">
        <f>#REF!*2</f>
        <v>#REF!</v>
      </c>
      <c r="J58" s="318" t="e">
        <f>#REF!*2</f>
        <v>#REF!</v>
      </c>
      <c r="K58" s="318" t="e">
        <f>#REF!*2</f>
        <v>#REF!</v>
      </c>
      <c r="L58" s="318" t="e">
        <f>#REF!*2</f>
        <v>#REF!</v>
      </c>
      <c r="M58" s="318" t="e">
        <f>#REF!*2</f>
        <v>#REF!</v>
      </c>
    </row>
    <row r="59" spans="1:13" ht="16" x14ac:dyDescent="0.2">
      <c r="A59" s="89" t="s">
        <v>294</v>
      </c>
      <c r="B59" s="316"/>
      <c r="C59" s="316"/>
      <c r="D59" s="316"/>
      <c r="E59" s="316"/>
      <c r="F59" s="316"/>
      <c r="G59" s="316"/>
      <c r="H59" s="316"/>
      <c r="I59" s="318">
        <f t="shared" ref="I59:M59" si="5">I35*2</f>
        <v>1.636243261136858E-2</v>
      </c>
      <c r="J59" s="318">
        <f t="shared" si="5"/>
        <v>1.636243261136858E-2</v>
      </c>
      <c r="K59" s="318">
        <f t="shared" si="5"/>
        <v>1.636243261136858E-2</v>
      </c>
      <c r="L59" s="318">
        <f t="shared" si="5"/>
        <v>1.636243261136858E-2</v>
      </c>
      <c r="M59" s="318">
        <f t="shared" si="5"/>
        <v>1.636243261136858E-2</v>
      </c>
    </row>
    <row r="60" spans="1:13" ht="16" x14ac:dyDescent="0.2">
      <c r="A60" s="89" t="s">
        <v>67</v>
      </c>
      <c r="I60" s="318"/>
      <c r="J60" s="318"/>
      <c r="K60" s="318"/>
      <c r="L60" s="318"/>
      <c r="M60" s="318"/>
    </row>
    <row r="61" spans="1:13" ht="16" x14ac:dyDescent="0.2">
      <c r="A61" s="89" t="s">
        <v>69</v>
      </c>
      <c r="I61" s="318">
        <f>I37*0.95</f>
        <v>0</v>
      </c>
      <c r="J61" s="318">
        <f t="shared" ref="J61:M61" si="6">J37*0.95</f>
        <v>0</v>
      </c>
      <c r="K61" s="318">
        <f t="shared" si="6"/>
        <v>0</v>
      </c>
      <c r="L61" s="318">
        <f t="shared" si="6"/>
        <v>0</v>
      </c>
      <c r="M61" s="318">
        <f t="shared" si="6"/>
        <v>0</v>
      </c>
    </row>
    <row r="62" spans="1:13" ht="16" x14ac:dyDescent="0.2">
      <c r="A62" s="89" t="s">
        <v>217</v>
      </c>
      <c r="I62" s="318">
        <f t="shared" ref="I62:M63" si="7">I38*0.95</f>
        <v>5.4360162678520757E-2</v>
      </c>
      <c r="J62" s="318">
        <f t="shared" si="7"/>
        <v>5.4360162678520757E-2</v>
      </c>
      <c r="K62" s="318">
        <f t="shared" si="7"/>
        <v>5.4360162678520757E-2</v>
      </c>
      <c r="L62" s="318">
        <f t="shared" si="7"/>
        <v>5.4360162678520757E-2</v>
      </c>
      <c r="M62" s="318">
        <f t="shared" si="7"/>
        <v>5.4360162678520757E-2</v>
      </c>
    </row>
    <row r="63" spans="1:13" ht="16" x14ac:dyDescent="0.2">
      <c r="A63" s="89" t="s">
        <v>218</v>
      </c>
      <c r="I63" s="318">
        <f t="shared" si="7"/>
        <v>8.4074999999999989</v>
      </c>
      <c r="J63" s="318">
        <f t="shared" si="7"/>
        <v>8.4074999999999989</v>
      </c>
      <c r="K63" s="318">
        <f t="shared" si="7"/>
        <v>8.4074999999999989</v>
      </c>
      <c r="L63" s="318">
        <f t="shared" si="7"/>
        <v>8.4074999999999989</v>
      </c>
      <c r="M63" s="318">
        <f t="shared" si="7"/>
        <v>8.4074999999999989</v>
      </c>
    </row>
    <row r="64" spans="1:13" ht="16" x14ac:dyDescent="0.2">
      <c r="A64" s="89" t="s">
        <v>219</v>
      </c>
      <c r="I64" s="319" t="s">
        <v>282</v>
      </c>
      <c r="J64" s="319" t="s">
        <v>282</v>
      </c>
      <c r="K64" s="319" t="s">
        <v>282</v>
      </c>
      <c r="L64" s="319" t="s">
        <v>282</v>
      </c>
      <c r="M64" s="319" t="s">
        <v>282</v>
      </c>
    </row>
    <row r="65" spans="1:13" ht="16" x14ac:dyDescent="0.2">
      <c r="A65" s="89" t="s">
        <v>220</v>
      </c>
      <c r="I65" s="318">
        <f t="shared" ref="I65:M65" si="8">I41*0.95</f>
        <v>1989.3</v>
      </c>
      <c r="J65" s="318">
        <f t="shared" si="8"/>
        <v>1989.3</v>
      </c>
      <c r="K65" s="318">
        <f t="shared" si="8"/>
        <v>1989.3</v>
      </c>
      <c r="L65" s="318">
        <f t="shared" si="8"/>
        <v>1989.3</v>
      </c>
      <c r="M65" s="318">
        <f t="shared" si="8"/>
        <v>1989.3</v>
      </c>
    </row>
    <row r="66" spans="1:13" ht="16" x14ac:dyDescent="0.2">
      <c r="A66" s="89" t="s">
        <v>221</v>
      </c>
      <c r="I66" s="319" t="s">
        <v>282</v>
      </c>
      <c r="J66" s="319" t="s">
        <v>282</v>
      </c>
      <c r="K66" s="319" t="s">
        <v>282</v>
      </c>
      <c r="L66" s="319" t="s">
        <v>282</v>
      </c>
      <c r="M66" s="319" t="s">
        <v>282</v>
      </c>
    </row>
    <row r="67" spans="1:13" ht="16" x14ac:dyDescent="0.2">
      <c r="A67" s="89" t="s">
        <v>222</v>
      </c>
      <c r="I67" s="318">
        <f t="shared" ref="I67:M67" si="9">I43*0.95</f>
        <v>0</v>
      </c>
      <c r="J67" s="318">
        <f t="shared" si="9"/>
        <v>0</v>
      </c>
      <c r="K67" s="318">
        <f t="shared" si="9"/>
        <v>0</v>
      </c>
      <c r="L67" s="318">
        <f t="shared" si="9"/>
        <v>0</v>
      </c>
      <c r="M67" s="318">
        <f t="shared" si="9"/>
        <v>0</v>
      </c>
    </row>
    <row r="68" spans="1:13" ht="16" x14ac:dyDescent="0.2">
      <c r="A68" s="89" t="s">
        <v>71</v>
      </c>
      <c r="I68" s="318">
        <f>I44*2</f>
        <v>0</v>
      </c>
      <c r="J68" s="318">
        <f>J44*2</f>
        <v>0</v>
      </c>
      <c r="K68" s="318">
        <f>K44*2</f>
        <v>0</v>
      </c>
      <c r="L68" s="318">
        <f>L44*2</f>
        <v>0</v>
      </c>
      <c r="M68" s="318">
        <f>M44*2</f>
        <v>0</v>
      </c>
    </row>
    <row r="69" spans="1:13" ht="16" x14ac:dyDescent="0.2">
      <c r="A69" s="89" t="s">
        <v>72</v>
      </c>
      <c r="I69" s="318">
        <v>0.01</v>
      </c>
      <c r="J69" s="318">
        <v>0.01</v>
      </c>
      <c r="K69" s="318">
        <v>0.01</v>
      </c>
      <c r="L69" s="318">
        <v>0.01</v>
      </c>
      <c r="M69" s="318">
        <v>0.01</v>
      </c>
    </row>
    <row r="70" spans="1:13" ht="16" x14ac:dyDescent="0.2">
      <c r="A70" s="89" t="s">
        <v>73</v>
      </c>
      <c r="I70" s="318">
        <f>I46*2</f>
        <v>0.42</v>
      </c>
      <c r="J70" s="318">
        <f>J46*2</f>
        <v>0.42</v>
      </c>
      <c r="K70" s="318">
        <f>K46*2</f>
        <v>0.42</v>
      </c>
      <c r="L70" s="318">
        <f>L46*2</f>
        <v>0.42</v>
      </c>
      <c r="M70" s="318">
        <f>M46*2</f>
        <v>0.42</v>
      </c>
    </row>
    <row r="71" spans="1:13" ht="16" x14ac:dyDescent="0.2">
      <c r="A71" s="71" t="s">
        <v>74</v>
      </c>
      <c r="I71" s="320">
        <v>23</v>
      </c>
      <c r="J71" s="320">
        <v>23</v>
      </c>
      <c r="K71" s="320">
        <v>23</v>
      </c>
      <c r="L71" s="320">
        <v>23</v>
      </c>
      <c r="M71" s="320">
        <v>23</v>
      </c>
    </row>
    <row r="72" spans="1:13" ht="16" x14ac:dyDescent="0.2">
      <c r="A72" s="71" t="s">
        <v>277</v>
      </c>
      <c r="I72" s="320">
        <v>120</v>
      </c>
      <c r="J72" s="320">
        <v>120</v>
      </c>
      <c r="K72" s="320">
        <v>120</v>
      </c>
      <c r="L72" s="320">
        <v>120</v>
      </c>
      <c r="M72" s="320">
        <v>120</v>
      </c>
    </row>
    <row r="73" spans="1:13" ht="16" x14ac:dyDescent="0.2">
      <c r="A73" s="71" t="s">
        <v>278</v>
      </c>
      <c r="I73" s="320">
        <v>22</v>
      </c>
      <c r="J73" s="320">
        <v>22</v>
      </c>
      <c r="K73" s="320">
        <v>22</v>
      </c>
      <c r="L73" s="320">
        <v>22</v>
      </c>
      <c r="M73" s="320">
        <v>22</v>
      </c>
    </row>
    <row r="74" spans="1:13" ht="16" x14ac:dyDescent="0.2">
      <c r="A74" s="71" t="s">
        <v>76</v>
      </c>
      <c r="I74" s="320">
        <v>32</v>
      </c>
      <c r="J74" s="320">
        <v>32</v>
      </c>
      <c r="K74" s="320">
        <v>32</v>
      </c>
      <c r="L74" s="320">
        <v>32</v>
      </c>
      <c r="M74" s="320">
        <v>32</v>
      </c>
    </row>
    <row r="75" spans="1:13" ht="16" x14ac:dyDescent="0.2">
      <c r="A75" s="71" t="s">
        <v>77</v>
      </c>
      <c r="I75" s="320">
        <v>1500</v>
      </c>
      <c r="J75" s="320">
        <v>1500</v>
      </c>
      <c r="K75" s="320">
        <v>1500</v>
      </c>
      <c r="L75" s="320">
        <v>1500</v>
      </c>
      <c r="M75" s="320">
        <v>1500</v>
      </c>
    </row>
    <row r="76" spans="1:13" ht="16" x14ac:dyDescent="0.2">
      <c r="A76" s="71" t="s">
        <v>78</v>
      </c>
      <c r="I76" s="320">
        <v>-250</v>
      </c>
      <c r="J76" s="320">
        <v>-250</v>
      </c>
      <c r="K76" s="320">
        <v>-250</v>
      </c>
      <c r="L76" s="320">
        <v>-250</v>
      </c>
      <c r="M76" s="320">
        <v>-250</v>
      </c>
    </row>
    <row r="77" spans="1:13" ht="16" x14ac:dyDescent="0.2">
      <c r="A77" s="71" t="s">
        <v>79</v>
      </c>
      <c r="I77" s="320">
        <v>-500</v>
      </c>
      <c r="J77" s="320">
        <v>-500</v>
      </c>
      <c r="K77" s="320">
        <v>-500</v>
      </c>
      <c r="L77" s="320">
        <v>-500</v>
      </c>
      <c r="M77" s="320">
        <v>-500</v>
      </c>
    </row>
    <row r="78" spans="1:13" ht="16" x14ac:dyDescent="0.2">
      <c r="A78" s="71" t="s">
        <v>295</v>
      </c>
      <c r="I78" s="320">
        <v>360</v>
      </c>
      <c r="J78" s="320">
        <v>360</v>
      </c>
      <c r="K78" s="320">
        <v>360</v>
      </c>
      <c r="L78" s="320">
        <v>360</v>
      </c>
      <c r="M78" s="320">
        <v>360</v>
      </c>
    </row>
    <row r="79" spans="1:13" x14ac:dyDescent="0.15">
      <c r="A79" s="315" t="s">
        <v>281</v>
      </c>
      <c r="B79" s="315"/>
      <c r="C79" s="315"/>
      <c r="D79" s="315"/>
      <c r="E79" s="315"/>
      <c r="F79" s="315"/>
      <c r="G79" s="315"/>
      <c r="H79" s="315"/>
      <c r="I79" s="315"/>
      <c r="J79" s="315"/>
      <c r="K79" s="315"/>
      <c r="L79" s="315"/>
      <c r="M79" s="315"/>
    </row>
    <row r="80" spans="1:13" ht="16" x14ac:dyDescent="0.2">
      <c r="A80" s="89" t="s">
        <v>291</v>
      </c>
      <c r="B80" s="316"/>
      <c r="C80" s="316"/>
      <c r="D80" s="316"/>
      <c r="E80" s="316"/>
      <c r="F80" s="316"/>
      <c r="G80" s="316"/>
      <c r="H80" s="316"/>
      <c r="I80" s="318">
        <f>I33*0.5</f>
        <v>79897576.5</v>
      </c>
      <c r="J80" s="318">
        <f>J33*0.5</f>
        <v>79897576.5</v>
      </c>
      <c r="K80" s="318">
        <f>K33*0.5</f>
        <v>79897576.5</v>
      </c>
      <c r="L80" s="318">
        <f>L33*0.5</f>
        <v>79897576.5</v>
      </c>
      <c r="M80" s="318">
        <f>M33*0.5</f>
        <v>79897576.5</v>
      </c>
    </row>
    <row r="81" spans="1:13" ht="16" x14ac:dyDescent="0.2">
      <c r="A81" s="89" t="s">
        <v>292</v>
      </c>
      <c r="B81" s="316"/>
      <c r="C81" s="316"/>
      <c r="D81" s="316"/>
      <c r="E81" s="316"/>
      <c r="F81" s="316"/>
      <c r="G81" s="316"/>
      <c r="H81" s="316"/>
      <c r="I81" s="318">
        <f>I34*0.5</f>
        <v>6.875</v>
      </c>
      <c r="J81" s="318">
        <f>J34*0.5</f>
        <v>6.875</v>
      </c>
      <c r="K81" s="318">
        <f>K34*0.5</f>
        <v>6.875</v>
      </c>
      <c r="L81" s="318">
        <f>L34*0.5</f>
        <v>6.875</v>
      </c>
      <c r="M81" s="318">
        <f>M34*0.5</f>
        <v>6.875</v>
      </c>
    </row>
    <row r="82" spans="1:13" ht="16" x14ac:dyDescent="0.2">
      <c r="A82" s="89" t="s">
        <v>293</v>
      </c>
      <c r="B82" s="316"/>
      <c r="C82" s="316"/>
      <c r="D82" s="316"/>
      <c r="E82" s="316"/>
      <c r="F82" s="316"/>
      <c r="G82" s="316"/>
      <c r="H82" s="316"/>
      <c r="I82" s="318" t="e">
        <f>#REF!*0.5</f>
        <v>#REF!</v>
      </c>
      <c r="J82" s="318" t="e">
        <f>#REF!*0.5</f>
        <v>#REF!</v>
      </c>
      <c r="K82" s="318" t="e">
        <f>#REF!*0.5</f>
        <v>#REF!</v>
      </c>
      <c r="L82" s="318" t="e">
        <f>#REF!*0.5</f>
        <v>#REF!</v>
      </c>
      <c r="M82" s="318" t="e">
        <f>#REF!*0.5</f>
        <v>#REF!</v>
      </c>
    </row>
    <row r="83" spans="1:13" ht="16" x14ac:dyDescent="0.2">
      <c r="A83" s="89" t="s">
        <v>294</v>
      </c>
      <c r="B83" s="316"/>
      <c r="C83" s="316"/>
      <c r="D83" s="316"/>
      <c r="E83" s="316"/>
      <c r="F83" s="316"/>
      <c r="G83" s="316"/>
      <c r="H83" s="316"/>
      <c r="I83" s="318">
        <f t="shared" ref="I83:M83" si="10">I35*0.5</f>
        <v>4.0906081528421451E-3</v>
      </c>
      <c r="J83" s="318">
        <f t="shared" si="10"/>
        <v>4.0906081528421451E-3</v>
      </c>
      <c r="K83" s="318">
        <f t="shared" si="10"/>
        <v>4.0906081528421451E-3</v>
      </c>
      <c r="L83" s="318">
        <f t="shared" si="10"/>
        <v>4.0906081528421451E-3</v>
      </c>
      <c r="M83" s="318">
        <f t="shared" si="10"/>
        <v>4.0906081528421451E-3</v>
      </c>
    </row>
    <row r="84" spans="1:13" ht="16" x14ac:dyDescent="0.2">
      <c r="A84" s="89" t="s">
        <v>67</v>
      </c>
      <c r="I84" s="318"/>
      <c r="J84" s="318"/>
      <c r="K84" s="318"/>
      <c r="L84" s="318"/>
      <c r="M84" s="318"/>
    </row>
    <row r="85" spans="1:13" ht="16" x14ac:dyDescent="0.2">
      <c r="A85" s="89" t="s">
        <v>69</v>
      </c>
      <c r="I85" s="318">
        <f>I37*1.05</f>
        <v>0</v>
      </c>
      <c r="J85" s="318">
        <f t="shared" ref="J85:M85" si="11">J37*1.05</f>
        <v>0</v>
      </c>
      <c r="K85" s="318">
        <f t="shared" si="11"/>
        <v>0</v>
      </c>
      <c r="L85" s="318">
        <f t="shared" si="11"/>
        <v>0</v>
      </c>
      <c r="M85" s="318">
        <f t="shared" si="11"/>
        <v>0</v>
      </c>
    </row>
    <row r="86" spans="1:13" ht="16" x14ac:dyDescent="0.2">
      <c r="A86" s="89" t="s">
        <v>217</v>
      </c>
      <c r="I86" s="318">
        <f t="shared" ref="I86:M87" si="12">I38*1.05</f>
        <v>6.0082285065733473E-2</v>
      </c>
      <c r="J86" s="318">
        <f t="shared" si="12"/>
        <v>6.0082285065733473E-2</v>
      </c>
      <c r="K86" s="318">
        <f t="shared" si="12"/>
        <v>6.0082285065733473E-2</v>
      </c>
      <c r="L86" s="318">
        <f t="shared" si="12"/>
        <v>6.0082285065733473E-2</v>
      </c>
      <c r="M86" s="318">
        <f t="shared" si="12"/>
        <v>6.0082285065733473E-2</v>
      </c>
    </row>
    <row r="87" spans="1:13" ht="16" x14ac:dyDescent="0.2">
      <c r="A87" s="89" t="s">
        <v>218</v>
      </c>
      <c r="I87" s="318">
        <f t="shared" si="12"/>
        <v>9.2925000000000004</v>
      </c>
      <c r="J87" s="318">
        <f t="shared" si="12"/>
        <v>9.2925000000000004</v>
      </c>
      <c r="K87" s="318">
        <f t="shared" si="12"/>
        <v>9.2925000000000004</v>
      </c>
      <c r="L87" s="318">
        <f t="shared" si="12"/>
        <v>9.2925000000000004</v>
      </c>
      <c r="M87" s="318">
        <f t="shared" si="12"/>
        <v>9.2925000000000004</v>
      </c>
    </row>
    <row r="88" spans="1:13" ht="16" x14ac:dyDescent="0.2">
      <c r="A88" s="89" t="s">
        <v>219</v>
      </c>
      <c r="I88" s="342" t="s">
        <v>282</v>
      </c>
      <c r="J88" s="342" t="s">
        <v>282</v>
      </c>
      <c r="K88" s="342" t="s">
        <v>282</v>
      </c>
      <c r="L88" s="342" t="s">
        <v>282</v>
      </c>
      <c r="M88" s="342" t="s">
        <v>282</v>
      </c>
    </row>
    <row r="89" spans="1:13" ht="16" x14ac:dyDescent="0.2">
      <c r="A89" s="89" t="s">
        <v>220</v>
      </c>
      <c r="I89" s="318">
        <f t="shared" ref="I89:M89" si="13">I41*1.05</f>
        <v>2198.7000000000003</v>
      </c>
      <c r="J89" s="318">
        <f t="shared" si="13"/>
        <v>2198.7000000000003</v>
      </c>
      <c r="K89" s="318">
        <f t="shared" si="13"/>
        <v>2198.7000000000003</v>
      </c>
      <c r="L89" s="318">
        <f t="shared" si="13"/>
        <v>2198.7000000000003</v>
      </c>
      <c r="M89" s="318">
        <f t="shared" si="13"/>
        <v>2198.7000000000003</v>
      </c>
    </row>
    <row r="90" spans="1:13" ht="16" x14ac:dyDescent="0.2">
      <c r="A90" s="89" t="s">
        <v>221</v>
      </c>
      <c r="I90" s="342" t="s">
        <v>282</v>
      </c>
      <c r="J90" s="342" t="s">
        <v>282</v>
      </c>
      <c r="K90" s="342" t="s">
        <v>282</v>
      </c>
      <c r="L90" s="342" t="s">
        <v>282</v>
      </c>
      <c r="M90" s="342" t="s">
        <v>282</v>
      </c>
    </row>
    <row r="91" spans="1:13" ht="16" x14ac:dyDescent="0.2">
      <c r="A91" s="89" t="s">
        <v>222</v>
      </c>
      <c r="I91" s="318">
        <f t="shared" ref="I91:M91" si="14">I43*1.05</f>
        <v>0</v>
      </c>
      <c r="J91" s="318">
        <f t="shared" si="14"/>
        <v>0</v>
      </c>
      <c r="K91" s="318">
        <f t="shared" si="14"/>
        <v>0</v>
      </c>
      <c r="L91" s="318">
        <f t="shared" si="14"/>
        <v>0</v>
      </c>
      <c r="M91" s="318">
        <f t="shared" si="14"/>
        <v>0</v>
      </c>
    </row>
    <row r="92" spans="1:13" ht="16" x14ac:dyDescent="0.2">
      <c r="A92" s="89" t="s">
        <v>71</v>
      </c>
      <c r="I92" s="318">
        <f>I44*0.5</f>
        <v>0</v>
      </c>
      <c r="J92" s="318">
        <f>J44*0.5</f>
        <v>0</v>
      </c>
      <c r="K92" s="318">
        <f>K44*0.5</f>
        <v>0</v>
      </c>
      <c r="L92" s="318">
        <f>L44*0.5</f>
        <v>0</v>
      </c>
      <c r="M92" s="318">
        <f>M44*0.5</f>
        <v>0</v>
      </c>
    </row>
    <row r="93" spans="1:13" ht="16" x14ac:dyDescent="0.2">
      <c r="A93" s="89" t="s">
        <v>72</v>
      </c>
      <c r="I93" s="318">
        <v>0.02</v>
      </c>
      <c r="J93" s="318">
        <v>0.02</v>
      </c>
      <c r="K93" s="318">
        <v>0.02</v>
      </c>
      <c r="L93" s="318">
        <v>0.02</v>
      </c>
      <c r="M93" s="318">
        <v>0.02</v>
      </c>
    </row>
    <row r="94" spans="1:13" ht="16" x14ac:dyDescent="0.2">
      <c r="A94" s="89" t="s">
        <v>73</v>
      </c>
      <c r="I94" s="318">
        <f>I46*0.5</f>
        <v>0.105</v>
      </c>
      <c r="J94" s="318">
        <f>J46*0.5</f>
        <v>0.105</v>
      </c>
      <c r="K94" s="318">
        <f>K46*0.5</f>
        <v>0.105</v>
      </c>
      <c r="L94" s="318">
        <f>L46*0.5</f>
        <v>0.105</v>
      </c>
      <c r="M94" s="318">
        <f>M46*0.5</f>
        <v>0.105</v>
      </c>
    </row>
    <row r="95" spans="1:13" ht="16" x14ac:dyDescent="0.2">
      <c r="A95" s="71" t="s">
        <v>74</v>
      </c>
      <c r="I95" s="320">
        <v>32</v>
      </c>
      <c r="J95" s="320">
        <f>J71*2</f>
        <v>46</v>
      </c>
      <c r="K95" s="320">
        <f>K71*2</f>
        <v>46</v>
      </c>
      <c r="L95" s="320">
        <f>L71*2</f>
        <v>46</v>
      </c>
      <c r="M95" s="320">
        <f>M71*2</f>
        <v>46</v>
      </c>
    </row>
    <row r="96" spans="1:13" ht="16" x14ac:dyDescent="0.2">
      <c r="A96" s="71" t="s">
        <v>277</v>
      </c>
      <c r="I96" s="320">
        <v>150</v>
      </c>
      <c r="J96" s="320">
        <f>J72*2</f>
        <v>240</v>
      </c>
      <c r="K96" s="320">
        <f>K72*2</f>
        <v>240</v>
      </c>
      <c r="L96" s="320">
        <f>L72*2</f>
        <v>240</v>
      </c>
      <c r="M96" s="320">
        <f>M72*2</f>
        <v>240</v>
      </c>
    </row>
    <row r="97" spans="1:13" ht="16" x14ac:dyDescent="0.2">
      <c r="A97" s="71" t="s">
        <v>278</v>
      </c>
      <c r="I97" s="320">
        <v>32</v>
      </c>
      <c r="J97" s="320">
        <f>J73*2</f>
        <v>44</v>
      </c>
      <c r="K97" s="320">
        <f>K73*2</f>
        <v>44</v>
      </c>
      <c r="L97" s="320">
        <f>L73*2</f>
        <v>44</v>
      </c>
      <c r="M97" s="320">
        <f>M73*2</f>
        <v>44</v>
      </c>
    </row>
    <row r="98" spans="1:13" ht="16" x14ac:dyDescent="0.2">
      <c r="A98" s="71" t="s">
        <v>76</v>
      </c>
      <c r="I98" s="320">
        <f t="shared" ref="I98:M98" si="15">I74*2</f>
        <v>64</v>
      </c>
      <c r="J98" s="320">
        <f t="shared" si="15"/>
        <v>64</v>
      </c>
      <c r="K98" s="320">
        <f t="shared" si="15"/>
        <v>64</v>
      </c>
      <c r="L98" s="320">
        <f t="shared" si="15"/>
        <v>64</v>
      </c>
      <c r="M98" s="320">
        <f t="shared" si="15"/>
        <v>64</v>
      </c>
    </row>
    <row r="99" spans="1:13" ht="16" x14ac:dyDescent="0.2">
      <c r="A99" s="71" t="s">
        <v>77</v>
      </c>
      <c r="I99" s="320">
        <v>2500</v>
      </c>
      <c r="J99" s="320">
        <v>2500</v>
      </c>
      <c r="K99" s="320">
        <v>2500</v>
      </c>
      <c r="L99" s="320">
        <v>2500</v>
      </c>
      <c r="M99" s="320">
        <v>2500</v>
      </c>
    </row>
    <row r="100" spans="1:13" ht="16" x14ac:dyDescent="0.2">
      <c r="A100" s="71" t="s">
        <v>78</v>
      </c>
      <c r="I100" s="320">
        <v>-250</v>
      </c>
      <c r="J100" s="320">
        <v>-250</v>
      </c>
      <c r="K100" s="320">
        <v>-250</v>
      </c>
      <c r="L100" s="320">
        <v>-250</v>
      </c>
      <c r="M100" s="320">
        <v>-250</v>
      </c>
    </row>
    <row r="101" spans="1:13" ht="16" x14ac:dyDescent="0.2">
      <c r="A101" s="71" t="s">
        <v>79</v>
      </c>
      <c r="I101" s="320">
        <v>-500</v>
      </c>
      <c r="J101" s="320">
        <v>-500</v>
      </c>
      <c r="K101" s="320">
        <v>-500</v>
      </c>
      <c r="L101" s="320">
        <v>-500</v>
      </c>
      <c r="M101" s="320">
        <v>-500</v>
      </c>
    </row>
    <row r="102" spans="1:13" ht="16" x14ac:dyDescent="0.2">
      <c r="A102" s="71" t="s">
        <v>295</v>
      </c>
      <c r="I102" s="320">
        <v>332</v>
      </c>
      <c r="J102" s="320">
        <v>332</v>
      </c>
      <c r="K102" s="320">
        <v>332</v>
      </c>
      <c r="L102" s="320">
        <v>332</v>
      </c>
      <c r="M102" s="320">
        <v>332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7" r:id="rId3" name="Drop Down 3">
              <controlPr defaultSize="0" autoLine="0" autoPict="0">
                <anchor moveWithCells="1">
                  <from>
                    <xdr:col>2</xdr:col>
                    <xdr:colOff>812800</xdr:colOff>
                    <xdr:row>0</xdr:row>
                    <xdr:rowOff>0</xdr:rowOff>
                  </from>
                  <to>
                    <xdr:col>3</xdr:col>
                    <xdr:colOff>1905000</xdr:colOff>
                    <xdr:row>0</xdr:row>
                    <xdr:rowOff>304800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3"/>
  <sheetViews>
    <sheetView showGridLines="0" zoomScale="88" workbookViewId="0">
      <selection activeCell="F19" sqref="F19"/>
    </sheetView>
  </sheetViews>
  <sheetFormatPr baseColWidth="10" defaultRowHeight="16" x14ac:dyDescent="0.2"/>
  <cols>
    <col min="1" max="2" width="10.83203125" style="343"/>
    <col min="3" max="5" width="21.83203125" style="343" customWidth="1"/>
    <col min="6" max="6" width="19.6640625" style="343" bestFit="1" customWidth="1"/>
    <col min="7" max="7" width="32.83203125" style="343" customWidth="1"/>
    <col min="8" max="8" width="43.33203125" style="343" customWidth="1"/>
    <col min="9" max="9" width="19" style="343" customWidth="1"/>
    <col min="10" max="10" width="20.1640625" style="343" customWidth="1"/>
    <col min="11" max="11" width="29" style="343" customWidth="1"/>
    <col min="12" max="12" width="34" style="343" customWidth="1"/>
    <col min="13" max="13" width="17" style="343" bestFit="1" customWidth="1"/>
    <col min="14" max="14" width="46.5" style="343" customWidth="1"/>
    <col min="15" max="15" width="21.1640625" style="343" bestFit="1" customWidth="1"/>
    <col min="16" max="16" width="14.83203125" style="343" bestFit="1" customWidth="1"/>
    <col min="17" max="17" width="18.6640625" style="343" bestFit="1" customWidth="1"/>
    <col min="18" max="18" width="16" style="343" customWidth="1"/>
    <col min="19" max="19" width="14.83203125" style="343" customWidth="1"/>
    <col min="20" max="16384" width="10.83203125" style="343"/>
  </cols>
  <sheetData>
    <row r="1" spans="1:19" ht="16" customHeight="1" x14ac:dyDescent="0.2">
      <c r="A1" s="344" t="s">
        <v>324</v>
      </c>
      <c r="F1" s="344">
        <v>2016</v>
      </c>
      <c r="G1" s="344">
        <v>2017</v>
      </c>
      <c r="H1" s="344">
        <v>2018</v>
      </c>
      <c r="I1" s="344">
        <v>2019</v>
      </c>
      <c r="J1" s="365" t="s">
        <v>414</v>
      </c>
      <c r="M1" s="344" t="s">
        <v>440</v>
      </c>
    </row>
    <row r="2" spans="1:19" x14ac:dyDescent="0.2">
      <c r="A2" s="344"/>
      <c r="F2" s="344"/>
      <c r="G2" s="344"/>
      <c r="H2" s="344"/>
      <c r="I2" s="344"/>
      <c r="J2" s="365"/>
      <c r="M2" s="393" t="s">
        <v>429</v>
      </c>
      <c r="O2" s="344">
        <v>2019</v>
      </c>
      <c r="P2" s="344">
        <f>O2+1</f>
        <v>2020</v>
      </c>
      <c r="Q2" s="344">
        <f t="shared" ref="Q2:S2" si="0">P2+1</f>
        <v>2021</v>
      </c>
      <c r="R2" s="344">
        <f t="shared" si="0"/>
        <v>2022</v>
      </c>
      <c r="S2" s="344">
        <f t="shared" si="0"/>
        <v>2023</v>
      </c>
    </row>
    <row r="3" spans="1:19" x14ac:dyDescent="0.2">
      <c r="I3" s="354"/>
      <c r="M3" s="393"/>
      <c r="N3" s="343" t="s">
        <v>425</v>
      </c>
      <c r="O3" s="375">
        <v>2.5000000000000001E-2</v>
      </c>
      <c r="P3" s="375">
        <f>O3</f>
        <v>2.5000000000000001E-2</v>
      </c>
      <c r="Q3" s="375">
        <f t="shared" ref="Q3:S3" si="1">P3</f>
        <v>2.5000000000000001E-2</v>
      </c>
      <c r="R3" s="375">
        <f t="shared" si="1"/>
        <v>2.5000000000000001E-2</v>
      </c>
      <c r="S3" s="375">
        <f t="shared" si="1"/>
        <v>2.5000000000000001E-2</v>
      </c>
    </row>
    <row r="4" spans="1:19" x14ac:dyDescent="0.2">
      <c r="A4" s="343" t="s">
        <v>325</v>
      </c>
      <c r="G4" s="345">
        <v>130256190</v>
      </c>
      <c r="H4" s="346">
        <v>134890243</v>
      </c>
      <c r="I4" s="370">
        <f>H4*(1+I47)</f>
        <v>139611401.505</v>
      </c>
      <c r="K4" s="343">
        <f>H4*H13</f>
        <v>20327959620.099998</v>
      </c>
      <c r="M4" s="393"/>
      <c r="N4" s="343" t="s">
        <v>426</v>
      </c>
      <c r="O4" s="375">
        <v>4.4999999999999998E-2</v>
      </c>
      <c r="P4" s="375">
        <v>3.2500000000000001E-2</v>
      </c>
      <c r="Q4" s="375">
        <v>4.4999999999999998E-2</v>
      </c>
      <c r="R4" s="375">
        <v>4.4999999999999998E-2</v>
      </c>
      <c r="S4" s="375">
        <v>4.4999999999999998E-2</v>
      </c>
    </row>
    <row r="5" spans="1:19" x14ac:dyDescent="0.2">
      <c r="A5" s="343" t="s">
        <v>326</v>
      </c>
      <c r="G5" s="345">
        <v>157677218</v>
      </c>
      <c r="H5" s="346">
        <v>163605833</v>
      </c>
      <c r="I5" s="370">
        <f>I4*I48+I4</f>
        <v>169332037.155</v>
      </c>
      <c r="M5" s="393"/>
      <c r="N5" s="343" t="s">
        <v>428</v>
      </c>
      <c r="O5" s="375">
        <v>3.2500000000000001E-2</v>
      </c>
      <c r="P5" s="375">
        <v>3.2500000000000001E-2</v>
      </c>
      <c r="Q5" s="375">
        <v>3.2500000000000001E-2</v>
      </c>
      <c r="R5" s="375">
        <v>3.2500000000000001E-2</v>
      </c>
      <c r="S5" s="375">
        <v>3.2500000000000001E-2</v>
      </c>
    </row>
    <row r="6" spans="1:19" x14ac:dyDescent="0.2">
      <c r="A6" s="343" t="s">
        <v>327</v>
      </c>
      <c r="G6" s="345">
        <v>129041420</v>
      </c>
      <c r="H6" s="346">
        <v>133322322</v>
      </c>
      <c r="I6" s="371">
        <f>I4*I49</f>
        <v>138148994.00852686</v>
      </c>
      <c r="K6" s="372"/>
      <c r="M6" s="393"/>
      <c r="N6" s="343" t="s">
        <v>431</v>
      </c>
      <c r="O6" s="343">
        <v>2.0499999999999998</v>
      </c>
      <c r="P6" s="343">
        <v>2.0499999999999998</v>
      </c>
      <c r="Q6" s="343">
        <v>2.0499999999999998</v>
      </c>
      <c r="R6" s="343">
        <v>2.0499999999999998</v>
      </c>
      <c r="S6" s="343">
        <v>2.0499999999999998</v>
      </c>
    </row>
    <row r="7" spans="1:19" x14ac:dyDescent="0.2">
      <c r="A7" s="343" t="s">
        <v>328</v>
      </c>
      <c r="G7" s="345">
        <v>153811072</v>
      </c>
      <c r="H7" s="346">
        <v>159795153</v>
      </c>
      <c r="I7" s="391">
        <f>I54</f>
        <v>165580221.70052388</v>
      </c>
      <c r="J7" s="343" t="s">
        <v>401</v>
      </c>
      <c r="K7" s="396" t="s">
        <v>445</v>
      </c>
      <c r="M7" s="393"/>
      <c r="N7" s="343" t="s">
        <v>430</v>
      </c>
      <c r="O7" s="343">
        <v>25</v>
      </c>
      <c r="P7" s="343">
        <v>25</v>
      </c>
      <c r="Q7" s="343">
        <v>25</v>
      </c>
      <c r="R7" s="343">
        <v>25</v>
      </c>
      <c r="S7" s="343">
        <v>25</v>
      </c>
    </row>
    <row r="8" spans="1:19" x14ac:dyDescent="0.2">
      <c r="A8" s="343" t="s">
        <v>416</v>
      </c>
      <c r="G8" s="375">
        <v>0.83899999999999997</v>
      </c>
      <c r="H8" s="374">
        <v>0.83399999999999996</v>
      </c>
      <c r="I8" s="373">
        <f>I65</f>
        <v>0.83433270344564203</v>
      </c>
      <c r="K8" s="343">
        <f>SUM('DCF-N'!H41:H47)</f>
        <v>17558</v>
      </c>
      <c r="N8" s="343" t="s">
        <v>432</v>
      </c>
      <c r="O8" s="376">
        <f>H7*(1+O3)</f>
        <v>163790031.82499999</v>
      </c>
      <c r="P8" s="376">
        <f>O8*(1+P3)</f>
        <v>167884782.62062496</v>
      </c>
      <c r="Q8" s="376">
        <f t="shared" ref="Q8:S8" si="2">P8*(1+Q3)</f>
        <v>172081902.18614057</v>
      </c>
      <c r="R8" s="376">
        <f t="shared" si="2"/>
        <v>176383949.74079406</v>
      </c>
      <c r="S8" s="376">
        <f t="shared" si="2"/>
        <v>180793548.48431391</v>
      </c>
    </row>
    <row r="9" spans="1:19" x14ac:dyDescent="0.2">
      <c r="A9" s="343" t="s">
        <v>329</v>
      </c>
      <c r="G9" s="343">
        <v>991</v>
      </c>
      <c r="H9" s="347">
        <v>988</v>
      </c>
      <c r="I9" s="390">
        <v>990</v>
      </c>
      <c r="K9" s="343">
        <f>K8/H6*100000</f>
        <v>13.169587610392805</v>
      </c>
      <c r="N9" s="343" t="s">
        <v>433</v>
      </c>
      <c r="O9" s="390">
        <f>H28+O7</f>
        <v>775</v>
      </c>
      <c r="P9" s="390">
        <f>O9+P7</f>
        <v>800</v>
      </c>
      <c r="Q9" s="390">
        <f t="shared" ref="Q9:S9" si="3">P9+Q7</f>
        <v>825</v>
      </c>
      <c r="R9" s="390">
        <f t="shared" si="3"/>
        <v>850</v>
      </c>
      <c r="S9" s="390">
        <f t="shared" si="3"/>
        <v>875</v>
      </c>
    </row>
    <row r="10" spans="1:19" x14ac:dyDescent="0.2">
      <c r="A10" s="343" t="s">
        <v>330</v>
      </c>
      <c r="G10" s="343">
        <v>754</v>
      </c>
      <c r="H10" s="347">
        <v>757</v>
      </c>
      <c r="I10" s="363">
        <v>755</v>
      </c>
      <c r="K10" s="369"/>
      <c r="N10" s="343" t="s">
        <v>434</v>
      </c>
      <c r="O10" s="390">
        <v>151</v>
      </c>
      <c r="P10" s="390">
        <v>151</v>
      </c>
      <c r="Q10" s="390">
        <v>151</v>
      </c>
      <c r="R10" s="390">
        <v>151</v>
      </c>
      <c r="S10" s="390">
        <v>151</v>
      </c>
    </row>
    <row r="11" spans="1:19" x14ac:dyDescent="0.2">
      <c r="A11" s="343" t="s">
        <v>331</v>
      </c>
      <c r="G11" s="345">
        <v>1347893</v>
      </c>
      <c r="H11" s="346">
        <v>1375030</v>
      </c>
      <c r="I11" s="367">
        <f>I60</f>
        <v>1458214.1937518618</v>
      </c>
      <c r="J11" s="368"/>
      <c r="K11" s="369"/>
      <c r="N11" s="343" t="s">
        <v>331</v>
      </c>
      <c r="O11" s="376">
        <f>O8/O9/O10*1000</f>
        <v>1399615.7387310402</v>
      </c>
      <c r="P11" s="376">
        <f>P8/P9/P10*1000</f>
        <v>1389774.6905680874</v>
      </c>
      <c r="Q11" s="376">
        <f t="shared" ref="Q11:S11" si="4">Q8/Q9/Q10*1000</f>
        <v>1381351.8136555536</v>
      </c>
      <c r="R11" s="376">
        <f t="shared" si="4"/>
        <v>1374241.9146146791</v>
      </c>
      <c r="S11" s="376">
        <f t="shared" si="4"/>
        <v>1368352.3064091876</v>
      </c>
    </row>
    <row r="12" spans="1:19" x14ac:dyDescent="0.2">
      <c r="A12" s="343" t="s">
        <v>332</v>
      </c>
      <c r="F12" s="372"/>
      <c r="G12" s="345">
        <v>200878967</v>
      </c>
      <c r="H12" s="346">
        <v>207223050</v>
      </c>
      <c r="I12" s="370">
        <f>I11*I13</f>
        <v>218732129.06277928</v>
      </c>
      <c r="J12" s="368"/>
      <c r="N12" s="343" t="s">
        <v>435</v>
      </c>
      <c r="O12" s="368">
        <f>O11*O10</f>
        <v>211341976.54838705</v>
      </c>
      <c r="P12" s="368">
        <f t="shared" ref="P12:S12" si="5">P11*P10</f>
        <v>209855978.27578118</v>
      </c>
      <c r="Q12" s="368">
        <f t="shared" ref="Q12" si="6">Q11*Q10</f>
        <v>208584123.8619886</v>
      </c>
      <c r="R12" s="368">
        <f t="shared" ref="R12" si="7">R11*R10</f>
        <v>207510529.10681653</v>
      </c>
      <c r="S12" s="368">
        <f t="shared" ref="S12" si="8">S11*S10</f>
        <v>206621198.26778734</v>
      </c>
    </row>
    <row r="13" spans="1:19" x14ac:dyDescent="0.2">
      <c r="A13" s="343" t="s">
        <v>333</v>
      </c>
      <c r="G13" s="343">
        <v>151.72999999999999</v>
      </c>
      <c r="H13" s="347">
        <v>150.69999999999999</v>
      </c>
      <c r="I13" s="390">
        <f>I66</f>
        <v>150</v>
      </c>
      <c r="J13" s="369"/>
      <c r="K13" s="388"/>
      <c r="N13" s="343" t="s">
        <v>436</v>
      </c>
      <c r="O13" s="394">
        <v>0.84</v>
      </c>
      <c r="P13" s="394">
        <v>0.84</v>
      </c>
      <c r="Q13" s="394">
        <v>0.84</v>
      </c>
      <c r="R13" s="394">
        <v>0.84</v>
      </c>
      <c r="S13" s="394">
        <v>0.84</v>
      </c>
    </row>
    <row r="14" spans="1:19" x14ac:dyDescent="0.2">
      <c r="A14" s="343" t="s">
        <v>334</v>
      </c>
      <c r="G14" s="361">
        <v>149.03</v>
      </c>
      <c r="H14" s="377">
        <v>151.63999999999999</v>
      </c>
      <c r="I14" s="378">
        <f>I67</f>
        <v>152</v>
      </c>
      <c r="N14" s="343" t="s">
        <v>438</v>
      </c>
      <c r="O14" s="368">
        <f>O8*O13</f>
        <v>137583626.73299998</v>
      </c>
      <c r="P14" s="368">
        <f t="shared" ref="P14:S14" si="9">P8*P13</f>
        <v>141023217.40132496</v>
      </c>
      <c r="Q14" s="368">
        <f t="shared" ref="Q14" si="10">Q8*Q13</f>
        <v>144548797.83635807</v>
      </c>
      <c r="R14" s="368">
        <f t="shared" ref="R14" si="11">R8*R13</f>
        <v>148162517.782267</v>
      </c>
      <c r="S14" s="368">
        <f t="shared" ref="S14" si="12">S8*S13</f>
        <v>151866580.72682369</v>
      </c>
    </row>
    <row r="15" spans="1:19" x14ac:dyDescent="0.2">
      <c r="A15" s="343" t="s">
        <v>335</v>
      </c>
      <c r="G15" s="361">
        <v>15.32</v>
      </c>
      <c r="H15" s="377">
        <v>15.34</v>
      </c>
      <c r="I15" s="378">
        <f>I83*100000/I6</f>
        <v>15.360903046062136</v>
      </c>
      <c r="J15" s="388"/>
      <c r="K15" s="398" t="s">
        <v>451</v>
      </c>
      <c r="N15" s="343" t="s">
        <v>437</v>
      </c>
      <c r="O15" s="343">
        <v>990</v>
      </c>
      <c r="P15" s="343">
        <v>990</v>
      </c>
      <c r="Q15" s="343">
        <v>990</v>
      </c>
      <c r="R15" s="343">
        <v>990</v>
      </c>
      <c r="S15" s="343">
        <v>990</v>
      </c>
    </row>
    <row r="16" spans="1:19" x14ac:dyDescent="0.2">
      <c r="A16" s="343" t="s">
        <v>336</v>
      </c>
      <c r="G16" s="343">
        <v>13.75</v>
      </c>
      <c r="H16" s="410">
        <v>13.75</v>
      </c>
      <c r="I16" s="389"/>
      <c r="J16" s="343" t="s">
        <v>400</v>
      </c>
      <c r="K16" s="376">
        <f>G26</f>
        <v>2045</v>
      </c>
      <c r="L16" s="376">
        <f>H26</f>
        <v>2094</v>
      </c>
      <c r="N16" s="343" t="s">
        <v>325</v>
      </c>
      <c r="O16" s="376">
        <f>O14/O15*1000</f>
        <v>138973360.33636361</v>
      </c>
      <c r="P16" s="376">
        <f t="shared" ref="P16:S16" si="13">P14/P15*1000</f>
        <v>142447694.3447727</v>
      </c>
      <c r="Q16" s="376">
        <f t="shared" ref="Q16" si="14">Q14/Q15*1000</f>
        <v>146008886.703392</v>
      </c>
      <c r="R16" s="376">
        <f t="shared" ref="R16" si="15">R14/R15*1000</f>
        <v>149659108.87097678</v>
      </c>
      <c r="S16" s="376">
        <f t="shared" ref="S16" si="16">S14/S15*1000</f>
        <v>153400586.5927512</v>
      </c>
    </row>
    <row r="17" spans="1:19" x14ac:dyDescent="0.2">
      <c r="A17" s="343" t="s">
        <v>337</v>
      </c>
      <c r="G17" s="343">
        <v>12.85</v>
      </c>
      <c r="H17" s="347">
        <v>12.8</v>
      </c>
      <c r="I17" s="390"/>
      <c r="K17" s="369">
        <f>(G7/K16)/1000</f>
        <v>75.213238141809285</v>
      </c>
      <c r="L17" s="369">
        <f>(H7/L16)/1000</f>
        <v>76.310961318051568</v>
      </c>
      <c r="N17" s="343" t="s">
        <v>334</v>
      </c>
      <c r="O17" s="390">
        <v>151</v>
      </c>
      <c r="P17" s="390">
        <v>151</v>
      </c>
      <c r="Q17" s="390">
        <v>151</v>
      </c>
      <c r="R17" s="390">
        <v>151</v>
      </c>
      <c r="S17" s="390">
        <v>151</v>
      </c>
    </row>
    <row r="18" spans="1:19" x14ac:dyDescent="0.2">
      <c r="A18" s="343" t="s">
        <v>338</v>
      </c>
      <c r="G18" s="343">
        <v>11.53</v>
      </c>
      <c r="H18" s="347">
        <v>11.74</v>
      </c>
      <c r="I18" s="390"/>
      <c r="N18" s="399" t="s">
        <v>452</v>
      </c>
      <c r="O18" s="408">
        <f>H7/(H26*1000)</f>
        <v>76.310961318051582</v>
      </c>
      <c r="P18" s="408">
        <f>O18</f>
        <v>76.310961318051582</v>
      </c>
      <c r="Q18" s="408">
        <f t="shared" ref="Q18:S18" si="17">P18</f>
        <v>76.310961318051582</v>
      </c>
      <c r="R18" s="408">
        <f t="shared" si="17"/>
        <v>76.310961318051582</v>
      </c>
      <c r="S18" s="408">
        <f t="shared" si="17"/>
        <v>76.310961318051582</v>
      </c>
    </row>
    <row r="19" spans="1:19" x14ac:dyDescent="0.2">
      <c r="A19" s="343" t="s">
        <v>446</v>
      </c>
      <c r="F19" s="372">
        <f>G7*G19</f>
        <v>1365842319.3600001</v>
      </c>
      <c r="G19" s="343">
        <v>8.8800000000000008</v>
      </c>
      <c r="H19" s="410">
        <v>8.85</v>
      </c>
      <c r="I19" s="390"/>
      <c r="J19" s="343" t="s">
        <v>357</v>
      </c>
      <c r="N19" s="399" t="s">
        <v>453</v>
      </c>
      <c r="O19" s="400">
        <f>O8/O18/1000</f>
        <v>2146.3499999999995</v>
      </c>
      <c r="P19" s="400">
        <f>P8/P18/1000</f>
        <v>2200.0087499999991</v>
      </c>
      <c r="Q19" s="400">
        <f t="shared" ref="Q19:S19" si="18">Q8/Q18/1000</f>
        <v>2255.008968749999</v>
      </c>
      <c r="R19" s="400">
        <f t="shared" si="18"/>
        <v>2311.3841929687492</v>
      </c>
      <c r="S19" s="400">
        <f t="shared" si="18"/>
        <v>2369.1687977929673</v>
      </c>
    </row>
    <row r="20" spans="1:19" x14ac:dyDescent="0.2">
      <c r="A20" s="343" t="s">
        <v>339</v>
      </c>
      <c r="G20" s="343">
        <v>11.57</v>
      </c>
      <c r="H20" s="347">
        <v>11.76</v>
      </c>
      <c r="I20" s="390"/>
      <c r="N20" s="343" t="s">
        <v>439</v>
      </c>
      <c r="O20" s="384">
        <f>I42/H98-1</f>
        <v>2.5909430984644599E-2</v>
      </c>
      <c r="P20" s="384">
        <f>P25/O25-1</f>
        <v>2.4999999999999911E-2</v>
      </c>
      <c r="Q20" s="384">
        <f t="shared" ref="Q20:S20" si="19">Q25/P25-1</f>
        <v>2.4999999999999911E-2</v>
      </c>
      <c r="R20" s="384">
        <f t="shared" si="19"/>
        <v>2.4999999999999689E-2</v>
      </c>
      <c r="S20" s="384">
        <f t="shared" si="19"/>
        <v>2.5000000000000133E-2</v>
      </c>
    </row>
    <row r="21" spans="1:19" x14ac:dyDescent="0.2">
      <c r="A21" s="343" t="s">
        <v>344</v>
      </c>
      <c r="G21" s="343">
        <v>8.82</v>
      </c>
      <c r="H21" s="347">
        <v>8.8699999999999992</v>
      </c>
      <c r="I21" s="390"/>
      <c r="N21" s="343" t="s">
        <v>441</v>
      </c>
      <c r="O21" s="369">
        <f>I42*100000/O14</f>
        <v>15.252525252525251</v>
      </c>
      <c r="P21" s="369">
        <f t="shared" ref="P21:S21" si="20">J42*100000/P14</f>
        <v>15.252525252525253</v>
      </c>
      <c r="Q21" s="369">
        <f t="shared" ref="Q21" si="21">K42*100000/Q14</f>
        <v>15.252525252525253</v>
      </c>
      <c r="R21" s="369">
        <f t="shared" ref="R21" si="22">L42*100000/R14</f>
        <v>15.252525252525253</v>
      </c>
      <c r="S21" s="369">
        <f t="shared" ref="S21" si="23">M42*100000/S14</f>
        <v>15.252525252525254</v>
      </c>
    </row>
    <row r="22" spans="1:19" x14ac:dyDescent="0.2">
      <c r="A22" s="343" t="s">
        <v>340</v>
      </c>
      <c r="G22" s="343">
        <v>8.4700000000000006</v>
      </c>
      <c r="H22" s="347">
        <v>8.5299999999999994</v>
      </c>
      <c r="I22" s="390"/>
      <c r="N22" s="343" t="s">
        <v>443</v>
      </c>
      <c r="O22" s="359">
        <f>H16*(1+O4)</f>
        <v>14.368749999999999</v>
      </c>
      <c r="P22" s="359">
        <f>O22*(1+P4)</f>
        <v>14.835734374999998</v>
      </c>
      <c r="Q22" s="359">
        <f t="shared" ref="Q22:S22" si="24">P22*(1+Q4)</f>
        <v>15.503342421874997</v>
      </c>
      <c r="R22" s="359">
        <f t="shared" si="24"/>
        <v>16.20099283085937</v>
      </c>
      <c r="S22" s="359">
        <f t="shared" si="24"/>
        <v>16.930037508248041</v>
      </c>
    </row>
    <row r="23" spans="1:19" x14ac:dyDescent="0.2">
      <c r="A23" s="343" t="s">
        <v>342</v>
      </c>
      <c r="G23" s="343">
        <v>1.72</v>
      </c>
      <c r="H23" s="347">
        <v>2.21</v>
      </c>
      <c r="I23" s="363"/>
      <c r="N23" s="343" t="s">
        <v>444</v>
      </c>
      <c r="O23" s="359">
        <f t="shared" ref="O23:S23" si="25">I42/O8*100000</f>
        <v>12.812121212121209</v>
      </c>
      <c r="P23" s="359">
        <f t="shared" si="25"/>
        <v>12.812121212121212</v>
      </c>
      <c r="Q23" s="359">
        <f t="shared" ref="Q23" si="26">K42/Q8*100000</f>
        <v>12.812121212121212</v>
      </c>
      <c r="R23" s="359">
        <f t="shared" ref="R23" si="27">L42/R8*100000</f>
        <v>12.812121212121212</v>
      </c>
      <c r="S23" s="359">
        <f t="shared" ref="S23" si="28">M42/S8*100000</f>
        <v>12.812121212121212</v>
      </c>
    </row>
    <row r="24" spans="1:19" x14ac:dyDescent="0.2">
      <c r="A24" s="343" t="s">
        <v>345</v>
      </c>
      <c r="G24" s="343">
        <v>1.99</v>
      </c>
      <c r="H24" s="347">
        <v>2.2000000000000002</v>
      </c>
      <c r="I24" s="363"/>
      <c r="J24" s="343" t="s">
        <v>412</v>
      </c>
      <c r="K24" s="392" t="s">
        <v>413</v>
      </c>
      <c r="N24" s="350" t="s">
        <v>428</v>
      </c>
      <c r="O24" s="403">
        <f>H19*(1+O5)</f>
        <v>9.1376249999999999</v>
      </c>
      <c r="P24" s="403">
        <f>O24*(1+P5)</f>
        <v>9.4345978124999998</v>
      </c>
      <c r="Q24" s="403">
        <f t="shared" ref="Q24:S24" si="29">P24*(1+Q5)</f>
        <v>9.7412222414062501</v>
      </c>
      <c r="R24" s="403">
        <f t="shared" si="29"/>
        <v>10.057811964251954</v>
      </c>
      <c r="S24" s="403">
        <f t="shared" si="29"/>
        <v>10.384690853090142</v>
      </c>
    </row>
    <row r="25" spans="1:19" x14ac:dyDescent="0.2">
      <c r="A25" s="343" t="s">
        <v>343</v>
      </c>
      <c r="G25" s="343">
        <v>2.06</v>
      </c>
      <c r="H25" s="347">
        <v>2.2000000000000002</v>
      </c>
      <c r="I25" s="363"/>
      <c r="K25" s="392"/>
      <c r="N25" s="363" t="s">
        <v>442</v>
      </c>
      <c r="O25" s="367">
        <f>O17*O16/1000000</f>
        <v>20984.977410790903</v>
      </c>
      <c r="P25" s="367">
        <f t="shared" ref="P25:S25" si="30">P17*P16/1000000</f>
        <v>21509.601846060676</v>
      </c>
      <c r="Q25" s="367">
        <f t="shared" ref="Q25:S25" si="31">Q17*Q16/1000000</f>
        <v>22047.341892212193</v>
      </c>
      <c r="R25" s="367">
        <f t="shared" si="31"/>
        <v>22598.525439517492</v>
      </c>
      <c r="S25" s="367">
        <f t="shared" si="31"/>
        <v>23163.488575505431</v>
      </c>
    </row>
    <row r="26" spans="1:19" x14ac:dyDescent="0.2">
      <c r="A26" s="343" t="s">
        <v>346</v>
      </c>
      <c r="G26" s="345">
        <v>2045</v>
      </c>
      <c r="H26" s="346">
        <v>2094</v>
      </c>
      <c r="I26" s="363"/>
      <c r="K26" s="392"/>
      <c r="N26" s="363" t="s">
        <v>291</v>
      </c>
      <c r="O26" s="367">
        <f>I41</f>
        <v>179.53415042231282</v>
      </c>
      <c r="P26" s="367">
        <f t="shared" ref="P26:S26" si="32">J41</f>
        <v>184.02250418287062</v>
      </c>
      <c r="Q26" s="367">
        <f t="shared" ref="Q26" si="33">K41</f>
        <v>188.62306678744238</v>
      </c>
      <c r="R26" s="367">
        <f t="shared" ref="R26" si="34">L41</f>
        <v>193.3386434571284</v>
      </c>
      <c r="S26" s="367">
        <f t="shared" ref="S26" si="35">M41</f>
        <v>198.17210954355664</v>
      </c>
    </row>
    <row r="27" spans="1:19" x14ac:dyDescent="0.2">
      <c r="A27" s="343" t="s">
        <v>341</v>
      </c>
      <c r="G27" s="345">
        <v>56110</v>
      </c>
      <c r="H27" s="346">
        <v>58803</v>
      </c>
      <c r="I27" s="363"/>
      <c r="K27" s="392"/>
      <c r="N27" s="363" t="s">
        <v>293</v>
      </c>
      <c r="O27" s="366">
        <f>I43</f>
        <v>0</v>
      </c>
      <c r="P27" s="366">
        <f t="shared" ref="P27:S27" si="36">J43</f>
        <v>0</v>
      </c>
      <c r="Q27" s="366">
        <f t="shared" ref="Q27:Q28" si="37">K43</f>
        <v>0</v>
      </c>
      <c r="R27" s="366">
        <f t="shared" ref="R27:R28" si="38">L43</f>
        <v>0</v>
      </c>
      <c r="S27" s="366">
        <f t="shared" ref="S27:S28" si="39">M43</f>
        <v>0</v>
      </c>
    </row>
    <row r="28" spans="1:19" x14ac:dyDescent="0.2">
      <c r="A28" s="343" t="s">
        <v>347</v>
      </c>
      <c r="G28" s="343">
        <v>706</v>
      </c>
      <c r="H28" s="347">
        <v>750</v>
      </c>
      <c r="I28" s="363">
        <f>I81</f>
        <v>775</v>
      </c>
      <c r="J28" s="343" t="s">
        <v>411</v>
      </c>
      <c r="K28" s="392">
        <v>25</v>
      </c>
      <c r="N28" s="363" t="s">
        <v>294</v>
      </c>
      <c r="O28" s="367">
        <f>I44</f>
        <v>1369.5890903645004</v>
      </c>
      <c r="P28" s="367">
        <f t="shared" ref="P28:S28" si="40">J44</f>
        <v>1403.8288176236128</v>
      </c>
      <c r="Q28" s="367">
        <f t="shared" si="37"/>
        <v>1438.9245380642033</v>
      </c>
      <c r="R28" s="367">
        <f t="shared" si="38"/>
        <v>1474.8976515158079</v>
      </c>
      <c r="S28" s="367">
        <f t="shared" si="39"/>
        <v>1511.7700928037034</v>
      </c>
    </row>
    <row r="29" spans="1:19" x14ac:dyDescent="0.2">
      <c r="H29" s="343">
        <f>'DCF-N'!H36</f>
        <v>20455</v>
      </c>
      <c r="N29" s="404" t="s">
        <v>455</v>
      </c>
      <c r="O29" s="405">
        <f>O8*O22/100000</f>
        <v>23534.580197854684</v>
      </c>
      <c r="P29" s="405">
        <f t="shared" ref="P29:S29" si="41">P8*P22/100000</f>
        <v>24906.940405642079</v>
      </c>
      <c r="Q29" s="405">
        <f t="shared" si="41"/>
        <v>26678.446541993369</v>
      </c>
      <c r="R29" s="405">
        <f t="shared" si="41"/>
        <v>28575.951052292643</v>
      </c>
      <c r="S29" s="405">
        <f t="shared" si="41"/>
        <v>30608.415570886951</v>
      </c>
    </row>
    <row r="30" spans="1:19" x14ac:dyDescent="0.2">
      <c r="A30" s="343" t="s">
        <v>348</v>
      </c>
      <c r="H30" s="343">
        <f>'DCF-N'!H39</f>
        <v>21965</v>
      </c>
      <c r="N30" s="383" t="s">
        <v>448</v>
      </c>
      <c r="O30" s="397">
        <f>O24*O8/100000</f>
        <v>14966.518895549154</v>
      </c>
      <c r="P30" s="397">
        <f t="shared" ref="P30:S30" si="42">P24*P8/100000</f>
        <v>15839.254028645864</v>
      </c>
      <c r="Q30" s="397">
        <f t="shared" si="42"/>
        <v>16762.880529191272</v>
      </c>
      <c r="R30" s="397">
        <f t="shared" si="42"/>
        <v>17740.36600004974</v>
      </c>
      <c r="S30" s="397">
        <f t="shared" si="42"/>
        <v>18774.851092427638</v>
      </c>
    </row>
    <row r="31" spans="1:19" x14ac:dyDescent="0.2">
      <c r="A31" s="343" t="s">
        <v>349</v>
      </c>
      <c r="H31" s="343">
        <f>H30/H7*100000</f>
        <v>13.745723563968177</v>
      </c>
      <c r="I31" s="343">
        <f>H31*H7</f>
        <v>2196500000</v>
      </c>
      <c r="N31" s="343" t="s">
        <v>449</v>
      </c>
      <c r="O31" s="368">
        <f>O19*O6</f>
        <v>4400.0174999999981</v>
      </c>
      <c r="P31" s="368">
        <f t="shared" ref="P31:S31" si="43">P19*P6</f>
        <v>4510.017937499998</v>
      </c>
      <c r="Q31" s="368">
        <f t="shared" ref="Q31:S31" si="44">Q19*Q6</f>
        <v>4622.7683859374974</v>
      </c>
      <c r="R31" s="368">
        <f t="shared" si="44"/>
        <v>4738.3375955859356</v>
      </c>
      <c r="S31" s="368">
        <f t="shared" si="44"/>
        <v>4856.7960354755824</v>
      </c>
    </row>
    <row r="32" spans="1:19" x14ac:dyDescent="0.2">
      <c r="A32" s="343" t="s">
        <v>350</v>
      </c>
      <c r="H32" s="343">
        <f>'DCF-N'!H54</f>
        <v>18801</v>
      </c>
      <c r="N32" s="383" t="s">
        <v>450</v>
      </c>
      <c r="O32" s="397">
        <f>O30+O31</f>
        <v>19366.536395549152</v>
      </c>
      <c r="P32" s="397">
        <f t="shared" ref="P32:S32" si="45">P30+P31</f>
        <v>20349.271966145861</v>
      </c>
      <c r="Q32" s="397">
        <f t="shared" ref="Q32" si="46">Q30+Q31</f>
        <v>21385.648915128768</v>
      </c>
      <c r="R32" s="397">
        <f t="shared" ref="R32" si="47">R30+R31</f>
        <v>22478.703595635678</v>
      </c>
      <c r="S32" s="397">
        <f t="shared" ref="S32" si="48">S30+S31</f>
        <v>23631.647127903219</v>
      </c>
    </row>
    <row r="33" spans="1:19" ht="17" thickBot="1" x14ac:dyDescent="0.25">
      <c r="A33" s="343" t="s">
        <v>351</v>
      </c>
      <c r="H33" s="343">
        <f>'DCF-N'!H55</f>
        <v>3164</v>
      </c>
      <c r="N33" s="351" t="s">
        <v>447</v>
      </c>
      <c r="O33" s="382">
        <f>O29-O32</f>
        <v>4168.0438023055322</v>
      </c>
      <c r="P33" s="382">
        <f t="shared" ref="P33:S33" si="49">P29-P32</f>
        <v>4557.6684394962176</v>
      </c>
      <c r="Q33" s="382">
        <f t="shared" ref="Q33" si="50">Q29-Q32</f>
        <v>5292.7976268646016</v>
      </c>
      <c r="R33" s="382">
        <f t="shared" ref="R33" si="51">R29-R32</f>
        <v>6097.2474566569654</v>
      </c>
      <c r="S33" s="382">
        <f t="shared" ref="S33" si="52">S29-S32</f>
        <v>6976.7684429837318</v>
      </c>
    </row>
    <row r="34" spans="1:19" ht="17" thickTop="1" x14ac:dyDescent="0.2">
      <c r="A34" s="343" t="s">
        <v>352</v>
      </c>
      <c r="H34" s="343">
        <f>H32/H7</f>
        <v>1.1765688537499007E-4</v>
      </c>
    </row>
    <row r="35" spans="1:19" x14ac:dyDescent="0.2">
      <c r="A35" s="343" t="s">
        <v>353</v>
      </c>
      <c r="N35" s="406"/>
      <c r="O35" s="407"/>
    </row>
    <row r="36" spans="1:19" x14ac:dyDescent="0.2">
      <c r="A36" s="343" t="s">
        <v>354</v>
      </c>
      <c r="O36" s="369"/>
    </row>
    <row r="37" spans="1:19" x14ac:dyDescent="0.2">
      <c r="A37" s="343" t="s">
        <v>355</v>
      </c>
      <c r="N37" s="347"/>
    </row>
    <row r="38" spans="1:19" x14ac:dyDescent="0.2">
      <c r="A38" s="343" t="s">
        <v>356</v>
      </c>
    </row>
    <row r="40" spans="1:19" x14ac:dyDescent="0.2">
      <c r="A40" s="380" t="s">
        <v>454</v>
      </c>
      <c r="B40" s="350"/>
      <c r="C40" s="350"/>
      <c r="D40" s="350"/>
      <c r="E40" s="350"/>
      <c r="F40" s="350"/>
      <c r="G40" s="350"/>
      <c r="H40" s="350"/>
      <c r="I40" s="350"/>
      <c r="J40" s="350"/>
      <c r="K40" s="350"/>
      <c r="L40" s="350"/>
    </row>
    <row r="41" spans="1:19" x14ac:dyDescent="0.2">
      <c r="A41" s="343" t="s">
        <v>199</v>
      </c>
      <c r="D41" s="384">
        <f>IFERROR('DCF-N'!D35/'DCF-N'!D$39,0)</f>
        <v>9.4060736361193231E-3</v>
      </c>
      <c r="E41" s="384">
        <f>IFERROR('DCF-N'!E35/'DCF-N'!E$39,0)</f>
        <v>9.0312815338042373E-3</v>
      </c>
      <c r="F41" s="384">
        <f>IFERROR('DCF-N'!F35/'DCF-N'!F$39,0)</f>
        <v>8.4282123318054122E-3</v>
      </c>
      <c r="G41" s="384">
        <f>IFERROR('DCF-N'!G35/'DCF-N'!G$39,0)</f>
        <v>8.1812163056842902E-3</v>
      </c>
      <c r="H41" s="384">
        <f>IFERROR('DCF-N'!H35/'DCF-N'!H$39,0)</f>
        <v>7.9672205781925794E-3</v>
      </c>
      <c r="I41" s="369">
        <f>I45*H41</f>
        <v>179.53415042231282</v>
      </c>
      <c r="J41" s="369">
        <f>J45*$H41</f>
        <v>184.02250418287062</v>
      </c>
      <c r="K41" s="369">
        <f t="shared" ref="K41:L41" si="53">K45*$H41</f>
        <v>188.62306678744238</v>
      </c>
      <c r="L41" s="369">
        <f t="shared" si="53"/>
        <v>193.3386434571284</v>
      </c>
      <c r="M41" s="369">
        <f t="shared" ref="M41" si="54">M45*$H41</f>
        <v>198.17210954355664</v>
      </c>
    </row>
    <row r="42" spans="1:19" x14ac:dyDescent="0.2">
      <c r="A42" s="343" t="s">
        <v>200</v>
      </c>
      <c r="D42" s="384">
        <f>IFERROR('DCF-N'!D36/'DCF-N'!D$39,0)</f>
        <v>0.94909970438054292</v>
      </c>
      <c r="E42" s="384">
        <f>IFERROR('DCF-N'!E36/'DCF-N'!E$39,0)</f>
        <v>0.92325933400605453</v>
      </c>
      <c r="F42" s="384">
        <f>IFERROR('DCF-N'!F36/'DCF-N'!F$39,0)</f>
        <v>0.93981960668342457</v>
      </c>
      <c r="G42" s="384">
        <f>IFERROR('DCF-N'!G36/'DCF-N'!G$39,0)</f>
        <v>0.93459755982218862</v>
      </c>
      <c r="H42" s="384">
        <f>IFERROR('DCF-N'!H36/'DCF-N'!H$39,0)</f>
        <v>0.93125426815388113</v>
      </c>
      <c r="I42" s="368">
        <f>O25</f>
        <v>20984.977410790903</v>
      </c>
      <c r="J42" s="368">
        <f>P25</f>
        <v>21509.601846060676</v>
      </c>
      <c r="K42" s="368">
        <f>Q25</f>
        <v>22047.341892212193</v>
      </c>
      <c r="L42" s="368">
        <f t="shared" ref="K42:M42" si="55">R25</f>
        <v>22598.525439517492</v>
      </c>
      <c r="M42" s="368">
        <f t="shared" si="55"/>
        <v>23163.488575505431</v>
      </c>
    </row>
    <row r="43" spans="1:19" x14ac:dyDescent="0.2">
      <c r="A43" s="343" t="s">
        <v>201</v>
      </c>
      <c r="D43" s="384">
        <f>IFERROR('DCF-N'!D37/'DCF-N'!D$39,0)</f>
        <v>0</v>
      </c>
      <c r="E43" s="384">
        <f>IFERROR('DCF-N'!E37/'DCF-N'!E$39,0)</f>
        <v>8.6781029263370332E-3</v>
      </c>
      <c r="F43" s="384">
        <f>IFERROR('DCF-N'!F37/'DCF-N'!F$39,0)</f>
        <v>0</v>
      </c>
      <c r="G43" s="384">
        <f>IFERROR('DCF-N'!G37/'DCF-N'!G$39,0)</f>
        <v>0</v>
      </c>
      <c r="H43" s="384">
        <f>IFERROR('DCF-N'!H37/'DCF-N'!H$39,0)</f>
        <v>0</v>
      </c>
      <c r="I43" s="369">
        <f>I42*H43</f>
        <v>0</v>
      </c>
      <c r="J43" s="369">
        <f t="shared" ref="J43:L43" si="56">J42*I43</f>
        <v>0</v>
      </c>
      <c r="K43" s="369">
        <f t="shared" ref="K43" si="57">K42*J43</f>
        <v>0</v>
      </c>
      <c r="L43" s="369">
        <f t="shared" ref="L43:M43" si="58">L42*K43</f>
        <v>0</v>
      </c>
      <c r="M43" s="369">
        <f t="shared" si="58"/>
        <v>0</v>
      </c>
    </row>
    <row r="44" spans="1:19" x14ac:dyDescent="0.2">
      <c r="A44" s="343" t="s">
        <v>203</v>
      </c>
      <c r="D44" s="384">
        <f>IFERROR('DCF-N'!D38/'DCF-N'!D$39,0)</f>
        <v>4.1494221983337812E-2</v>
      </c>
      <c r="E44" s="384">
        <f>IFERROR('DCF-N'!E38/'DCF-N'!E$39,0)</f>
        <v>5.9031281533804235E-2</v>
      </c>
      <c r="F44" s="384">
        <f>IFERROR('DCF-N'!F38/'DCF-N'!F$39,0)</f>
        <v>5.1752180984770073E-2</v>
      </c>
      <c r="G44" s="384">
        <f>IFERROR('DCF-N'!G38/'DCF-N'!G$39,0)</f>
        <v>5.7221223872127115E-2</v>
      </c>
      <c r="H44" s="384">
        <f>IFERROR('DCF-N'!H38/'DCF-N'!H$39,0)</f>
        <v>6.0778511267926244E-2</v>
      </c>
      <c r="I44" s="369">
        <f>I45*H44</f>
        <v>1369.5890903645004</v>
      </c>
      <c r="J44" s="369">
        <f>J45*$H44</f>
        <v>1403.8288176236128</v>
      </c>
      <c r="K44" s="369">
        <f t="shared" ref="K44:M44" si="59">K45*$H44</f>
        <v>1438.9245380642033</v>
      </c>
      <c r="L44" s="369">
        <f t="shared" si="59"/>
        <v>1474.8976515158079</v>
      </c>
      <c r="M44" s="369">
        <f t="shared" si="59"/>
        <v>1511.7700928037034</v>
      </c>
    </row>
    <row r="45" spans="1:19" ht="17" thickBot="1" x14ac:dyDescent="0.25">
      <c r="A45" s="348"/>
      <c r="B45" s="348"/>
      <c r="C45" s="348"/>
      <c r="D45" s="402">
        <f>SUM(D41:D44)</f>
        <v>1</v>
      </c>
      <c r="E45" s="402">
        <f t="shared" ref="E45:H45" si="60">SUM(E41:E44)</f>
        <v>1.0000000000000002</v>
      </c>
      <c r="F45" s="402">
        <f t="shared" si="60"/>
        <v>1</v>
      </c>
      <c r="G45" s="402">
        <f t="shared" si="60"/>
        <v>1</v>
      </c>
      <c r="H45" s="402">
        <f t="shared" si="60"/>
        <v>0.99999999999999989</v>
      </c>
      <c r="I45" s="386">
        <f>I42/H42</f>
        <v>22534.100651577719</v>
      </c>
      <c r="J45" s="386">
        <f>J42/$H42</f>
        <v>23097.453167867159</v>
      </c>
      <c r="K45" s="386">
        <f t="shared" ref="K45:L45" si="61">K42/$H42</f>
        <v>23674.889497063839</v>
      </c>
      <c r="L45" s="386">
        <f t="shared" si="61"/>
        <v>24266.761734490428</v>
      </c>
      <c r="M45" s="386">
        <f t="shared" ref="M45" si="62">M42/$H42</f>
        <v>24873.430777852693</v>
      </c>
    </row>
    <row r="46" spans="1:19" ht="17" thickTop="1" x14ac:dyDescent="0.2">
      <c r="A46" s="380" t="s">
        <v>421</v>
      </c>
      <c r="B46" s="350"/>
      <c r="C46" s="350"/>
      <c r="D46" s="350"/>
      <c r="E46" s="350"/>
      <c r="F46" s="350"/>
      <c r="G46" s="350"/>
      <c r="H46" s="350"/>
      <c r="I46" s="350"/>
    </row>
    <row r="47" spans="1:19" x14ac:dyDescent="0.2">
      <c r="A47" s="343" t="s">
        <v>418</v>
      </c>
      <c r="H47" s="364">
        <f>H4/G4-1</f>
        <v>3.5576451299550449E-2</v>
      </c>
      <c r="I47" s="364">
        <f>Scenarios!I10</f>
        <v>3.5000000000000003E-2</v>
      </c>
    </row>
    <row r="48" spans="1:19" x14ac:dyDescent="0.2">
      <c r="A48" s="343" t="s">
        <v>419</v>
      </c>
      <c r="G48" s="364">
        <f>G5/G4-1</f>
        <v>0.2105161221128915</v>
      </c>
      <c r="H48" s="364">
        <f>H5/H4-1</f>
        <v>0.21288114960249582</v>
      </c>
      <c r="I48" s="364">
        <v>0.21288114960249582</v>
      </c>
    </row>
    <row r="49" spans="1:9" ht="17" thickBot="1" x14ac:dyDescent="0.25">
      <c r="A49" s="348" t="s">
        <v>420</v>
      </c>
      <c r="B49" s="348"/>
      <c r="C49" s="348"/>
      <c r="D49" s="348"/>
      <c r="E49" s="348"/>
      <c r="F49" s="348"/>
      <c r="G49" s="385">
        <f>G6/G4</f>
        <v>0.99067399407275769</v>
      </c>
      <c r="H49" s="385">
        <f>H6/H4</f>
        <v>0.98837632014644672</v>
      </c>
      <c r="I49" s="385">
        <f>AVERAGE(G49:H49)</f>
        <v>0.9895251571096022</v>
      </c>
    </row>
    <row r="50" spans="1:9" ht="17" thickTop="1" x14ac:dyDescent="0.2">
      <c r="G50" s="369"/>
    </row>
    <row r="51" spans="1:9" x14ac:dyDescent="0.2">
      <c r="A51" s="380" t="s">
        <v>417</v>
      </c>
      <c r="B51" s="350"/>
      <c r="C51" s="350"/>
      <c r="D51" s="350"/>
      <c r="E51" s="350"/>
      <c r="F51" s="350"/>
      <c r="G51" s="381"/>
      <c r="H51" s="350"/>
      <c r="I51" s="350"/>
    </row>
    <row r="52" spans="1:9" x14ac:dyDescent="0.2">
      <c r="A52" s="343" t="s">
        <v>325</v>
      </c>
      <c r="G52" s="345">
        <f>G6</f>
        <v>129041420</v>
      </c>
      <c r="H52" s="346">
        <f>H4</f>
        <v>134890243</v>
      </c>
      <c r="I52" s="346">
        <f>I4</f>
        <v>139611401.505</v>
      </c>
    </row>
    <row r="53" spans="1:9" x14ac:dyDescent="0.2">
      <c r="A53" s="343" t="s">
        <v>416</v>
      </c>
      <c r="G53" s="375">
        <v>0.83899999999999997</v>
      </c>
      <c r="H53" s="374">
        <v>0.83399999999999996</v>
      </c>
      <c r="I53" s="374">
        <f>I8</f>
        <v>0.83433270344564203</v>
      </c>
    </row>
    <row r="54" spans="1:9" ht="17" thickBot="1" x14ac:dyDescent="0.25">
      <c r="A54" s="348" t="s">
        <v>417</v>
      </c>
      <c r="B54" s="348"/>
      <c r="C54" s="348"/>
      <c r="D54" s="348"/>
      <c r="E54" s="348"/>
      <c r="F54" s="348"/>
      <c r="G54" s="386">
        <f>G6/G8</f>
        <v>153803837.9022646</v>
      </c>
      <c r="H54" s="386">
        <f>H6/H8</f>
        <v>159858899.28057554</v>
      </c>
      <c r="I54" s="386">
        <f>I6/I8</f>
        <v>165580221.70052388</v>
      </c>
    </row>
    <row r="55" spans="1:9" ht="17" thickTop="1" x14ac:dyDescent="0.2">
      <c r="G55" s="369"/>
    </row>
    <row r="56" spans="1:9" x14ac:dyDescent="0.2">
      <c r="A56" s="380" t="s">
        <v>422</v>
      </c>
      <c r="B56" s="350"/>
      <c r="C56" s="350"/>
      <c r="D56" s="350"/>
      <c r="E56" s="350"/>
      <c r="F56" s="350"/>
      <c r="G56" s="381"/>
      <c r="H56" s="350"/>
      <c r="I56" s="350"/>
    </row>
    <row r="57" spans="1:9" x14ac:dyDescent="0.2">
      <c r="A57" s="343" t="s">
        <v>327</v>
      </c>
      <c r="G57" s="345">
        <f>G7</f>
        <v>153811072</v>
      </c>
      <c r="H57" s="346">
        <v>133322322</v>
      </c>
      <c r="I57" s="368">
        <f>I6</f>
        <v>138148994.00852686</v>
      </c>
    </row>
    <row r="58" spans="1:9" x14ac:dyDescent="0.2">
      <c r="A58" s="343" t="s">
        <v>330</v>
      </c>
      <c r="G58" s="343">
        <f>G10</f>
        <v>754</v>
      </c>
      <c r="H58" s="347">
        <v>757</v>
      </c>
      <c r="I58" s="347">
        <v>757</v>
      </c>
    </row>
    <row r="59" spans="1:9" x14ac:dyDescent="0.2">
      <c r="A59" s="343" t="s">
        <v>423</v>
      </c>
      <c r="G59" s="376">
        <f>G8*G13</f>
        <v>127.30146999999998</v>
      </c>
      <c r="H59" s="376">
        <f>H8*H13</f>
        <v>125.68379999999999</v>
      </c>
      <c r="I59" s="376">
        <f>I8*I13</f>
        <v>125.1499055168463</v>
      </c>
    </row>
    <row r="60" spans="1:9" ht="17" thickBot="1" x14ac:dyDescent="0.25">
      <c r="A60" s="348" t="s">
        <v>424</v>
      </c>
      <c r="B60" s="348"/>
      <c r="C60" s="348"/>
      <c r="D60" s="348"/>
      <c r="E60" s="348"/>
      <c r="F60" s="348"/>
      <c r="G60" s="387">
        <f>G57/G58/G59*1000</f>
        <v>1602443.9010090099</v>
      </c>
      <c r="H60" s="387">
        <f t="shared" ref="H60:I60" si="63">H57/H58/H59*1000</f>
        <v>1401288.9148796198</v>
      </c>
      <c r="I60" s="387">
        <f t="shared" si="63"/>
        <v>1458214.1937518618</v>
      </c>
    </row>
    <row r="61" spans="1:9" ht="17" thickTop="1" x14ac:dyDescent="0.2">
      <c r="G61" s="372"/>
      <c r="H61" s="379"/>
      <c r="I61" s="368"/>
    </row>
    <row r="62" spans="1:9" x14ac:dyDescent="0.2">
      <c r="A62" s="343" t="s">
        <v>24</v>
      </c>
      <c r="G62" s="372">
        <f>G83/G7*100000</f>
        <v>12.84887995579408</v>
      </c>
      <c r="H62" s="384">
        <f>G17/G62-1</f>
        <v>8.7170571269501451E-5</v>
      </c>
      <c r="I62" s="368"/>
    </row>
    <row r="63" spans="1:9" x14ac:dyDescent="0.2">
      <c r="G63" s="372"/>
      <c r="H63" s="372"/>
      <c r="I63" s="368"/>
    </row>
    <row r="64" spans="1:9" x14ac:dyDescent="0.2">
      <c r="G64" s="372">
        <f>G16*G7/1000</f>
        <v>2114902.2400000002</v>
      </c>
      <c r="H64" s="360"/>
    </row>
    <row r="65" spans="1:9" x14ac:dyDescent="0.2">
      <c r="A65" s="343" t="s">
        <v>402</v>
      </c>
      <c r="G65" s="364">
        <f>G6/G7</f>
        <v>0.83896053984982299</v>
      </c>
      <c r="H65" s="364">
        <f>H6/H7</f>
        <v>0.83433270344564203</v>
      </c>
      <c r="I65" s="364">
        <v>0.83433270344564203</v>
      </c>
    </row>
    <row r="66" spans="1:9" x14ac:dyDescent="0.2">
      <c r="A66" s="343" t="s">
        <v>403</v>
      </c>
      <c r="G66" s="360">
        <f>G12/G11</f>
        <v>149.03183487116559</v>
      </c>
      <c r="H66" s="360">
        <f>H12/H11</f>
        <v>150.70438463160804</v>
      </c>
      <c r="I66" s="343">
        <v>150</v>
      </c>
    </row>
    <row r="67" spans="1:9" x14ac:dyDescent="0.2">
      <c r="A67" s="343" t="s">
        <v>404</v>
      </c>
      <c r="G67" s="362">
        <f>'DCF-N'!G36/(Analysis!G4/1000000)</f>
        <v>151.72407545468664</v>
      </c>
      <c r="H67" s="362">
        <f>'DCF-N'!H36/(Analysis!H4/1000000)</f>
        <v>151.64180555297835</v>
      </c>
      <c r="I67" s="343">
        <v>152</v>
      </c>
    </row>
    <row r="68" spans="1:9" x14ac:dyDescent="0.2">
      <c r="A68" s="343" t="s">
        <v>329</v>
      </c>
      <c r="G68" s="343">
        <v>991</v>
      </c>
      <c r="H68" s="347">
        <v>988</v>
      </c>
      <c r="I68" s="363">
        <v>990</v>
      </c>
    </row>
    <row r="69" spans="1:9" x14ac:dyDescent="0.2">
      <c r="A69" s="343" t="s">
        <v>330</v>
      </c>
      <c r="G69" s="343">
        <v>754</v>
      </c>
      <c r="H69" s="347">
        <v>757</v>
      </c>
      <c r="I69" s="363">
        <v>755</v>
      </c>
    </row>
    <row r="70" spans="1:9" x14ac:dyDescent="0.2">
      <c r="G70" s="362"/>
      <c r="H70" s="362"/>
    </row>
    <row r="71" spans="1:9" x14ac:dyDescent="0.2">
      <c r="G71" s="362"/>
      <c r="H71" s="362"/>
    </row>
    <row r="72" spans="1:9" x14ac:dyDescent="0.2">
      <c r="G72" s="362"/>
      <c r="H72" s="362"/>
    </row>
    <row r="73" spans="1:9" x14ac:dyDescent="0.2">
      <c r="G73" s="362"/>
      <c r="H73" s="362"/>
    </row>
    <row r="74" spans="1:9" x14ac:dyDescent="0.2">
      <c r="A74" s="343" t="s">
        <v>405</v>
      </c>
      <c r="G74" s="361">
        <f>'DCF-N'!G36/(Analysis!G6/100000)</f>
        <v>15.315237541558362</v>
      </c>
      <c r="H74" s="361">
        <f>'DCF-N'!H36/(Analysis!H6/100000)</f>
        <v>15.342517061771545</v>
      </c>
    </row>
    <row r="75" spans="1:9" x14ac:dyDescent="0.2">
      <c r="A75" s="343" t="s">
        <v>406</v>
      </c>
      <c r="G75" s="360">
        <f>(G26*1000000)/G11</f>
        <v>1517.1827437341094</v>
      </c>
      <c r="H75" s="360">
        <f>(H26*1000000)/H11</f>
        <v>1522.8758645265921</v>
      </c>
    </row>
    <row r="76" spans="1:9" x14ac:dyDescent="0.2">
      <c r="A76" s="343" t="s">
        <v>407</v>
      </c>
      <c r="G76" s="359">
        <f>(G9*G11)/(G26*1000000)</f>
        <v>0.65318433398533005</v>
      </c>
      <c r="H76" s="359">
        <f>(H9*H11)/(H26*1000000)</f>
        <v>0.64877251193887298</v>
      </c>
    </row>
    <row r="77" spans="1:9" x14ac:dyDescent="0.2">
      <c r="A77" s="343" t="s">
        <v>409</v>
      </c>
      <c r="G77" s="359">
        <f>G11/G28/365</f>
        <v>5.2306763941169621</v>
      </c>
      <c r="H77" s="359">
        <f>H11/H28/365</f>
        <v>5.0229406392694065</v>
      </c>
      <c r="I77" s="359">
        <f>AVERAGE(G77:H77)</f>
        <v>5.1268085166931847</v>
      </c>
    </row>
    <row r="81" spans="1:19" x14ac:dyDescent="0.2">
      <c r="A81" s="343" t="s">
        <v>410</v>
      </c>
      <c r="G81" s="343">
        <f>G28</f>
        <v>706</v>
      </c>
      <c r="H81" s="343">
        <f>H28</f>
        <v>750</v>
      </c>
      <c r="I81" s="343">
        <f>H81+K28</f>
        <v>775</v>
      </c>
    </row>
    <row r="83" spans="1:19" x14ac:dyDescent="0.2">
      <c r="A83" s="343" t="s">
        <v>415</v>
      </c>
      <c r="G83" s="376">
        <f>'DCF-N'!G36</f>
        <v>19763</v>
      </c>
      <c r="H83" s="376">
        <f>'DCF-N'!H36</f>
        <v>20455</v>
      </c>
      <c r="I83" s="376">
        <f>I4*I14/1000000</f>
        <v>21220.933028759999</v>
      </c>
    </row>
    <row r="85" spans="1:19" s="358" customFormat="1" x14ac:dyDescent="0.2">
      <c r="A85" s="343" t="s">
        <v>408</v>
      </c>
      <c r="B85" s="343"/>
      <c r="C85" s="343"/>
      <c r="D85" s="343"/>
      <c r="E85" s="343"/>
      <c r="F85" s="343"/>
      <c r="G85" s="343"/>
      <c r="H85" s="343"/>
      <c r="I85" s="343"/>
      <c r="J85" s="343"/>
      <c r="M85" s="343"/>
      <c r="N85" s="343"/>
      <c r="O85" s="343"/>
      <c r="P85" s="343"/>
      <c r="Q85" s="343"/>
      <c r="R85" s="343"/>
      <c r="S85" s="343"/>
    </row>
    <row r="86" spans="1:19" x14ac:dyDescent="0.2">
      <c r="A86" s="358"/>
      <c r="B86" s="358"/>
      <c r="C86" s="358"/>
      <c r="D86" s="358"/>
      <c r="E86" s="358"/>
      <c r="F86" s="358"/>
      <c r="G86" s="358"/>
      <c r="H86" s="358"/>
      <c r="I86" s="358"/>
      <c r="J86" s="358"/>
      <c r="M86" s="358"/>
      <c r="P86" s="358"/>
      <c r="Q86" s="358"/>
      <c r="R86" s="358"/>
      <c r="S86" s="358"/>
    </row>
    <row r="88" spans="1:19" x14ac:dyDescent="0.2">
      <c r="A88" s="344" t="s">
        <v>358</v>
      </c>
      <c r="I88" s="343" t="s">
        <v>360</v>
      </c>
    </row>
    <row r="89" spans="1:19" x14ac:dyDescent="0.2">
      <c r="A89" s="343" t="s">
        <v>359</v>
      </c>
      <c r="I89" s="343" t="s">
        <v>362</v>
      </c>
    </row>
    <row r="90" spans="1:19" x14ac:dyDescent="0.2">
      <c r="A90" s="343" t="s">
        <v>361</v>
      </c>
      <c r="I90" s="343" t="s">
        <v>364</v>
      </c>
    </row>
    <row r="91" spans="1:19" x14ac:dyDescent="0.2">
      <c r="A91" s="343" t="s">
        <v>363</v>
      </c>
    </row>
    <row r="93" spans="1:19" x14ac:dyDescent="0.2">
      <c r="A93" s="343" t="s">
        <v>323</v>
      </c>
    </row>
    <row r="94" spans="1:19" x14ac:dyDescent="0.2">
      <c r="A94" s="343" t="s">
        <v>298</v>
      </c>
      <c r="F94" s="344">
        <v>2016</v>
      </c>
      <c r="G94" s="344">
        <v>2017</v>
      </c>
      <c r="H94" s="344">
        <v>2018</v>
      </c>
      <c r="N94" s="358"/>
      <c r="O94" s="358"/>
    </row>
    <row r="95" spans="1:19" x14ac:dyDescent="0.2">
      <c r="A95" s="343" t="s">
        <v>299</v>
      </c>
      <c r="F95" s="345">
        <v>16534</v>
      </c>
      <c r="G95" s="345">
        <v>16934</v>
      </c>
      <c r="H95" s="345">
        <v>17506</v>
      </c>
    </row>
    <row r="96" spans="1:19" x14ac:dyDescent="0.2">
      <c r="A96" s="343" t="s">
        <v>300</v>
      </c>
      <c r="F96" s="345">
        <v>1997</v>
      </c>
      <c r="G96" s="345">
        <v>2263</v>
      </c>
      <c r="H96" s="345">
        <v>2307</v>
      </c>
    </row>
    <row r="97" spans="1:19" x14ac:dyDescent="0.2">
      <c r="A97" s="343" t="s">
        <v>301</v>
      </c>
      <c r="F97" s="343">
        <v>537</v>
      </c>
      <c r="G97" s="343">
        <v>566</v>
      </c>
      <c r="H97" s="343">
        <v>642</v>
      </c>
    </row>
    <row r="98" spans="1:19" ht="17" thickBot="1" x14ac:dyDescent="0.25">
      <c r="A98" s="343" t="s">
        <v>302</v>
      </c>
      <c r="C98" s="348"/>
      <c r="D98" s="348"/>
      <c r="E98" s="348"/>
      <c r="F98" s="349">
        <v>19068</v>
      </c>
      <c r="G98" s="349">
        <v>19763</v>
      </c>
      <c r="H98" s="349">
        <v>20455</v>
      </c>
    </row>
    <row r="99" spans="1:19" s="358" customFormat="1" ht="18" thickTop="1" thickBot="1" x14ac:dyDescent="0.25">
      <c r="A99" s="348" t="s">
        <v>303</v>
      </c>
      <c r="B99" s="348"/>
      <c r="C99" s="343"/>
      <c r="D99" s="343"/>
      <c r="E99" s="343"/>
      <c r="F99" s="343"/>
      <c r="G99" s="343"/>
      <c r="H99" s="343"/>
      <c r="I99" s="343"/>
      <c r="J99" s="343"/>
      <c r="M99" s="343"/>
      <c r="N99" s="343"/>
      <c r="O99" s="343"/>
      <c r="P99" s="343"/>
      <c r="Q99" s="343"/>
      <c r="R99" s="343"/>
      <c r="S99" s="343"/>
    </row>
    <row r="100" spans="1:19" ht="17" thickTop="1" x14ac:dyDescent="0.2">
      <c r="A100" s="358"/>
      <c r="B100" s="358"/>
      <c r="C100" s="358"/>
      <c r="D100" s="358"/>
      <c r="E100" s="358"/>
      <c r="F100" s="358"/>
      <c r="G100" s="358"/>
      <c r="H100" s="358"/>
      <c r="I100" s="358"/>
      <c r="J100" s="358"/>
      <c r="M100" s="358"/>
      <c r="P100" s="358"/>
      <c r="Q100" s="358"/>
      <c r="R100" s="358"/>
      <c r="S100" s="358"/>
    </row>
    <row r="102" spans="1:19" x14ac:dyDescent="0.2">
      <c r="A102" s="344" t="s">
        <v>304</v>
      </c>
    </row>
    <row r="103" spans="1:19" x14ac:dyDescent="0.2">
      <c r="A103" s="343" t="s">
        <v>305</v>
      </c>
      <c r="G103" s="343">
        <v>0</v>
      </c>
      <c r="H103" s="343">
        <v>1</v>
      </c>
    </row>
    <row r="104" spans="1:19" x14ac:dyDescent="0.2">
      <c r="A104" s="343" t="s">
        <v>306</v>
      </c>
      <c r="G104" s="343">
        <v>0</v>
      </c>
      <c r="H104" s="343">
        <v>3</v>
      </c>
    </row>
    <row r="105" spans="1:19" x14ac:dyDescent="0.2">
      <c r="A105" s="343" t="s">
        <v>307</v>
      </c>
      <c r="G105" s="343">
        <v>300</v>
      </c>
      <c r="H105" s="343">
        <v>300</v>
      </c>
    </row>
    <row r="106" spans="1:19" x14ac:dyDescent="0.2">
      <c r="A106" s="343" t="s">
        <v>308</v>
      </c>
      <c r="G106" s="343">
        <v>23</v>
      </c>
      <c r="H106" s="343">
        <v>66</v>
      </c>
    </row>
    <row r="107" spans="1:19" x14ac:dyDescent="0.2">
      <c r="A107" s="343" t="s">
        <v>309</v>
      </c>
      <c r="G107" s="343">
        <v>10</v>
      </c>
      <c r="H107" s="343">
        <v>19</v>
      </c>
    </row>
    <row r="108" spans="1:19" x14ac:dyDescent="0.2">
      <c r="A108" s="343" t="s">
        <v>310</v>
      </c>
      <c r="G108" s="343">
        <v>492</v>
      </c>
      <c r="H108" s="343">
        <v>491</v>
      </c>
      <c r="N108" s="358"/>
      <c r="O108" s="358"/>
    </row>
    <row r="109" spans="1:19" x14ac:dyDescent="0.2">
      <c r="A109" s="345" t="s">
        <v>311</v>
      </c>
      <c r="G109" s="343">
        <v>187</v>
      </c>
      <c r="H109" s="343">
        <v>237</v>
      </c>
    </row>
    <row r="110" spans="1:19" x14ac:dyDescent="0.2">
      <c r="A110" s="345" t="s">
        <v>312</v>
      </c>
      <c r="G110" s="343">
        <v>67</v>
      </c>
      <c r="H110" s="343">
        <v>155</v>
      </c>
    </row>
    <row r="111" spans="1:19" x14ac:dyDescent="0.2">
      <c r="A111" s="343" t="s">
        <v>313</v>
      </c>
      <c r="G111" s="343">
        <v>300</v>
      </c>
      <c r="H111" s="343">
        <v>300</v>
      </c>
    </row>
    <row r="112" spans="1:19" x14ac:dyDescent="0.2">
      <c r="A112" s="345" t="s">
        <v>314</v>
      </c>
      <c r="G112" s="343">
        <v>250</v>
      </c>
      <c r="H112" s="343">
        <v>294</v>
      </c>
    </row>
    <row r="113" spans="1:19" x14ac:dyDescent="0.2">
      <c r="A113" s="343" t="s">
        <v>315</v>
      </c>
      <c r="G113" s="343">
        <v>197</v>
      </c>
      <c r="H113" s="343">
        <v>215</v>
      </c>
    </row>
    <row r="114" spans="1:19" x14ac:dyDescent="0.2">
      <c r="A114" s="343" t="s">
        <v>316</v>
      </c>
      <c r="G114" s="343">
        <v>300</v>
      </c>
      <c r="H114" s="343">
        <v>300</v>
      </c>
    </row>
    <row r="115" spans="1:19" x14ac:dyDescent="0.2">
      <c r="A115" s="343" t="s">
        <v>317</v>
      </c>
      <c r="G115" s="343">
        <v>300</v>
      </c>
      <c r="H115" s="343">
        <v>300</v>
      </c>
    </row>
    <row r="116" spans="1:19" x14ac:dyDescent="0.2">
      <c r="A116" s="343" t="s">
        <v>318</v>
      </c>
      <c r="G116" s="343">
        <v>125</v>
      </c>
      <c r="H116" s="343">
        <v>127</v>
      </c>
    </row>
    <row r="117" spans="1:19" x14ac:dyDescent="0.2">
      <c r="A117" s="343" t="s">
        <v>319</v>
      </c>
      <c r="G117" s="350">
        <v>845</v>
      </c>
      <c r="H117" s="350">
        <v>885</v>
      </c>
    </row>
    <row r="118" spans="1:19" x14ac:dyDescent="0.2">
      <c r="A118" s="343" t="s">
        <v>320</v>
      </c>
      <c r="G118" s="344">
        <f>SUM(G103:G117)</f>
        <v>3396</v>
      </c>
      <c r="H118" s="344">
        <f>SUM(H103:H117)</f>
        <v>3693</v>
      </c>
    </row>
    <row r="119" spans="1:19" x14ac:dyDescent="0.2">
      <c r="G119" s="343">
        <v>606</v>
      </c>
      <c r="H119" s="343">
        <v>348</v>
      </c>
    </row>
    <row r="120" spans="1:19" x14ac:dyDescent="0.2">
      <c r="A120" s="343" t="s">
        <v>321</v>
      </c>
      <c r="G120" s="343">
        <v>19</v>
      </c>
      <c r="H120" s="343">
        <v>25</v>
      </c>
    </row>
    <row r="121" spans="1:19" s="358" customFormat="1" ht="17" thickBot="1" x14ac:dyDescent="0.25">
      <c r="A121" s="343" t="s">
        <v>322</v>
      </c>
      <c r="B121" s="343"/>
      <c r="C121" s="343"/>
      <c r="D121" s="343"/>
      <c r="E121" s="343"/>
      <c r="F121" s="343"/>
      <c r="G121" s="351">
        <f>G118-G119-G120</f>
        <v>2771</v>
      </c>
      <c r="H121" s="351">
        <f>H118-H119-H120</f>
        <v>3320</v>
      </c>
      <c r="I121" s="343"/>
      <c r="J121" s="343"/>
      <c r="M121" s="343"/>
      <c r="N121" s="343"/>
      <c r="O121" s="343"/>
      <c r="P121" s="343"/>
      <c r="Q121" s="343"/>
      <c r="R121" s="343"/>
      <c r="S121" s="343"/>
    </row>
    <row r="122" spans="1:19" ht="17" thickTop="1" x14ac:dyDescent="0.2">
      <c r="A122" s="358"/>
      <c r="B122" s="358"/>
      <c r="C122" s="358"/>
      <c r="D122" s="358"/>
      <c r="E122" s="358"/>
      <c r="F122" s="358"/>
      <c r="G122" s="358"/>
      <c r="H122" s="358"/>
      <c r="I122" s="358"/>
      <c r="J122" s="358"/>
      <c r="M122" s="358"/>
      <c r="P122" s="358"/>
      <c r="Q122" s="358"/>
      <c r="R122" s="358"/>
      <c r="S122" s="358"/>
    </row>
    <row r="124" spans="1:19" x14ac:dyDescent="0.2">
      <c r="A124" s="344" t="s">
        <v>373</v>
      </c>
    </row>
    <row r="125" spans="1:19" x14ac:dyDescent="0.2">
      <c r="A125" s="343" t="s">
        <v>365</v>
      </c>
      <c r="F125" s="343" t="s">
        <v>366</v>
      </c>
      <c r="G125" s="343" t="s">
        <v>367</v>
      </c>
      <c r="H125" s="343" t="s">
        <v>368</v>
      </c>
      <c r="I125" s="343" t="s">
        <v>369</v>
      </c>
      <c r="J125" s="343" t="s">
        <v>370</v>
      </c>
    </row>
    <row r="126" spans="1:19" x14ac:dyDescent="0.2">
      <c r="A126" s="343">
        <v>2019</v>
      </c>
      <c r="F126" s="343">
        <v>7</v>
      </c>
      <c r="G126" s="343">
        <v>21</v>
      </c>
      <c r="H126" s="343">
        <v>0</v>
      </c>
      <c r="I126" s="343">
        <v>16</v>
      </c>
      <c r="J126" s="343">
        <v>44</v>
      </c>
    </row>
    <row r="127" spans="1:19" x14ac:dyDescent="0.2">
      <c r="A127" s="343">
        <f>A126+1</f>
        <v>2020</v>
      </c>
      <c r="F127" s="343">
        <v>0</v>
      </c>
      <c r="G127" s="343">
        <v>35</v>
      </c>
      <c r="H127" s="343">
        <v>0</v>
      </c>
      <c r="I127" s="343">
        <v>3</v>
      </c>
      <c r="J127" s="343">
        <v>38</v>
      </c>
    </row>
    <row r="128" spans="1:19" x14ac:dyDescent="0.2">
      <c r="A128" s="343">
        <f t="shared" ref="A128:A133" si="64">A127+1</f>
        <v>2021</v>
      </c>
      <c r="F128" s="343">
        <v>0</v>
      </c>
      <c r="G128" s="343">
        <v>44</v>
      </c>
      <c r="H128" s="343">
        <v>0</v>
      </c>
      <c r="I128" s="343">
        <v>0</v>
      </c>
      <c r="J128" s="343">
        <v>44</v>
      </c>
    </row>
    <row r="129" spans="1:19" x14ac:dyDescent="0.2">
      <c r="A129" s="343">
        <f t="shared" si="64"/>
        <v>2022</v>
      </c>
      <c r="F129" s="343">
        <v>0</v>
      </c>
      <c r="G129" s="343">
        <v>27</v>
      </c>
      <c r="H129" s="343">
        <v>14</v>
      </c>
      <c r="I129" s="343">
        <v>0</v>
      </c>
      <c r="J129" s="343">
        <v>41</v>
      </c>
    </row>
    <row r="130" spans="1:19" x14ac:dyDescent="0.2">
      <c r="A130" s="343">
        <f t="shared" si="64"/>
        <v>2023</v>
      </c>
      <c r="F130" s="343">
        <v>12</v>
      </c>
      <c r="G130" s="343">
        <v>22</v>
      </c>
      <c r="H130" s="343">
        <v>23</v>
      </c>
      <c r="I130" s="343">
        <v>0</v>
      </c>
      <c r="J130" s="343">
        <v>57</v>
      </c>
      <c r="N130" s="358"/>
      <c r="O130" s="358"/>
    </row>
    <row r="131" spans="1:19" x14ac:dyDescent="0.2">
      <c r="A131" s="343">
        <f t="shared" si="64"/>
        <v>2024</v>
      </c>
      <c r="F131" s="343">
        <v>11</v>
      </c>
      <c r="G131" s="343">
        <v>30</v>
      </c>
      <c r="H131" s="343">
        <v>23</v>
      </c>
      <c r="I131" s="343">
        <v>0</v>
      </c>
      <c r="J131" s="343">
        <v>64</v>
      </c>
    </row>
    <row r="132" spans="1:19" x14ac:dyDescent="0.2">
      <c r="A132" s="343">
        <f t="shared" si="64"/>
        <v>2025</v>
      </c>
      <c r="F132" s="343">
        <v>0</v>
      </c>
      <c r="G132" s="343">
        <v>40</v>
      </c>
      <c r="H132" s="343">
        <v>36</v>
      </c>
      <c r="I132" s="343">
        <v>0</v>
      </c>
      <c r="J132" s="343">
        <v>76</v>
      </c>
    </row>
    <row r="133" spans="1:19" x14ac:dyDescent="0.2">
      <c r="A133" s="343">
        <f t="shared" si="64"/>
        <v>2026</v>
      </c>
      <c r="F133" s="343">
        <v>0</v>
      </c>
      <c r="G133" s="343">
        <v>0</v>
      </c>
      <c r="H133" s="343">
        <v>19</v>
      </c>
      <c r="I133" s="343">
        <v>0</v>
      </c>
      <c r="J133" s="343">
        <v>19</v>
      </c>
    </row>
    <row r="134" spans="1:19" ht="17" thickBot="1" x14ac:dyDescent="0.25">
      <c r="F134" s="348">
        <f>SUM(F126:F133)</f>
        <v>30</v>
      </c>
      <c r="G134" s="348" t="s">
        <v>374</v>
      </c>
      <c r="H134" s="348">
        <f t="shared" ref="H134:J134" si="65">SUM(H126:H133)</f>
        <v>115</v>
      </c>
      <c r="I134" s="348" t="s">
        <v>372</v>
      </c>
      <c r="J134" s="348">
        <f t="shared" si="65"/>
        <v>383</v>
      </c>
    </row>
    <row r="135" spans="1:19" s="358" customFormat="1" ht="17" thickTop="1" x14ac:dyDescent="0.2">
      <c r="A135" s="343" t="s">
        <v>371</v>
      </c>
      <c r="B135" s="343"/>
      <c r="C135" s="343"/>
      <c r="D135" s="343"/>
      <c r="E135" s="343"/>
      <c r="F135" s="343"/>
      <c r="G135" s="343"/>
      <c r="H135" s="343"/>
      <c r="I135" s="343"/>
      <c r="J135" s="343"/>
      <c r="M135" s="343"/>
      <c r="N135" s="343"/>
      <c r="O135" s="343"/>
      <c r="P135" s="343"/>
      <c r="Q135" s="343"/>
      <c r="R135" s="343"/>
      <c r="S135" s="343"/>
    </row>
    <row r="136" spans="1:19" x14ac:dyDescent="0.2">
      <c r="A136" s="358"/>
      <c r="B136" s="358"/>
      <c r="C136" s="358"/>
      <c r="D136" s="358"/>
      <c r="E136" s="358"/>
      <c r="F136" s="358"/>
      <c r="G136" s="358"/>
      <c r="H136" s="358"/>
      <c r="I136" s="358"/>
      <c r="J136" s="358"/>
      <c r="M136" s="358"/>
      <c r="P136" s="358"/>
      <c r="Q136" s="358"/>
      <c r="R136" s="358"/>
      <c r="S136" s="358"/>
    </row>
    <row r="138" spans="1:19" x14ac:dyDescent="0.2">
      <c r="A138" s="344" t="s">
        <v>397</v>
      </c>
    </row>
    <row r="139" spans="1:19" x14ac:dyDescent="0.2">
      <c r="F139" s="344" t="s">
        <v>380</v>
      </c>
    </row>
    <row r="140" spans="1:19" x14ac:dyDescent="0.2">
      <c r="A140" s="343" t="s">
        <v>376</v>
      </c>
      <c r="G140" s="355" t="s">
        <v>381</v>
      </c>
      <c r="H140" s="355" t="s">
        <v>382</v>
      </c>
    </row>
    <row r="141" spans="1:19" x14ac:dyDescent="0.2">
      <c r="A141" s="352">
        <v>50</v>
      </c>
      <c r="G141" s="355" t="s">
        <v>393</v>
      </c>
      <c r="H141" s="355" t="s">
        <v>375</v>
      </c>
    </row>
    <row r="142" spans="1:19" x14ac:dyDescent="0.2">
      <c r="A142" s="352">
        <v>55</v>
      </c>
      <c r="G142" s="355" t="s">
        <v>390</v>
      </c>
      <c r="H142" s="355" t="s">
        <v>394</v>
      </c>
    </row>
    <row r="143" spans="1:19" x14ac:dyDescent="0.2">
      <c r="A143" s="352" t="s">
        <v>387</v>
      </c>
      <c r="G143" s="355" t="s">
        <v>392</v>
      </c>
      <c r="H143" s="355" t="s">
        <v>383</v>
      </c>
    </row>
    <row r="144" spans="1:19" x14ac:dyDescent="0.2">
      <c r="A144" s="352">
        <v>70</v>
      </c>
      <c r="G144" s="355" t="s">
        <v>391</v>
      </c>
      <c r="H144" s="355" t="s">
        <v>395</v>
      </c>
      <c r="N144" s="358"/>
      <c r="O144" s="358"/>
    </row>
    <row r="145" spans="1:19" x14ac:dyDescent="0.2">
      <c r="A145" s="352">
        <v>80</v>
      </c>
      <c r="G145" s="355" t="s">
        <v>389</v>
      </c>
      <c r="H145" s="355" t="s">
        <v>384</v>
      </c>
    </row>
    <row r="146" spans="1:19" x14ac:dyDescent="0.2">
      <c r="A146" s="352">
        <v>90</v>
      </c>
      <c r="G146" s="355" t="s">
        <v>388</v>
      </c>
      <c r="H146" s="355" t="s">
        <v>396</v>
      </c>
    </row>
    <row r="147" spans="1:19" x14ac:dyDescent="0.2">
      <c r="A147" s="343" t="s">
        <v>377</v>
      </c>
      <c r="G147" s="356">
        <v>0.06</v>
      </c>
      <c r="H147" s="356">
        <v>0.04</v>
      </c>
    </row>
    <row r="148" spans="1:19" x14ac:dyDescent="0.2">
      <c r="G148" s="356"/>
      <c r="H148" s="356"/>
    </row>
    <row r="149" spans="1:19" x14ac:dyDescent="0.2">
      <c r="F149" s="344" t="s">
        <v>385</v>
      </c>
      <c r="G149" s="356"/>
      <c r="H149" s="356"/>
    </row>
    <row r="150" spans="1:19" x14ac:dyDescent="0.2">
      <c r="A150" s="343" t="s">
        <v>378</v>
      </c>
    </row>
    <row r="151" spans="1:19" x14ac:dyDescent="0.2">
      <c r="A151" s="343">
        <v>2019</v>
      </c>
      <c r="G151" s="357">
        <v>0.7</v>
      </c>
    </row>
    <row r="152" spans="1:19" x14ac:dyDescent="0.2">
      <c r="A152" s="343">
        <v>2020</v>
      </c>
      <c r="G152" s="357">
        <v>0.53</v>
      </c>
    </row>
    <row r="153" spans="1:19" x14ac:dyDescent="0.2">
      <c r="A153" s="343">
        <v>2021</v>
      </c>
      <c r="G153" s="357">
        <v>0.25</v>
      </c>
    </row>
    <row r="154" spans="1:19" x14ac:dyDescent="0.2">
      <c r="A154" s="343" t="s">
        <v>379</v>
      </c>
      <c r="G154" s="355" t="s">
        <v>386</v>
      </c>
    </row>
    <row r="155" spans="1:19" x14ac:dyDescent="0.2">
      <c r="G155" s="355"/>
    </row>
    <row r="156" spans="1:19" x14ac:dyDescent="0.2">
      <c r="A156" s="343" t="s">
        <v>399</v>
      </c>
    </row>
    <row r="157" spans="1:19" s="358" customFormat="1" x14ac:dyDescent="0.2">
      <c r="A157" s="343" t="s">
        <v>398</v>
      </c>
      <c r="B157" s="343"/>
      <c r="C157" s="343"/>
      <c r="D157" s="343"/>
      <c r="E157" s="343"/>
      <c r="F157" s="343"/>
      <c r="G157" s="343"/>
      <c r="H157" s="343"/>
      <c r="I157" s="343"/>
      <c r="J157" s="343"/>
      <c r="M157" s="343"/>
      <c r="N157" s="343"/>
      <c r="O157" s="343"/>
      <c r="P157" s="343"/>
      <c r="Q157" s="343"/>
      <c r="R157" s="343"/>
      <c r="S157" s="343"/>
    </row>
    <row r="158" spans="1:19" x14ac:dyDescent="0.2">
      <c r="A158" s="358"/>
      <c r="B158" s="358"/>
      <c r="C158" s="358"/>
      <c r="D158" s="358"/>
      <c r="E158" s="358"/>
      <c r="F158" s="358"/>
      <c r="G158" s="358"/>
      <c r="H158" s="358"/>
      <c r="I158" s="358"/>
      <c r="J158" s="358"/>
      <c r="M158" s="358"/>
      <c r="P158" s="358"/>
      <c r="Q158" s="358"/>
      <c r="R158" s="358"/>
      <c r="S158" s="358"/>
    </row>
    <row r="162" spans="1:15" x14ac:dyDescent="0.2">
      <c r="A162" s="353"/>
    </row>
    <row r="166" spans="1:15" x14ac:dyDescent="0.2">
      <c r="N166" s="358"/>
      <c r="O166" s="358"/>
    </row>
    <row r="171" spans="1:15" x14ac:dyDescent="0.2">
      <c r="A171" s="354"/>
    </row>
    <row r="172" spans="1:15" x14ac:dyDescent="0.2">
      <c r="A172" s="354"/>
    </row>
    <row r="173" spans="1:15" x14ac:dyDescent="0.2">
      <c r="A173" s="354"/>
    </row>
  </sheetData>
  <mergeCells count="1">
    <mergeCell ref="M2:M7"/>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zoomScale="125" workbookViewId="0">
      <selection activeCell="A33" sqref="A33"/>
    </sheetView>
  </sheetViews>
  <sheetFormatPr baseColWidth="10" defaultRowHeight="14" x14ac:dyDescent="0.15"/>
  <cols>
    <col min="1" max="3" width="10.83203125" style="1"/>
    <col min="4" max="4" width="26" style="1" customWidth="1"/>
    <col min="5" max="16384" width="10.83203125" style="1"/>
  </cols>
  <sheetData>
    <row r="1" spans="1:13" ht="16" x14ac:dyDescent="0.2">
      <c r="D1" s="67" t="s">
        <v>287</v>
      </c>
      <c r="E1" s="68"/>
      <c r="F1" s="68"/>
      <c r="G1" s="68"/>
      <c r="H1" s="68"/>
      <c r="I1" s="69" t="s">
        <v>62</v>
      </c>
      <c r="J1" s="70"/>
      <c r="K1" s="70"/>
      <c r="L1" s="70"/>
      <c r="M1" s="70"/>
    </row>
    <row r="2" spans="1:13" ht="18" x14ac:dyDescent="0.2">
      <c r="D2" s="75">
        <v>2014</v>
      </c>
      <c r="E2" s="75">
        <f>+D2+1</f>
        <v>2015</v>
      </c>
      <c r="F2" s="75">
        <f t="shared" ref="F2:M2" si="0">+E2+1</f>
        <v>2016</v>
      </c>
      <c r="G2" s="75">
        <f t="shared" si="0"/>
        <v>2017</v>
      </c>
      <c r="H2" s="75">
        <f t="shared" si="0"/>
        <v>2018</v>
      </c>
      <c r="I2" s="76">
        <f t="shared" si="0"/>
        <v>2019</v>
      </c>
      <c r="J2" s="76">
        <f t="shared" si="0"/>
        <v>2020</v>
      </c>
      <c r="K2" s="76">
        <f t="shared" si="0"/>
        <v>2021</v>
      </c>
      <c r="L2" s="76">
        <f t="shared" si="0"/>
        <v>2022</v>
      </c>
      <c r="M2" s="76">
        <f t="shared" si="0"/>
        <v>2023</v>
      </c>
    </row>
    <row r="3" spans="1:13" ht="18" x14ac:dyDescent="0.2">
      <c r="D3" s="323" t="s">
        <v>283</v>
      </c>
      <c r="E3" s="323" t="s">
        <v>284</v>
      </c>
      <c r="F3" s="323"/>
      <c r="G3" s="323"/>
      <c r="H3" s="323"/>
      <c r="I3" s="323" t="s">
        <v>285</v>
      </c>
      <c r="J3" s="324"/>
      <c r="K3" s="323" t="s">
        <v>286</v>
      </c>
      <c r="L3" s="323"/>
      <c r="M3" s="328"/>
    </row>
    <row r="4" spans="1:13" ht="18" x14ac:dyDescent="0.2">
      <c r="D4" s="321" t="s">
        <v>287</v>
      </c>
      <c r="E4" s="325"/>
      <c r="F4" s="325"/>
      <c r="G4" s="325"/>
      <c r="H4" s="325"/>
      <c r="I4" s="321">
        <v>1</v>
      </c>
      <c r="J4" s="324"/>
      <c r="K4" s="325" t="s">
        <v>285</v>
      </c>
      <c r="L4" s="326">
        <f>VLOOKUP(D1,D4:I6,6,FALSE)</f>
        <v>1</v>
      </c>
      <c r="M4" s="328"/>
    </row>
    <row r="5" spans="1:13" ht="18" x14ac:dyDescent="0.2">
      <c r="D5" s="322" t="s">
        <v>288</v>
      </c>
      <c r="E5" s="324"/>
      <c r="F5" s="324"/>
      <c r="G5" s="324"/>
      <c r="H5" s="324"/>
      <c r="I5" s="322">
        <v>2</v>
      </c>
      <c r="J5" s="324"/>
      <c r="K5" s="324" t="s">
        <v>289</v>
      </c>
      <c r="L5" s="327">
        <v>2024</v>
      </c>
      <c r="M5" s="328"/>
    </row>
    <row r="6" spans="1:13" x14ac:dyDescent="0.15">
      <c r="D6" s="322" t="s">
        <v>290</v>
      </c>
      <c r="E6" s="324"/>
      <c r="F6" s="324"/>
      <c r="G6" s="324"/>
      <c r="H6" s="324"/>
      <c r="I6" s="322">
        <v>3</v>
      </c>
      <c r="J6" s="324"/>
      <c r="K6" s="324"/>
      <c r="L6" s="324"/>
    </row>
    <row r="8" spans="1:13" x14ac:dyDescent="0.15">
      <c r="A8" s="317" t="s">
        <v>279</v>
      </c>
      <c r="B8" s="315"/>
      <c r="C8" s="315"/>
      <c r="D8" s="315"/>
      <c r="E8" s="315"/>
      <c r="F8" s="315"/>
      <c r="G8" s="315"/>
      <c r="H8" s="315"/>
      <c r="I8" s="315"/>
      <c r="J8" s="315"/>
      <c r="K8" s="315"/>
      <c r="L8" s="315"/>
      <c r="M8" s="315"/>
    </row>
    <row r="9" spans="1:13" s="331" customFormat="1" ht="16" x14ac:dyDescent="0.2">
      <c r="A9" s="89" t="s">
        <v>291</v>
      </c>
      <c r="B9" s="330"/>
      <c r="C9" s="330"/>
      <c r="D9" s="330"/>
      <c r="E9" s="330"/>
      <c r="F9" s="330"/>
      <c r="G9" s="330"/>
      <c r="H9" s="330"/>
      <c r="I9" s="319">
        <f t="shared" ref="I9:M9" si="1">CHOOSE($L$4,I33,I57,I81)</f>
        <v>1.2E-2</v>
      </c>
      <c r="J9" s="319">
        <f t="shared" si="1"/>
        <v>1.2E-2</v>
      </c>
      <c r="K9" s="319">
        <f t="shared" si="1"/>
        <v>1.2E-2</v>
      </c>
      <c r="L9" s="319">
        <f t="shared" si="1"/>
        <v>1.2E-2</v>
      </c>
      <c r="M9" s="319">
        <f t="shared" si="1"/>
        <v>1.2E-2</v>
      </c>
    </row>
    <row r="10" spans="1:13" s="331" customFormat="1" ht="16" x14ac:dyDescent="0.2">
      <c r="A10" s="89" t="s">
        <v>292</v>
      </c>
      <c r="B10" s="330"/>
      <c r="C10" s="330"/>
      <c r="D10" s="330"/>
      <c r="E10" s="330"/>
      <c r="F10" s="330"/>
      <c r="G10" s="330"/>
      <c r="H10" s="330"/>
      <c r="I10" s="319">
        <f t="shared" ref="I10:M10" si="2">CHOOSE($L$4,I34,I58,I82)</f>
        <v>3.5000000000000003E-2</v>
      </c>
      <c r="J10" s="319">
        <f t="shared" si="2"/>
        <v>3.5000000000000003E-2</v>
      </c>
      <c r="K10" s="319">
        <f t="shared" si="2"/>
        <v>3.5000000000000003E-2</v>
      </c>
      <c r="L10" s="319">
        <f t="shared" si="2"/>
        <v>3.5000000000000003E-2</v>
      </c>
      <c r="M10" s="319">
        <f t="shared" si="2"/>
        <v>3.5000000000000003E-2</v>
      </c>
    </row>
    <row r="11" spans="1:13" s="331" customFormat="1" ht="16" x14ac:dyDescent="0.2">
      <c r="A11" s="89" t="s">
        <v>293</v>
      </c>
      <c r="B11" s="330"/>
      <c r="C11" s="330"/>
      <c r="D11" s="330"/>
      <c r="E11" s="330"/>
      <c r="F11" s="330"/>
      <c r="G11" s="330"/>
      <c r="H11" s="330"/>
      <c r="I11" s="319">
        <f t="shared" ref="I11:M11" si="3">CHOOSE($L$4,I35,I59,I83)</f>
        <v>0</v>
      </c>
      <c r="J11" s="319">
        <f t="shared" si="3"/>
        <v>0</v>
      </c>
      <c r="K11" s="319">
        <f t="shared" si="3"/>
        <v>0</v>
      </c>
      <c r="L11" s="319">
        <f t="shared" si="3"/>
        <v>0</v>
      </c>
      <c r="M11" s="319">
        <f t="shared" si="3"/>
        <v>0</v>
      </c>
    </row>
    <row r="12" spans="1:13" s="331" customFormat="1" ht="16" x14ac:dyDescent="0.2">
      <c r="A12" s="105" t="s">
        <v>294</v>
      </c>
      <c r="B12" s="333"/>
      <c r="C12" s="333"/>
      <c r="D12" s="333"/>
      <c r="E12" s="333"/>
      <c r="F12" s="333"/>
      <c r="G12" s="333"/>
      <c r="H12" s="333"/>
      <c r="I12" s="334">
        <f t="shared" ref="I12:M12" si="4">CHOOSE($L$4,I36,I60,I84)</f>
        <v>0</v>
      </c>
      <c r="J12" s="334">
        <f t="shared" si="4"/>
        <v>0</v>
      </c>
      <c r="K12" s="334">
        <f t="shared" si="4"/>
        <v>0</v>
      </c>
      <c r="L12" s="334">
        <f t="shared" si="4"/>
        <v>0</v>
      </c>
      <c r="M12" s="334">
        <f t="shared" si="4"/>
        <v>0</v>
      </c>
    </row>
    <row r="13" spans="1:13" ht="16" x14ac:dyDescent="0.2">
      <c r="A13" s="89" t="s">
        <v>67</v>
      </c>
      <c r="B13" s="316"/>
      <c r="C13" s="316"/>
      <c r="D13" s="316"/>
      <c r="E13" s="316"/>
      <c r="F13" s="316"/>
      <c r="G13" s="316"/>
      <c r="H13" s="316"/>
      <c r="I13" s="319"/>
      <c r="J13" s="319"/>
      <c r="K13" s="319"/>
      <c r="L13" s="319"/>
      <c r="M13" s="319"/>
    </row>
    <row r="14" spans="1:13" ht="16" x14ac:dyDescent="0.2">
      <c r="A14" s="89" t="s">
        <v>69</v>
      </c>
      <c r="B14" s="316"/>
      <c r="C14" s="316"/>
      <c r="D14" s="316"/>
      <c r="E14" s="316"/>
      <c r="F14" s="316"/>
      <c r="G14" s="316"/>
      <c r="H14" s="316"/>
      <c r="I14" s="319">
        <f>CHOOSE($L$4,I38,I62,I86)</f>
        <v>0.34</v>
      </c>
      <c r="J14" s="319">
        <f>CHOOSE($L$4,J38,J62,J86)</f>
        <v>0.34</v>
      </c>
      <c r="K14" s="319">
        <f>CHOOSE($L$4,K38,K62,K86)</f>
        <v>0.34</v>
      </c>
      <c r="L14" s="319">
        <f>CHOOSE($L$4,L38,L62,L86)</f>
        <v>0.34</v>
      </c>
      <c r="M14" s="319">
        <f>CHOOSE($L$4,M38,M62,M86)</f>
        <v>0.34</v>
      </c>
    </row>
    <row r="15" spans="1:13" ht="16" x14ac:dyDescent="0.2">
      <c r="A15" s="89" t="s">
        <v>217</v>
      </c>
      <c r="B15" s="316"/>
      <c r="C15" s="316"/>
      <c r="D15" s="316"/>
      <c r="E15" s="316"/>
      <c r="F15" s="316"/>
      <c r="G15" s="316"/>
      <c r="H15" s="316"/>
      <c r="I15" s="319">
        <f>CHOOSE($L$4,I39,I63,I87)</f>
        <v>0.05</v>
      </c>
      <c r="J15" s="319">
        <f>CHOOSE($L$4,J39,J63,J87)</f>
        <v>0.05</v>
      </c>
      <c r="K15" s="319">
        <f>CHOOSE($L$4,K39,K63,K87)</f>
        <v>0.05</v>
      </c>
      <c r="L15" s="319">
        <f>CHOOSE($L$4,L39,L63,L87)</f>
        <v>0.05</v>
      </c>
      <c r="M15" s="319">
        <f>CHOOSE($L$4,M39,M63,M87)</f>
        <v>0.05</v>
      </c>
    </row>
    <row r="16" spans="1:13" ht="16" x14ac:dyDescent="0.2">
      <c r="A16" s="89" t="s">
        <v>218</v>
      </c>
      <c r="I16" s="319">
        <f>CHOOSE($L$4,I40,I64,I88)</f>
        <v>0.2</v>
      </c>
      <c r="J16" s="319">
        <f>CHOOSE($L$4,J40,J64,J88)</f>
        <v>0.2</v>
      </c>
      <c r="K16" s="319">
        <f>CHOOSE($L$4,K40,K64,K88)</f>
        <v>0.2</v>
      </c>
      <c r="L16" s="319">
        <f>CHOOSE($L$4,L40,L64,L88)</f>
        <v>0.2</v>
      </c>
      <c r="M16" s="319">
        <f>CHOOSE($L$4,M40,M64,M88)</f>
        <v>0.2</v>
      </c>
    </row>
    <row r="17" spans="1:13" ht="16" x14ac:dyDescent="0.2">
      <c r="A17" s="89" t="s">
        <v>219</v>
      </c>
      <c r="I17" s="319">
        <f>IF(CHOOSE($L$4,I41,I65,I89)="NA", 0, CHOOSE($L$4,I41,I65,I89))</f>
        <v>0</v>
      </c>
      <c r="J17" s="319">
        <f>IF(CHOOSE($L$4,J41,J65,J89)="NA", 0, CHOOSE($L$4,J41,J65,J89))</f>
        <v>0</v>
      </c>
      <c r="K17" s="319">
        <f>IF(CHOOSE($L$4,K41,K65,K89)="NA", 0, CHOOSE($L$4,K41,K65,K89))</f>
        <v>0</v>
      </c>
      <c r="L17" s="319">
        <f>IF(CHOOSE($L$4,L41,L65,L89)="NA", 0, CHOOSE($L$4,L41,L65,L89))</f>
        <v>0</v>
      </c>
      <c r="M17" s="319">
        <f>IF(CHOOSE($L$4,M41,M65,M89)="NA", 0, CHOOSE($L$4,M41,M65,M89))</f>
        <v>0</v>
      </c>
    </row>
    <row r="18" spans="1:13" ht="16" x14ac:dyDescent="0.2">
      <c r="A18" s="89" t="s">
        <v>220</v>
      </c>
      <c r="I18" s="319">
        <f>CHOOSE($L$4,I42,I66,I90)</f>
        <v>0.06</v>
      </c>
      <c r="J18" s="319">
        <f>CHOOSE($L$4,J42,J66,J90)</f>
        <v>0.06</v>
      </c>
      <c r="K18" s="319">
        <f>CHOOSE($L$4,K42,K66,K90)</f>
        <v>0.06</v>
      </c>
      <c r="L18" s="319">
        <f>CHOOSE($L$4,L42,L66,L90)</f>
        <v>0.06</v>
      </c>
      <c r="M18" s="319">
        <f>CHOOSE($L$4,M42,M66,M90)</f>
        <v>0.06</v>
      </c>
    </row>
    <row r="19" spans="1:13" ht="16" x14ac:dyDescent="0.2">
      <c r="A19" s="89" t="s">
        <v>221</v>
      </c>
      <c r="I19" s="319">
        <f>IF(CHOOSE($L$4,I43,I67,I91)="NA", 0, CHOOSE($L$4,I43,I67,I91))</f>
        <v>0</v>
      </c>
      <c r="J19" s="319">
        <f>IF(CHOOSE($L$4,J43,J67,J91)="NA", 0, CHOOSE($L$4,J43,J67,J91))</f>
        <v>0</v>
      </c>
      <c r="K19" s="319">
        <f>IF(CHOOSE($L$4,K43,K67,K91)="NA", 0, CHOOSE($L$4,K43,K67,K91))</f>
        <v>0</v>
      </c>
      <c r="L19" s="319">
        <f>IF(CHOOSE($L$4,L43,L67,L91)="NA", 0, CHOOSE($L$4,L43,L67,L91))</f>
        <v>0</v>
      </c>
      <c r="M19" s="319">
        <f>IF(CHOOSE($L$4,M43,M67,M91)="NA", 0, CHOOSE($L$4,M43,M67,M91))</f>
        <v>0</v>
      </c>
    </row>
    <row r="20" spans="1:13" ht="16" x14ac:dyDescent="0.2">
      <c r="A20" s="89" t="s">
        <v>222</v>
      </c>
      <c r="I20" s="319">
        <f>CHOOSE($L$4,I44,I68,I92)</f>
        <v>0.13</v>
      </c>
      <c r="J20" s="319">
        <f>CHOOSE($L$4,J44,J68,J92)</f>
        <v>0.13</v>
      </c>
      <c r="K20" s="319">
        <f>CHOOSE($L$4,K44,K68,K92)</f>
        <v>0.13</v>
      </c>
      <c r="L20" s="319">
        <f>CHOOSE($L$4,L44,L68,L92)</f>
        <v>0.13</v>
      </c>
      <c r="M20" s="319">
        <f>CHOOSE($L$4,M44,M68,M92)</f>
        <v>0.13</v>
      </c>
    </row>
    <row r="21" spans="1:13" ht="16" x14ac:dyDescent="0.2">
      <c r="A21" s="89" t="s">
        <v>71</v>
      </c>
      <c r="E21" s="324"/>
      <c r="I21" s="319">
        <f>CHOOSE($L$4,I45,I69,I93)</f>
        <v>7.4999999999999997E-2</v>
      </c>
      <c r="J21" s="319">
        <f>CHOOSE($L$4,J45,J69,J93)</f>
        <v>7.4999999999999997E-2</v>
      </c>
      <c r="K21" s="319">
        <f>CHOOSE($L$4,K45,K69,K93)</f>
        <v>7.4999999999999997E-2</v>
      </c>
      <c r="L21" s="319">
        <f>CHOOSE($L$4,L45,L69,L93)</f>
        <v>7.4999999999999997E-2</v>
      </c>
      <c r="M21" s="319">
        <f>CHOOSE($L$4,M45,M69,M93)</f>
        <v>7.4999999999999997E-2</v>
      </c>
    </row>
    <row r="22" spans="1:13" ht="16" x14ac:dyDescent="0.2">
      <c r="A22" s="89" t="s">
        <v>72</v>
      </c>
      <c r="I22" s="319">
        <f>CHOOSE($L$4,I46,I70,I94)</f>
        <v>1.4999999999999999E-2</v>
      </c>
      <c r="J22" s="319">
        <f>CHOOSE($L$4,J46,J70,J94)</f>
        <v>1.4999999999999999E-2</v>
      </c>
      <c r="K22" s="319">
        <f>CHOOSE($L$4,K46,K70,K94)</f>
        <v>1.4999999999999999E-2</v>
      </c>
      <c r="L22" s="319">
        <f>CHOOSE($L$4,L46,L70,L94)</f>
        <v>1.4999999999999999E-2</v>
      </c>
      <c r="M22" s="319">
        <f>CHOOSE($L$4,M46,M70,M94)</f>
        <v>1.4999999999999999E-2</v>
      </c>
    </row>
    <row r="23" spans="1:13" ht="16" x14ac:dyDescent="0.2">
      <c r="A23" s="89" t="s">
        <v>73</v>
      </c>
      <c r="I23" s="319">
        <f>CHOOSE($L$4,I47,I71,I95)</f>
        <v>0.21</v>
      </c>
      <c r="J23" s="319">
        <f>CHOOSE($L$4,J47,J71,J95)</f>
        <v>0.21</v>
      </c>
      <c r="K23" s="319">
        <f>CHOOSE($L$4,K47,K71,K95)</f>
        <v>0.21</v>
      </c>
      <c r="L23" s="319">
        <f>CHOOSE($L$4,L47,L71,L95)</f>
        <v>0.21</v>
      </c>
      <c r="M23" s="319">
        <f>CHOOSE($L$4,M47,M71,M95)</f>
        <v>0.21</v>
      </c>
    </row>
    <row r="24" spans="1:13" ht="16" x14ac:dyDescent="0.2">
      <c r="A24" s="71" t="s">
        <v>74</v>
      </c>
      <c r="I24" s="329">
        <f>CHOOSE($L$4,I48,I72,I96)</f>
        <v>10</v>
      </c>
      <c r="J24" s="329">
        <f>CHOOSE($L$4,J48,J72,J96)</f>
        <v>10</v>
      </c>
      <c r="K24" s="329">
        <f>CHOOSE($L$4,K48,K72,K96)</f>
        <v>10</v>
      </c>
      <c r="L24" s="329">
        <f>CHOOSE($L$4,L48,L72,L96)</f>
        <v>10</v>
      </c>
      <c r="M24" s="329">
        <f>CHOOSE($L$4,M48,M72,M96)</f>
        <v>10</v>
      </c>
    </row>
    <row r="25" spans="1:13" ht="16" x14ac:dyDescent="0.2">
      <c r="A25" s="71" t="s">
        <v>277</v>
      </c>
      <c r="I25" s="329">
        <f>CHOOSE($L$4,I49,I73,I97)</f>
        <v>130</v>
      </c>
      <c r="J25" s="329">
        <f>CHOOSE($L$4,J49,J73,J97)</f>
        <v>130</v>
      </c>
      <c r="K25" s="329">
        <f>CHOOSE($L$4,K49,K73,K97)</f>
        <v>130</v>
      </c>
      <c r="L25" s="329">
        <f>CHOOSE($L$4,L49,L73,L97)</f>
        <v>130</v>
      </c>
      <c r="M25" s="329">
        <f>CHOOSE($L$4,M49,M73,M97)</f>
        <v>130</v>
      </c>
    </row>
    <row r="26" spans="1:13" ht="16" x14ac:dyDescent="0.2">
      <c r="A26" s="71" t="s">
        <v>278</v>
      </c>
      <c r="I26" s="329">
        <f>CHOOSE($L$4,I50,I74,I98)</f>
        <v>36.452556325823224</v>
      </c>
      <c r="J26" s="329">
        <f>CHOOSE($L$4,J50,J74,J98)</f>
        <v>36.452556325823224</v>
      </c>
      <c r="K26" s="329">
        <f>CHOOSE($L$4,K50,K74,K98)</f>
        <v>36.452556325823224</v>
      </c>
      <c r="L26" s="329">
        <f>CHOOSE($L$4,L50,L74,L98)</f>
        <v>36.452556325823224</v>
      </c>
      <c r="M26" s="329">
        <f>CHOOSE($L$4,M50,M74,M98)</f>
        <v>36.452556325823224</v>
      </c>
    </row>
    <row r="27" spans="1:13" ht="16" x14ac:dyDescent="0.2">
      <c r="A27" s="71" t="s">
        <v>76</v>
      </c>
      <c r="I27" s="329">
        <f>CHOOSE($L$4,I51,I75,I99)</f>
        <v>27.490027126216692</v>
      </c>
      <c r="J27" s="329">
        <f>CHOOSE($L$4,J51,J75,J99)</f>
        <v>27.490027126216692</v>
      </c>
      <c r="K27" s="329">
        <f>CHOOSE($L$4,K51,K75,K99)</f>
        <v>27.490027126216692</v>
      </c>
      <c r="L27" s="329">
        <f>CHOOSE($L$4,L51,L75,L99)</f>
        <v>27.490027126216692</v>
      </c>
      <c r="M27" s="329">
        <f>CHOOSE($L$4,M51,M75,M99)</f>
        <v>27.490027126216692</v>
      </c>
    </row>
    <row r="28" spans="1:13" ht="16" x14ac:dyDescent="0.2">
      <c r="A28" s="71" t="s">
        <v>77</v>
      </c>
      <c r="I28" s="329">
        <f>CHOOSE($L$4,I52,I76,I100)</f>
        <v>2000</v>
      </c>
      <c r="J28" s="329">
        <f>CHOOSE($L$4,J52,J76,J100)</f>
        <v>2000</v>
      </c>
      <c r="K28" s="329">
        <f>CHOOSE($L$4,K52,K76,K100)</f>
        <v>2000</v>
      </c>
      <c r="L28" s="329">
        <f>CHOOSE($L$4,L52,L76,L100)</f>
        <v>2000</v>
      </c>
      <c r="M28" s="329">
        <f>CHOOSE($L$4,M52,M76,M100)</f>
        <v>2000</v>
      </c>
    </row>
    <row r="29" spans="1:13" ht="16" x14ac:dyDescent="0.2">
      <c r="A29" s="71" t="s">
        <v>78</v>
      </c>
      <c r="I29" s="329">
        <f>CHOOSE($L$4,I53,I77,I101)</f>
        <v>-250</v>
      </c>
      <c r="J29" s="329">
        <f>CHOOSE($L$4,J53,J77,J101)</f>
        <v>-250</v>
      </c>
      <c r="K29" s="329">
        <f>CHOOSE($L$4,K53,K77,K101)</f>
        <v>-250</v>
      </c>
      <c r="L29" s="329">
        <f>CHOOSE($L$4,L53,L77,L101)</f>
        <v>-250</v>
      </c>
      <c r="M29" s="329">
        <f>CHOOSE($L$4,M53,M77,M101)</f>
        <v>-250</v>
      </c>
    </row>
    <row r="30" spans="1:13" ht="16" x14ac:dyDescent="0.2">
      <c r="A30" s="71" t="s">
        <v>79</v>
      </c>
      <c r="I30" s="329">
        <f>CHOOSE($L$4,I54,I78,I102)</f>
        <v>-500</v>
      </c>
      <c r="J30" s="329">
        <f>CHOOSE($L$4,J54,J78,J102)</f>
        <v>-500</v>
      </c>
      <c r="K30" s="329">
        <f>CHOOSE($L$4,K54,K78,K102)</f>
        <v>-500</v>
      </c>
      <c r="L30" s="329">
        <f>CHOOSE($L$4,L54,L78,L102)</f>
        <v>-500</v>
      </c>
      <c r="M30" s="329">
        <f>CHOOSE($L$4,M54,M78,M102)</f>
        <v>-500</v>
      </c>
    </row>
    <row r="31" spans="1:13" ht="16" x14ac:dyDescent="0.2">
      <c r="A31" s="71" t="s">
        <v>295</v>
      </c>
      <c r="I31" s="329">
        <f>CHOOSE($L$4,I55,I79,I103)</f>
        <v>340</v>
      </c>
      <c r="J31" s="329">
        <f>CHOOSE($L$4,J55,J79,J103)</f>
        <v>340</v>
      </c>
      <c r="K31" s="329">
        <f>CHOOSE($L$4,K55,K79,K103)</f>
        <v>340</v>
      </c>
      <c r="L31" s="329">
        <f>CHOOSE($L$4,L55,L79,L103)</f>
        <v>340</v>
      </c>
      <c r="M31" s="329">
        <f>CHOOSE($L$4,M55,M79,M103)</f>
        <v>340</v>
      </c>
    </row>
    <row r="32" spans="1:13" x14ac:dyDescent="0.15">
      <c r="A32" s="315" t="s">
        <v>458</v>
      </c>
      <c r="B32" s="315"/>
      <c r="C32" s="315"/>
      <c r="D32" s="315"/>
      <c r="E32" s="315"/>
      <c r="F32" s="315"/>
      <c r="G32" s="315"/>
      <c r="H32" s="315"/>
      <c r="I32" s="315"/>
      <c r="J32" s="315"/>
      <c r="K32" s="315"/>
      <c r="L32" s="315"/>
      <c r="M32" s="315"/>
    </row>
    <row r="33" spans="1:13" ht="16" x14ac:dyDescent="0.2">
      <c r="A33" s="89" t="s">
        <v>291</v>
      </c>
      <c r="B33" s="316"/>
      <c r="C33" s="316"/>
      <c r="D33" s="316"/>
      <c r="E33" s="316"/>
      <c r="F33" s="316"/>
      <c r="G33" s="316"/>
      <c r="H33" s="316"/>
      <c r="I33" s="319">
        <v>1.2E-2</v>
      </c>
      <c r="J33" s="319">
        <v>1.2E-2</v>
      </c>
      <c r="K33" s="319">
        <v>1.2E-2</v>
      </c>
      <c r="L33" s="319">
        <v>1.2E-2</v>
      </c>
      <c r="M33" s="319">
        <v>1.2E-2</v>
      </c>
    </row>
    <row r="34" spans="1:13" ht="16" x14ac:dyDescent="0.2">
      <c r="A34" s="89" t="s">
        <v>292</v>
      </c>
      <c r="B34" s="316"/>
      <c r="C34" s="316"/>
      <c r="D34" s="316"/>
      <c r="E34" s="316"/>
      <c r="F34" s="316"/>
      <c r="G34" s="316"/>
      <c r="H34" s="316"/>
      <c r="I34" s="319">
        <v>3.5000000000000003E-2</v>
      </c>
      <c r="J34" s="319">
        <v>3.5000000000000003E-2</v>
      </c>
      <c r="K34" s="319">
        <v>3.5000000000000003E-2</v>
      </c>
      <c r="L34" s="319">
        <v>3.5000000000000003E-2</v>
      </c>
      <c r="M34" s="319">
        <v>3.5000000000000003E-2</v>
      </c>
    </row>
    <row r="35" spans="1:13" ht="16" x14ac:dyDescent="0.2">
      <c r="A35" s="89" t="s">
        <v>293</v>
      </c>
      <c r="B35" s="316"/>
      <c r="C35" s="316"/>
      <c r="D35" s="316"/>
      <c r="E35" s="316"/>
      <c r="F35" s="316"/>
      <c r="G35" s="316"/>
      <c r="H35" s="316"/>
      <c r="I35" s="319">
        <v>0</v>
      </c>
      <c r="J35" s="319">
        <v>0</v>
      </c>
      <c r="K35" s="319">
        <v>0</v>
      </c>
      <c r="L35" s="319">
        <v>0</v>
      </c>
      <c r="M35" s="319">
        <v>0</v>
      </c>
    </row>
    <row r="36" spans="1:13" ht="16" x14ac:dyDescent="0.2">
      <c r="A36" s="89" t="s">
        <v>294</v>
      </c>
      <c r="B36" s="316"/>
      <c r="C36" s="316"/>
      <c r="D36" s="316"/>
      <c r="E36" s="316"/>
      <c r="F36" s="316"/>
      <c r="G36" s="316"/>
      <c r="H36" s="316"/>
      <c r="I36" s="319">
        <v>0</v>
      </c>
      <c r="J36" s="319">
        <v>0</v>
      </c>
      <c r="K36" s="319">
        <v>0</v>
      </c>
      <c r="L36" s="319">
        <v>0</v>
      </c>
      <c r="M36" s="319">
        <v>0</v>
      </c>
    </row>
    <row r="37" spans="1:13" ht="16" x14ac:dyDescent="0.2">
      <c r="A37" s="89" t="s">
        <v>67</v>
      </c>
      <c r="I37" s="318"/>
      <c r="J37" s="318"/>
      <c r="K37" s="318"/>
      <c r="L37" s="318"/>
      <c r="M37" s="318"/>
    </row>
    <row r="38" spans="1:13" ht="16" x14ac:dyDescent="0.2">
      <c r="A38" s="89" t="s">
        <v>69</v>
      </c>
      <c r="I38" s="318">
        <v>0.34</v>
      </c>
      <c r="J38" s="318">
        <v>0.34</v>
      </c>
      <c r="K38" s="318">
        <v>0.34</v>
      </c>
      <c r="L38" s="318">
        <v>0.34</v>
      </c>
      <c r="M38" s="318">
        <v>0.34</v>
      </c>
    </row>
    <row r="39" spans="1:13" ht="16" x14ac:dyDescent="0.2">
      <c r="A39" s="89" t="s">
        <v>217</v>
      </c>
      <c r="I39" s="318">
        <v>0.05</v>
      </c>
      <c r="J39" s="318">
        <v>0.05</v>
      </c>
      <c r="K39" s="318">
        <v>0.05</v>
      </c>
      <c r="L39" s="318">
        <v>0.05</v>
      </c>
      <c r="M39" s="318">
        <v>0.05</v>
      </c>
    </row>
    <row r="40" spans="1:13" ht="16" x14ac:dyDescent="0.2">
      <c r="A40" s="89" t="s">
        <v>218</v>
      </c>
      <c r="I40" s="318">
        <v>0.2</v>
      </c>
      <c r="J40" s="318">
        <v>0.2</v>
      </c>
      <c r="K40" s="318">
        <v>0.2</v>
      </c>
      <c r="L40" s="318">
        <v>0.2</v>
      </c>
      <c r="M40" s="318">
        <v>0.2</v>
      </c>
    </row>
    <row r="41" spans="1:13" ht="16" x14ac:dyDescent="0.2">
      <c r="A41" s="89" t="s">
        <v>219</v>
      </c>
      <c r="I41" s="319" t="s">
        <v>282</v>
      </c>
      <c r="J41" s="319" t="s">
        <v>282</v>
      </c>
      <c r="K41" s="319" t="s">
        <v>282</v>
      </c>
      <c r="L41" s="319" t="s">
        <v>282</v>
      </c>
      <c r="M41" s="319" t="s">
        <v>282</v>
      </c>
    </row>
    <row r="42" spans="1:13" ht="16" x14ac:dyDescent="0.2">
      <c r="A42" s="89" t="s">
        <v>220</v>
      </c>
      <c r="I42" s="318">
        <v>0.06</v>
      </c>
      <c r="J42" s="318">
        <v>0.06</v>
      </c>
      <c r="K42" s="318">
        <v>0.06</v>
      </c>
      <c r="L42" s="318">
        <v>0.06</v>
      </c>
      <c r="M42" s="318">
        <v>0.06</v>
      </c>
    </row>
    <row r="43" spans="1:13" ht="16" x14ac:dyDescent="0.2">
      <c r="A43" s="89" t="s">
        <v>221</v>
      </c>
      <c r="I43" s="319" t="s">
        <v>282</v>
      </c>
      <c r="J43" s="319" t="s">
        <v>282</v>
      </c>
      <c r="K43" s="319" t="s">
        <v>282</v>
      </c>
      <c r="L43" s="319" t="s">
        <v>282</v>
      </c>
      <c r="M43" s="319" t="s">
        <v>282</v>
      </c>
    </row>
    <row r="44" spans="1:13" ht="16" x14ac:dyDescent="0.2">
      <c r="A44" s="89" t="s">
        <v>222</v>
      </c>
      <c r="I44" s="318">
        <v>0.13</v>
      </c>
      <c r="J44" s="318">
        <v>0.13</v>
      </c>
      <c r="K44" s="318">
        <v>0.13</v>
      </c>
      <c r="L44" s="318">
        <v>0.13</v>
      </c>
      <c r="M44" s="318">
        <v>0.13</v>
      </c>
    </row>
    <row r="45" spans="1:13" ht="16" x14ac:dyDescent="0.2">
      <c r="A45" s="89" t="s">
        <v>71</v>
      </c>
      <c r="I45" s="318">
        <v>7.4999999999999997E-2</v>
      </c>
      <c r="J45" s="318">
        <v>7.4999999999999997E-2</v>
      </c>
      <c r="K45" s="318">
        <v>7.4999999999999997E-2</v>
      </c>
      <c r="L45" s="318">
        <v>7.4999999999999997E-2</v>
      </c>
      <c r="M45" s="318">
        <v>7.4999999999999997E-2</v>
      </c>
    </row>
    <row r="46" spans="1:13" ht="16" x14ac:dyDescent="0.2">
      <c r="A46" s="89" t="s">
        <v>72</v>
      </c>
      <c r="I46" s="318">
        <v>1.4999999999999999E-2</v>
      </c>
      <c r="J46" s="318">
        <v>1.4999999999999999E-2</v>
      </c>
      <c r="K46" s="318">
        <v>1.4999999999999999E-2</v>
      </c>
      <c r="L46" s="318">
        <v>1.4999999999999999E-2</v>
      </c>
      <c r="M46" s="318">
        <v>1.4999999999999999E-2</v>
      </c>
    </row>
    <row r="47" spans="1:13" ht="16" x14ac:dyDescent="0.2">
      <c r="A47" s="89" t="s">
        <v>73</v>
      </c>
      <c r="I47" s="318">
        <v>0.21</v>
      </c>
      <c r="J47" s="318">
        <v>0.21</v>
      </c>
      <c r="K47" s="318">
        <v>0.21</v>
      </c>
      <c r="L47" s="318">
        <v>0.21</v>
      </c>
      <c r="M47" s="318">
        <v>0.21</v>
      </c>
    </row>
    <row r="48" spans="1:13" ht="16" x14ac:dyDescent="0.2">
      <c r="A48" s="71" t="s">
        <v>74</v>
      </c>
      <c r="I48" s="320">
        <v>10</v>
      </c>
      <c r="J48" s="320">
        <v>10</v>
      </c>
      <c r="K48" s="320">
        <v>10</v>
      </c>
      <c r="L48" s="320">
        <v>10</v>
      </c>
      <c r="M48" s="320">
        <v>10</v>
      </c>
    </row>
    <row r="49" spans="1:13" ht="16" x14ac:dyDescent="0.2">
      <c r="A49" s="71" t="s">
        <v>277</v>
      </c>
      <c r="I49" s="320">
        <v>130</v>
      </c>
      <c r="J49" s="320">
        <v>130</v>
      </c>
      <c r="K49" s="320">
        <v>130</v>
      </c>
      <c r="L49" s="320">
        <v>130</v>
      </c>
      <c r="M49" s="320">
        <v>130</v>
      </c>
    </row>
    <row r="50" spans="1:13" ht="16" x14ac:dyDescent="0.2">
      <c r="A50" s="71" t="s">
        <v>278</v>
      </c>
      <c r="I50" s="320">
        <v>36.452556325823224</v>
      </c>
      <c r="J50" s="320">
        <v>36.452556325823224</v>
      </c>
      <c r="K50" s="320">
        <v>36.452556325823224</v>
      </c>
      <c r="L50" s="320">
        <v>36.452556325823224</v>
      </c>
      <c r="M50" s="320">
        <v>36.452556325823224</v>
      </c>
    </row>
    <row r="51" spans="1:13" ht="16" x14ac:dyDescent="0.2">
      <c r="A51" s="71" t="s">
        <v>76</v>
      </c>
      <c r="I51" s="320">
        <v>27.490027126216692</v>
      </c>
      <c r="J51" s="320">
        <v>27.490027126216692</v>
      </c>
      <c r="K51" s="320">
        <v>27.490027126216692</v>
      </c>
      <c r="L51" s="320">
        <v>27.490027126216692</v>
      </c>
      <c r="M51" s="320">
        <v>27.490027126216692</v>
      </c>
    </row>
    <row r="52" spans="1:13" ht="16" x14ac:dyDescent="0.2">
      <c r="A52" s="71" t="s">
        <v>77</v>
      </c>
      <c r="I52" s="320">
        <v>2000</v>
      </c>
      <c r="J52" s="320">
        <v>2000</v>
      </c>
      <c r="K52" s="320">
        <v>2000</v>
      </c>
      <c r="L52" s="320">
        <v>2000</v>
      </c>
      <c r="M52" s="320">
        <v>2000</v>
      </c>
    </row>
    <row r="53" spans="1:13" ht="16" x14ac:dyDescent="0.2">
      <c r="A53" s="71" t="s">
        <v>78</v>
      </c>
      <c r="I53" s="320">
        <v>-250</v>
      </c>
      <c r="J53" s="320">
        <v>-250</v>
      </c>
      <c r="K53" s="320">
        <v>-250</v>
      </c>
      <c r="L53" s="320">
        <v>-250</v>
      </c>
      <c r="M53" s="320">
        <v>-250</v>
      </c>
    </row>
    <row r="54" spans="1:13" ht="16" x14ac:dyDescent="0.2">
      <c r="A54" s="71" t="s">
        <v>79</v>
      </c>
      <c r="I54" s="320">
        <v>-500</v>
      </c>
      <c r="J54" s="320">
        <v>-500</v>
      </c>
      <c r="K54" s="320">
        <v>-500</v>
      </c>
      <c r="L54" s="320">
        <v>-500</v>
      </c>
      <c r="M54" s="320">
        <v>-500</v>
      </c>
    </row>
    <row r="55" spans="1:13" ht="16" x14ac:dyDescent="0.2">
      <c r="A55" s="71" t="s">
        <v>295</v>
      </c>
      <c r="I55" s="329">
        <v>340</v>
      </c>
      <c r="J55" s="329">
        <v>340</v>
      </c>
      <c r="K55" s="329">
        <v>340</v>
      </c>
      <c r="L55" s="329">
        <v>340</v>
      </c>
      <c r="M55" s="329">
        <v>340</v>
      </c>
    </row>
    <row r="56" spans="1:13" x14ac:dyDescent="0.15">
      <c r="A56" s="315" t="s">
        <v>280</v>
      </c>
      <c r="B56" s="315"/>
      <c r="C56" s="315"/>
      <c r="D56" s="315"/>
      <c r="E56" s="315"/>
      <c r="F56" s="315"/>
      <c r="G56" s="315"/>
      <c r="H56" s="315"/>
      <c r="I56" s="315"/>
      <c r="J56" s="315"/>
      <c r="K56" s="315"/>
      <c r="L56" s="315"/>
      <c r="M56" s="315"/>
    </row>
    <row r="57" spans="1:13" ht="16" x14ac:dyDescent="0.2">
      <c r="A57" s="89" t="s">
        <v>291</v>
      </c>
      <c r="B57" s="316"/>
      <c r="C57" s="316"/>
      <c r="D57" s="316"/>
      <c r="E57" s="316"/>
      <c r="F57" s="316"/>
      <c r="G57" s="316"/>
      <c r="H57" s="316"/>
      <c r="I57" s="318">
        <f t="shared" ref="I57:M60" si="5">I33*2</f>
        <v>2.4E-2</v>
      </c>
      <c r="J57" s="318">
        <f t="shared" si="5"/>
        <v>2.4E-2</v>
      </c>
      <c r="K57" s="318">
        <f t="shared" si="5"/>
        <v>2.4E-2</v>
      </c>
      <c r="L57" s="318">
        <f t="shared" si="5"/>
        <v>2.4E-2</v>
      </c>
      <c r="M57" s="318">
        <f t="shared" si="5"/>
        <v>2.4E-2</v>
      </c>
    </row>
    <row r="58" spans="1:13" ht="16" x14ac:dyDescent="0.2">
      <c r="A58" s="89" t="s">
        <v>292</v>
      </c>
      <c r="B58" s="316"/>
      <c r="C58" s="316"/>
      <c r="D58" s="316"/>
      <c r="E58" s="316"/>
      <c r="F58" s="316"/>
      <c r="G58" s="316"/>
      <c r="H58" s="316"/>
      <c r="I58" s="318">
        <f t="shared" si="5"/>
        <v>7.0000000000000007E-2</v>
      </c>
      <c r="J58" s="318">
        <f t="shared" si="5"/>
        <v>7.0000000000000007E-2</v>
      </c>
      <c r="K58" s="318">
        <f t="shared" si="5"/>
        <v>7.0000000000000007E-2</v>
      </c>
      <c r="L58" s="318">
        <f t="shared" si="5"/>
        <v>7.0000000000000007E-2</v>
      </c>
      <c r="M58" s="318">
        <f t="shared" si="5"/>
        <v>7.0000000000000007E-2</v>
      </c>
    </row>
    <row r="59" spans="1:13" ht="16" x14ac:dyDescent="0.2">
      <c r="A59" s="89" t="s">
        <v>293</v>
      </c>
      <c r="B59" s="316"/>
      <c r="C59" s="316"/>
      <c r="D59" s="316"/>
      <c r="E59" s="316"/>
      <c r="F59" s="316"/>
      <c r="G59" s="316"/>
      <c r="H59" s="316"/>
      <c r="I59" s="318">
        <f t="shared" si="5"/>
        <v>0</v>
      </c>
      <c r="J59" s="318">
        <f t="shared" si="5"/>
        <v>0</v>
      </c>
      <c r="K59" s="318">
        <f t="shared" si="5"/>
        <v>0</v>
      </c>
      <c r="L59" s="318">
        <f t="shared" si="5"/>
        <v>0</v>
      </c>
      <c r="M59" s="318">
        <f t="shared" si="5"/>
        <v>0</v>
      </c>
    </row>
    <row r="60" spans="1:13" ht="16" x14ac:dyDescent="0.2">
      <c r="A60" s="89" t="s">
        <v>294</v>
      </c>
      <c r="B60" s="316"/>
      <c r="C60" s="316"/>
      <c r="D60" s="316"/>
      <c r="E60" s="316"/>
      <c r="F60" s="316"/>
      <c r="G60" s="316"/>
      <c r="H60" s="316"/>
      <c r="I60" s="318">
        <f t="shared" si="5"/>
        <v>0</v>
      </c>
      <c r="J60" s="318">
        <f t="shared" si="5"/>
        <v>0</v>
      </c>
      <c r="K60" s="318">
        <f t="shared" si="5"/>
        <v>0</v>
      </c>
      <c r="L60" s="318">
        <f t="shared" si="5"/>
        <v>0</v>
      </c>
      <c r="M60" s="318">
        <f t="shared" si="5"/>
        <v>0</v>
      </c>
    </row>
    <row r="61" spans="1:13" ht="16" x14ac:dyDescent="0.2">
      <c r="A61" s="89" t="s">
        <v>67</v>
      </c>
      <c r="I61" s="318"/>
      <c r="J61" s="318"/>
      <c r="K61" s="318"/>
      <c r="L61" s="318"/>
      <c r="M61" s="318"/>
    </row>
    <row r="62" spans="1:13" ht="16" x14ac:dyDescent="0.2">
      <c r="A62" s="89" t="s">
        <v>69</v>
      </c>
      <c r="I62" s="318">
        <f>I38*0.95</f>
        <v>0.32300000000000001</v>
      </c>
      <c r="J62" s="318">
        <f t="shared" ref="J62:M62" si="6">J38*0.95</f>
        <v>0.32300000000000001</v>
      </c>
      <c r="K62" s="318">
        <f t="shared" si="6"/>
        <v>0.32300000000000001</v>
      </c>
      <c r="L62" s="318">
        <f t="shared" si="6"/>
        <v>0.32300000000000001</v>
      </c>
      <c r="M62" s="318">
        <f t="shared" si="6"/>
        <v>0.32300000000000001</v>
      </c>
    </row>
    <row r="63" spans="1:13" ht="16" x14ac:dyDescent="0.2">
      <c r="A63" s="89" t="s">
        <v>217</v>
      </c>
      <c r="I63" s="318">
        <f t="shared" ref="I63:M63" si="7">I39*0.95</f>
        <v>4.7500000000000001E-2</v>
      </c>
      <c r="J63" s="318">
        <f t="shared" si="7"/>
        <v>4.7500000000000001E-2</v>
      </c>
      <c r="K63" s="318">
        <f t="shared" si="7"/>
        <v>4.7500000000000001E-2</v>
      </c>
      <c r="L63" s="318">
        <f t="shared" si="7"/>
        <v>4.7500000000000001E-2</v>
      </c>
      <c r="M63" s="318">
        <f t="shared" si="7"/>
        <v>4.7500000000000001E-2</v>
      </c>
    </row>
    <row r="64" spans="1:13" ht="16" x14ac:dyDescent="0.2">
      <c r="A64" s="89" t="s">
        <v>218</v>
      </c>
      <c r="I64" s="318">
        <f t="shared" ref="I64:M64" si="8">I40*0.95</f>
        <v>0.19</v>
      </c>
      <c r="J64" s="318">
        <f t="shared" si="8"/>
        <v>0.19</v>
      </c>
      <c r="K64" s="318">
        <f t="shared" si="8"/>
        <v>0.19</v>
      </c>
      <c r="L64" s="318">
        <f t="shared" si="8"/>
        <v>0.19</v>
      </c>
      <c r="M64" s="318">
        <f t="shared" si="8"/>
        <v>0.19</v>
      </c>
    </row>
    <row r="65" spans="1:13" ht="16" x14ac:dyDescent="0.2">
      <c r="A65" s="89" t="s">
        <v>219</v>
      </c>
      <c r="I65" s="319" t="s">
        <v>282</v>
      </c>
      <c r="J65" s="319" t="s">
        <v>282</v>
      </c>
      <c r="K65" s="319" t="s">
        <v>282</v>
      </c>
      <c r="L65" s="319" t="s">
        <v>282</v>
      </c>
      <c r="M65" s="319" t="s">
        <v>282</v>
      </c>
    </row>
    <row r="66" spans="1:13" ht="16" x14ac:dyDescent="0.2">
      <c r="A66" s="89" t="s">
        <v>220</v>
      </c>
      <c r="I66" s="318">
        <f t="shared" ref="I66:M66" si="9">I42*0.95</f>
        <v>5.6999999999999995E-2</v>
      </c>
      <c r="J66" s="318">
        <f t="shared" si="9"/>
        <v>5.6999999999999995E-2</v>
      </c>
      <c r="K66" s="318">
        <f t="shared" si="9"/>
        <v>5.6999999999999995E-2</v>
      </c>
      <c r="L66" s="318">
        <f t="shared" si="9"/>
        <v>5.6999999999999995E-2</v>
      </c>
      <c r="M66" s="318">
        <f t="shared" si="9"/>
        <v>5.6999999999999995E-2</v>
      </c>
    </row>
    <row r="67" spans="1:13" ht="16" x14ac:dyDescent="0.2">
      <c r="A67" s="89" t="s">
        <v>221</v>
      </c>
      <c r="I67" s="319" t="s">
        <v>282</v>
      </c>
      <c r="J67" s="319" t="s">
        <v>282</v>
      </c>
      <c r="K67" s="319" t="s">
        <v>282</v>
      </c>
      <c r="L67" s="319" t="s">
        <v>282</v>
      </c>
      <c r="M67" s="319" t="s">
        <v>282</v>
      </c>
    </row>
    <row r="68" spans="1:13" ht="16" x14ac:dyDescent="0.2">
      <c r="A68" s="89" t="s">
        <v>222</v>
      </c>
      <c r="I68" s="318">
        <f t="shared" ref="I68:M68" si="10">I44*0.95</f>
        <v>0.1235</v>
      </c>
      <c r="J68" s="318">
        <f t="shared" si="10"/>
        <v>0.1235</v>
      </c>
      <c r="K68" s="318">
        <f t="shared" si="10"/>
        <v>0.1235</v>
      </c>
      <c r="L68" s="318">
        <f t="shared" si="10"/>
        <v>0.1235</v>
      </c>
      <c r="M68" s="318">
        <f t="shared" si="10"/>
        <v>0.1235</v>
      </c>
    </row>
    <row r="69" spans="1:13" ht="16" x14ac:dyDescent="0.2">
      <c r="A69" s="89" t="s">
        <v>71</v>
      </c>
      <c r="I69" s="318">
        <f>I45*2</f>
        <v>0.15</v>
      </c>
      <c r="J69" s="318">
        <f>J45*2</f>
        <v>0.15</v>
      </c>
      <c r="K69" s="318">
        <f>K45*2</f>
        <v>0.15</v>
      </c>
      <c r="L69" s="318">
        <f>L45*2</f>
        <v>0.15</v>
      </c>
      <c r="M69" s="318">
        <f>M45*2</f>
        <v>0.15</v>
      </c>
    </row>
    <row r="70" spans="1:13" ht="16" x14ac:dyDescent="0.2">
      <c r="A70" s="89" t="s">
        <v>72</v>
      </c>
      <c r="I70" s="318">
        <v>0.01</v>
      </c>
      <c r="J70" s="318">
        <v>0.01</v>
      </c>
      <c r="K70" s="318">
        <v>0.01</v>
      </c>
      <c r="L70" s="318">
        <v>0.01</v>
      </c>
      <c r="M70" s="318">
        <v>0.01</v>
      </c>
    </row>
    <row r="71" spans="1:13" ht="16" x14ac:dyDescent="0.2">
      <c r="A71" s="89" t="s">
        <v>73</v>
      </c>
      <c r="I71" s="318">
        <f>I47*2</f>
        <v>0.42</v>
      </c>
      <c r="J71" s="318">
        <f>J47*2</f>
        <v>0.42</v>
      </c>
      <c r="K71" s="318">
        <f>K47*2</f>
        <v>0.42</v>
      </c>
      <c r="L71" s="318">
        <f>L47*2</f>
        <v>0.42</v>
      </c>
      <c r="M71" s="318">
        <f>M47*2</f>
        <v>0.42</v>
      </c>
    </row>
    <row r="72" spans="1:13" ht="16" x14ac:dyDescent="0.2">
      <c r="A72" s="71" t="s">
        <v>74</v>
      </c>
      <c r="I72" s="320">
        <v>23</v>
      </c>
      <c r="J72" s="320">
        <v>23</v>
      </c>
      <c r="K72" s="320">
        <v>23</v>
      </c>
      <c r="L72" s="320">
        <v>23</v>
      </c>
      <c r="M72" s="320">
        <v>23</v>
      </c>
    </row>
    <row r="73" spans="1:13" ht="16" x14ac:dyDescent="0.2">
      <c r="A73" s="71" t="s">
        <v>277</v>
      </c>
      <c r="I73" s="320">
        <v>120</v>
      </c>
      <c r="J73" s="320">
        <v>120</v>
      </c>
      <c r="K73" s="320">
        <v>120</v>
      </c>
      <c r="L73" s="320">
        <v>120</v>
      </c>
      <c r="M73" s="320">
        <v>120</v>
      </c>
    </row>
    <row r="74" spans="1:13" ht="16" x14ac:dyDescent="0.2">
      <c r="A74" s="71" t="s">
        <v>278</v>
      </c>
      <c r="I74" s="320">
        <v>22</v>
      </c>
      <c r="J74" s="320">
        <v>22</v>
      </c>
      <c r="K74" s="320">
        <v>22</v>
      </c>
      <c r="L74" s="320">
        <v>22</v>
      </c>
      <c r="M74" s="320">
        <v>22</v>
      </c>
    </row>
    <row r="75" spans="1:13" ht="16" x14ac:dyDescent="0.2">
      <c r="A75" s="71" t="s">
        <v>76</v>
      </c>
      <c r="I75" s="320">
        <v>32</v>
      </c>
      <c r="J75" s="320">
        <v>32</v>
      </c>
      <c r="K75" s="320">
        <v>32</v>
      </c>
      <c r="L75" s="320">
        <v>32</v>
      </c>
      <c r="M75" s="320">
        <v>32</v>
      </c>
    </row>
    <row r="76" spans="1:13" ht="16" x14ac:dyDescent="0.2">
      <c r="A76" s="71" t="s">
        <v>77</v>
      </c>
      <c r="I76" s="320">
        <v>1500</v>
      </c>
      <c r="J76" s="320">
        <v>1500</v>
      </c>
      <c r="K76" s="320">
        <v>1500</v>
      </c>
      <c r="L76" s="320">
        <v>1500</v>
      </c>
      <c r="M76" s="320">
        <v>1500</v>
      </c>
    </row>
    <row r="77" spans="1:13" ht="16" x14ac:dyDescent="0.2">
      <c r="A77" s="71" t="s">
        <v>78</v>
      </c>
      <c r="I77" s="320">
        <v>-250</v>
      </c>
      <c r="J77" s="320">
        <v>-250</v>
      </c>
      <c r="K77" s="320">
        <v>-250</v>
      </c>
      <c r="L77" s="320">
        <v>-250</v>
      </c>
      <c r="M77" s="320">
        <v>-250</v>
      </c>
    </row>
    <row r="78" spans="1:13" ht="16" x14ac:dyDescent="0.2">
      <c r="A78" s="71" t="s">
        <v>79</v>
      </c>
      <c r="I78" s="320">
        <v>-500</v>
      </c>
      <c r="J78" s="320">
        <v>-500</v>
      </c>
      <c r="K78" s="320">
        <v>-500</v>
      </c>
      <c r="L78" s="320">
        <v>-500</v>
      </c>
      <c r="M78" s="320">
        <v>-500</v>
      </c>
    </row>
    <row r="79" spans="1:13" ht="16" x14ac:dyDescent="0.2">
      <c r="A79" s="71" t="s">
        <v>295</v>
      </c>
      <c r="I79" s="320">
        <v>360</v>
      </c>
      <c r="J79" s="320">
        <v>360</v>
      </c>
      <c r="K79" s="320">
        <v>360</v>
      </c>
      <c r="L79" s="320">
        <v>360</v>
      </c>
      <c r="M79" s="320">
        <v>360</v>
      </c>
    </row>
    <row r="80" spans="1:13" x14ac:dyDescent="0.15">
      <c r="A80" s="315" t="s">
        <v>281</v>
      </c>
      <c r="B80" s="315"/>
      <c r="C80" s="315"/>
      <c r="D80" s="315"/>
      <c r="E80" s="315"/>
      <c r="F80" s="315"/>
      <c r="G80" s="315"/>
      <c r="H80" s="315"/>
      <c r="I80" s="315"/>
      <c r="J80" s="315"/>
      <c r="K80" s="315"/>
      <c r="L80" s="315"/>
      <c r="M80" s="315"/>
    </row>
    <row r="81" spans="1:13" ht="16" x14ac:dyDescent="0.2">
      <c r="A81" s="89" t="s">
        <v>291</v>
      </c>
      <c r="B81" s="316"/>
      <c r="C81" s="316"/>
      <c r="D81" s="316"/>
      <c r="E81" s="316"/>
      <c r="F81" s="316"/>
      <c r="G81" s="316"/>
      <c r="H81" s="316"/>
      <c r="I81" s="318">
        <f t="shared" ref="I81:M81" si="11">I33*0.5</f>
        <v>6.0000000000000001E-3</v>
      </c>
      <c r="J81" s="318">
        <f t="shared" si="11"/>
        <v>6.0000000000000001E-3</v>
      </c>
      <c r="K81" s="318">
        <f t="shared" si="11"/>
        <v>6.0000000000000001E-3</v>
      </c>
      <c r="L81" s="318">
        <f t="shared" si="11"/>
        <v>6.0000000000000001E-3</v>
      </c>
      <c r="M81" s="318">
        <f t="shared" si="11"/>
        <v>6.0000000000000001E-3</v>
      </c>
    </row>
    <row r="82" spans="1:13" ht="16" x14ac:dyDescent="0.2">
      <c r="A82" s="89" t="s">
        <v>292</v>
      </c>
      <c r="B82" s="316"/>
      <c r="C82" s="316"/>
      <c r="D82" s="316"/>
      <c r="E82" s="316"/>
      <c r="F82" s="316"/>
      <c r="G82" s="316"/>
      <c r="H82" s="316"/>
      <c r="I82" s="318">
        <f t="shared" ref="I82:M82" si="12">I34*0.5</f>
        <v>1.7500000000000002E-2</v>
      </c>
      <c r="J82" s="318">
        <f t="shared" si="12"/>
        <v>1.7500000000000002E-2</v>
      </c>
      <c r="K82" s="318">
        <f t="shared" si="12"/>
        <v>1.7500000000000002E-2</v>
      </c>
      <c r="L82" s="318">
        <f t="shared" si="12"/>
        <v>1.7500000000000002E-2</v>
      </c>
      <c r="M82" s="318">
        <f t="shared" si="12"/>
        <v>1.7500000000000002E-2</v>
      </c>
    </row>
    <row r="83" spans="1:13" ht="16" x14ac:dyDescent="0.2">
      <c r="A83" s="89" t="s">
        <v>293</v>
      </c>
      <c r="B83" s="316"/>
      <c r="C83" s="316"/>
      <c r="D83" s="316"/>
      <c r="E83" s="316"/>
      <c r="F83" s="316"/>
      <c r="G83" s="316"/>
      <c r="H83" s="316"/>
      <c r="I83" s="318">
        <f t="shared" ref="I83:M83" si="13">I35*0.5</f>
        <v>0</v>
      </c>
      <c r="J83" s="318">
        <f t="shared" si="13"/>
        <v>0</v>
      </c>
      <c r="K83" s="318">
        <f t="shared" si="13"/>
        <v>0</v>
      </c>
      <c r="L83" s="318">
        <f t="shared" si="13"/>
        <v>0</v>
      </c>
      <c r="M83" s="318">
        <f t="shared" si="13"/>
        <v>0</v>
      </c>
    </row>
    <row r="84" spans="1:13" ht="16" x14ac:dyDescent="0.2">
      <c r="A84" s="89" t="s">
        <v>294</v>
      </c>
      <c r="B84" s="316"/>
      <c r="C84" s="316"/>
      <c r="D84" s="316"/>
      <c r="E84" s="316"/>
      <c r="F84" s="316"/>
      <c r="G84" s="316"/>
      <c r="H84" s="316"/>
      <c r="I84" s="318">
        <f t="shared" ref="I84:M84" si="14">I36*0.5</f>
        <v>0</v>
      </c>
      <c r="J84" s="318">
        <f t="shared" si="14"/>
        <v>0</v>
      </c>
      <c r="K84" s="318">
        <f t="shared" si="14"/>
        <v>0</v>
      </c>
      <c r="L84" s="318">
        <f t="shared" si="14"/>
        <v>0</v>
      </c>
      <c r="M84" s="318">
        <f t="shared" si="14"/>
        <v>0</v>
      </c>
    </row>
    <row r="85" spans="1:13" ht="16" x14ac:dyDescent="0.2">
      <c r="A85" s="89" t="s">
        <v>67</v>
      </c>
      <c r="I85" s="318"/>
      <c r="J85" s="318"/>
      <c r="K85" s="318"/>
      <c r="L85" s="318"/>
      <c r="M85" s="318"/>
    </row>
    <row r="86" spans="1:13" ht="16" x14ac:dyDescent="0.2">
      <c r="A86" s="89" t="s">
        <v>69</v>
      </c>
      <c r="I86" s="318">
        <f>I38*1.05</f>
        <v>0.35700000000000004</v>
      </c>
      <c r="J86" s="318">
        <f t="shared" ref="J86:M86" si="15">J38*1.05</f>
        <v>0.35700000000000004</v>
      </c>
      <c r="K86" s="318">
        <f t="shared" si="15"/>
        <v>0.35700000000000004</v>
      </c>
      <c r="L86" s="318">
        <f t="shared" si="15"/>
        <v>0.35700000000000004</v>
      </c>
      <c r="M86" s="318">
        <f t="shared" si="15"/>
        <v>0.35700000000000004</v>
      </c>
    </row>
    <row r="87" spans="1:13" ht="16" x14ac:dyDescent="0.2">
      <c r="A87" s="89" t="s">
        <v>217</v>
      </c>
      <c r="I87" s="318">
        <f t="shared" ref="I87:M87" si="16">I39*1.05</f>
        <v>5.2500000000000005E-2</v>
      </c>
      <c r="J87" s="318">
        <f t="shared" si="16"/>
        <v>5.2500000000000005E-2</v>
      </c>
      <c r="K87" s="318">
        <f t="shared" si="16"/>
        <v>5.2500000000000005E-2</v>
      </c>
      <c r="L87" s="318">
        <f t="shared" si="16"/>
        <v>5.2500000000000005E-2</v>
      </c>
      <c r="M87" s="318">
        <f t="shared" si="16"/>
        <v>5.2500000000000005E-2</v>
      </c>
    </row>
    <row r="88" spans="1:13" ht="16" x14ac:dyDescent="0.2">
      <c r="A88" s="89" t="s">
        <v>218</v>
      </c>
      <c r="I88" s="318">
        <f t="shared" ref="I88:M88" si="17">I40*1.05</f>
        <v>0.21000000000000002</v>
      </c>
      <c r="J88" s="318">
        <f t="shared" si="17"/>
        <v>0.21000000000000002</v>
      </c>
      <c r="K88" s="318">
        <f t="shared" si="17"/>
        <v>0.21000000000000002</v>
      </c>
      <c r="L88" s="318">
        <f t="shared" si="17"/>
        <v>0.21000000000000002</v>
      </c>
      <c r="M88" s="318">
        <f t="shared" si="17"/>
        <v>0.21000000000000002</v>
      </c>
    </row>
    <row r="89" spans="1:13" ht="16" x14ac:dyDescent="0.2">
      <c r="A89" s="89" t="s">
        <v>219</v>
      </c>
      <c r="I89" s="342" t="s">
        <v>282</v>
      </c>
      <c r="J89" s="342" t="s">
        <v>282</v>
      </c>
      <c r="K89" s="342" t="s">
        <v>282</v>
      </c>
      <c r="L89" s="342" t="s">
        <v>282</v>
      </c>
      <c r="M89" s="342" t="s">
        <v>282</v>
      </c>
    </row>
    <row r="90" spans="1:13" ht="16" x14ac:dyDescent="0.2">
      <c r="A90" s="89" t="s">
        <v>220</v>
      </c>
      <c r="I90" s="318">
        <f t="shared" ref="I90:M90" si="18">I42*1.05</f>
        <v>6.3E-2</v>
      </c>
      <c r="J90" s="318">
        <f t="shared" si="18"/>
        <v>6.3E-2</v>
      </c>
      <c r="K90" s="318">
        <f t="shared" si="18"/>
        <v>6.3E-2</v>
      </c>
      <c r="L90" s="318">
        <f t="shared" si="18"/>
        <v>6.3E-2</v>
      </c>
      <c r="M90" s="318">
        <f t="shared" si="18"/>
        <v>6.3E-2</v>
      </c>
    </row>
    <row r="91" spans="1:13" ht="16" x14ac:dyDescent="0.2">
      <c r="A91" s="89" t="s">
        <v>221</v>
      </c>
      <c r="I91" s="342" t="s">
        <v>282</v>
      </c>
      <c r="J91" s="342" t="s">
        <v>282</v>
      </c>
      <c r="K91" s="342" t="s">
        <v>282</v>
      </c>
      <c r="L91" s="342" t="s">
        <v>282</v>
      </c>
      <c r="M91" s="342" t="s">
        <v>282</v>
      </c>
    </row>
    <row r="92" spans="1:13" ht="16" x14ac:dyDescent="0.2">
      <c r="A92" s="89" t="s">
        <v>222</v>
      </c>
      <c r="I92" s="318">
        <f t="shared" ref="I92:M92" si="19">I44*1.05</f>
        <v>0.13650000000000001</v>
      </c>
      <c r="J92" s="318">
        <f t="shared" si="19"/>
        <v>0.13650000000000001</v>
      </c>
      <c r="K92" s="318">
        <f t="shared" si="19"/>
        <v>0.13650000000000001</v>
      </c>
      <c r="L92" s="318">
        <f t="shared" si="19"/>
        <v>0.13650000000000001</v>
      </c>
      <c r="M92" s="318">
        <f t="shared" si="19"/>
        <v>0.13650000000000001</v>
      </c>
    </row>
    <row r="93" spans="1:13" ht="16" x14ac:dyDescent="0.2">
      <c r="A93" s="89" t="s">
        <v>71</v>
      </c>
      <c r="I93" s="318">
        <f>I45*0.5</f>
        <v>3.7499999999999999E-2</v>
      </c>
      <c r="J93" s="318">
        <f>J45*0.5</f>
        <v>3.7499999999999999E-2</v>
      </c>
      <c r="K93" s="318">
        <f>K45*0.5</f>
        <v>3.7499999999999999E-2</v>
      </c>
      <c r="L93" s="318">
        <f>L45*0.5</f>
        <v>3.7499999999999999E-2</v>
      </c>
      <c r="M93" s="318">
        <f>M45*0.5</f>
        <v>3.7499999999999999E-2</v>
      </c>
    </row>
    <row r="94" spans="1:13" ht="16" x14ac:dyDescent="0.2">
      <c r="A94" s="89" t="s">
        <v>72</v>
      </c>
      <c r="I94" s="318">
        <v>0.02</v>
      </c>
      <c r="J94" s="318">
        <v>0.02</v>
      </c>
      <c r="K94" s="318">
        <v>0.02</v>
      </c>
      <c r="L94" s="318">
        <v>0.02</v>
      </c>
      <c r="M94" s="318">
        <v>0.02</v>
      </c>
    </row>
    <row r="95" spans="1:13" ht="16" x14ac:dyDescent="0.2">
      <c r="A95" s="89" t="s">
        <v>73</v>
      </c>
      <c r="I95" s="318">
        <f>I47*0.5</f>
        <v>0.105</v>
      </c>
      <c r="J95" s="318">
        <f>J47*0.5</f>
        <v>0.105</v>
      </c>
      <c r="K95" s="318">
        <f>K47*0.5</f>
        <v>0.105</v>
      </c>
      <c r="L95" s="318">
        <f>L47*0.5</f>
        <v>0.105</v>
      </c>
      <c r="M95" s="318">
        <f>M47*0.5</f>
        <v>0.105</v>
      </c>
    </row>
    <row r="96" spans="1:13" ht="16" x14ac:dyDescent="0.2">
      <c r="A96" s="71" t="s">
        <v>74</v>
      </c>
      <c r="I96" s="320">
        <v>32</v>
      </c>
      <c r="J96" s="320">
        <f>J72*2</f>
        <v>46</v>
      </c>
      <c r="K96" s="320">
        <f>K72*2</f>
        <v>46</v>
      </c>
      <c r="L96" s="320">
        <f>L72*2</f>
        <v>46</v>
      </c>
      <c r="M96" s="320">
        <f>M72*2</f>
        <v>46</v>
      </c>
    </row>
    <row r="97" spans="1:13" ht="16" x14ac:dyDescent="0.2">
      <c r="A97" s="71" t="s">
        <v>277</v>
      </c>
      <c r="I97" s="320">
        <v>150</v>
      </c>
      <c r="J97" s="320">
        <f>J73*2</f>
        <v>240</v>
      </c>
      <c r="K97" s="320">
        <f>K73*2</f>
        <v>240</v>
      </c>
      <c r="L97" s="320">
        <f>L73*2</f>
        <v>240</v>
      </c>
      <c r="M97" s="320">
        <f>M73*2</f>
        <v>240</v>
      </c>
    </row>
    <row r="98" spans="1:13" ht="16" x14ac:dyDescent="0.2">
      <c r="A98" s="71" t="s">
        <v>278</v>
      </c>
      <c r="I98" s="320">
        <v>32</v>
      </c>
      <c r="J98" s="320">
        <f>J74*2</f>
        <v>44</v>
      </c>
      <c r="K98" s="320">
        <f>K74*2</f>
        <v>44</v>
      </c>
      <c r="L98" s="320">
        <f>L74*2</f>
        <v>44</v>
      </c>
      <c r="M98" s="320">
        <f>M74*2</f>
        <v>44</v>
      </c>
    </row>
    <row r="99" spans="1:13" ht="16" x14ac:dyDescent="0.2">
      <c r="A99" s="71" t="s">
        <v>76</v>
      </c>
      <c r="I99" s="320">
        <f t="shared" ref="I99:M99" si="20">I75*2</f>
        <v>64</v>
      </c>
      <c r="J99" s="320">
        <f t="shared" si="20"/>
        <v>64</v>
      </c>
      <c r="K99" s="320">
        <f t="shared" si="20"/>
        <v>64</v>
      </c>
      <c r="L99" s="320">
        <f t="shared" si="20"/>
        <v>64</v>
      </c>
      <c r="M99" s="320">
        <f t="shared" si="20"/>
        <v>64</v>
      </c>
    </row>
    <row r="100" spans="1:13" ht="16" x14ac:dyDescent="0.2">
      <c r="A100" s="71" t="s">
        <v>77</v>
      </c>
      <c r="I100" s="320">
        <v>2500</v>
      </c>
      <c r="J100" s="320">
        <v>2500</v>
      </c>
      <c r="K100" s="320">
        <v>2500</v>
      </c>
      <c r="L100" s="320">
        <v>2500</v>
      </c>
      <c r="M100" s="320">
        <v>2500</v>
      </c>
    </row>
    <row r="101" spans="1:13" ht="16" x14ac:dyDescent="0.2">
      <c r="A101" s="71" t="s">
        <v>78</v>
      </c>
      <c r="I101" s="320">
        <v>-250</v>
      </c>
      <c r="J101" s="320">
        <v>-250</v>
      </c>
      <c r="K101" s="320">
        <v>-250</v>
      </c>
      <c r="L101" s="320">
        <v>-250</v>
      </c>
      <c r="M101" s="320">
        <v>-250</v>
      </c>
    </row>
    <row r="102" spans="1:13" ht="16" x14ac:dyDescent="0.2">
      <c r="A102" s="71" t="s">
        <v>79</v>
      </c>
      <c r="I102" s="320">
        <v>-500</v>
      </c>
      <c r="J102" s="320">
        <v>-500</v>
      </c>
      <c r="K102" s="320">
        <v>-500</v>
      </c>
      <c r="L102" s="320">
        <v>-500</v>
      </c>
      <c r="M102" s="320">
        <v>-500</v>
      </c>
    </row>
    <row r="103" spans="1:13" ht="16" x14ac:dyDescent="0.2">
      <c r="A103" s="71" t="s">
        <v>295</v>
      </c>
      <c r="I103" s="320">
        <v>332</v>
      </c>
      <c r="J103" s="320">
        <v>332</v>
      </c>
      <c r="K103" s="320">
        <v>332</v>
      </c>
      <c r="L103" s="320">
        <v>332</v>
      </c>
      <c r="M103" s="320">
        <v>332</v>
      </c>
    </row>
  </sheetData>
  <dataValidations count="1">
    <dataValidation type="list" allowBlank="1" showInputMessage="1" showErrorMessage="1" sqref="D1">
      <formula1>$D$4:$D$6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Comps</vt:lpstr>
      <vt:lpstr>Precedents</vt:lpstr>
      <vt:lpstr>DCF-N (2)</vt:lpstr>
      <vt:lpstr>DCF-N</vt:lpstr>
      <vt:lpstr>Analysis V2</vt:lpstr>
      <vt:lpstr>Scenarios (2)</vt:lpstr>
      <vt:lpstr>Analysis</vt:lpstr>
      <vt:lpstr>Scenarios</vt:lpstr>
      <vt:lpstr>Summary - Football Field</vt:lpstr>
      <vt:lpstr>DCF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2020-01-10T13:18:05Z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