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315"/>
  <workbookPr filterPrivacy="1" codeName="ThisWorkbook"/>
  <mc:AlternateContent xmlns:mc="http://schemas.openxmlformats.org/markup-compatibility/2006">
    <mc:Choice Requires="x15">
      <x15ac:absPath xmlns:x15ac="http://schemas.microsoft.com/office/spreadsheetml/2010/11/ac" url="/Users/travisvandusseldorp/Desktop/models/"/>
    </mc:Choice>
  </mc:AlternateContent>
  <bookViews>
    <workbookView xWindow="0" yWindow="460" windowWidth="28800" windowHeight="14560" activeTab="4"/>
  </bookViews>
  <sheets>
    <sheet name="Cover Page" sheetId="7" r:id="rId1"/>
    <sheet name="Comps" sheetId="5" r:id="rId2"/>
    <sheet name="Precedents" sheetId="1" r:id="rId3"/>
    <sheet name="Analysis" sheetId="15" r:id="rId4"/>
    <sheet name="DCF" sheetId="17" r:id="rId5"/>
    <sheet name="Scenarios" sheetId="16" r:id="rId6"/>
    <sheet name="Summary - Football Field" sheetId="4" r:id="rId7"/>
    <sheet name="DCF - Sample" sheetId="12" r:id="rId8"/>
  </sheets>
  <externalReferences>
    <externalReference r:id="rId9"/>
  </externalReferences>
  <definedNames>
    <definedName name="_xlchart.v1.0" localSheetId="4" hidden="1">DCF!$J$223</definedName>
    <definedName name="_xlchart.v1.0" localSheetId="7" hidden="1">'DCF - Sample'!$J$151</definedName>
    <definedName name="_xlchart.v1.0" hidden="1">#REF!</definedName>
    <definedName name="_xlchart.v1.1" localSheetId="4" hidden="1">DCF!$J$224:$J$226</definedName>
    <definedName name="_xlchart.v1.1" localSheetId="7" hidden="1">'DCF - Sample'!$J$152:$J$154</definedName>
    <definedName name="_xlchart.v1.1" hidden="1">#REF!</definedName>
    <definedName name="_xlchart.v1.2" localSheetId="4" hidden="1">DCF!$L$224:$L$226</definedName>
    <definedName name="_xlchart.v1.2" localSheetId="7" hidden="1">'DCF - Sample'!$L$152:$L$154</definedName>
    <definedName name="_xlchart.v1.2" hidden="1">#REF!</definedName>
    <definedName name="CIQWBGuid" hidden="1">"2cd8126d-26c3-430c-b7fa-a069e3a1fc62"</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"10/01/2018 15:52:08"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1">Comps!$B$5:$O$15</definedName>
    <definedName name="_xlnm.Print_Area" localSheetId="0">'Cover Page'!$B$4:$O$27</definedName>
    <definedName name="_xlnm.Print_Area" localSheetId="2">Precedents!$B$4:$M$14</definedName>
    <definedName name="_xlnm.Print_Area" localSheetId="6">'Summary - Football Field'!$B$4:$Q$39</definedName>
    <definedName name="_xlnm.Print_Titles" localSheetId="2">Precedents!#REF!</definedName>
  </definedNames>
  <calcPr calcId="150001" iterateDelta="9.9999999999994451E-4"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P15" i="5" l="1"/>
  <c r="N14" i="5"/>
  <c r="O14" i="5"/>
  <c r="P14" i="5"/>
  <c r="N15" i="5"/>
  <c r="O15" i="5"/>
  <c r="K11" i="5"/>
  <c r="E9" i="5"/>
  <c r="G9" i="5"/>
  <c r="N9" i="5"/>
  <c r="E10" i="5"/>
  <c r="G10" i="5"/>
  <c r="N10" i="5"/>
  <c r="E11" i="5"/>
  <c r="G11" i="5"/>
  <c r="N11" i="5"/>
  <c r="E12" i="5"/>
  <c r="G12" i="5"/>
  <c r="N12" i="5"/>
  <c r="E13" i="5"/>
  <c r="G13" i="5"/>
  <c r="N13" i="5"/>
  <c r="O11" i="5"/>
  <c r="K9" i="5"/>
  <c r="O9" i="5"/>
  <c r="K10" i="5"/>
  <c r="O10" i="5"/>
  <c r="K12" i="5"/>
  <c r="O12" i="5"/>
  <c r="K13" i="5"/>
  <c r="O13" i="5"/>
  <c r="M9" i="5"/>
  <c r="M10" i="5"/>
  <c r="M11" i="5"/>
  <c r="M12" i="5"/>
  <c r="M13" i="5"/>
  <c r="M15" i="5"/>
  <c r="M14" i="5"/>
  <c r="K8" i="5"/>
  <c r="H41" i="17"/>
  <c r="Q6" i="4"/>
  <c r="F14" i="4"/>
  <c r="C214" i="17"/>
  <c r="N8" i="4"/>
  <c r="C213" i="17"/>
  <c r="N9" i="4"/>
  <c r="G14" i="4"/>
  <c r="H14" i="4"/>
  <c r="N7" i="4"/>
  <c r="I14" i="4"/>
  <c r="J14" i="4"/>
  <c r="H51" i="17"/>
  <c r="H57" i="17"/>
  <c r="H58" i="17"/>
  <c r="Q7" i="4"/>
  <c r="F15" i="4"/>
  <c r="G15" i="4"/>
  <c r="H15" i="4"/>
  <c r="I15" i="4"/>
  <c r="J15" i="4"/>
  <c r="Q8" i="4"/>
  <c r="F16" i="4"/>
  <c r="G16" i="4"/>
  <c r="H16" i="4"/>
  <c r="I16" i="4"/>
  <c r="J16" i="4"/>
  <c r="J18" i="4"/>
  <c r="N16" i="4"/>
  <c r="H60" i="17"/>
  <c r="Q9" i="4"/>
  <c r="N6" i="4"/>
  <c r="I10" i="16"/>
  <c r="I9" i="17"/>
  <c r="I11" i="16"/>
  <c r="I10" i="17"/>
  <c r="I41" i="17"/>
  <c r="I13" i="16"/>
  <c r="I12" i="17"/>
  <c r="I51" i="17"/>
  <c r="H175" i="17"/>
  <c r="I173" i="17"/>
  <c r="I26" i="16"/>
  <c r="I25" i="17"/>
  <c r="I174" i="17"/>
  <c r="I175" i="17"/>
  <c r="I19" i="16"/>
  <c r="I18" i="17"/>
  <c r="I176" i="17"/>
  <c r="I52" i="17"/>
  <c r="I53" i="17"/>
  <c r="I54" i="17"/>
  <c r="I57" i="17"/>
  <c r="I58" i="17"/>
  <c r="I20" i="16"/>
  <c r="I19" i="17"/>
  <c r="I59" i="17"/>
  <c r="I60" i="17"/>
  <c r="I28" i="16"/>
  <c r="I27" i="17"/>
  <c r="I142" i="17"/>
  <c r="I101" i="17"/>
  <c r="J26" i="16"/>
  <c r="J25" i="17"/>
  <c r="K26" i="16"/>
  <c r="K25" i="17"/>
  <c r="L26" i="16"/>
  <c r="L25" i="17"/>
  <c r="M26" i="16"/>
  <c r="M25" i="17"/>
  <c r="J174" i="17"/>
  <c r="K174" i="17"/>
  <c r="L174" i="17"/>
  <c r="M174" i="17"/>
  <c r="J173" i="17"/>
  <c r="J175" i="17"/>
  <c r="J19" i="16"/>
  <c r="J18" i="17"/>
  <c r="J176" i="17"/>
  <c r="J52" i="17"/>
  <c r="K173" i="17"/>
  <c r="K175" i="17"/>
  <c r="K19" i="16"/>
  <c r="K18" i="17"/>
  <c r="K176" i="17"/>
  <c r="K52" i="17"/>
  <c r="L173" i="17"/>
  <c r="L175" i="17"/>
  <c r="L19" i="16"/>
  <c r="L18" i="17"/>
  <c r="L176" i="17"/>
  <c r="L52" i="17"/>
  <c r="M173" i="17"/>
  <c r="M175" i="17"/>
  <c r="M19" i="16"/>
  <c r="M18" i="17"/>
  <c r="M176" i="17"/>
  <c r="M52" i="17"/>
  <c r="J17" i="16"/>
  <c r="J16" i="17"/>
  <c r="J45" i="17"/>
  <c r="K17" i="16"/>
  <c r="K16" i="17"/>
  <c r="K45" i="17"/>
  <c r="L17" i="16"/>
  <c r="L16" i="17"/>
  <c r="L45" i="17"/>
  <c r="M17" i="16"/>
  <c r="M16" i="17"/>
  <c r="M45" i="17"/>
  <c r="J18" i="16"/>
  <c r="J17" i="17"/>
  <c r="I167" i="17"/>
  <c r="I25" i="16"/>
  <c r="I24" i="17"/>
  <c r="I168" i="17"/>
  <c r="I18" i="16"/>
  <c r="I17" i="17"/>
  <c r="I169" i="17"/>
  <c r="I170" i="17"/>
  <c r="J167" i="17"/>
  <c r="J169" i="17"/>
  <c r="J50" i="17"/>
  <c r="K18" i="16"/>
  <c r="K17" i="17"/>
  <c r="J25" i="16"/>
  <c r="J24" i="17"/>
  <c r="J168" i="17"/>
  <c r="J170" i="17"/>
  <c r="K167" i="17"/>
  <c r="K169" i="17"/>
  <c r="K50" i="17"/>
  <c r="L18" i="16"/>
  <c r="L17" i="17"/>
  <c r="K25" i="16"/>
  <c r="K24" i="17"/>
  <c r="K168" i="17"/>
  <c r="K170" i="17"/>
  <c r="L167" i="17"/>
  <c r="L169" i="17"/>
  <c r="L50" i="17"/>
  <c r="M18" i="16"/>
  <c r="M17" i="17"/>
  <c r="L25" i="16"/>
  <c r="L24" i="17"/>
  <c r="L168" i="17"/>
  <c r="L170" i="17"/>
  <c r="M167" i="17"/>
  <c r="M169" i="17"/>
  <c r="M50" i="17"/>
  <c r="O6" i="17"/>
  <c r="O7" i="17"/>
  <c r="O8" i="17"/>
  <c r="O9" i="17"/>
  <c r="O10" i="17"/>
  <c r="O11" i="17"/>
  <c r="O12" i="17"/>
  <c r="O13" i="17"/>
  <c r="O14" i="17"/>
  <c r="O15" i="17"/>
  <c r="I35" i="16"/>
  <c r="J35" i="16"/>
  <c r="K35" i="16"/>
  <c r="L35" i="16"/>
  <c r="M35" i="16"/>
  <c r="J13" i="16"/>
  <c r="J12" i="17"/>
  <c r="J10" i="16"/>
  <c r="J9" i="17"/>
  <c r="J51" i="17"/>
  <c r="K13" i="16"/>
  <c r="K12" i="17"/>
  <c r="K10" i="16"/>
  <c r="K9" i="17"/>
  <c r="K51" i="17"/>
  <c r="L13" i="16"/>
  <c r="L12" i="17"/>
  <c r="L10" i="16"/>
  <c r="L9" i="17"/>
  <c r="L51" i="17"/>
  <c r="M13" i="16"/>
  <c r="M12" i="17"/>
  <c r="M10" i="16"/>
  <c r="M9" i="17"/>
  <c r="M51" i="17"/>
  <c r="J53" i="17"/>
  <c r="K53" i="17"/>
  <c r="L53" i="17"/>
  <c r="M53" i="17"/>
  <c r="J54" i="17"/>
  <c r="K54" i="17"/>
  <c r="L54" i="17"/>
  <c r="M54" i="17"/>
  <c r="I29" i="16"/>
  <c r="I28" i="17"/>
  <c r="J29" i="16"/>
  <c r="J28" i="17"/>
  <c r="K29" i="16"/>
  <c r="K28" i="17"/>
  <c r="L29" i="16"/>
  <c r="L28" i="17"/>
  <c r="M29" i="16"/>
  <c r="M28" i="17"/>
  <c r="I53" i="16"/>
  <c r="I30" i="16"/>
  <c r="I29" i="17"/>
  <c r="J53" i="16"/>
  <c r="J30" i="16"/>
  <c r="J29" i="17"/>
  <c r="K53" i="16"/>
  <c r="K30" i="16"/>
  <c r="K29" i="17"/>
  <c r="L53" i="16"/>
  <c r="L30" i="16"/>
  <c r="L29" i="17"/>
  <c r="M53" i="16"/>
  <c r="M30" i="16"/>
  <c r="M29" i="17"/>
  <c r="J76" i="16"/>
  <c r="K76" i="16"/>
  <c r="L76" i="16"/>
  <c r="M76" i="16"/>
  <c r="I76" i="16"/>
  <c r="G41" i="17"/>
  <c r="H30" i="17"/>
  <c r="H8" i="17"/>
  <c r="F33" i="17"/>
  <c r="G33" i="17"/>
  <c r="H33" i="17"/>
  <c r="I17" i="16"/>
  <c r="I16" i="17"/>
  <c r="I45" i="17"/>
  <c r="I33" i="17"/>
  <c r="J33" i="17"/>
  <c r="K33" i="17"/>
  <c r="L33" i="17"/>
  <c r="M33" i="17"/>
  <c r="E33" i="17"/>
  <c r="F51" i="17"/>
  <c r="E51" i="17"/>
  <c r="F32" i="17"/>
  <c r="G51" i="17"/>
  <c r="G32" i="17"/>
  <c r="H32" i="17"/>
  <c r="I32" i="17"/>
  <c r="J32" i="17"/>
  <c r="K32" i="17"/>
  <c r="L32" i="17"/>
  <c r="M32" i="17"/>
  <c r="D51" i="17"/>
  <c r="E32" i="17"/>
  <c r="F31" i="17"/>
  <c r="G31" i="17"/>
  <c r="H31" i="17"/>
  <c r="I12" i="16"/>
  <c r="I11" i="17"/>
  <c r="I38" i="17"/>
  <c r="I31" i="17"/>
  <c r="J12" i="16"/>
  <c r="J11" i="17"/>
  <c r="J38" i="17"/>
  <c r="J31" i="17"/>
  <c r="K12" i="16"/>
  <c r="K11" i="17"/>
  <c r="K38" i="17"/>
  <c r="K31" i="17"/>
  <c r="L12" i="16"/>
  <c r="L11" i="17"/>
  <c r="L38" i="17"/>
  <c r="L31" i="17"/>
  <c r="M12" i="16"/>
  <c r="M11" i="17"/>
  <c r="M38" i="17"/>
  <c r="M31" i="17"/>
  <c r="E31" i="17"/>
  <c r="F41" i="17"/>
  <c r="E41" i="17"/>
  <c r="F30" i="17"/>
  <c r="G30" i="17"/>
  <c r="I30" i="17"/>
  <c r="J11" i="16"/>
  <c r="J10" i="17"/>
  <c r="J41" i="17"/>
  <c r="J30" i="17"/>
  <c r="K11" i="16"/>
  <c r="K10" i="17"/>
  <c r="K41" i="17"/>
  <c r="K30" i="17"/>
  <c r="L11" i="16"/>
  <c r="L10" i="17"/>
  <c r="L41" i="17"/>
  <c r="L30" i="17"/>
  <c r="M11" i="16"/>
  <c r="M10" i="17"/>
  <c r="M41" i="17"/>
  <c r="M30" i="17"/>
  <c r="D41" i="17"/>
  <c r="E30" i="17"/>
  <c r="J130" i="17"/>
  <c r="K130" i="17"/>
  <c r="L130" i="17"/>
  <c r="M25" i="16"/>
  <c r="M24" i="17"/>
  <c r="M130" i="17"/>
  <c r="J24" i="16"/>
  <c r="J23" i="17"/>
  <c r="J85" i="17"/>
  <c r="J161" i="17"/>
  <c r="J21" i="16"/>
  <c r="J20" i="17"/>
  <c r="J68" i="17"/>
  <c r="J158" i="17"/>
  <c r="J22" i="16"/>
  <c r="J21" i="17"/>
  <c r="J69" i="17"/>
  <c r="J159" i="17"/>
  <c r="I70" i="17"/>
  <c r="J70" i="17"/>
  <c r="J160" i="17"/>
  <c r="J163" i="17"/>
  <c r="I24" i="16"/>
  <c r="I23" i="17"/>
  <c r="I85" i="17"/>
  <c r="I161" i="17"/>
  <c r="I21" i="16"/>
  <c r="I20" i="17"/>
  <c r="I68" i="17"/>
  <c r="I158" i="17"/>
  <c r="I22" i="16"/>
  <c r="I21" i="17"/>
  <c r="I69" i="17"/>
  <c r="I159" i="17"/>
  <c r="I160" i="17"/>
  <c r="I163" i="17"/>
  <c r="J164" i="17"/>
  <c r="J125" i="17"/>
  <c r="K24" i="16"/>
  <c r="K23" i="17"/>
  <c r="K85" i="17"/>
  <c r="K161" i="17"/>
  <c r="K21" i="16"/>
  <c r="K20" i="17"/>
  <c r="K68" i="17"/>
  <c r="K158" i="17"/>
  <c r="K22" i="16"/>
  <c r="K21" i="17"/>
  <c r="K69" i="17"/>
  <c r="K159" i="17"/>
  <c r="K70" i="17"/>
  <c r="K160" i="17"/>
  <c r="K163" i="17"/>
  <c r="K164" i="17"/>
  <c r="K125" i="17"/>
  <c r="L24" i="16"/>
  <c r="L23" i="17"/>
  <c r="L85" i="17"/>
  <c r="L161" i="17"/>
  <c r="L21" i="16"/>
  <c r="L20" i="17"/>
  <c r="L68" i="17"/>
  <c r="L158" i="17"/>
  <c r="L22" i="16"/>
  <c r="L21" i="17"/>
  <c r="L69" i="17"/>
  <c r="L159" i="17"/>
  <c r="L70" i="17"/>
  <c r="L160" i="17"/>
  <c r="L163" i="17"/>
  <c r="L164" i="17"/>
  <c r="L125" i="17"/>
  <c r="M24" i="16"/>
  <c r="M23" i="17"/>
  <c r="M85" i="17"/>
  <c r="M161" i="17"/>
  <c r="M21" i="16"/>
  <c r="M20" i="17"/>
  <c r="M68" i="17"/>
  <c r="M158" i="17"/>
  <c r="M22" i="16"/>
  <c r="M21" i="17"/>
  <c r="M69" i="17"/>
  <c r="M159" i="17"/>
  <c r="M70" i="17"/>
  <c r="M160" i="17"/>
  <c r="M163" i="17"/>
  <c r="M164" i="17"/>
  <c r="M125" i="17"/>
  <c r="H161" i="17"/>
  <c r="H158" i="17"/>
  <c r="H159" i="17"/>
  <c r="H160" i="17"/>
  <c r="H163" i="17"/>
  <c r="I164" i="17"/>
  <c r="I125" i="17"/>
  <c r="J77" i="17"/>
  <c r="K77" i="17"/>
  <c r="L77" i="17"/>
  <c r="M168" i="17"/>
  <c r="M170" i="17"/>
  <c r="M77" i="17"/>
  <c r="I78" i="17"/>
  <c r="J78" i="17"/>
  <c r="K78" i="17"/>
  <c r="L78" i="17"/>
  <c r="M78" i="17"/>
  <c r="I79" i="17"/>
  <c r="J79" i="17"/>
  <c r="K79" i="17"/>
  <c r="L79" i="17"/>
  <c r="M79" i="17"/>
  <c r="I81" i="17"/>
  <c r="J81" i="17"/>
  <c r="K81" i="17"/>
  <c r="L81" i="17"/>
  <c r="M81" i="17"/>
  <c r="J57" i="17"/>
  <c r="J58" i="17"/>
  <c r="J20" i="16"/>
  <c r="J19" i="17"/>
  <c r="J59" i="17"/>
  <c r="J60" i="17"/>
  <c r="J112" i="17"/>
  <c r="J113" i="17"/>
  <c r="I86" i="17"/>
  <c r="J86" i="17"/>
  <c r="J122" i="17"/>
  <c r="I88" i="17"/>
  <c r="J88" i="17"/>
  <c r="J123" i="17"/>
  <c r="J126" i="17"/>
  <c r="J134" i="17"/>
  <c r="J137" i="17"/>
  <c r="J138" i="17"/>
  <c r="J27" i="16"/>
  <c r="J26" i="17"/>
  <c r="J141" i="17"/>
  <c r="J28" i="16"/>
  <c r="J27" i="17"/>
  <c r="J142" i="17"/>
  <c r="J147" i="17"/>
  <c r="J149" i="17"/>
  <c r="I112" i="17"/>
  <c r="I113" i="17"/>
  <c r="I122" i="17"/>
  <c r="I123" i="17"/>
  <c r="I126" i="17"/>
  <c r="I137" i="17"/>
  <c r="I138" i="17"/>
  <c r="I27" i="16"/>
  <c r="I26" i="17"/>
  <c r="I141" i="17"/>
  <c r="I147" i="17"/>
  <c r="I130" i="17"/>
  <c r="I134" i="17"/>
  <c r="I149" i="17"/>
  <c r="H147" i="17"/>
  <c r="H134" i="17"/>
  <c r="H112" i="17"/>
  <c r="H126" i="17"/>
  <c r="H149" i="17"/>
  <c r="G147" i="17"/>
  <c r="G134" i="17"/>
  <c r="G57" i="17"/>
  <c r="G58" i="17"/>
  <c r="G60" i="17"/>
  <c r="G112" i="17"/>
  <c r="G126" i="17"/>
  <c r="G149" i="17"/>
  <c r="F147" i="17"/>
  <c r="F134" i="17"/>
  <c r="F57" i="17"/>
  <c r="F58" i="17"/>
  <c r="F60" i="17"/>
  <c r="F112" i="17"/>
  <c r="F126" i="17"/>
  <c r="F149" i="17"/>
  <c r="E147" i="17"/>
  <c r="E134" i="17"/>
  <c r="E57" i="17"/>
  <c r="E58" i="17"/>
  <c r="E60" i="17"/>
  <c r="E112" i="17"/>
  <c r="E126" i="17"/>
  <c r="E149" i="17"/>
  <c r="E150" i="17"/>
  <c r="E151" i="17"/>
  <c r="F150" i="17"/>
  <c r="F151" i="17"/>
  <c r="G150" i="17"/>
  <c r="G151" i="17"/>
  <c r="H150" i="17"/>
  <c r="H151" i="17"/>
  <c r="I150" i="17"/>
  <c r="I151" i="17"/>
  <c r="J150" i="17"/>
  <c r="J151" i="17"/>
  <c r="J66" i="17"/>
  <c r="I67" i="17"/>
  <c r="J67" i="17"/>
  <c r="J71" i="17"/>
  <c r="J82" i="17"/>
  <c r="K57" i="17"/>
  <c r="K58" i="17"/>
  <c r="K20" i="16"/>
  <c r="K19" i="17"/>
  <c r="K59" i="17"/>
  <c r="K60" i="17"/>
  <c r="K112" i="17"/>
  <c r="K113" i="17"/>
  <c r="K86" i="17"/>
  <c r="K122" i="17"/>
  <c r="K88" i="17"/>
  <c r="K123" i="17"/>
  <c r="K126" i="17"/>
  <c r="K134" i="17"/>
  <c r="K137" i="17"/>
  <c r="K138" i="17"/>
  <c r="K27" i="16"/>
  <c r="K26" i="17"/>
  <c r="K141" i="17"/>
  <c r="K28" i="16"/>
  <c r="K27" i="17"/>
  <c r="K142" i="17"/>
  <c r="K147" i="17"/>
  <c r="K149" i="17"/>
  <c r="K150" i="17"/>
  <c r="K151" i="17"/>
  <c r="K66" i="17"/>
  <c r="K67" i="17"/>
  <c r="K71" i="17"/>
  <c r="K82" i="17"/>
  <c r="L57" i="17"/>
  <c r="L58" i="17"/>
  <c r="L20" i="16"/>
  <c r="L19" i="17"/>
  <c r="L59" i="17"/>
  <c r="L60" i="17"/>
  <c r="L112" i="17"/>
  <c r="L113" i="17"/>
  <c r="L86" i="17"/>
  <c r="L122" i="17"/>
  <c r="L88" i="17"/>
  <c r="L123" i="17"/>
  <c r="L126" i="17"/>
  <c r="L134" i="17"/>
  <c r="L137" i="17"/>
  <c r="L138" i="17"/>
  <c r="L27" i="16"/>
  <c r="L26" i="17"/>
  <c r="L141" i="17"/>
  <c r="L28" i="16"/>
  <c r="L27" i="17"/>
  <c r="L142" i="17"/>
  <c r="L147" i="17"/>
  <c r="L149" i="17"/>
  <c r="L150" i="17"/>
  <c r="L151" i="17"/>
  <c r="L66" i="17"/>
  <c r="L67" i="17"/>
  <c r="L71" i="17"/>
  <c r="L82" i="17"/>
  <c r="M57" i="17"/>
  <c r="M58" i="17"/>
  <c r="M20" i="16"/>
  <c r="M19" i="17"/>
  <c r="M59" i="17"/>
  <c r="M60" i="17"/>
  <c r="M112" i="17"/>
  <c r="M113" i="17"/>
  <c r="M86" i="17"/>
  <c r="M122" i="17"/>
  <c r="M88" i="17"/>
  <c r="M123" i="17"/>
  <c r="M126" i="17"/>
  <c r="M134" i="17"/>
  <c r="M137" i="17"/>
  <c r="M138" i="17"/>
  <c r="M27" i="16"/>
  <c r="M26" i="17"/>
  <c r="M141" i="17"/>
  <c r="M28" i="16"/>
  <c r="M27" i="17"/>
  <c r="M142" i="17"/>
  <c r="M147" i="17"/>
  <c r="M149" i="17"/>
  <c r="M150" i="17"/>
  <c r="M151" i="17"/>
  <c r="M66" i="17"/>
  <c r="M67" i="17"/>
  <c r="M71" i="17"/>
  <c r="M82" i="17"/>
  <c r="H77" i="17"/>
  <c r="H71" i="17"/>
  <c r="H82" i="17"/>
  <c r="I77" i="17"/>
  <c r="J101" i="17"/>
  <c r="K101" i="17"/>
  <c r="L101" i="17"/>
  <c r="M101" i="17"/>
  <c r="I100" i="17"/>
  <c r="J100" i="17"/>
  <c r="K100" i="17"/>
  <c r="L100" i="17"/>
  <c r="M100" i="17"/>
  <c r="I91" i="17"/>
  <c r="I92" i="17"/>
  <c r="I93" i="17"/>
  <c r="I94" i="17"/>
  <c r="I95" i="17"/>
  <c r="I87" i="17"/>
  <c r="I89" i="17"/>
  <c r="I96" i="17"/>
  <c r="I98" i="17"/>
  <c r="I99" i="17"/>
  <c r="I102" i="17"/>
  <c r="I103" i="17"/>
  <c r="I104" i="17"/>
  <c r="D2" i="17"/>
  <c r="E2" i="17"/>
  <c r="F2" i="17"/>
  <c r="G2" i="17"/>
  <c r="G4" i="17"/>
  <c r="G23" i="17"/>
  <c r="F4" i="17"/>
  <c r="F23" i="17"/>
  <c r="E4" i="17"/>
  <c r="E23" i="17"/>
  <c r="H2" i="17"/>
  <c r="H4" i="17"/>
  <c r="H23" i="17"/>
  <c r="G21" i="17"/>
  <c r="F21" i="17"/>
  <c r="E21" i="17"/>
  <c r="H21" i="17"/>
  <c r="J162" i="17"/>
  <c r="K162" i="17"/>
  <c r="L162" i="17"/>
  <c r="M162" i="17"/>
  <c r="G161" i="17"/>
  <c r="G158" i="17"/>
  <c r="G159" i="17"/>
  <c r="G160" i="17"/>
  <c r="G163" i="17"/>
  <c r="F161" i="17"/>
  <c r="F158" i="17"/>
  <c r="F159" i="17"/>
  <c r="F160" i="17"/>
  <c r="F163" i="17"/>
  <c r="E161" i="17"/>
  <c r="E158" i="17"/>
  <c r="E159" i="17"/>
  <c r="E160" i="17"/>
  <c r="E163" i="17"/>
  <c r="D161" i="17"/>
  <c r="D158" i="17"/>
  <c r="D159" i="17"/>
  <c r="D160" i="17"/>
  <c r="D163" i="17"/>
  <c r="D57" i="17"/>
  <c r="H27" i="17"/>
  <c r="H25" i="17"/>
  <c r="H174" i="17"/>
  <c r="H103" i="17"/>
  <c r="I162" i="17"/>
  <c r="J23" i="16"/>
  <c r="J22" i="17"/>
  <c r="J87" i="17"/>
  <c r="J91" i="17"/>
  <c r="J92" i="17"/>
  <c r="J93" i="17"/>
  <c r="J94" i="17"/>
  <c r="J95" i="17"/>
  <c r="J98" i="17"/>
  <c r="J99" i="17"/>
  <c r="K98" i="17"/>
  <c r="K99" i="17"/>
  <c r="K87" i="17"/>
  <c r="K91" i="17"/>
  <c r="K92" i="17"/>
  <c r="K93" i="17"/>
  <c r="K94" i="17"/>
  <c r="K95" i="17"/>
  <c r="K23" i="16"/>
  <c r="K22" i="17"/>
  <c r="L98" i="17"/>
  <c r="L99" i="17"/>
  <c r="L87" i="17"/>
  <c r="L91" i="17"/>
  <c r="L92" i="17"/>
  <c r="L93" i="17"/>
  <c r="L94" i="17"/>
  <c r="L95" i="17"/>
  <c r="L23" i="16"/>
  <c r="L22" i="17"/>
  <c r="M98" i="17"/>
  <c r="M99" i="17"/>
  <c r="M87" i="17"/>
  <c r="M91" i="17"/>
  <c r="M92" i="17"/>
  <c r="M93" i="17"/>
  <c r="M94" i="17"/>
  <c r="M95" i="17"/>
  <c r="M23" i="16"/>
  <c r="M22" i="17"/>
  <c r="H167" i="17"/>
  <c r="H168" i="17"/>
  <c r="H169" i="17"/>
  <c r="I23" i="16"/>
  <c r="I22" i="17"/>
  <c r="E77" i="17"/>
  <c r="E71" i="17"/>
  <c r="E82" i="17"/>
  <c r="F77" i="17"/>
  <c r="F71" i="17"/>
  <c r="F82" i="17"/>
  <c r="G77" i="17"/>
  <c r="G71" i="17"/>
  <c r="G82" i="17"/>
  <c r="D77" i="17"/>
  <c r="D71" i="17"/>
  <c r="D82" i="17"/>
  <c r="E162" i="17"/>
  <c r="F162" i="17"/>
  <c r="G162" i="17"/>
  <c r="H162" i="17"/>
  <c r="D162" i="17"/>
  <c r="A162" i="17"/>
  <c r="A160" i="17"/>
  <c r="E28" i="17"/>
  <c r="F28" i="17"/>
  <c r="G28" i="17"/>
  <c r="H28" i="17"/>
  <c r="E29" i="17"/>
  <c r="F29" i="17"/>
  <c r="G29" i="17"/>
  <c r="H29" i="17"/>
  <c r="D28" i="17"/>
  <c r="D29" i="17"/>
  <c r="I50" i="17"/>
  <c r="E27" i="17"/>
  <c r="F27" i="17"/>
  <c r="G27" i="17"/>
  <c r="D27" i="17"/>
  <c r="E26" i="17"/>
  <c r="F26" i="17"/>
  <c r="G26" i="17"/>
  <c r="H26" i="17"/>
  <c r="D26" i="17"/>
  <c r="E25" i="17"/>
  <c r="F25" i="17"/>
  <c r="G25" i="17"/>
  <c r="D25" i="17"/>
  <c r="F24" i="17"/>
  <c r="G24" i="17"/>
  <c r="H24" i="17"/>
  <c r="D24" i="17"/>
  <c r="E24" i="17"/>
  <c r="F20" i="17"/>
  <c r="G20" i="17"/>
  <c r="H20" i="17"/>
  <c r="F22" i="17"/>
  <c r="G22" i="17"/>
  <c r="H22" i="17"/>
  <c r="E20" i="17"/>
  <c r="E22" i="17"/>
  <c r="I2" i="17"/>
  <c r="J2" i="17"/>
  <c r="K2" i="17"/>
  <c r="L2" i="17"/>
  <c r="M2" i="17"/>
  <c r="I4" i="17"/>
  <c r="J4" i="17"/>
  <c r="K4" i="17"/>
  <c r="L4" i="17"/>
  <c r="M4" i="17"/>
  <c r="E19" i="17"/>
  <c r="F19" i="17"/>
  <c r="G19" i="17"/>
  <c r="H19" i="17"/>
  <c r="D58" i="17"/>
  <c r="D19" i="17"/>
  <c r="E18" i="17"/>
  <c r="F18" i="17"/>
  <c r="G18" i="17"/>
  <c r="H18" i="17"/>
  <c r="D18" i="17"/>
  <c r="E17" i="17"/>
  <c r="F17" i="17"/>
  <c r="G17" i="17"/>
  <c r="H17" i="17"/>
  <c r="D17" i="17"/>
  <c r="J72" i="15"/>
  <c r="J40" i="17"/>
  <c r="K40" i="17"/>
  <c r="L40" i="17"/>
  <c r="M40" i="17"/>
  <c r="I40" i="17"/>
  <c r="I14" i="15"/>
  <c r="I43" i="15"/>
  <c r="J9" i="16"/>
  <c r="J8" i="17"/>
  <c r="K9" i="16"/>
  <c r="K8" i="17"/>
  <c r="L9" i="16"/>
  <c r="L8" i="17"/>
  <c r="M9" i="16"/>
  <c r="M8" i="17"/>
  <c r="I9" i="16"/>
  <c r="I8" i="17"/>
  <c r="I14" i="16"/>
  <c r="J14" i="16"/>
  <c r="K14" i="16"/>
  <c r="L14" i="16"/>
  <c r="M14" i="16"/>
  <c r="I15" i="16"/>
  <c r="J15" i="16"/>
  <c r="K15" i="16"/>
  <c r="L15" i="16"/>
  <c r="M15" i="16"/>
  <c r="I16" i="16"/>
  <c r="J16" i="16"/>
  <c r="K16" i="16"/>
  <c r="L16" i="16"/>
  <c r="M16" i="16"/>
  <c r="I69" i="16"/>
  <c r="J69" i="16"/>
  <c r="K69" i="16"/>
  <c r="L69" i="16"/>
  <c r="M69" i="16"/>
  <c r="J13" i="15"/>
  <c r="I56" i="16"/>
  <c r="J21" i="15"/>
  <c r="J44" i="15"/>
  <c r="I20" i="15"/>
  <c r="I46" i="15"/>
  <c r="I44" i="15"/>
  <c r="I45" i="15"/>
  <c r="J45" i="15"/>
  <c r="J46" i="15"/>
  <c r="J20" i="15"/>
  <c r="I59" i="16"/>
  <c r="I58" i="16"/>
  <c r="K13" i="15"/>
  <c r="J56" i="16"/>
  <c r="J58" i="16"/>
  <c r="L13" i="15"/>
  <c r="K56" i="16"/>
  <c r="K58" i="16"/>
  <c r="M13" i="15"/>
  <c r="L56" i="16"/>
  <c r="L58" i="16"/>
  <c r="N13" i="15"/>
  <c r="M56" i="16"/>
  <c r="M58" i="16"/>
  <c r="J5" i="15"/>
  <c r="K5" i="15"/>
  <c r="K20" i="15"/>
  <c r="J59" i="16"/>
  <c r="L5" i="15"/>
  <c r="L20" i="15"/>
  <c r="K59" i="16"/>
  <c r="M5" i="15"/>
  <c r="M20" i="15"/>
  <c r="L59" i="16"/>
  <c r="N5" i="15"/>
  <c r="N20" i="15"/>
  <c r="M59" i="16"/>
  <c r="I60" i="16"/>
  <c r="I64" i="16"/>
  <c r="K21" i="15"/>
  <c r="J60" i="16"/>
  <c r="J64" i="16"/>
  <c r="L21" i="15"/>
  <c r="K60" i="16"/>
  <c r="K64" i="16"/>
  <c r="M21" i="15"/>
  <c r="L60" i="16"/>
  <c r="L64" i="16"/>
  <c r="N21" i="15"/>
  <c r="M60" i="16"/>
  <c r="M64" i="16"/>
  <c r="J14" i="15"/>
  <c r="K14" i="15"/>
  <c r="J57" i="16"/>
  <c r="L14" i="15"/>
  <c r="K57" i="16"/>
  <c r="M14" i="15"/>
  <c r="L57" i="16"/>
  <c r="N14" i="15"/>
  <c r="M57" i="16"/>
  <c r="I57" i="16"/>
  <c r="H14" i="15"/>
  <c r="G57" i="16"/>
  <c r="H57" i="16"/>
  <c r="G58" i="16"/>
  <c r="H58" i="16"/>
  <c r="H20" i="15"/>
  <c r="G59" i="16"/>
  <c r="H59" i="16"/>
  <c r="G60" i="16"/>
  <c r="H60" i="16"/>
  <c r="G61" i="16"/>
  <c r="H61" i="16"/>
  <c r="I61" i="16"/>
  <c r="J61" i="16"/>
  <c r="K61" i="16"/>
  <c r="L61" i="16"/>
  <c r="M61" i="16"/>
  <c r="G62" i="16"/>
  <c r="H62" i="16"/>
  <c r="J24" i="15"/>
  <c r="J23" i="15"/>
  <c r="I62" i="16"/>
  <c r="K24" i="15"/>
  <c r="K23" i="15"/>
  <c r="J62" i="16"/>
  <c r="L24" i="15"/>
  <c r="L23" i="15"/>
  <c r="K62" i="16"/>
  <c r="M24" i="15"/>
  <c r="M23" i="15"/>
  <c r="L62" i="16"/>
  <c r="N24" i="15"/>
  <c r="N23" i="15"/>
  <c r="M62" i="16"/>
  <c r="H24" i="15"/>
  <c r="G63" i="16"/>
  <c r="I24" i="15"/>
  <c r="H63" i="16"/>
  <c r="I63" i="16"/>
  <c r="J63" i="16"/>
  <c r="K63" i="16"/>
  <c r="L63" i="16"/>
  <c r="M63" i="16"/>
  <c r="G56" i="16"/>
  <c r="H56" i="16"/>
  <c r="G55" i="16"/>
  <c r="H55" i="16"/>
  <c r="I55" i="16"/>
  <c r="J55" i="16"/>
  <c r="K55" i="16"/>
  <c r="L55" i="16"/>
  <c r="M55" i="16"/>
  <c r="G107" i="15"/>
  <c r="H107" i="15"/>
  <c r="F107" i="15"/>
  <c r="K45" i="15"/>
  <c r="L45" i="15"/>
  <c r="M45" i="15"/>
  <c r="N45" i="15"/>
  <c r="K6" i="15"/>
  <c r="K44" i="15"/>
  <c r="L6" i="15"/>
  <c r="L44" i="15"/>
  <c r="M6" i="15"/>
  <c r="M44" i="15"/>
  <c r="N6" i="15"/>
  <c r="N44" i="15"/>
  <c r="K46" i="15"/>
  <c r="L46" i="15"/>
  <c r="M46" i="15"/>
  <c r="N46" i="15"/>
  <c r="K43" i="15"/>
  <c r="K47" i="15"/>
  <c r="L43" i="15"/>
  <c r="L47" i="15"/>
  <c r="M43" i="15"/>
  <c r="M47" i="15"/>
  <c r="N43" i="15"/>
  <c r="N47" i="15"/>
  <c r="G5" i="15"/>
  <c r="I5" i="15"/>
  <c r="I6" i="15"/>
  <c r="I47" i="15"/>
  <c r="J43" i="15"/>
  <c r="J47" i="15"/>
  <c r="I15" i="15"/>
  <c r="H15" i="15"/>
  <c r="I4" i="15"/>
  <c r="J4" i="15"/>
  <c r="K4" i="15"/>
  <c r="L4" i="15"/>
  <c r="M4" i="15"/>
  <c r="N4" i="15"/>
  <c r="J15" i="15"/>
  <c r="K15" i="15"/>
  <c r="K39" i="15"/>
  <c r="L15" i="15"/>
  <c r="L39" i="15"/>
  <c r="M15" i="15"/>
  <c r="M39" i="15"/>
  <c r="N15" i="15"/>
  <c r="N39" i="15"/>
  <c r="J39" i="15"/>
  <c r="I3" i="15"/>
  <c r="J14" i="17"/>
  <c r="J15" i="17"/>
  <c r="K14" i="17"/>
  <c r="K15" i="17"/>
  <c r="L14" i="17"/>
  <c r="L15" i="17"/>
  <c r="M14" i="17"/>
  <c r="M15" i="17"/>
  <c r="I14" i="17"/>
  <c r="I15" i="17"/>
  <c r="I13" i="17"/>
  <c r="J13" i="17"/>
  <c r="K13" i="17"/>
  <c r="L13" i="17"/>
  <c r="M13" i="17"/>
  <c r="H45" i="15"/>
  <c r="G212" i="17"/>
  <c r="G217" i="17"/>
  <c r="L224" i="17"/>
  <c r="H201" i="17"/>
  <c r="H203" i="17"/>
  <c r="C194" i="17"/>
  <c r="E195" i="17"/>
  <c r="F195" i="17"/>
  <c r="G195" i="17"/>
  <c r="G194" i="17"/>
  <c r="H195" i="17"/>
  <c r="H194" i="17"/>
  <c r="H196" i="17"/>
  <c r="G201" i="17"/>
  <c r="G203" i="17"/>
  <c r="F194" i="17"/>
  <c r="G196" i="17"/>
  <c r="F201" i="17"/>
  <c r="F203" i="17"/>
  <c r="E194" i="17"/>
  <c r="F196" i="17"/>
  <c r="E201" i="17"/>
  <c r="E203" i="17"/>
  <c r="D194" i="17"/>
  <c r="E196" i="17"/>
  <c r="D201" i="17"/>
  <c r="D203" i="17"/>
  <c r="D196" i="17"/>
  <c r="H223" i="17"/>
  <c r="G223" i="17"/>
  <c r="F223" i="17"/>
  <c r="E223" i="17"/>
  <c r="D223" i="17"/>
  <c r="G213" i="17"/>
  <c r="G214" i="17"/>
  <c r="G215" i="17"/>
  <c r="C209" i="17"/>
  <c r="I194" i="17"/>
  <c r="K212" i="17"/>
  <c r="D193" i="17"/>
  <c r="E193" i="17"/>
  <c r="F193" i="17"/>
  <c r="G193" i="17"/>
  <c r="H193" i="17"/>
  <c r="H176" i="17"/>
  <c r="G176" i="17"/>
  <c r="F176" i="17"/>
  <c r="E176" i="17"/>
  <c r="D176" i="17"/>
  <c r="G175" i="17"/>
  <c r="F175" i="17"/>
  <c r="E175" i="17"/>
  <c r="D175" i="17"/>
  <c r="G174" i="17"/>
  <c r="F174" i="17"/>
  <c r="E174" i="17"/>
  <c r="D174" i="17"/>
  <c r="H173" i="17"/>
  <c r="G173" i="17"/>
  <c r="F173" i="17"/>
  <c r="E173" i="17"/>
  <c r="G167" i="17"/>
  <c r="G168" i="17"/>
  <c r="G169" i="17"/>
  <c r="G170" i="17"/>
  <c r="F167" i="17"/>
  <c r="F168" i="17"/>
  <c r="F169" i="17"/>
  <c r="F170" i="17"/>
  <c r="E167" i="17"/>
  <c r="E168" i="17"/>
  <c r="E169" i="17"/>
  <c r="E170" i="17"/>
  <c r="D167" i="17"/>
  <c r="D168" i="17"/>
  <c r="D169" i="17"/>
  <c r="D170" i="17"/>
  <c r="H164" i="17"/>
  <c r="G164" i="17"/>
  <c r="F164" i="17"/>
  <c r="E164" i="17"/>
  <c r="D147" i="17"/>
  <c r="D134" i="17"/>
  <c r="D60" i="17"/>
  <c r="D112" i="17"/>
  <c r="D126" i="17"/>
  <c r="D149" i="17"/>
  <c r="J102" i="17"/>
  <c r="K102" i="17"/>
  <c r="L102" i="17"/>
  <c r="M102" i="17"/>
  <c r="H89" i="17"/>
  <c r="H96" i="17"/>
  <c r="H104" i="17"/>
  <c r="H106" i="17"/>
  <c r="G89" i="17"/>
  <c r="G96" i="17"/>
  <c r="G103" i="17"/>
  <c r="G104" i="17"/>
  <c r="G106" i="17"/>
  <c r="F89" i="17"/>
  <c r="F96" i="17"/>
  <c r="F103" i="17"/>
  <c r="F104" i="17"/>
  <c r="F106" i="17"/>
  <c r="E89" i="17"/>
  <c r="E96" i="17"/>
  <c r="E103" i="17"/>
  <c r="E104" i="17"/>
  <c r="E106" i="17"/>
  <c r="D89" i="17"/>
  <c r="D96" i="17"/>
  <c r="D103" i="17"/>
  <c r="D104" i="17"/>
  <c r="D106" i="17"/>
  <c r="H3" i="17"/>
  <c r="G3" i="17"/>
  <c r="F3" i="17"/>
  <c r="E3" i="17"/>
  <c r="D3" i="17"/>
  <c r="G71" i="15"/>
  <c r="M67" i="16"/>
  <c r="L67" i="16"/>
  <c r="K67" i="16"/>
  <c r="J67" i="16"/>
  <c r="I67" i="16"/>
  <c r="M66" i="16"/>
  <c r="L66" i="16"/>
  <c r="K66" i="16"/>
  <c r="J66" i="16"/>
  <c r="I66" i="16"/>
  <c r="E2" i="16"/>
  <c r="F2" i="16"/>
  <c r="G2" i="16"/>
  <c r="H2" i="16"/>
  <c r="I2" i="16"/>
  <c r="J2" i="16"/>
  <c r="K2" i="16"/>
  <c r="L2" i="16"/>
  <c r="M2" i="16"/>
  <c r="K7" i="15"/>
  <c r="L7" i="15"/>
  <c r="M7" i="15"/>
  <c r="N7" i="15"/>
  <c r="K59" i="15"/>
  <c r="K61" i="15"/>
  <c r="K63" i="15"/>
  <c r="K68" i="15"/>
  <c r="K66" i="15"/>
  <c r="J7" i="15"/>
  <c r="I7" i="15"/>
  <c r="I2" i="15"/>
  <c r="F1" i="15"/>
  <c r="G1" i="15"/>
  <c r="H1" i="15"/>
  <c r="I1" i="15"/>
  <c r="J1" i="15"/>
  <c r="K1" i="15"/>
  <c r="L1" i="15"/>
  <c r="M1" i="15"/>
  <c r="N1" i="15"/>
  <c r="L189" i="15"/>
  <c r="J189" i="15"/>
  <c r="H189" i="15"/>
  <c r="A182" i="15"/>
  <c r="A183" i="15"/>
  <c r="A184" i="15"/>
  <c r="A185" i="15"/>
  <c r="A186" i="15"/>
  <c r="A187" i="15"/>
  <c r="A188" i="15"/>
  <c r="J173" i="15"/>
  <c r="J176" i="15"/>
  <c r="I173" i="15"/>
  <c r="I176" i="15"/>
  <c r="K69" i="15"/>
  <c r="I99" i="15"/>
  <c r="O97" i="15"/>
  <c r="J97" i="15"/>
  <c r="O100" i="15"/>
  <c r="N97" i="15"/>
  <c r="N100" i="15"/>
  <c r="M97" i="15"/>
  <c r="M100" i="15"/>
  <c r="L97" i="15"/>
  <c r="L100" i="15"/>
  <c r="K97" i="15"/>
  <c r="K100" i="15"/>
  <c r="J96" i="15"/>
  <c r="J98" i="15"/>
  <c r="J99" i="15"/>
  <c r="J100" i="15"/>
  <c r="I96" i="15"/>
  <c r="I97" i="15"/>
  <c r="I98" i="15"/>
  <c r="I100" i="15"/>
  <c r="H96" i="15"/>
  <c r="H97" i="15"/>
  <c r="H98" i="15"/>
  <c r="H99" i="15"/>
  <c r="H100" i="15"/>
  <c r="G96" i="15"/>
  <c r="G97" i="15"/>
  <c r="G98" i="15"/>
  <c r="G99" i="15"/>
  <c r="G100" i="15"/>
  <c r="F96" i="15"/>
  <c r="F97" i="15"/>
  <c r="F98" i="15"/>
  <c r="F99" i="15"/>
  <c r="F100" i="15"/>
  <c r="O99" i="15"/>
  <c r="N99" i="15"/>
  <c r="M99" i="15"/>
  <c r="L99" i="15"/>
  <c r="K99" i="15"/>
  <c r="K98" i="15"/>
  <c r="L98" i="15"/>
  <c r="M98" i="15"/>
  <c r="N98" i="15"/>
  <c r="O98" i="15"/>
  <c r="O96" i="15"/>
  <c r="N96" i="15"/>
  <c r="M96" i="15"/>
  <c r="L96" i="15"/>
  <c r="K96" i="15"/>
  <c r="J87" i="15"/>
  <c r="J89" i="15"/>
  <c r="J88" i="15"/>
  <c r="J85" i="15"/>
  <c r="J86" i="15"/>
  <c r="K86" i="15"/>
  <c r="I84" i="15"/>
  <c r="K83" i="15"/>
  <c r="K70" i="15"/>
  <c r="K67" i="15"/>
  <c r="K62" i="15"/>
  <c r="K60" i="15"/>
  <c r="D17" i="12"/>
  <c r="D15" i="12"/>
  <c r="D9" i="12"/>
  <c r="G140" i="12"/>
  <c r="G145" i="12"/>
  <c r="L152" i="12"/>
  <c r="I25" i="12"/>
  <c r="J25" i="12"/>
  <c r="K25" i="12"/>
  <c r="L25" i="12"/>
  <c r="M25" i="12"/>
  <c r="M26" i="12"/>
  <c r="M27" i="12"/>
  <c r="M29" i="12"/>
  <c r="M30" i="12"/>
  <c r="H98" i="12"/>
  <c r="I95" i="12"/>
  <c r="I96" i="12"/>
  <c r="I97" i="12"/>
  <c r="I98" i="12"/>
  <c r="J95" i="12"/>
  <c r="J96" i="12"/>
  <c r="J97" i="12"/>
  <c r="J98" i="12"/>
  <c r="K95" i="12"/>
  <c r="K96" i="12"/>
  <c r="K97" i="12"/>
  <c r="K98" i="12"/>
  <c r="L95" i="12"/>
  <c r="L96" i="12"/>
  <c r="L97" i="12"/>
  <c r="L98" i="12"/>
  <c r="M95" i="12"/>
  <c r="M97" i="12"/>
  <c r="M31" i="12"/>
  <c r="H103" i="12"/>
  <c r="I101" i="12"/>
  <c r="I102" i="12"/>
  <c r="I103" i="12"/>
  <c r="J101" i="12"/>
  <c r="J102" i="12"/>
  <c r="J103" i="12"/>
  <c r="K101" i="12"/>
  <c r="K102" i="12"/>
  <c r="K103" i="12"/>
  <c r="L101" i="12"/>
  <c r="L102" i="12"/>
  <c r="L103" i="12"/>
  <c r="M101" i="12"/>
  <c r="M102" i="12"/>
  <c r="M103" i="12"/>
  <c r="M104" i="12"/>
  <c r="M32" i="12"/>
  <c r="M33" i="12"/>
  <c r="M34" i="12"/>
  <c r="H126" i="12"/>
  <c r="H127" i="12"/>
  <c r="H128" i="12"/>
  <c r="M66" i="12"/>
  <c r="H129" i="12"/>
  <c r="M96" i="12"/>
  <c r="H131" i="12"/>
  <c r="M44" i="12"/>
  <c r="M88" i="12"/>
  <c r="M45" i="12"/>
  <c r="M89" i="12"/>
  <c r="M50" i="12"/>
  <c r="M90" i="12"/>
  <c r="M91" i="12"/>
  <c r="L44" i="12"/>
  <c r="L88" i="12"/>
  <c r="L26" i="12"/>
  <c r="L45" i="12"/>
  <c r="L89" i="12"/>
  <c r="L50" i="12"/>
  <c r="L90" i="12"/>
  <c r="L91" i="12"/>
  <c r="M92" i="12"/>
  <c r="H132" i="12"/>
  <c r="H133" i="12"/>
  <c r="C122" i="12"/>
  <c r="E123" i="12"/>
  <c r="F123" i="12"/>
  <c r="G123" i="12"/>
  <c r="G122" i="12"/>
  <c r="H123" i="12"/>
  <c r="H122" i="12"/>
  <c r="H124" i="12"/>
  <c r="H135" i="12"/>
  <c r="H137" i="12"/>
  <c r="H152" i="12"/>
  <c r="L27" i="12"/>
  <c r="L29" i="12"/>
  <c r="L30" i="12"/>
  <c r="L31" i="12"/>
  <c r="L104" i="12"/>
  <c r="L32" i="12"/>
  <c r="L33" i="12"/>
  <c r="L34" i="12"/>
  <c r="G126" i="12"/>
  <c r="G127" i="12"/>
  <c r="G128" i="12"/>
  <c r="L66" i="12"/>
  <c r="G129" i="12"/>
  <c r="G131" i="12"/>
  <c r="K44" i="12"/>
  <c r="K88" i="12"/>
  <c r="K26" i="12"/>
  <c r="K45" i="12"/>
  <c r="K89" i="12"/>
  <c r="K50" i="12"/>
  <c r="K90" i="12"/>
  <c r="K91" i="12"/>
  <c r="L92" i="12"/>
  <c r="G132" i="12"/>
  <c r="G133" i="12"/>
  <c r="F122" i="12"/>
  <c r="G124" i="12"/>
  <c r="G135" i="12"/>
  <c r="G137" i="12"/>
  <c r="G152" i="12"/>
  <c r="K27" i="12"/>
  <c r="K29" i="12"/>
  <c r="K30" i="12"/>
  <c r="K31" i="12"/>
  <c r="K104" i="12"/>
  <c r="K32" i="12"/>
  <c r="K33" i="12"/>
  <c r="K34" i="12"/>
  <c r="F126" i="12"/>
  <c r="F127" i="12"/>
  <c r="F128" i="12"/>
  <c r="K66" i="12"/>
  <c r="F129" i="12"/>
  <c r="F131" i="12"/>
  <c r="J44" i="12"/>
  <c r="J88" i="12"/>
  <c r="J26" i="12"/>
  <c r="J45" i="12"/>
  <c r="J89" i="12"/>
  <c r="J50" i="12"/>
  <c r="J90" i="12"/>
  <c r="J91" i="12"/>
  <c r="K92" i="12"/>
  <c r="F132" i="12"/>
  <c r="F133" i="12"/>
  <c r="E122" i="12"/>
  <c r="F124" i="12"/>
  <c r="F135" i="12"/>
  <c r="F137" i="12"/>
  <c r="F152" i="12"/>
  <c r="J27" i="12"/>
  <c r="J29" i="12"/>
  <c r="J30" i="12"/>
  <c r="J31" i="12"/>
  <c r="J104" i="12"/>
  <c r="J32" i="12"/>
  <c r="J33" i="12"/>
  <c r="J34" i="12"/>
  <c r="E126" i="12"/>
  <c r="E127" i="12"/>
  <c r="E128" i="12"/>
  <c r="J66" i="12"/>
  <c r="E129" i="12"/>
  <c r="E131" i="12"/>
  <c r="I44" i="12"/>
  <c r="I88" i="12"/>
  <c r="I26" i="12"/>
  <c r="I45" i="12"/>
  <c r="I89" i="12"/>
  <c r="I50" i="12"/>
  <c r="I90" i="12"/>
  <c r="I91" i="12"/>
  <c r="J92" i="12"/>
  <c r="E132" i="12"/>
  <c r="E133" i="12"/>
  <c r="D122" i="12"/>
  <c r="E124" i="12"/>
  <c r="E135" i="12"/>
  <c r="E137" i="12"/>
  <c r="E152" i="12"/>
  <c r="I27" i="12"/>
  <c r="I29" i="12"/>
  <c r="I30" i="12"/>
  <c r="I31" i="12"/>
  <c r="I104" i="12"/>
  <c r="I32" i="12"/>
  <c r="I33" i="12"/>
  <c r="I34" i="12"/>
  <c r="D126" i="12"/>
  <c r="D127" i="12"/>
  <c r="D128" i="12"/>
  <c r="I66" i="12"/>
  <c r="D129" i="12"/>
  <c r="D131" i="12"/>
  <c r="H91" i="12"/>
  <c r="I92" i="12"/>
  <c r="D132" i="12"/>
  <c r="D133" i="12"/>
  <c r="D124" i="12"/>
  <c r="D135" i="12"/>
  <c r="D137" i="12"/>
  <c r="D152" i="12"/>
  <c r="H151" i="12"/>
  <c r="G151" i="12"/>
  <c r="F151" i="12"/>
  <c r="E151" i="12"/>
  <c r="D151" i="12"/>
  <c r="C142" i="12"/>
  <c r="G141" i="12"/>
  <c r="C141" i="12"/>
  <c r="G142" i="12"/>
  <c r="G143" i="12"/>
  <c r="C137" i="12"/>
  <c r="I122" i="12"/>
  <c r="H130" i="12"/>
  <c r="M122" i="12"/>
  <c r="M123" i="12"/>
  <c r="M124" i="12"/>
  <c r="I133" i="12"/>
  <c r="I135" i="12"/>
  <c r="I137" i="12"/>
  <c r="K143" i="12"/>
  <c r="K140" i="12"/>
  <c r="G130" i="12"/>
  <c r="F130" i="12"/>
  <c r="E130" i="12"/>
  <c r="D130" i="12"/>
  <c r="D121" i="12"/>
  <c r="E121" i="12"/>
  <c r="F121" i="12"/>
  <c r="G121" i="12"/>
  <c r="H121" i="12"/>
  <c r="G103" i="12"/>
  <c r="F103" i="12"/>
  <c r="E103" i="12"/>
  <c r="D103" i="12"/>
  <c r="M98" i="12"/>
  <c r="G98" i="12"/>
  <c r="F98" i="12"/>
  <c r="E98" i="12"/>
  <c r="D98" i="12"/>
  <c r="G91" i="12"/>
  <c r="H92" i="12"/>
  <c r="F91" i="12"/>
  <c r="G92" i="12"/>
  <c r="E91" i="12"/>
  <c r="F92" i="12"/>
  <c r="D91" i="12"/>
  <c r="E92" i="12"/>
  <c r="D92" i="12"/>
  <c r="M36" i="12"/>
  <c r="M37" i="12"/>
  <c r="M65" i="12"/>
  <c r="M67" i="12"/>
  <c r="M68" i="12"/>
  <c r="M71" i="12"/>
  <c r="M72" i="12"/>
  <c r="M75" i="12"/>
  <c r="M76" i="12"/>
  <c r="M77" i="12"/>
  <c r="M79" i="12"/>
  <c r="L36" i="12"/>
  <c r="L37" i="12"/>
  <c r="L65" i="12"/>
  <c r="L67" i="12"/>
  <c r="L68" i="12"/>
  <c r="L71" i="12"/>
  <c r="L72" i="12"/>
  <c r="L75" i="12"/>
  <c r="L76" i="12"/>
  <c r="L77" i="12"/>
  <c r="L79" i="12"/>
  <c r="K36" i="12"/>
  <c r="K37" i="12"/>
  <c r="K65" i="12"/>
  <c r="K67" i="12"/>
  <c r="K68" i="12"/>
  <c r="K71" i="12"/>
  <c r="K72" i="12"/>
  <c r="K75" i="12"/>
  <c r="K76" i="12"/>
  <c r="K77" i="12"/>
  <c r="K79" i="12"/>
  <c r="J36" i="12"/>
  <c r="J37" i="12"/>
  <c r="J65" i="12"/>
  <c r="J67" i="12"/>
  <c r="J68" i="12"/>
  <c r="J71" i="12"/>
  <c r="J72" i="12"/>
  <c r="J75" i="12"/>
  <c r="J76" i="12"/>
  <c r="J77" i="12"/>
  <c r="J79" i="12"/>
  <c r="I36" i="12"/>
  <c r="I37" i="12"/>
  <c r="I65" i="12"/>
  <c r="I67" i="12"/>
  <c r="I68" i="12"/>
  <c r="I71" i="12"/>
  <c r="I72" i="12"/>
  <c r="I75" i="12"/>
  <c r="I76" i="12"/>
  <c r="I77" i="12"/>
  <c r="I79" i="12"/>
  <c r="H68" i="12"/>
  <c r="H72" i="12"/>
  <c r="H77" i="12"/>
  <c r="H79" i="12"/>
  <c r="H81" i="12"/>
  <c r="I80" i="12"/>
  <c r="I81" i="12"/>
  <c r="J80" i="12"/>
  <c r="J81" i="12"/>
  <c r="K80" i="12"/>
  <c r="K81" i="12"/>
  <c r="L80" i="12"/>
  <c r="L81" i="12"/>
  <c r="M80" i="12"/>
  <c r="M81" i="12"/>
  <c r="G68" i="12"/>
  <c r="G72" i="12"/>
  <c r="G77" i="12"/>
  <c r="G79" i="12"/>
  <c r="G81" i="12"/>
  <c r="F68" i="12"/>
  <c r="F72" i="12"/>
  <c r="F77" i="12"/>
  <c r="F79" i="12"/>
  <c r="F81" i="12"/>
  <c r="E68" i="12"/>
  <c r="E72" i="12"/>
  <c r="E77" i="12"/>
  <c r="E79" i="12"/>
  <c r="E81" i="12"/>
  <c r="D68" i="12"/>
  <c r="D72" i="12"/>
  <c r="D77" i="12"/>
  <c r="D79" i="12"/>
  <c r="D81" i="12"/>
  <c r="I54" i="12"/>
  <c r="J54" i="12"/>
  <c r="K54" i="12"/>
  <c r="L54" i="12"/>
  <c r="M54" i="12"/>
  <c r="I55" i="12"/>
  <c r="J55" i="12"/>
  <c r="K55" i="12"/>
  <c r="L55" i="12"/>
  <c r="M55" i="12"/>
  <c r="M56" i="12"/>
  <c r="M51" i="12"/>
  <c r="M52" i="12"/>
  <c r="M57" i="12"/>
  <c r="M43" i="12"/>
  <c r="M46" i="12"/>
  <c r="M47" i="12"/>
  <c r="M59" i="12"/>
  <c r="L56" i="12"/>
  <c r="L51" i="12"/>
  <c r="L52" i="12"/>
  <c r="L57" i="12"/>
  <c r="L43" i="12"/>
  <c r="L46" i="12"/>
  <c r="L47" i="12"/>
  <c r="L59" i="12"/>
  <c r="K56" i="12"/>
  <c r="K51" i="12"/>
  <c r="K52" i="12"/>
  <c r="K57" i="12"/>
  <c r="K43" i="12"/>
  <c r="K46" i="12"/>
  <c r="K47" i="12"/>
  <c r="K59" i="12"/>
  <c r="J56" i="12"/>
  <c r="J51" i="12"/>
  <c r="J52" i="12"/>
  <c r="J57" i="12"/>
  <c r="J43" i="12"/>
  <c r="J46" i="12"/>
  <c r="J47" i="12"/>
  <c r="J59" i="12"/>
  <c r="I56" i="12"/>
  <c r="I51" i="12"/>
  <c r="I52" i="12"/>
  <c r="I57" i="12"/>
  <c r="I43" i="12"/>
  <c r="I46" i="12"/>
  <c r="I47" i="12"/>
  <c r="I59" i="12"/>
  <c r="H52" i="12"/>
  <c r="H56" i="12"/>
  <c r="H57" i="12"/>
  <c r="H47" i="12"/>
  <c r="H59" i="12"/>
  <c r="G52" i="12"/>
  <c r="G56" i="12"/>
  <c r="G57" i="12"/>
  <c r="G47" i="12"/>
  <c r="G59" i="12"/>
  <c r="F52" i="12"/>
  <c r="F56" i="12"/>
  <c r="F57" i="12"/>
  <c r="F47" i="12"/>
  <c r="F59" i="12"/>
  <c r="E52" i="12"/>
  <c r="E56" i="12"/>
  <c r="E57" i="12"/>
  <c r="E47" i="12"/>
  <c r="E59" i="12"/>
  <c r="D52" i="12"/>
  <c r="D56" i="12"/>
  <c r="D57" i="12"/>
  <c r="D47" i="12"/>
  <c r="D59" i="12"/>
  <c r="H27" i="12"/>
  <c r="H33" i="12"/>
  <c r="H34" i="12"/>
  <c r="H37" i="12"/>
  <c r="G27" i="12"/>
  <c r="G33" i="12"/>
  <c r="G34" i="12"/>
  <c r="G37" i="12"/>
  <c r="F27" i="12"/>
  <c r="F33" i="12"/>
  <c r="F34" i="12"/>
  <c r="F37" i="12"/>
  <c r="E27" i="12"/>
  <c r="E33" i="12"/>
  <c r="E34" i="12"/>
  <c r="E37" i="12"/>
  <c r="D27" i="12"/>
  <c r="D33" i="12"/>
  <c r="D34" i="12"/>
  <c r="D37" i="12"/>
  <c r="H20" i="12"/>
  <c r="G20" i="12"/>
  <c r="F20" i="12"/>
  <c r="E20" i="12"/>
  <c r="D20" i="12"/>
  <c r="H19" i="12"/>
  <c r="G19" i="12"/>
  <c r="F19" i="12"/>
  <c r="E19" i="12"/>
  <c r="D19" i="12"/>
  <c r="H18" i="12"/>
  <c r="G18" i="12"/>
  <c r="F18" i="12"/>
  <c r="E18" i="12"/>
  <c r="D18" i="12"/>
  <c r="H17" i="12"/>
  <c r="G17" i="12"/>
  <c r="F17" i="12"/>
  <c r="E17" i="12"/>
  <c r="H16" i="12"/>
  <c r="G16" i="12"/>
  <c r="F16" i="12"/>
  <c r="E16" i="12"/>
  <c r="D16" i="12"/>
  <c r="H15" i="12"/>
  <c r="G15" i="12"/>
  <c r="F15" i="12"/>
  <c r="E15" i="12"/>
  <c r="H14" i="12"/>
  <c r="G14" i="12"/>
  <c r="F14" i="12"/>
  <c r="E14" i="12"/>
  <c r="D14" i="12"/>
  <c r="H13" i="12"/>
  <c r="G13" i="12"/>
  <c r="F13" i="12"/>
  <c r="E13" i="12"/>
  <c r="D13" i="12"/>
  <c r="H12" i="12"/>
  <c r="G12" i="12"/>
  <c r="F12" i="12"/>
  <c r="E12" i="12"/>
  <c r="D12" i="12"/>
  <c r="H11" i="12"/>
  <c r="G11" i="12"/>
  <c r="F11" i="12"/>
  <c r="E11" i="12"/>
  <c r="D11" i="12"/>
  <c r="H10" i="12"/>
  <c r="G10" i="12"/>
  <c r="F10" i="12"/>
  <c r="E10" i="12"/>
  <c r="D10" i="12"/>
  <c r="H9" i="12"/>
  <c r="G9" i="12"/>
  <c r="F9" i="12"/>
  <c r="E9" i="12"/>
  <c r="H8" i="12"/>
  <c r="G8" i="12"/>
  <c r="F8" i="12"/>
  <c r="E8" i="12"/>
  <c r="D8" i="12"/>
  <c r="M3" i="12"/>
  <c r="L3" i="12"/>
  <c r="K3" i="12"/>
  <c r="J3" i="12"/>
  <c r="I3" i="12"/>
  <c r="H3" i="12"/>
  <c r="G3" i="12"/>
  <c r="F3" i="12"/>
  <c r="E3" i="12"/>
  <c r="D3" i="12"/>
  <c r="E2" i="12"/>
  <c r="F2" i="12"/>
  <c r="G2" i="12"/>
  <c r="H2" i="12"/>
  <c r="I2" i="12"/>
  <c r="J2" i="12"/>
  <c r="K2" i="12"/>
  <c r="L2" i="12"/>
  <c r="M2" i="12"/>
  <c r="G6" i="4"/>
  <c r="I6" i="4"/>
  <c r="G7" i="4"/>
  <c r="I7" i="4"/>
  <c r="G8" i="4"/>
  <c r="I8" i="4"/>
  <c r="K6" i="1"/>
  <c r="L6" i="1"/>
  <c r="M6" i="1"/>
  <c r="K7" i="1"/>
  <c r="L7" i="1"/>
  <c r="M7" i="1"/>
  <c r="K8" i="1"/>
  <c r="L8" i="1"/>
  <c r="M8" i="1"/>
  <c r="K9" i="1"/>
  <c r="L9" i="1"/>
  <c r="M9" i="1"/>
  <c r="K10" i="1"/>
  <c r="L10" i="1"/>
  <c r="M10" i="1"/>
  <c r="K11" i="1"/>
  <c r="L11" i="1"/>
  <c r="M11" i="1"/>
  <c r="E8" i="5"/>
  <c r="O8" i="5"/>
  <c r="L14" i="1"/>
  <c r="G8" i="5"/>
  <c r="K14" i="1"/>
  <c r="M13" i="1"/>
  <c r="D16" i="4"/>
  <c r="L13" i="1"/>
  <c r="D15" i="4"/>
  <c r="D8" i="4"/>
  <c r="H8" i="4"/>
  <c r="K13" i="1"/>
  <c r="D14" i="4"/>
  <c r="M14" i="1"/>
  <c r="M8" i="5"/>
  <c r="D6" i="4"/>
  <c r="F6" i="4"/>
  <c r="H6" i="4"/>
  <c r="J6" i="4"/>
  <c r="N8" i="5"/>
  <c r="J19" i="4"/>
  <c r="J8" i="4"/>
  <c r="F8" i="4"/>
  <c r="D7" i="4"/>
  <c r="F7" i="4"/>
  <c r="H7" i="4"/>
  <c r="J7" i="4"/>
  <c r="J10" i="4"/>
  <c r="O16" i="4"/>
  <c r="P16" i="4"/>
  <c r="Q16" i="4"/>
  <c r="N15" i="4"/>
  <c r="O15" i="4"/>
  <c r="J11" i="4"/>
  <c r="Q15" i="4"/>
  <c r="P15" i="4"/>
  <c r="C140" i="12"/>
  <c r="C143" i="12"/>
  <c r="C145" i="12"/>
  <c r="K141" i="12"/>
  <c r="K142" i="12"/>
  <c r="L154" i="12"/>
  <c r="L153" i="12"/>
  <c r="D198" i="17"/>
  <c r="D199" i="17"/>
  <c r="D204" i="17"/>
  <c r="D200" i="17"/>
  <c r="D205" i="17"/>
  <c r="D207" i="17"/>
  <c r="D209" i="17"/>
  <c r="D224" i="17"/>
  <c r="D202" i="17"/>
  <c r="E198" i="17"/>
  <c r="E199" i="17"/>
  <c r="E200" i="17"/>
  <c r="E204" i="17"/>
  <c r="E205" i="17"/>
  <c r="E207" i="17"/>
  <c r="F198" i="17"/>
  <c r="F199" i="17"/>
  <c r="F200" i="17"/>
  <c r="F204" i="17"/>
  <c r="F205" i="17"/>
  <c r="F207" i="17"/>
  <c r="G198" i="17"/>
  <c r="G199" i="17"/>
  <c r="G200" i="17"/>
  <c r="G204" i="17"/>
  <c r="G205" i="17"/>
  <c r="G207" i="17"/>
  <c r="H198" i="17"/>
  <c r="H199" i="17"/>
  <c r="H200" i="17"/>
  <c r="H204" i="17"/>
  <c r="H205" i="17"/>
  <c r="H207" i="17"/>
  <c r="H202" i="17"/>
  <c r="M194" i="17"/>
  <c r="M195" i="17"/>
  <c r="M196" i="17"/>
  <c r="I205" i="17"/>
  <c r="I207" i="17"/>
  <c r="C212" i="17"/>
  <c r="C215" i="17"/>
  <c r="C217" i="17"/>
  <c r="L226" i="17"/>
  <c r="L225" i="17"/>
  <c r="K213" i="17"/>
  <c r="K214" i="17"/>
  <c r="J89" i="17"/>
  <c r="J96" i="17"/>
  <c r="J103" i="17"/>
  <c r="J104" i="17"/>
  <c r="K89" i="17"/>
  <c r="K96" i="17"/>
  <c r="K103" i="17"/>
  <c r="K104" i="17"/>
  <c r="L89" i="17"/>
  <c r="L96" i="17"/>
  <c r="L103" i="17"/>
  <c r="L104" i="17"/>
  <c r="M89" i="17"/>
  <c r="M96" i="17"/>
  <c r="M103" i="17"/>
  <c r="M104" i="17"/>
  <c r="E209" i="17"/>
  <c r="F209" i="17"/>
  <c r="G209" i="17"/>
  <c r="H209" i="17"/>
  <c r="I209" i="17"/>
  <c r="K215" i="17"/>
  <c r="E224" i="17"/>
  <c r="F224" i="17"/>
  <c r="G224" i="17"/>
  <c r="H224" i="17"/>
  <c r="E202" i="17"/>
  <c r="F202" i="17"/>
  <c r="G202" i="17"/>
  <c r="I66" i="17"/>
  <c r="I71" i="17"/>
  <c r="I82" i="17"/>
  <c r="I106" i="17"/>
  <c r="I3" i="17"/>
  <c r="J106" i="17"/>
  <c r="J3" i="17"/>
  <c r="K106" i="17"/>
  <c r="K3" i="17"/>
  <c r="L106" i="17"/>
  <c r="L3" i="17"/>
  <c r="M106" i="17"/>
  <c r="M3" i="17"/>
</calcChain>
</file>

<file path=xl/comments1.xml><?xml version="1.0" encoding="utf-8"?>
<comments xmlns="http://schemas.openxmlformats.org/spreadsheetml/2006/main">
  <authors>
    <author>Author</author>
  </authors>
  <commentList>
    <comment ref="C194" authorId="0">
      <text>
        <r>
          <rPr>
            <b/>
            <sz val="9"/>
            <color indexed="81"/>
            <rFont val="Tahoma"/>
            <family val="2"/>
          </rPr>
          <t>CFI:</t>
        </r>
        <r>
          <rPr>
            <sz val="9"/>
            <color indexed="81"/>
            <rFont val="Tahoma"/>
            <family val="2"/>
          </rPr>
          <t xml:space="preserve">
The transaction date should be between the end date of last available historical results (12/31/2017) and the end of first forecast year (12/31/2018)</t>
        </r>
      </text>
    </comment>
  </commentList>
</comments>
</file>

<file path=xl/comments2.xml><?xml version="1.0" encoding="utf-8"?>
<comments xmlns="http://schemas.openxmlformats.org/spreadsheetml/2006/main">
  <authors>
    <author>Author</author>
  </authors>
  <commentList>
    <comment ref="C122" authorId="0">
      <text>
        <r>
          <rPr>
            <b/>
            <sz val="9"/>
            <color indexed="81"/>
            <rFont val="Tahoma"/>
            <family val="2"/>
          </rPr>
          <t>CFI:</t>
        </r>
        <r>
          <rPr>
            <sz val="9"/>
            <color indexed="81"/>
            <rFont val="Tahoma"/>
            <family val="2"/>
          </rPr>
          <t xml:space="preserve">
The transaction date should be between the end date of last available historical results (12/31/2017) and the end of first forecast year (12/31/2018)</t>
        </r>
      </text>
    </comment>
  </commentList>
</comments>
</file>

<file path=xl/sharedStrings.xml><?xml version="1.0" encoding="utf-8"?>
<sst xmlns="http://schemas.openxmlformats.org/spreadsheetml/2006/main" count="779" uniqueCount="492">
  <si>
    <t>Company Name</t>
  </si>
  <si>
    <t>Date</t>
  </si>
  <si>
    <t>Target</t>
  </si>
  <si>
    <t>Buyers</t>
  </si>
  <si>
    <t>Valuation</t>
  </si>
  <si>
    <t>EV/Sales</t>
  </si>
  <si>
    <t>EV/EBITDA</t>
  </si>
  <si>
    <t>EV/EBIT</t>
  </si>
  <si>
    <t>Average</t>
  </si>
  <si>
    <t>Median</t>
  </si>
  <si>
    <t>52 wk hi/lo</t>
  </si>
  <si>
    <t>DCF - blue sky</t>
  </si>
  <si>
    <t>DCF - base case</t>
  </si>
  <si>
    <t>Precedents</t>
  </si>
  <si>
    <t>Comps</t>
  </si>
  <si>
    <t>Market Data</t>
  </si>
  <si>
    <t>Financial Data (FY+1)</t>
  </si>
  <si>
    <t>Valuation (FY+1)</t>
  </si>
  <si>
    <t>Price</t>
  </si>
  <si>
    <t>Shares</t>
  </si>
  <si>
    <t>Market Cap</t>
  </si>
  <si>
    <t>Net Debt</t>
  </si>
  <si>
    <t>EV</t>
  </si>
  <si>
    <t>Sales</t>
  </si>
  <si>
    <t>EBITDA</t>
  </si>
  <si>
    <t>EBIT</t>
  </si>
  <si>
    <t>Earnings</t>
  </si>
  <si>
    <t>P/E</t>
  </si>
  <si>
    <t>($/share)</t>
  </si>
  <si>
    <t>(M)</t>
  </si>
  <si>
    <t>($M)</t>
  </si>
  <si>
    <t>x</t>
  </si>
  <si>
    <t>Transaction</t>
  </si>
  <si>
    <t>Value ($M)</t>
  </si>
  <si>
    <t>Bohemeth Industires</t>
  </si>
  <si>
    <t>Micro Partners</t>
  </si>
  <si>
    <t>Junior Enterprises</t>
  </si>
  <si>
    <t>Minature Company</t>
  </si>
  <si>
    <t>Average Limited</t>
  </si>
  <si>
    <t>Other Group</t>
  </si>
  <si>
    <t>Current Ltd</t>
  </si>
  <si>
    <t>Recent Inc</t>
  </si>
  <si>
    <t>Past Co</t>
  </si>
  <si>
    <t>Historical LLP</t>
  </si>
  <si>
    <t>Old Group</t>
  </si>
  <si>
    <t>Dated Enterprises</t>
  </si>
  <si>
    <t>Current Price</t>
  </si>
  <si>
    <t>Equity Value</t>
  </si>
  <si>
    <t>Revenue</t>
  </si>
  <si>
    <t>Lo</t>
  </si>
  <si>
    <t>Hi</t>
  </si>
  <si>
    <t>EV/Revenue</t>
  </si>
  <si>
    <t>Share Price</t>
  </si>
  <si>
    <t>Shares Outstanding (000)</t>
  </si>
  <si>
    <t>Debt ($000)</t>
  </si>
  <si>
    <t>Cash ($000)</t>
  </si>
  <si>
    <t>Metric</t>
  </si>
  <si>
    <t>Football Field Data</t>
  </si>
  <si>
    <t>Valuation Summary</t>
  </si>
  <si>
    <t>Financial Data ($M)</t>
  </si>
  <si>
    <t>© Corporate Finance Institute. All rights reserved.</t>
  </si>
  <si>
    <t>Historical Results</t>
  </si>
  <si>
    <t xml:space="preserve"> Forecast Period</t>
  </si>
  <si>
    <t>FINANCIAL STATEMENTS</t>
  </si>
  <si>
    <t>Balance Sheet Check</t>
  </si>
  <si>
    <t>LIVE SCENARIO</t>
  </si>
  <si>
    <t>Assumptions</t>
  </si>
  <si>
    <t>Revenue Growth (% Change)</t>
  </si>
  <si>
    <t>Cost of Goods Sold (% of Revenue)</t>
  </si>
  <si>
    <t>Salaries and Benefits (% of Revenue)</t>
  </si>
  <si>
    <t>Rent and Overhead ($000's)</t>
  </si>
  <si>
    <t>Depreciation &amp; Amortization (% of PP&amp;E)</t>
  </si>
  <si>
    <t>Interest (% of Debt)</t>
  </si>
  <si>
    <t>Tax Rate (% of Earnings Before Tax)</t>
  </si>
  <si>
    <t>Accounts Receivable (Days)</t>
  </si>
  <si>
    <t>Inventory (Days)</t>
  </si>
  <si>
    <t>Accounts Payable (Days)</t>
  </si>
  <si>
    <t>Capital Expenditures ($000's)</t>
  </si>
  <si>
    <t>Debt Issuance (Repayment) ($000's)</t>
  </si>
  <si>
    <t>Equity Issued (Repaid) ($000's)</t>
  </si>
  <si>
    <t>Income Statement</t>
  </si>
  <si>
    <t>Reveneue</t>
  </si>
  <si>
    <t>Cost of Goods Sold (COGS)</t>
  </si>
  <si>
    <t>Gross Profit</t>
  </si>
  <si>
    <t>Expenses</t>
  </si>
  <si>
    <t>Salaries and Benefits</t>
  </si>
  <si>
    <t>Rent and Overhead</t>
  </si>
  <si>
    <t>Depreciation &amp; Amortization</t>
  </si>
  <si>
    <t>Interest</t>
  </si>
  <si>
    <t>Total Expenses</t>
  </si>
  <si>
    <t>Earnings Before Tax</t>
  </si>
  <si>
    <t>Taxes</t>
  </si>
  <si>
    <t>Net Earnings</t>
  </si>
  <si>
    <t>Balance Sheet</t>
  </si>
  <si>
    <t>Assets</t>
  </si>
  <si>
    <t>Cash</t>
  </si>
  <si>
    <t>Accounts Receivable</t>
  </si>
  <si>
    <t>Inventory</t>
  </si>
  <si>
    <t>Property &amp; Equipment</t>
  </si>
  <si>
    <t>Total Assets</t>
  </si>
  <si>
    <t>Liabilities</t>
  </si>
  <si>
    <t>Accounts Payable</t>
  </si>
  <si>
    <t>Debt</t>
  </si>
  <si>
    <t>Total Liabilities</t>
  </si>
  <si>
    <t>Shareholder's Equity</t>
  </si>
  <si>
    <t>Equity Capital</t>
  </si>
  <si>
    <t>Retained Earnings</t>
  </si>
  <si>
    <t>Total Liabilities &amp; Shareholder's Equity</t>
  </si>
  <si>
    <t>Check</t>
  </si>
  <si>
    <t>Cash Flow Statement</t>
  </si>
  <si>
    <t>Operating Cash Flow</t>
  </si>
  <si>
    <t>Plus: Depreciation &amp; Amortization</t>
  </si>
  <si>
    <t>Less: Changes in Working Capital</t>
  </si>
  <si>
    <t>Cash from Operations</t>
  </si>
  <si>
    <t>Investing Cash Flow</t>
  </si>
  <si>
    <t>Investments in Property &amp; Equipment</t>
  </si>
  <si>
    <t>Cash from Investing</t>
  </si>
  <si>
    <t>Financing Cash Flow</t>
  </si>
  <si>
    <t>Issuance (repayment) of debt</t>
  </si>
  <si>
    <t>Issuance (repayment) of equity</t>
  </si>
  <si>
    <t>Cash from Financing</t>
  </si>
  <si>
    <t>Net Increase (decrease) in Cash</t>
  </si>
  <si>
    <t>Opening Cash Balance</t>
  </si>
  <si>
    <t>Closing Cash Balance</t>
  </si>
  <si>
    <t>Supporting Schedules</t>
  </si>
  <si>
    <t>Working Capital Schedule</t>
  </si>
  <si>
    <t>Net Working Capital (NWC)</t>
  </si>
  <si>
    <t>Change in NWC</t>
  </si>
  <si>
    <t>Depreciation Schedule</t>
  </si>
  <si>
    <t>PPE Opening</t>
  </si>
  <si>
    <t>Plus Capex</t>
  </si>
  <si>
    <t>Less Depreciation</t>
  </si>
  <si>
    <t>PPE Closing</t>
  </si>
  <si>
    <t>Debt &amp; Interest Schedule</t>
  </si>
  <si>
    <t>Debt Opening</t>
  </si>
  <si>
    <t>Issuance (repayment)</t>
  </si>
  <si>
    <t>Debt Closing</t>
  </si>
  <si>
    <t>Interest Expense</t>
  </si>
  <si>
    <t>DCF Model</t>
  </si>
  <si>
    <t>Tax Rate</t>
  </si>
  <si>
    <t>Discount Rate</t>
  </si>
  <si>
    <t>Perpetural Growth Rate</t>
  </si>
  <si>
    <t>EV/EBITDA Mulltiple</t>
  </si>
  <si>
    <t>Transaction Date</t>
  </si>
  <si>
    <t>Shares Outstanding</t>
  </si>
  <si>
    <t>Key Assumptions - Valuation Co. Inc.</t>
  </si>
  <si>
    <t>Valuation Model</t>
  </si>
  <si>
    <t>DCF</t>
  </si>
  <si>
    <t>Notes</t>
  </si>
  <si>
    <t>lo (bar)</t>
  </si>
  <si>
    <t>lo  (label)</t>
  </si>
  <si>
    <t>hi (bar)</t>
  </si>
  <si>
    <t>hi (label)</t>
  </si>
  <si>
    <t>Fiscal Year End</t>
  </si>
  <si>
    <t>Charts and Graphs</t>
  </si>
  <si>
    <t>Summary - Football Field</t>
  </si>
  <si>
    <t>Discounted Cash Flow</t>
  </si>
  <si>
    <t>Entry</t>
  </si>
  <si>
    <t>Exit</t>
  </si>
  <si>
    <t>Terminal Value</t>
  </si>
  <si>
    <t>Less: Cash Taxes</t>
  </si>
  <si>
    <t>NOPAT</t>
  </si>
  <si>
    <t>Plus: D&amp;A</t>
  </si>
  <si>
    <t>Less: Capex</t>
  </si>
  <si>
    <t>Less: Changes in NWC</t>
  </si>
  <si>
    <t>Transaction FCFF</t>
  </si>
  <si>
    <t>IRR FCFF</t>
  </si>
  <si>
    <t>Intrinsic Value</t>
  </si>
  <si>
    <t>Market Value</t>
  </si>
  <si>
    <t>Rate of Return</t>
  </si>
  <si>
    <t>Enterprise Value</t>
  </si>
  <si>
    <t>Plus: Cash</t>
  </si>
  <si>
    <t>Plus: Debt</t>
  </si>
  <si>
    <t>Target Price</t>
  </si>
  <si>
    <t>Less: Debt</t>
  </si>
  <si>
    <t>Less: Cash</t>
  </si>
  <si>
    <t>IRR</t>
  </si>
  <si>
    <t>Equity Value/Share</t>
  </si>
  <si>
    <t>Market Value vs Intrinsic Value</t>
  </si>
  <si>
    <t>FCFF</t>
  </si>
  <si>
    <t>Upside</t>
  </si>
  <si>
    <t>Time periods</t>
  </si>
  <si>
    <t>Perp. Growth</t>
  </si>
  <si>
    <t>Year frac.</t>
  </si>
  <si>
    <t>Unlevered FCFF</t>
  </si>
  <si>
    <t>TP Upside</t>
  </si>
  <si>
    <t>Table of Contents</t>
  </si>
  <si>
    <t>Comps Table</t>
  </si>
  <si>
    <t>Precedent M&amp;A Transaction</t>
  </si>
  <si>
    <t>Valuation Summary - Football Field</t>
  </si>
  <si>
    <t xml:space="preserve">  Freight</t>
  </si>
  <si>
    <t xml:space="preserve">  Passenger</t>
  </si>
  <si>
    <t xml:space="preserve">  Special Revenue Adjustment</t>
  </si>
  <si>
    <t>-</t>
  </si>
  <si>
    <t xml:space="preserve">  Others</t>
  </si>
  <si>
    <t xml:space="preserve">  Salaries, Wages &amp; Benefits</t>
  </si>
  <si>
    <t xml:space="preserve">  Maintenance, Materials and Repairs</t>
  </si>
  <si>
    <t xml:space="preserve">  Fuel &amp; Oil</t>
  </si>
  <si>
    <t xml:space="preserve">  Landing Fees and Other Rentals</t>
  </si>
  <si>
    <t xml:space="preserve">  Landing Fees and Airport Rentals</t>
  </si>
  <si>
    <t xml:space="preserve">  Aircraft Rentals</t>
  </si>
  <si>
    <t xml:space="preserve">  Other Operating Expenses</t>
  </si>
  <si>
    <t xml:space="preserve">  Depreciation and Amortization</t>
  </si>
  <si>
    <t xml:space="preserve">  Interest Expense</t>
  </si>
  <si>
    <t xml:space="preserve">  Capitalized Interest</t>
  </si>
  <si>
    <t xml:space="preserve">  Interest Income</t>
  </si>
  <si>
    <t xml:space="preserve">  Other Gain/(Loss), Net</t>
  </si>
  <si>
    <t xml:space="preserve">  Acquisition Integration</t>
  </si>
  <si>
    <t xml:space="preserve">  Cash and Cash Equivalents</t>
  </si>
  <si>
    <t xml:space="preserve">  Short-term Investments</t>
  </si>
  <si>
    <t xml:space="preserve">  Accounts and Other Receivables</t>
  </si>
  <si>
    <t xml:space="preserve">  Inventories of Parts and Supplies, At Cost</t>
  </si>
  <si>
    <t xml:space="preserve">  Prepaid Expenses and Other Current Assets</t>
  </si>
  <si>
    <t>Total Current Assets</t>
  </si>
  <si>
    <t>Noncurrent Assets</t>
  </si>
  <si>
    <t xml:space="preserve">  Ground Property and Equipment</t>
  </si>
  <si>
    <t xml:space="preserve">  Accumulated Depreciation</t>
  </si>
  <si>
    <t xml:space="preserve">  Flight Equipment</t>
  </si>
  <si>
    <t xml:space="preserve">  Less Allowance for Depreciation</t>
  </si>
  <si>
    <t xml:space="preserve">  Assets Constructed for Others</t>
  </si>
  <si>
    <t xml:space="preserve">  Goodwill</t>
  </si>
  <si>
    <t xml:space="preserve">  Other Assets</t>
  </si>
  <si>
    <t xml:space="preserve">  Deposits on Flight Equipment Purchase Contracts</t>
  </si>
  <si>
    <t>Current Liabilities</t>
  </si>
  <si>
    <t>Total Current Liabilities</t>
  </si>
  <si>
    <t xml:space="preserve">  Accounts Payable</t>
  </si>
  <si>
    <t xml:space="preserve">  Accrued Liabilities</t>
  </si>
  <si>
    <t xml:space="preserve">  Current Maturities of Long-term Debt</t>
  </si>
  <si>
    <t xml:space="preserve">  Air Traffic Liability</t>
  </si>
  <si>
    <t>Noncurrent Liabilities</t>
  </si>
  <si>
    <t xml:space="preserve">  Long-term Debt-less Current Maturities</t>
  </si>
  <si>
    <t xml:space="preserve">  Air Traffic Liability - Loyalty Noncurrent</t>
  </si>
  <si>
    <t xml:space="preserve">  Deferred Income Taxes</t>
  </si>
  <si>
    <t xml:space="preserve">  Other Non-current Liabilities</t>
  </si>
  <si>
    <t xml:space="preserve">  Construction Obligations</t>
  </si>
  <si>
    <t xml:space="preserve">  Common Stock - Par Value</t>
  </si>
  <si>
    <t xml:space="preserve">  Additional Paid in Capital</t>
  </si>
  <si>
    <t xml:space="preserve">  Treasury Stock - Common</t>
  </si>
  <si>
    <t xml:space="preserve">  Retained Earnings</t>
  </si>
  <si>
    <t xml:space="preserve">  Accumulated Other Comprehensive Income (Loss)</t>
  </si>
  <si>
    <t>Total Shareholder's Equity</t>
  </si>
  <si>
    <t xml:space="preserve">  Loss on Asset Impairments</t>
  </si>
  <si>
    <t xml:space="preserve">  Other Net</t>
  </si>
  <si>
    <t xml:space="preserve">  Unrealized Gain/(Loss) on Derivatives</t>
  </si>
  <si>
    <t xml:space="preserve">  Unrealized/realized Gain/loss on Fuel Derivative Instruments</t>
  </si>
  <si>
    <t xml:space="preserve">  Aircraft Grounding Charge</t>
  </si>
  <si>
    <t xml:space="preserve">  Change in Accounts and Other Receivables</t>
  </si>
  <si>
    <t xml:space="preserve">  Changes in AIR Traffic Liability</t>
  </si>
  <si>
    <t xml:space="preserve">  Cash Collateral Received from (provided To) Derivative Counterparties</t>
  </si>
  <si>
    <t xml:space="preserve">  Capital Expenditures</t>
  </si>
  <si>
    <t xml:space="preserve">  Purchases of Short-term Investment</t>
  </si>
  <si>
    <t xml:space="preserve">  Proceeds from Sale of Short-term and Other Investments</t>
  </si>
  <si>
    <t xml:space="preserve">  Payments of Long-term Debt and Capital Lease Obligations</t>
  </si>
  <si>
    <t xml:space="preserve">  Proceeds from Issuance of Long-term Debt</t>
  </si>
  <si>
    <t xml:space="preserve">  Payments of Convertible Debt</t>
  </si>
  <si>
    <t xml:space="preserve">  Proceeds from Employee Stock Plans</t>
  </si>
  <si>
    <t xml:space="preserve">  Purchase of Treasury Stock</t>
  </si>
  <si>
    <t xml:space="preserve">  Payment of Cash Dividend</t>
  </si>
  <si>
    <t xml:space="preserve">  Proceeds from Termination of Interest Rate Derivative Instrument</t>
  </si>
  <si>
    <t xml:space="preserve">  Repayment of Construction Obligation</t>
  </si>
  <si>
    <t xml:space="preserve">  Reimbursement for Assets Constructed for Others</t>
  </si>
  <si>
    <t>Maintenance Materials (Days)</t>
  </si>
  <si>
    <t>Fuel (Days)</t>
  </si>
  <si>
    <t>LIVE CASE</t>
  </si>
  <si>
    <t>BEAR CASE</t>
  </si>
  <si>
    <t>NA</t>
  </si>
  <si>
    <t>Name</t>
  </si>
  <si>
    <t>Description</t>
  </si>
  <si>
    <t>Number</t>
  </si>
  <si>
    <t>Live Case -&gt;</t>
  </si>
  <si>
    <t>NPV $/Sh</t>
  </si>
  <si>
    <t>Bear</t>
  </si>
  <si>
    <t>Freight</t>
  </si>
  <si>
    <t>Passenger</t>
  </si>
  <si>
    <t>Special Revenue Adjustment</t>
  </si>
  <si>
    <t>Others</t>
  </si>
  <si>
    <t>Dividend Payments</t>
  </si>
  <si>
    <t xml:space="preserve">  PP&amp;E Less Depreciation</t>
  </si>
  <si>
    <t>Year ended December 31,</t>
  </si>
  <si>
    <t xml:space="preserve"> (in millions)</t>
  </si>
  <si>
    <t>Passenger non-loyalty</t>
  </si>
  <si>
    <t>Passenger loyalty - air transportation</t>
  </si>
  <si>
    <t>Passenger ancillary sold separately</t>
  </si>
  <si>
    <t>Total passenger revenues</t>
  </si>
  <si>
    <t>LONG-TERM DEBT</t>
  </si>
  <si>
    <t>(in millions)</t>
  </si>
  <si>
    <t>French Credit Agreements due June 2018 - 2.54%</t>
  </si>
  <si>
    <t>Fixed-rate 737 Aircraft Notes payable through January 2018 - 7.03%</t>
  </si>
  <si>
    <t>2.75% Notes due November 2019</t>
  </si>
  <si>
    <t>Term Loan Agreement payable through May 2019 - 6.315%</t>
  </si>
  <si>
    <t>Term Loan Agreement payable through July 2019 - 4.84%</t>
  </si>
  <si>
    <t>2.65% Notes due 2020</t>
  </si>
  <si>
    <t>Term Loan Agreement payable through 2020 - 5.223%</t>
  </si>
  <si>
    <t>737 Aircraft Notes payable through 2020</t>
  </si>
  <si>
    <t>2.75% Notes due 2022</t>
  </si>
  <si>
    <t>Pass Through Certificates due 2022 - 6.24%</t>
  </si>
  <si>
    <t>Term Loan Agreement payable through 2026 - 3.88%</t>
  </si>
  <si>
    <t>3.00% Notes due 2026</t>
  </si>
  <si>
    <t>3.45% Notes due 2027</t>
  </si>
  <si>
    <t>7.375% Debentures due 2027</t>
  </si>
  <si>
    <t>Capital leases</t>
  </si>
  <si>
    <t>Less current maturities</t>
  </si>
  <si>
    <t>Less debt discount and issuance costs</t>
  </si>
  <si>
    <t>Passenger Distribution</t>
  </si>
  <si>
    <t>Operating Metrics</t>
  </si>
  <si>
    <t>Revenue passengers carried</t>
  </si>
  <si>
    <t>Enplaned passengers</t>
  </si>
  <si>
    <t>Revenue passenger miles (RPMs) (000s) (a)</t>
  </si>
  <si>
    <t>Available seat miles (ASMs) (000s) (b)</t>
  </si>
  <si>
    <t>Average length of passenger haul (miles)</t>
  </si>
  <si>
    <t>Average aircraft stage length (miles)</t>
  </si>
  <si>
    <t>Trips flown</t>
  </si>
  <si>
    <t>Seats flown (d)</t>
  </si>
  <si>
    <t>Seats per trip (e)</t>
  </si>
  <si>
    <t>Average passenger fare</t>
  </si>
  <si>
    <t>Passenger revenue yield per RPM (cents) (f)</t>
  </si>
  <si>
    <t>RASM (cents) (g)</t>
  </si>
  <si>
    <t>PRASM (cents) (h)</t>
  </si>
  <si>
    <t>CASM (cents) (i)</t>
  </si>
  <si>
    <t>CASM, excluding special items (cents)</t>
  </si>
  <si>
    <t>CASM, excluding Fuel and oil expense, special items, and profitsharing expense (cents)</t>
  </si>
  <si>
    <t>Active fulltime equivalent Employees</t>
  </si>
  <si>
    <t>Fuel costs per gallon, including fuel tax (unhedged)</t>
  </si>
  <si>
    <t>Fuel costs per gallon, including fuel tax (economic)</t>
  </si>
  <si>
    <t>CASM, excluding Fuel and oil expense and special items (cents)</t>
  </si>
  <si>
    <t xml:space="preserve">Fuel costs per gallon, including fuel tax </t>
  </si>
  <si>
    <t>Fuel consumed, in gallons (millions)</t>
  </si>
  <si>
    <t>Planes in Fleet</t>
  </si>
  <si>
    <t>(a) A revenue passenger mile is one paying passenger flown one mile. Also referred to as "traffic," which is a measure of demand for a given period.</t>
  </si>
  <si>
    <t>(b) An available seat mile is one seat (empty or full) flown one mile. Also referred to as "capacity," which is a measure of the space available to carry passengers in a given period.</t>
  </si>
  <si>
    <t>(c) Revenue passenger miles divided by available seat miles.</t>
  </si>
  <si>
    <t>(d) Seats flown is calculated using total number of seats available by aircraft type multiplied by the total trips flown by the same aircraft type during a particular period.</t>
  </si>
  <si>
    <t>(e) Seats per trip is calculated using seats flown divided by trips flown. Also referred to as “gauge.”</t>
  </si>
  <si>
    <t>(f) Calculated as passenger revenue divided by revenue passenger miles. Also referred to as "yield," this is the average cost paid by a paying passenger to fly one mile, which is a measure of revenue production and fares.</t>
  </si>
  <si>
    <t>(g) RASM (unit revenue) - Operating revenue yield per ASM, calculated as operating revenue divided by available seat miles. Also referred to as "operating unit revenues," this is a measure of operating revenue production based on the total available seat miles flown during a particular period.</t>
  </si>
  <si>
    <t>(h) PRASM (Passenger unit revenue) - Passenger revenue yield per ASM, calculated as passenger revenue divided by available seat miles. Also referred to as “passenger unit revenues,” this is a measure of passenger revenue production based on the total available seat miles flown during a particular period.</t>
  </si>
  <si>
    <t xml:space="preserve">(i) CASM (unit costs) - Operating expenses per ASM, calculated as operating expenses divided by available seat miles. Also referred to as "unit costs" or "cost per available seat mile," this is the average cost to fly an aircraft seat (empty or full) one mile, which is a measure of cost efficiencies. </t>
  </si>
  <si>
    <t>3-3.5% increase (1.5% in salaries, wages, and benefits, 1% airport cost .5% maintenance costs)</t>
  </si>
  <si>
    <t>Management Forecasts</t>
  </si>
  <si>
    <t>Cap Ex</t>
  </si>
  <si>
    <t>1.9-2.0 (B)</t>
  </si>
  <si>
    <t>Repaid Debt and Capital Lease Obligations</t>
  </si>
  <si>
    <t>590 (M)</t>
  </si>
  <si>
    <t>Remain Repurchase Agreement</t>
  </si>
  <si>
    <t>1.35 (B)</t>
  </si>
  <si>
    <t>Southwest Airlines Co. 737 Delivery Schedule As of December 31, 2018</t>
  </si>
  <si>
    <t xml:space="preserve"> MAX 7 Firm Orders</t>
  </si>
  <si>
    <t>MAX 8 Firm Orders</t>
  </si>
  <si>
    <t>MAX 8 Options</t>
  </si>
  <si>
    <t>Additional MAX 8s</t>
  </si>
  <si>
    <t>Total</t>
  </si>
  <si>
    <t>(a) The Company has flexibility to substitute 737 MAX 7 in lieu of 737 MAX 8 firm orders beginning in 2019 . (b) To be acquired in leases from various third parties.</t>
  </si>
  <si>
    <t>19 (b)</t>
  </si>
  <si>
    <t>Plane Orders</t>
  </si>
  <si>
    <t>219 (a)</t>
  </si>
  <si>
    <t xml:space="preserve">$1.65 - $1.75 </t>
  </si>
  <si>
    <t>Average Brent Crude Oil price per barrel</t>
  </si>
  <si>
    <t>Estimated fuel hedging premium expense per gallon (b)</t>
  </si>
  <si>
    <t>Period</t>
  </si>
  <si>
    <t>Beyond 2021</t>
  </si>
  <si>
    <t>Estimated economic fuel price per gallon, including taxes and fuel hedging premiums (e)</t>
  </si>
  <si>
    <t xml:space="preserve">  1Q 2019 (c)</t>
  </si>
  <si>
    <t>Full Year 2019 (d)</t>
  </si>
  <si>
    <t>$2.00 - $2.10</t>
  </si>
  <si>
    <t>$2.35 - $2.45</t>
  </si>
  <si>
    <t>Maximum percent of estimated fuel consumption covered by fuel derivative contracts at varying WTI/Brent Crude Oil, Heating Oil, and Gulf Coast Jet Fuel-equivalent price levels</t>
  </si>
  <si>
    <t>less than 5%</t>
  </si>
  <si>
    <t>Current Market (a)</t>
  </si>
  <si>
    <t>$2.30 - $2.35</t>
  </si>
  <si>
    <t>$2.25 - $2.30</t>
  </si>
  <si>
    <t xml:space="preserve">$1.85 - $1.90 </t>
  </si>
  <si>
    <t xml:space="preserve">$2.15 - $2.20 </t>
  </si>
  <si>
    <t xml:space="preserve">$2.00 - $2.05 </t>
  </si>
  <si>
    <t xml:space="preserve">$1.75 - $1.80 </t>
  </si>
  <si>
    <t xml:space="preserve">$1.80 - $1.90 </t>
  </si>
  <si>
    <t>$2.20 - $2.30</t>
  </si>
  <si>
    <t>$2.50 - $2.60</t>
  </si>
  <si>
    <t>Fuel Hedging</t>
  </si>
  <si>
    <t xml:space="preserve">(d) Based on the Company's existing fuel derivative contracts and market prices as of January 18, 2019 , annual 2019 GAAP and economic fuel costs are estimated to be in the $2.00 to $2.10 per gallon range, including fuel hedging premium expense of approximately $95 million, or $.04 per gallon, and an estimated $.01 per gallon in favorable cash settlements from fuel derivative contracts. See Note Regarding Use of Non-GAAP Financial Measures. </t>
  </si>
  <si>
    <t xml:space="preserve">(c) Based on the Company's existing fuel derivative contracts and market prices as of January 18, 2019 , first quarter 2019 GAAP and economic fuel costs are estimated to be in the $2.00 to $2.05 per gallon range, including fuel hedging premium expense of approximately $28 million , or $.06 per gallon, and an estimated $.02 per gallon in favorable cash settlements from fuel derivative contracts. See Note Regarding Use of Non-GAAP Financial Measures. </t>
  </si>
  <si>
    <t>4-5%</t>
  </si>
  <si>
    <t>&gt;=5%</t>
  </si>
  <si>
    <t>** Internet approximation says a 737 burns around 750 gallons of fuel per hour</t>
  </si>
  <si>
    <t>Expects to add</t>
  </si>
  <si>
    <t xml:space="preserve">Estimates </t>
  </si>
  <si>
    <t>Guidance</t>
  </si>
  <si>
    <t>Load factor (c) ((Industry Avg: 84% - Motly Fool))</t>
  </si>
  <si>
    <t>ASM</t>
  </si>
  <si>
    <t>CASM</t>
  </si>
  <si>
    <t>Fuel cost per gal</t>
  </si>
  <si>
    <t>Income Projection</t>
  </si>
  <si>
    <t>Passenger revenue (M)</t>
  </si>
  <si>
    <t>RASM</t>
  </si>
  <si>
    <t>PRASM</t>
  </si>
  <si>
    <t>CASM, excluding fuel and oil expense (cents)</t>
  </si>
  <si>
    <t>Operating profit</t>
  </si>
  <si>
    <t>Operating expenses excluding fuel and oil</t>
  </si>
  <si>
    <t>Fuel cost</t>
  </si>
  <si>
    <t>Total operating expenses</t>
  </si>
  <si>
    <t>Revenue segments to passenger revenue</t>
  </si>
  <si>
    <t>Total Revenue</t>
  </si>
  <si>
    <t>CASM, excluding Fuel and oil expense</t>
  </si>
  <si>
    <t>YoY Growth</t>
  </si>
  <si>
    <t>Fuel gallons consumed</t>
  </si>
  <si>
    <t>*** NEED TO WORK ON CALCULATING FUEL COSTS</t>
  </si>
  <si>
    <t>Type</t>
  </si>
  <si>
    <t>737-700</t>
  </si>
  <si>
    <t>737-800</t>
  </si>
  <si>
    <t>737 MAX 8</t>
  </si>
  <si>
    <t>Totals</t>
  </si>
  <si>
    <t>Seats</t>
  </si>
  <si>
    <t>Average Age (Yrs)</t>
  </si>
  <si>
    <t>Number of Number Aircraft Owned (a)</t>
  </si>
  <si>
    <t>Number Leased</t>
  </si>
  <si>
    <t>PLANE FLEET</t>
  </si>
  <si>
    <t>Number of Aircraft</t>
  </si>
  <si>
    <t>MANAGEMENT GUIDANCE</t>
  </si>
  <si>
    <t xml:space="preserve"> Debt Issuance (Repayment) ($000's) </t>
  </si>
  <si>
    <t xml:space="preserve"> Equity Issued (Repaid) ($000's) </t>
  </si>
  <si>
    <t xml:space="preserve"> Dividend Payments </t>
  </si>
  <si>
    <t xml:space="preserve"> ASM </t>
  </si>
  <si>
    <t xml:space="preserve"> RASM </t>
  </si>
  <si>
    <t xml:space="preserve"> PRASM </t>
  </si>
  <si>
    <t xml:space="preserve"> CASM </t>
  </si>
  <si>
    <t xml:space="preserve"> CASM, excluding Fuel and oil expense </t>
  </si>
  <si>
    <t xml:space="preserve"> Fuel cost per gal </t>
  </si>
  <si>
    <t xml:space="preserve"> Fuel gallons consumed </t>
  </si>
  <si>
    <t xml:space="preserve"> Fuel cost </t>
  </si>
  <si>
    <t xml:space="preserve"> Operating costs </t>
  </si>
  <si>
    <t xml:space="preserve"> Depreciation &amp; Amortization (% of PP&amp;E) </t>
  </si>
  <si>
    <t xml:space="preserve"> Interest (% of Debt) </t>
  </si>
  <si>
    <t xml:space="preserve"> Tax Rate (% of Earnings Before Tax) </t>
  </si>
  <si>
    <t xml:space="preserve"> Accounts Receivable (Days) </t>
  </si>
  <si>
    <t xml:space="preserve"> Fuel (Days) </t>
  </si>
  <si>
    <t xml:space="preserve"> Accounts Payable (Days) </t>
  </si>
  <si>
    <t>ASM growth %</t>
  </si>
  <si>
    <t>ANALYST CONSENSUS</t>
  </si>
  <si>
    <t>Management Guidance</t>
  </si>
  <si>
    <t>Analyst Consensus</t>
  </si>
  <si>
    <t xml:space="preserve"> ASM growth % </t>
  </si>
  <si>
    <t xml:space="preserve"> Capital Expenditures ($000's) </t>
  </si>
  <si>
    <t>numbers don’t sum (ballpark figures) due to using CASM for total expenses</t>
  </si>
  <si>
    <t>ST-LT Debt</t>
  </si>
  <si>
    <t>LT-ST Debt</t>
  </si>
  <si>
    <t xml:space="preserve"> Inventory (Days) </t>
  </si>
  <si>
    <t xml:space="preserve">  Change in Working Capital</t>
  </si>
  <si>
    <t xml:space="preserve">  Total Operating Expenses</t>
  </si>
  <si>
    <t xml:space="preserve"> Revenue growth %</t>
  </si>
  <si>
    <t xml:space="preserve"> Passenger revenue growth %</t>
  </si>
  <si>
    <t xml:space="preserve"> Fuel costs</t>
  </si>
  <si>
    <t xml:space="preserve">Depreciation &amp; Amortization (% of PP&amp;E)  </t>
  </si>
  <si>
    <t xml:space="preserve">Interest (% of Debt)  </t>
  </si>
  <si>
    <t xml:space="preserve">Tax Rate (% of Earnings Before Tax)  </t>
  </si>
  <si>
    <t xml:space="preserve">Accounts Receivable (Days)  </t>
  </si>
  <si>
    <t xml:space="preserve">Inventory (Days)  </t>
  </si>
  <si>
    <t xml:space="preserve">Fuel (Days)  </t>
  </si>
  <si>
    <t xml:space="preserve">Accounts Payable (Days)  </t>
  </si>
  <si>
    <t xml:space="preserve">Capital Expenditures ($000's)  </t>
  </si>
  <si>
    <t xml:space="preserve">Debt Issuance (Repayment) ($000's)  </t>
  </si>
  <si>
    <t xml:space="preserve">Equity Issued (Repaid) ($000's)  </t>
  </si>
  <si>
    <t xml:space="preserve">Dividend Payments  </t>
  </si>
  <si>
    <t xml:space="preserve">ST-LT Debt </t>
  </si>
  <si>
    <t xml:space="preserve">LT-ST Debt </t>
  </si>
  <si>
    <t xml:space="preserve"> Depreciation &amp; Amortization (% of PP&amp;E)   </t>
  </si>
  <si>
    <t xml:space="preserve"> Interest (% of Debt)   </t>
  </si>
  <si>
    <t xml:space="preserve"> Tax Rate (% of Earnings Before Tax)   </t>
  </si>
  <si>
    <t xml:space="preserve"> Accounts Receivable (Days)   </t>
  </si>
  <si>
    <t xml:space="preserve"> Inventory (Days)   </t>
  </si>
  <si>
    <t xml:space="preserve"> Fuel (Days)   </t>
  </si>
  <si>
    <t xml:space="preserve"> Accounts Payable (Days)   </t>
  </si>
  <si>
    <t xml:space="preserve"> Capital Expenditures ($000's)   </t>
  </si>
  <si>
    <t xml:space="preserve"> Debt Issuance (Repayment) ($000's)   </t>
  </si>
  <si>
    <t xml:space="preserve"> Equity Issued (Repaid) ($000's)   </t>
  </si>
  <si>
    <t xml:space="preserve"> Dividend Payments   </t>
  </si>
  <si>
    <t xml:space="preserve"> ST-LT Debt  </t>
  </si>
  <si>
    <t xml:space="preserve"> LT-ST Debt  </t>
  </si>
  <si>
    <t>Look into fuel calculation</t>
  </si>
  <si>
    <t>Calculate expenses</t>
  </si>
  <si>
    <t>Fill in data from historical results</t>
  </si>
  <si>
    <t>Get quarterly data</t>
  </si>
  <si>
    <t>Clean up analysis page</t>
  </si>
  <si>
    <t>R</t>
  </si>
  <si>
    <t>G</t>
  </si>
  <si>
    <t>B</t>
  </si>
  <si>
    <t>Southwest</t>
  </si>
  <si>
    <t>Delta</t>
  </si>
  <si>
    <t>American Airlines</t>
  </si>
  <si>
    <t>United</t>
  </si>
  <si>
    <t>Spirit</t>
  </si>
  <si>
    <t>JetBlue</t>
  </si>
  <si>
    <t>Tangible BV/Share</t>
  </si>
  <si>
    <t>Scenarios</t>
  </si>
</sst>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 #,##0.00_-;\-* #,##0.00_-;_-* &quot;-&quot;??_-;_-@_-"/>
    <numFmt numFmtId="165" formatCode="mm/dd/yyyy"/>
    <numFmt numFmtId="166" formatCode="_(* #,##0_);_(* \(#,##0\)_)\ ;_(* 0_)"/>
    <numFmt numFmtId="167" formatCode="0.0\x"/>
    <numFmt numFmtId="168" formatCode="_-* #,##0_-;\(#,##0\)_-;_-* &quot;-&quot;_-;_-@_-"/>
    <numFmt numFmtId="169" formatCode="_(* #,##0_);_(* \(#,##0\);_(* &quot;-&quot;??_);_(@_)"/>
    <numFmt numFmtId="170" formatCode="_-* #,##0_-;\-* #,##0_-;_-* &quot;-&quot;??_-;_-@_-"/>
    <numFmt numFmtId="171" formatCode="0.0%"/>
    <numFmt numFmtId="172" formatCode="0.0000_ ;\-0.0000\ "/>
    <numFmt numFmtId="173" formatCode="_-* #,##0.00_-;\(#,##0.00\)_-;_-* &quot;-&quot;_-;_-@_-"/>
    <numFmt numFmtId="174" formatCode="&quot;$&quot;#,##0.00"/>
    <numFmt numFmtId="180" formatCode="_(* #,##0.0_);_(* \(#,##0.0\);_(* &quot;-&quot;??_);_(@_)"/>
    <numFmt numFmtId="186" formatCode="_(&quot;$&quot;* #,##0_);_(&quot;$&quot;* \(#,##0\);_(&quot;$&quot;* &quot;-&quot;??_);_(@_)"/>
    <numFmt numFmtId="193" formatCode="_(* #,##0.0000000_);_(* \(#,##0.0000000\);_(* &quot;-&quot;??_);_(@_)"/>
    <numFmt numFmtId="210" formatCode="_-* #,##0.0_-;\(#,##0.0\)_-;_-* &quot;-&quot;_-;_-@_-"/>
    <numFmt numFmtId="211" formatCode="yyyy"/>
  </numFmts>
  <fonts count="66" x14ac:knownFonts="1">
    <font>
      <sz val="10"/>
      <name val="Arial"/>
      <family val="2"/>
    </font>
    <font>
      <sz val="11"/>
      <color theme="1"/>
      <name val="Calibri"/>
      <family val="2"/>
      <scheme val="minor"/>
    </font>
    <font>
      <sz val="11"/>
      <color theme="1"/>
      <name val="Calibri"/>
      <family val="2"/>
      <scheme val="minor"/>
    </font>
    <font>
      <sz val="11"/>
      <color theme="1"/>
      <name val="Arial Narrow"/>
      <family val="2"/>
    </font>
    <font>
      <sz val="11"/>
      <color theme="1"/>
      <name val="Arial Narrow"/>
      <family val="2"/>
    </font>
    <font>
      <sz val="11"/>
      <color theme="1"/>
      <name val="Arial Narrow"/>
      <family val="2"/>
    </font>
    <font>
      <b/>
      <sz val="13"/>
      <color indexed="8"/>
      <name val="Verdana"/>
      <family val="2"/>
    </font>
    <font>
      <b/>
      <sz val="12"/>
      <color indexed="8"/>
      <name val="Verdana"/>
      <family val="2"/>
    </font>
    <font>
      <b/>
      <sz val="10"/>
      <color indexed="9"/>
      <name val="Arial"/>
      <family val="2"/>
    </font>
    <font>
      <b/>
      <u val="singleAccounting"/>
      <sz val="8"/>
      <color indexed="8"/>
      <name val="Verdana"/>
      <family val="2"/>
    </font>
    <font>
      <b/>
      <sz val="8"/>
      <color indexed="9"/>
      <name val="Verdana"/>
      <family val="2"/>
    </font>
    <font>
      <b/>
      <u val="singleAccounting"/>
      <sz val="8"/>
      <color indexed="8"/>
      <name val="Arial"/>
      <family val="2"/>
    </font>
    <font>
      <sz val="8"/>
      <color indexed="8"/>
      <name val="Arial"/>
      <family val="2"/>
    </font>
    <font>
      <vertAlign val="superscript"/>
      <sz val="8"/>
      <color indexed="8"/>
      <name val="Arial"/>
      <family val="2"/>
    </font>
    <font>
      <vertAlign val="subscript"/>
      <sz val="8"/>
      <color indexed="8"/>
      <name val="Arial"/>
      <family val="2"/>
    </font>
    <font>
      <b/>
      <sz val="8"/>
      <color indexed="8"/>
      <name val="Arial"/>
      <family val="2"/>
    </font>
    <font>
      <i/>
      <sz val="8"/>
      <color indexed="8"/>
      <name val="Arial"/>
      <family val="2"/>
    </font>
    <font>
      <sz val="1"/>
      <color indexed="9"/>
      <name val="Symbol"/>
      <family val="1"/>
      <charset val="2"/>
    </font>
    <font>
      <sz val="10"/>
      <color indexed="8"/>
      <name val="Arial"/>
      <family val="2"/>
    </font>
    <font>
      <b/>
      <sz val="8"/>
      <color indexed="8"/>
      <name val="Verdana"/>
      <family val="2"/>
    </font>
    <font>
      <b/>
      <sz val="11"/>
      <color theme="0"/>
      <name val="Arial Narrow"/>
      <family val="2"/>
    </font>
    <font>
      <sz val="11"/>
      <color theme="0"/>
      <name val="Arial Narrow"/>
      <family val="2"/>
    </font>
    <font>
      <sz val="11"/>
      <color theme="1"/>
      <name val="Calibri"/>
      <family val="2"/>
      <scheme val="minor"/>
    </font>
    <font>
      <b/>
      <sz val="11"/>
      <color theme="1"/>
      <name val="Arial Narrow"/>
      <family val="2"/>
    </font>
    <font>
      <i/>
      <sz val="11"/>
      <color theme="0"/>
      <name val="Arial Narrow"/>
      <family val="2"/>
    </font>
    <font>
      <sz val="11"/>
      <name val="Arial Narrow"/>
      <family val="2"/>
    </font>
    <font>
      <sz val="11"/>
      <color indexed="8"/>
      <name val="Arial Narrow"/>
      <family val="2"/>
    </font>
    <font>
      <b/>
      <sz val="11"/>
      <name val="Arial Narrow"/>
      <family val="2"/>
    </font>
    <font>
      <sz val="12"/>
      <color theme="1"/>
      <name val="Arial Narrow"/>
      <family val="2"/>
    </font>
    <font>
      <sz val="12"/>
      <color rgb="FF0000FF"/>
      <name val="Arial Narrow"/>
      <family val="2"/>
    </font>
    <font>
      <sz val="11"/>
      <color rgb="FF0000FF"/>
      <name val="Arial Narrow"/>
      <family val="2"/>
    </font>
    <font>
      <sz val="8"/>
      <color theme="0"/>
      <name val="Arial Narrow"/>
      <family val="2"/>
    </font>
    <font>
      <b/>
      <sz val="12"/>
      <color theme="0"/>
      <name val="Arial Narrow"/>
      <family val="2"/>
    </font>
    <font>
      <sz val="12"/>
      <color theme="0"/>
      <name val="Arial Narrow"/>
      <family val="2"/>
    </font>
    <font>
      <b/>
      <sz val="16"/>
      <color theme="0"/>
      <name val="Arial Narrow"/>
      <family val="2"/>
    </font>
    <font>
      <b/>
      <sz val="14"/>
      <color theme="0"/>
      <name val="Arial Narrow"/>
      <family val="2"/>
    </font>
    <font>
      <sz val="14"/>
      <color theme="1"/>
      <name val="Arial Narrow"/>
      <family val="2"/>
    </font>
    <font>
      <i/>
      <sz val="12"/>
      <color theme="1"/>
      <name val="Arial Narrow"/>
      <family val="2"/>
    </font>
    <font>
      <sz val="12"/>
      <name val="Arial Narrow"/>
      <family val="2"/>
    </font>
    <font>
      <b/>
      <sz val="12"/>
      <color theme="1"/>
      <name val="Arial Narrow"/>
      <family val="2"/>
    </font>
    <font>
      <b/>
      <sz val="12"/>
      <name val="Arial Narrow"/>
      <family val="2"/>
    </font>
    <font>
      <b/>
      <sz val="12"/>
      <color rgb="FF0000FF"/>
      <name val="Arial Narrow"/>
      <family val="2"/>
    </font>
    <font>
      <sz val="20"/>
      <color theme="1"/>
      <name val="Arial Narrow"/>
      <family val="2"/>
    </font>
    <font>
      <u/>
      <sz val="10"/>
      <color theme="10"/>
      <name val="Arial"/>
      <family val="2"/>
    </font>
    <font>
      <sz val="11"/>
      <color rgb="FF00B050"/>
      <name val="Arial Narrow"/>
      <family val="2"/>
    </font>
    <font>
      <i/>
      <sz val="12"/>
      <color rgb="FF0000FF"/>
      <name val="Arial Narrow"/>
      <family val="2"/>
    </font>
    <font>
      <sz val="11"/>
      <color theme="2"/>
      <name val="Arial Narrow"/>
      <family val="2"/>
    </font>
    <font>
      <u/>
      <sz val="10"/>
      <color theme="2"/>
      <name val="Arial"/>
      <family val="2"/>
    </font>
    <font>
      <b/>
      <sz val="9"/>
      <color indexed="81"/>
      <name val="Tahoma"/>
      <family val="2"/>
    </font>
    <font>
      <sz val="9"/>
      <color indexed="81"/>
      <name val="Tahoma"/>
      <family val="2"/>
    </font>
    <font>
      <u/>
      <sz val="10"/>
      <color theme="1"/>
      <name val="Arial"/>
      <family val="2"/>
    </font>
    <font>
      <b/>
      <sz val="22"/>
      <color theme="1"/>
      <name val="Arial Narrow"/>
      <family val="2"/>
    </font>
    <font>
      <sz val="8"/>
      <color theme="0"/>
      <name val="Open Sans"/>
      <family val="2"/>
    </font>
    <font>
      <b/>
      <sz val="14"/>
      <color rgb="FFFFFFFF"/>
      <name val="Arial Narrow"/>
      <family val="2"/>
    </font>
    <font>
      <sz val="10"/>
      <name val="Arial"/>
      <family val="2"/>
    </font>
    <font>
      <u/>
      <sz val="10"/>
      <color theme="11"/>
      <name val="Arial"/>
      <family val="2"/>
    </font>
    <font>
      <b/>
      <sz val="11"/>
      <color rgb="FF000000"/>
      <name val="Arial Narrow"/>
      <family val="2"/>
    </font>
    <font>
      <sz val="11"/>
      <color rgb="FF000000"/>
      <name val="Arial Narrow"/>
      <family val="2"/>
    </font>
    <font>
      <sz val="12"/>
      <color rgb="FF00B050"/>
      <name val="Arial Narrow"/>
      <family val="2"/>
    </font>
    <font>
      <sz val="12"/>
      <name val="Arial"/>
      <family val="2"/>
    </font>
    <font>
      <b/>
      <sz val="12"/>
      <name val="Arial"/>
      <family val="2"/>
    </font>
    <font>
      <sz val="12"/>
      <color theme="1"/>
      <name val="Arial"/>
      <family val="2"/>
    </font>
    <font>
      <b/>
      <u/>
      <sz val="12"/>
      <name val="Arial"/>
      <family val="2"/>
    </font>
    <font>
      <u/>
      <sz val="12"/>
      <name val="Arial"/>
      <family val="2"/>
    </font>
    <font>
      <sz val="12"/>
      <color rgb="FF000000"/>
      <name val="Arial Narrow"/>
      <family val="2"/>
    </font>
    <font>
      <sz val="12"/>
      <color theme="0" tint="-4.9989318521683403E-2"/>
      <name val="Arial Narrow"/>
      <family val="2"/>
    </font>
  </fonts>
  <fills count="21">
    <fill>
      <patternFill patternType="none"/>
    </fill>
    <fill>
      <patternFill patternType="gray125"/>
    </fill>
    <fill>
      <patternFill patternType="solid">
        <fgColor indexed="63"/>
        <bgColor indexed="64"/>
      </patternFill>
    </fill>
    <fill>
      <patternFill patternType="solid">
        <fgColor indexed="62"/>
        <bgColor indexed="64"/>
      </patternFill>
    </fill>
    <fill>
      <patternFill patternType="solid">
        <fgColor indexed="56"/>
        <bgColor indexed="64"/>
      </patternFill>
    </fill>
    <fill>
      <patternFill patternType="solid">
        <fgColor indexed="60"/>
        <bgColor indexed="64"/>
      </patternFill>
    </fill>
    <fill>
      <patternFill patternType="solid">
        <fgColor rgb="FFED942D"/>
        <bgColor indexed="64"/>
      </patternFill>
    </fill>
    <fill>
      <patternFill patternType="solid">
        <fgColor rgb="FF132E57"/>
        <bgColor indexed="64"/>
      </patternFill>
    </fill>
    <fill>
      <patternFill patternType="solid">
        <fgColor rgb="FF1E8496"/>
        <bgColor indexed="64"/>
      </patternFill>
    </fill>
    <fill>
      <patternFill patternType="solid">
        <fgColor theme="0"/>
        <bgColor indexed="64"/>
      </patternFill>
    </fill>
    <fill>
      <patternFill patternType="solid">
        <fgColor rgb="FFFA621C"/>
        <bgColor indexed="64"/>
      </patternFill>
    </fill>
    <fill>
      <patternFill patternType="solid">
        <fgColor rgb="FFFFFF00"/>
        <bgColor indexed="64"/>
      </patternFill>
    </fill>
    <fill>
      <patternFill patternType="solid">
        <fgColor theme="5"/>
        <bgColor indexed="64"/>
      </patternFill>
    </fill>
    <fill>
      <patternFill patternType="solid">
        <fgColor theme="0" tint="-4.9989318521683403E-2"/>
        <bgColor indexed="64"/>
      </patternFill>
    </fill>
    <fill>
      <patternFill patternType="solid">
        <fgColor rgb="FFF2F2F2"/>
        <bgColor rgb="FF000000"/>
      </patternFill>
    </fill>
    <fill>
      <patternFill patternType="solid">
        <fgColor theme="2" tint="0.79998168889431442"/>
        <bgColor indexed="64"/>
      </patternFill>
    </fill>
    <fill>
      <patternFill patternType="solid">
        <fgColor rgb="FF96281C"/>
        <bgColor indexed="64"/>
      </patternFill>
    </fill>
    <fill>
      <patternFill patternType="solid">
        <fgColor rgb="FF96291C"/>
        <bgColor indexed="64"/>
      </patternFill>
    </fill>
    <fill>
      <patternFill patternType="solid">
        <fgColor theme="0" tint="-0.499984740745262"/>
        <bgColor indexed="64"/>
      </patternFill>
    </fill>
    <fill>
      <patternFill patternType="solid">
        <fgColor theme="2" tint="-0.249977111117893"/>
        <bgColor indexed="64"/>
      </patternFill>
    </fill>
    <fill>
      <patternFill patternType="solid">
        <fgColor theme="2" tint="0.39997558519241921"/>
        <bgColor indexed="64"/>
      </patternFill>
    </fill>
  </fills>
  <borders count="10">
    <border>
      <left/>
      <right/>
      <top/>
      <bottom/>
      <diagonal/>
    </border>
    <border>
      <left/>
      <right/>
      <top/>
      <bottom style="thin">
        <color theme="0"/>
      </bottom>
      <diagonal/>
    </border>
    <border>
      <left/>
      <right/>
      <top style="thin">
        <color theme="0"/>
      </top>
      <bottom/>
      <diagonal/>
    </border>
    <border>
      <left/>
      <right/>
      <top style="thin">
        <color auto="1"/>
      </top>
      <bottom/>
      <diagonal/>
    </border>
    <border>
      <left/>
      <right/>
      <top/>
      <bottom style="thin">
        <color auto="1"/>
      </bottom>
      <diagonal/>
    </border>
    <border>
      <left/>
      <right/>
      <top style="thin">
        <color auto="1"/>
      </top>
      <bottom style="double">
        <color auto="1"/>
      </bottom>
      <diagonal/>
    </border>
    <border>
      <left/>
      <right/>
      <top style="thin">
        <color auto="1"/>
      </top>
      <bottom style="thin">
        <color auto="1"/>
      </bottom>
      <diagonal/>
    </border>
    <border>
      <left style="dashed">
        <color auto="1"/>
      </left>
      <right style="dashed">
        <color auto="1"/>
      </right>
      <top style="thin">
        <color auto="1"/>
      </top>
      <bottom style="dashed">
        <color auto="1"/>
      </bottom>
      <diagonal/>
    </border>
    <border>
      <left style="thin">
        <color auto="1"/>
      </left>
      <right/>
      <top/>
      <bottom/>
      <diagonal/>
    </border>
    <border>
      <left/>
      <right/>
      <top/>
      <bottom style="double">
        <color auto="1"/>
      </bottom>
      <diagonal/>
    </border>
  </borders>
  <cellStyleXfs count="49">
    <xf numFmtId="0" fontId="0" fillId="0" borderId="0"/>
    <xf numFmtId="0" fontId="6" fillId="0" borderId="0" applyAlignment="0"/>
    <xf numFmtId="0" fontId="7" fillId="0" borderId="0" applyAlignment="0"/>
    <xf numFmtId="0" fontId="8" fillId="2" borderId="0" applyAlignment="0"/>
    <xf numFmtId="0" fontId="9" fillId="3" borderId="0" applyAlignment="0"/>
    <xf numFmtId="0" fontId="10" fillId="4" borderId="0" applyAlignment="0"/>
    <xf numFmtId="0" fontId="11" fillId="5" borderId="0" applyAlignment="0"/>
    <xf numFmtId="0" fontId="12" fillId="0" borderId="0" applyAlignment="0"/>
    <xf numFmtId="0" fontId="13" fillId="0" borderId="0" applyAlignment="0"/>
    <xf numFmtId="0" fontId="14" fillId="0" borderId="0" applyAlignment="0"/>
    <xf numFmtId="0" fontId="15" fillId="0" borderId="0" applyAlignment="0"/>
    <xf numFmtId="0" fontId="16" fillId="0" borderId="0" applyAlignment="0"/>
    <xf numFmtId="0" fontId="15" fillId="0" borderId="0" applyAlignment="0">
      <alignment wrapText="1"/>
    </xf>
    <xf numFmtId="0" fontId="17" fillId="0" borderId="0" applyAlignment="0"/>
    <xf numFmtId="0" fontId="18" fillId="0" borderId="0" applyAlignment="0"/>
    <xf numFmtId="0" fontId="19" fillId="0" borderId="0" applyAlignment="0"/>
    <xf numFmtId="0" fontId="22" fillId="0" borderId="0"/>
    <xf numFmtId="164" fontId="22" fillId="0" borderId="0" applyFont="0" applyFill="0" applyBorder="0" applyAlignment="0" applyProtection="0"/>
    <xf numFmtId="9" fontId="22"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0" fontId="4" fillId="0" borderId="0"/>
    <xf numFmtId="0" fontId="43" fillId="0" borderId="0" applyNumberFormat="0" applyFill="0" applyBorder="0" applyAlignment="0" applyProtection="0"/>
    <xf numFmtId="164" fontId="2" fillId="0" borderId="0" applyFont="0" applyFill="0" applyBorder="0" applyAlignment="0" applyProtection="0"/>
    <xf numFmtId="9" fontId="2" fillId="0" borderId="0" applyFont="0" applyFill="0" applyBorder="0" applyAlignment="0" applyProtection="0"/>
    <xf numFmtId="0" fontId="2" fillId="0" borderId="0"/>
    <xf numFmtId="0" fontId="1" fillId="0" borderId="0"/>
    <xf numFmtId="0" fontId="43" fillId="0" borderId="0" applyNumberFormat="0" applyFill="0" applyBorder="0" applyAlignment="0" applyProtection="0"/>
    <xf numFmtId="43" fontId="54" fillId="0" borderId="0" applyFont="0" applyFill="0" applyBorder="0" applyAlignment="0" applyProtection="0"/>
    <xf numFmtId="44" fontId="54" fillId="0" borderId="0" applyFont="0" applyFill="0" applyBorder="0" applyAlignment="0" applyProtection="0"/>
    <xf numFmtId="9" fontId="54" fillId="0" borderId="0" applyFont="0" applyFill="0" applyBorder="0" applyAlignment="0" applyProtection="0"/>
    <xf numFmtId="0" fontId="55" fillId="0" borderId="0" applyNumberForma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0" fontId="1" fillId="0" borderId="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cellStyleXfs>
  <cellXfs count="482">
    <xf numFmtId="0" fontId="0" fillId="0" borderId="0" xfId="0" applyFont="1"/>
    <xf numFmtId="0" fontId="5" fillId="0" borderId="0" xfId="16" applyFont="1"/>
    <xf numFmtId="0" fontId="23" fillId="0" borderId="0" xfId="16" applyFont="1" applyAlignment="1">
      <alignment horizontal="right"/>
    </xf>
    <xf numFmtId="0" fontId="25" fillId="0" borderId="0" xfId="0" applyFont="1"/>
    <xf numFmtId="0" fontId="26" fillId="0" borderId="0" xfId="7" applyFont="1" applyAlignment="1">
      <alignment vertical="center" wrapText="1"/>
    </xf>
    <xf numFmtId="166" fontId="25" fillId="0" borderId="0" xfId="0" applyNumberFormat="1" applyFont="1" applyAlignment="1">
      <alignment vertical="center" wrapText="1"/>
    </xf>
    <xf numFmtId="0" fontId="25" fillId="0" borderId="0" xfId="0" applyFont="1" applyAlignment="1">
      <alignment vertical="center"/>
    </xf>
    <xf numFmtId="168" fontId="28" fillId="0" borderId="0" xfId="17" applyNumberFormat="1" applyFont="1"/>
    <xf numFmtId="170" fontId="29" fillId="0" borderId="0" xfId="17" applyNumberFormat="1" applyFont="1" applyAlignment="1">
      <alignment horizontal="right"/>
    </xf>
    <xf numFmtId="170" fontId="5" fillId="0" borderId="0" xfId="16" applyNumberFormat="1" applyFont="1"/>
    <xf numFmtId="0" fontId="5" fillId="0" borderId="0" xfId="16" applyFont="1" applyAlignment="1">
      <alignment horizontal="right"/>
    </xf>
    <xf numFmtId="167" fontId="5" fillId="0" borderId="0" xfId="16" applyNumberFormat="1" applyFont="1"/>
    <xf numFmtId="164" fontId="5" fillId="0" borderId="0" xfId="16" applyNumberFormat="1" applyFont="1"/>
    <xf numFmtId="164" fontId="30" fillId="0" borderId="0" xfId="16" applyNumberFormat="1" applyFont="1"/>
    <xf numFmtId="0" fontId="21" fillId="7" borderId="0" xfId="16" applyFont="1" applyFill="1" applyAlignment="1">
      <alignment vertical="center"/>
    </xf>
    <xf numFmtId="0" fontId="20" fillId="7" borderId="0" xfId="16" applyFont="1" applyFill="1" applyAlignment="1">
      <alignment horizontal="centerContinuous" vertical="center"/>
    </xf>
    <xf numFmtId="0" fontId="21" fillId="7" borderId="0" xfId="16" applyFont="1" applyFill="1" applyAlignment="1">
      <alignment horizontal="centerContinuous" vertical="center"/>
    </xf>
    <xf numFmtId="0" fontId="20" fillId="7" borderId="0" xfId="16" applyFont="1" applyFill="1" applyAlignment="1">
      <alignment vertical="center"/>
    </xf>
    <xf numFmtId="0" fontId="20" fillId="7" borderId="2" xfId="16" applyFont="1" applyFill="1" applyBorder="1" applyAlignment="1">
      <alignment horizontal="right" vertical="center"/>
    </xf>
    <xf numFmtId="0" fontId="20" fillId="7" borderId="0" xfId="16" applyFont="1" applyFill="1" applyAlignment="1">
      <alignment horizontal="right" vertical="center"/>
    </xf>
    <xf numFmtId="0" fontId="21" fillId="7" borderId="0" xfId="16" applyFont="1" applyFill="1" applyAlignment="1">
      <alignment horizontal="right" vertical="center"/>
    </xf>
    <xf numFmtId="0" fontId="24" fillId="7" borderId="0" xfId="16" applyFont="1" applyFill="1" applyBorder="1" applyAlignment="1">
      <alignment horizontal="right" vertical="center"/>
    </xf>
    <xf numFmtId="0" fontId="24" fillId="7" borderId="0" xfId="16" quotePrefix="1" applyFont="1" applyFill="1" applyBorder="1" applyAlignment="1">
      <alignment horizontal="right" vertical="center"/>
    </xf>
    <xf numFmtId="0" fontId="21" fillId="7" borderId="0" xfId="16" applyFont="1" applyFill="1" applyBorder="1" applyAlignment="1">
      <alignment horizontal="right" vertical="center"/>
    </xf>
    <xf numFmtId="0" fontId="20" fillId="7" borderId="0" xfId="0" applyFont="1" applyFill="1" applyAlignment="1">
      <alignment vertical="center"/>
    </xf>
    <xf numFmtId="0" fontId="20" fillId="7" borderId="0" xfId="0" applyFont="1" applyFill="1" applyAlignment="1">
      <alignment horizontal="right" vertical="center"/>
    </xf>
    <xf numFmtId="0" fontId="20" fillId="7" borderId="1" xfId="0" applyFont="1" applyFill="1" applyBorder="1" applyAlignment="1">
      <alignment horizontal="centerContinuous" vertical="center"/>
    </xf>
    <xf numFmtId="0" fontId="20" fillId="7" borderId="0" xfId="6" applyFont="1" applyFill="1" applyAlignment="1">
      <alignment horizontal="left" vertical="center" wrapText="1"/>
    </xf>
    <xf numFmtId="0" fontId="20" fillId="7" borderId="0" xfId="6" applyFont="1" applyFill="1" applyAlignment="1">
      <alignment horizontal="right" vertical="center" wrapText="1"/>
    </xf>
    <xf numFmtId="0" fontId="27" fillId="6" borderId="0" xfId="0" applyFont="1" applyFill="1" applyAlignment="1">
      <alignment vertical="center"/>
    </xf>
    <xf numFmtId="167" fontId="27" fillId="6" borderId="0" xfId="0" applyNumberFormat="1" applyFont="1" applyFill="1" applyAlignment="1">
      <alignment vertical="center"/>
    </xf>
    <xf numFmtId="0" fontId="20" fillId="7" borderId="0" xfId="16" applyFont="1" applyFill="1"/>
    <xf numFmtId="0" fontId="20" fillId="7" borderId="0" xfId="16" applyFont="1" applyFill="1" applyAlignment="1">
      <alignment horizontal="right"/>
    </xf>
    <xf numFmtId="0" fontId="20" fillId="7" borderId="0" xfId="16" applyFont="1" applyFill="1" applyAlignment="1">
      <alignment horizontal="left"/>
    </xf>
    <xf numFmtId="0" fontId="23" fillId="0" borderId="0" xfId="16" applyFont="1"/>
    <xf numFmtId="0" fontId="5" fillId="7" borderId="0" xfId="16" applyFont="1" applyFill="1" applyAlignment="1">
      <alignment vertical="center"/>
    </xf>
    <xf numFmtId="0" fontId="4" fillId="0" borderId="0" xfId="16" applyFont="1"/>
    <xf numFmtId="0" fontId="4" fillId="0" borderId="0" xfId="16" applyFont="1" applyAlignment="1">
      <alignment vertical="center"/>
    </xf>
    <xf numFmtId="7" fontId="30" fillId="0" borderId="0" xfId="16" applyNumberFormat="1" applyFont="1" applyAlignment="1">
      <alignment vertical="center"/>
    </xf>
    <xf numFmtId="37" fontId="30" fillId="0" borderId="0" xfId="16" applyNumberFormat="1" applyFont="1" applyAlignment="1">
      <alignment vertical="center"/>
    </xf>
    <xf numFmtId="5" fontId="4" fillId="0" borderId="0" xfId="16" applyNumberFormat="1" applyFont="1" applyAlignment="1">
      <alignment vertical="center"/>
    </xf>
    <xf numFmtId="5" fontId="30" fillId="0" borderId="0" xfId="16" applyNumberFormat="1" applyFont="1" applyAlignment="1">
      <alignment vertical="center"/>
    </xf>
    <xf numFmtId="167" fontId="4" fillId="0" borderId="0" xfId="16" applyNumberFormat="1" applyFont="1" applyAlignment="1">
      <alignment vertical="center"/>
    </xf>
    <xf numFmtId="0" fontId="4" fillId="6" borderId="0" xfId="16" applyFont="1" applyFill="1" applyAlignment="1">
      <alignment vertical="center"/>
    </xf>
    <xf numFmtId="167" fontId="4" fillId="6" borderId="0" xfId="16" applyNumberFormat="1" applyFont="1" applyFill="1" applyAlignment="1">
      <alignment vertical="center"/>
    </xf>
    <xf numFmtId="7" fontId="4" fillId="0" borderId="0" xfId="16" applyNumberFormat="1" applyFont="1"/>
    <xf numFmtId="7" fontId="25" fillId="0" borderId="0" xfId="16" applyNumberFormat="1" applyFont="1"/>
    <xf numFmtId="37" fontId="25" fillId="0" borderId="0" xfId="16" applyNumberFormat="1" applyFont="1" applyAlignment="1">
      <alignment vertical="center"/>
    </xf>
    <xf numFmtId="5" fontId="25" fillId="0" borderId="0" xfId="16" applyNumberFormat="1" applyFont="1" applyAlignment="1">
      <alignment vertical="center"/>
    </xf>
    <xf numFmtId="5" fontId="25" fillId="0" borderId="0" xfId="16" applyNumberFormat="1" applyFont="1"/>
    <xf numFmtId="0" fontId="25" fillId="0" borderId="0" xfId="16" applyFont="1"/>
    <xf numFmtId="165" fontId="30" fillId="0" borderId="0" xfId="7" applyNumberFormat="1" applyFont="1" applyAlignment="1">
      <alignment horizontal="left" vertical="center"/>
    </xf>
    <xf numFmtId="166" fontId="30" fillId="0" borderId="0" xfId="0" applyNumberFormat="1" applyFont="1" applyAlignment="1">
      <alignment vertical="center" wrapText="1"/>
    </xf>
    <xf numFmtId="169" fontId="30" fillId="0" borderId="0" xfId="7" applyNumberFormat="1" applyFont="1" applyAlignment="1">
      <alignment vertical="center" wrapText="1"/>
    </xf>
    <xf numFmtId="167" fontId="25" fillId="0" borderId="0" xfId="0" applyNumberFormat="1" applyFont="1" applyAlignment="1">
      <alignment horizontal="right" vertical="center" wrapText="1"/>
    </xf>
    <xf numFmtId="167" fontId="44" fillId="0" borderId="0" xfId="16" applyNumberFormat="1" applyFont="1" applyAlignment="1">
      <alignment horizontal="right"/>
    </xf>
    <xf numFmtId="167" fontId="44" fillId="0" borderId="0" xfId="16" applyNumberFormat="1" applyFont="1"/>
    <xf numFmtId="0" fontId="3" fillId="6" borderId="0" xfId="16" applyFont="1" applyFill="1"/>
    <xf numFmtId="0" fontId="3" fillId="9" borderId="0" xfId="16" applyFont="1" applyFill="1" applyBorder="1"/>
    <xf numFmtId="0" fontId="42" fillId="9" borderId="0" xfId="16" applyFont="1" applyFill="1" applyBorder="1"/>
    <xf numFmtId="168" fontId="32" fillId="8" borderId="0" xfId="23" applyNumberFormat="1" applyFont="1" applyFill="1" applyAlignment="1" applyProtection="1">
      <alignment horizontal="centerContinuous"/>
      <protection locked="0"/>
    </xf>
    <xf numFmtId="168" fontId="33" fillId="8" borderId="0" xfId="23" applyNumberFormat="1" applyFont="1" applyFill="1" applyAlignment="1" applyProtection="1">
      <alignment horizontal="centerContinuous"/>
      <protection locked="0"/>
    </xf>
    <xf numFmtId="168" fontId="32" fillId="7" borderId="0" xfId="23" applyNumberFormat="1" applyFont="1" applyFill="1" applyAlignment="1" applyProtection="1">
      <alignment horizontal="centerContinuous"/>
      <protection locked="0"/>
    </xf>
    <xf numFmtId="168" fontId="33" fillId="7" borderId="0" xfId="23" applyNumberFormat="1" applyFont="1" applyFill="1" applyAlignment="1" applyProtection="1">
      <alignment horizontal="centerContinuous"/>
      <protection locked="0"/>
    </xf>
    <xf numFmtId="168" fontId="28" fillId="0" borderId="0" xfId="23" applyNumberFormat="1" applyFont="1" applyProtection="1">
      <protection locked="0"/>
    </xf>
    <xf numFmtId="0" fontId="35" fillId="8" borderId="0" xfId="23" applyNumberFormat="1" applyFont="1" applyFill="1" applyAlignment="1" applyProtection="1">
      <protection locked="0"/>
    </xf>
    <xf numFmtId="0" fontId="35" fillId="7" borderId="0" xfId="23" applyNumberFormat="1" applyFont="1" applyFill="1" applyAlignment="1" applyProtection="1">
      <protection locked="0"/>
    </xf>
    <xf numFmtId="168" fontId="36" fillId="0" borderId="0" xfId="23" applyNumberFormat="1" applyFont="1" applyAlignment="1" applyProtection="1">
      <protection locked="0"/>
    </xf>
    <xf numFmtId="168" fontId="28" fillId="0" borderId="0" xfId="23" applyNumberFormat="1" applyFont="1" applyAlignment="1" applyProtection="1">
      <alignment horizontal="center"/>
      <protection locked="0"/>
    </xf>
    <xf numFmtId="168" fontId="37" fillId="0" borderId="0" xfId="23" applyNumberFormat="1" applyFont="1" applyAlignment="1" applyProtection="1">
      <alignment horizontal="right"/>
      <protection locked="0"/>
    </xf>
    <xf numFmtId="168" fontId="38" fillId="0" borderId="0" xfId="23" applyNumberFormat="1" applyFont="1" applyFill="1" applyProtection="1">
      <protection locked="0"/>
    </xf>
    <xf numFmtId="168" fontId="29" fillId="0" borderId="0" xfId="23" applyNumberFormat="1" applyFont="1" applyFill="1" applyProtection="1">
      <protection locked="0"/>
    </xf>
    <xf numFmtId="168" fontId="39" fillId="0" borderId="0" xfId="23" applyNumberFormat="1" applyFont="1" applyProtection="1">
      <protection locked="0"/>
    </xf>
    <xf numFmtId="168" fontId="28" fillId="0" borderId="3" xfId="23" applyNumberFormat="1" applyFont="1" applyBorder="1" applyProtection="1">
      <protection locked="0"/>
    </xf>
    <xf numFmtId="168" fontId="39" fillId="0" borderId="3" xfId="23" applyNumberFormat="1" applyFont="1" applyBorder="1" applyProtection="1">
      <protection locked="0"/>
    </xf>
    <xf numFmtId="168" fontId="39" fillId="0" borderId="3" xfId="23" applyNumberFormat="1" applyFont="1" applyBorder="1" applyAlignment="1" applyProtection="1">
      <alignment horizontal="center"/>
      <protection locked="0"/>
    </xf>
    <xf numFmtId="168" fontId="28" fillId="0" borderId="0" xfId="23" applyNumberFormat="1" applyFont="1" applyBorder="1" applyProtection="1">
      <protection locked="0"/>
    </xf>
    <xf numFmtId="168" fontId="28" fillId="0" borderId="0" xfId="23" applyNumberFormat="1" applyFont="1" applyBorder="1" applyAlignment="1" applyProtection="1">
      <alignment horizontal="center"/>
      <protection locked="0"/>
    </xf>
    <xf numFmtId="171" fontId="38" fillId="0" borderId="0" xfId="24" applyNumberFormat="1" applyFont="1" applyFill="1" applyBorder="1" applyProtection="1">
      <protection locked="0"/>
    </xf>
    <xf numFmtId="168" fontId="38" fillId="0" borderId="0" xfId="23" applyNumberFormat="1" applyFont="1" applyFill="1" applyBorder="1" applyProtection="1">
      <protection locked="0"/>
    </xf>
    <xf numFmtId="168" fontId="37" fillId="0" borderId="0" xfId="23" applyNumberFormat="1" applyFont="1" applyBorder="1" applyProtection="1">
      <protection locked="0"/>
    </xf>
    <xf numFmtId="168" fontId="37" fillId="0" borderId="0" xfId="23" applyNumberFormat="1" applyFont="1" applyBorder="1" applyAlignment="1" applyProtection="1">
      <alignment horizontal="center"/>
      <protection locked="0"/>
    </xf>
    <xf numFmtId="9" fontId="29" fillId="0" borderId="0" xfId="24" applyFont="1" applyFill="1" applyAlignment="1" applyProtection="1">
      <alignment horizontal="center"/>
      <protection locked="0"/>
    </xf>
    <xf numFmtId="168" fontId="39" fillId="0" borderId="0" xfId="23" applyNumberFormat="1" applyFont="1" applyBorder="1" applyProtection="1">
      <protection locked="0"/>
    </xf>
    <xf numFmtId="168" fontId="39" fillId="0" borderId="0" xfId="23" applyNumberFormat="1" applyFont="1" applyBorder="1" applyAlignment="1" applyProtection="1">
      <alignment horizontal="center"/>
      <protection locked="0"/>
    </xf>
    <xf numFmtId="168" fontId="41" fillId="0" borderId="0" xfId="23" applyNumberFormat="1" applyFont="1" applyBorder="1" applyProtection="1">
      <protection locked="0"/>
    </xf>
    <xf numFmtId="168" fontId="40" fillId="0" borderId="0" xfId="23" applyNumberFormat="1" applyFont="1" applyBorder="1" applyProtection="1">
      <protection locked="0"/>
    </xf>
    <xf numFmtId="168" fontId="39" fillId="0" borderId="0" xfId="23" applyNumberFormat="1" applyFont="1" applyAlignment="1" applyProtection="1">
      <alignment horizontal="center"/>
      <protection locked="0"/>
    </xf>
    <xf numFmtId="168" fontId="29" fillId="0" borderId="0" xfId="23" applyNumberFormat="1" applyFont="1" applyBorder="1" applyProtection="1">
      <protection locked="0"/>
    </xf>
    <xf numFmtId="168" fontId="40" fillId="0" borderId="3" xfId="23" applyNumberFormat="1" applyFont="1" applyBorder="1" applyProtection="1">
      <protection locked="0"/>
    </xf>
    <xf numFmtId="9" fontId="41" fillId="0" borderId="0" xfId="24" applyFont="1" applyBorder="1" applyProtection="1">
      <protection locked="0"/>
    </xf>
    <xf numFmtId="168" fontId="29" fillId="0" borderId="0" xfId="23" applyNumberFormat="1" applyFont="1" applyProtection="1">
      <protection locked="0"/>
    </xf>
    <xf numFmtId="168" fontId="28" fillId="0" borderId="0" xfId="23" applyNumberFormat="1" applyFont="1" applyFill="1" applyProtection="1">
      <protection locked="0"/>
    </xf>
    <xf numFmtId="168" fontId="28" fillId="0" borderId="4" xfId="23" applyNumberFormat="1" applyFont="1" applyBorder="1" applyProtection="1">
      <protection locked="0"/>
    </xf>
    <xf numFmtId="168" fontId="28" fillId="0" borderId="4" xfId="23" applyNumberFormat="1" applyFont="1" applyBorder="1" applyAlignment="1" applyProtection="1">
      <alignment horizontal="center"/>
      <protection locked="0"/>
    </xf>
    <xf numFmtId="168" fontId="38" fillId="0" borderId="4" xfId="23" applyNumberFormat="1" applyFont="1" applyBorder="1" applyProtection="1">
      <protection locked="0"/>
    </xf>
    <xf numFmtId="169" fontId="28" fillId="0" borderId="0" xfId="23" applyNumberFormat="1" applyFont="1" applyFill="1" applyProtection="1">
      <protection locked="0"/>
    </xf>
    <xf numFmtId="168" fontId="39" fillId="0" borderId="5" xfId="23" applyNumberFormat="1" applyFont="1" applyBorder="1" applyProtection="1">
      <protection locked="0"/>
    </xf>
    <xf numFmtId="168" fontId="39" fillId="0" borderId="5" xfId="23" applyNumberFormat="1" applyFont="1" applyBorder="1" applyAlignment="1" applyProtection="1">
      <alignment horizontal="center"/>
      <protection locked="0"/>
    </xf>
    <xf numFmtId="168" fontId="40" fillId="0" borderId="5" xfId="23" applyNumberFormat="1" applyFont="1" applyBorder="1" applyProtection="1">
      <protection locked="0"/>
    </xf>
    <xf numFmtId="0" fontId="2" fillId="0" borderId="0" xfId="25" applyProtection="1">
      <protection locked="0"/>
    </xf>
    <xf numFmtId="170" fontId="28" fillId="0" borderId="0" xfId="23" applyNumberFormat="1" applyFont="1" applyProtection="1">
      <protection locked="0"/>
    </xf>
    <xf numFmtId="168" fontId="39" fillId="0" borderId="6" xfId="23" applyNumberFormat="1" applyFont="1" applyBorder="1" applyProtection="1">
      <protection locked="0"/>
    </xf>
    <xf numFmtId="168" fontId="39" fillId="0" borderId="6" xfId="23" applyNumberFormat="1" applyFont="1" applyBorder="1" applyAlignment="1" applyProtection="1">
      <alignment horizontal="center"/>
      <protection locked="0"/>
    </xf>
    <xf numFmtId="168" fontId="40" fillId="0" borderId="6" xfId="23" applyNumberFormat="1" applyFont="1" applyBorder="1" applyProtection="1">
      <protection locked="0"/>
    </xf>
    <xf numFmtId="168" fontId="37" fillId="0" borderId="0" xfId="23" applyNumberFormat="1" applyFont="1" applyProtection="1">
      <protection locked="0"/>
    </xf>
    <xf numFmtId="172" fontId="37" fillId="0" borderId="0" xfId="23" applyNumberFormat="1" applyFont="1" applyProtection="1">
      <protection locked="0"/>
    </xf>
    <xf numFmtId="172" fontId="37" fillId="0" borderId="0" xfId="23" applyNumberFormat="1" applyFont="1" applyAlignment="1" applyProtection="1">
      <alignment horizontal="center"/>
      <protection locked="0"/>
    </xf>
    <xf numFmtId="168" fontId="28" fillId="0" borderId="3" xfId="23" applyNumberFormat="1" applyFont="1" applyBorder="1" applyAlignment="1" applyProtection="1">
      <alignment horizontal="center"/>
      <protection locked="0"/>
    </xf>
    <xf numFmtId="168" fontId="38" fillId="0" borderId="0" xfId="23" applyNumberFormat="1" applyFont="1" applyBorder="1" applyProtection="1">
      <protection locked="0"/>
    </xf>
    <xf numFmtId="168" fontId="28" fillId="0" borderId="0" xfId="23" applyNumberFormat="1" applyFont="1" applyProtection="1"/>
    <xf numFmtId="168" fontId="38" fillId="0" borderId="3" xfId="23" applyNumberFormat="1" applyFont="1" applyBorder="1" applyProtection="1">
      <protection locked="0"/>
    </xf>
    <xf numFmtId="168" fontId="38" fillId="0" borderId="3" xfId="23" applyNumberFormat="1" applyFont="1" applyBorder="1" applyProtection="1"/>
    <xf numFmtId="168" fontId="38" fillId="0" borderId="0" xfId="23" applyNumberFormat="1" applyFont="1" applyProtection="1">
      <protection locked="0"/>
    </xf>
    <xf numFmtId="168" fontId="38" fillId="0" borderId="0" xfId="23" applyNumberFormat="1" applyFont="1" applyFill="1" applyProtection="1"/>
    <xf numFmtId="168" fontId="28" fillId="0" borderId="3" xfId="23" applyNumberFormat="1" applyFont="1" applyBorder="1" applyProtection="1"/>
    <xf numFmtId="168" fontId="40" fillId="0" borderId="0" xfId="23" applyNumberFormat="1" applyFont="1" applyProtection="1">
      <protection locked="0"/>
    </xf>
    <xf numFmtId="168" fontId="29" fillId="0" borderId="3" xfId="23" applyNumberFormat="1" applyFont="1" applyBorder="1" applyProtection="1">
      <protection locked="0"/>
    </xf>
    <xf numFmtId="9" fontId="29" fillId="0" borderId="3" xfId="24" applyFont="1" applyBorder="1" applyAlignment="1" applyProtection="1">
      <alignment horizontal="right"/>
      <protection locked="0"/>
    </xf>
    <xf numFmtId="9" fontId="29" fillId="0" borderId="0" xfId="24" applyFont="1" applyAlignment="1" applyProtection="1">
      <alignment horizontal="right"/>
      <protection locked="0"/>
    </xf>
    <xf numFmtId="167" fontId="29" fillId="0" borderId="0" xfId="23" applyNumberFormat="1" applyFont="1" applyAlignment="1" applyProtection="1">
      <alignment horizontal="right"/>
      <protection locked="0"/>
    </xf>
    <xf numFmtId="14" fontId="29" fillId="0" borderId="0" xfId="23" applyNumberFormat="1" applyFont="1" applyProtection="1">
      <protection locked="0"/>
    </xf>
    <xf numFmtId="164" fontId="29" fillId="0" borderId="0" xfId="23" applyFont="1" applyAlignment="1" applyProtection="1">
      <alignment horizontal="right"/>
      <protection locked="0"/>
    </xf>
    <xf numFmtId="170" fontId="29" fillId="0" borderId="0" xfId="23" applyNumberFormat="1" applyFont="1" applyAlignment="1" applyProtection="1">
      <alignment horizontal="right"/>
      <protection locked="0"/>
    </xf>
    <xf numFmtId="14" fontId="29" fillId="0" borderId="0" xfId="23" applyNumberFormat="1" applyFont="1" applyBorder="1" applyProtection="1">
      <protection locked="0"/>
    </xf>
    <xf numFmtId="168" fontId="39" fillId="0" borderId="0" xfId="23" applyNumberFormat="1" applyFont="1" applyFill="1" applyBorder="1" applyProtection="1">
      <protection locked="0"/>
    </xf>
    <xf numFmtId="168" fontId="28" fillId="0" borderId="0" xfId="23" applyNumberFormat="1" applyFont="1" applyFill="1" applyBorder="1" applyProtection="1">
      <protection locked="0"/>
    </xf>
    <xf numFmtId="168" fontId="39" fillId="0" borderId="0" xfId="23" applyNumberFormat="1" applyFont="1" applyFill="1" applyBorder="1" applyAlignment="1" applyProtection="1">
      <alignment horizontal="right"/>
      <protection locked="0"/>
    </xf>
    <xf numFmtId="0" fontId="39" fillId="0" borderId="0" xfId="23" applyNumberFormat="1" applyFont="1" applyFill="1" applyBorder="1" applyAlignment="1" applyProtection="1">
      <alignment horizontal="right"/>
      <protection locked="0"/>
    </xf>
    <xf numFmtId="14" fontId="37" fillId="0" borderId="0" xfId="23" applyNumberFormat="1" applyFont="1" applyBorder="1" applyProtection="1">
      <protection locked="0"/>
    </xf>
    <xf numFmtId="169" fontId="28" fillId="0" borderId="0" xfId="23" applyNumberFormat="1" applyFont="1" applyBorder="1" applyProtection="1">
      <protection locked="0"/>
    </xf>
    <xf numFmtId="0" fontId="45" fillId="0" borderId="0" xfId="23" applyNumberFormat="1" applyFont="1" applyBorder="1" applyProtection="1">
      <protection locked="0"/>
    </xf>
    <xf numFmtId="0" fontId="37" fillId="0" borderId="0" xfId="23" applyNumberFormat="1" applyFont="1" applyBorder="1" applyProtection="1">
      <protection locked="0"/>
    </xf>
    <xf numFmtId="173" fontId="37" fillId="0" borderId="0" xfId="23" applyNumberFormat="1" applyFont="1" applyBorder="1" applyProtection="1">
      <protection locked="0"/>
    </xf>
    <xf numFmtId="173" fontId="28" fillId="0" borderId="0" xfId="23" applyNumberFormat="1" applyFont="1" applyBorder="1" applyProtection="1">
      <protection locked="0"/>
    </xf>
    <xf numFmtId="174" fontId="28" fillId="0" borderId="0" xfId="23" applyNumberFormat="1" applyFont="1" applyProtection="1">
      <protection locked="0"/>
    </xf>
    <xf numFmtId="0" fontId="46" fillId="9" borderId="0" xfId="16" applyFont="1" applyFill="1" applyBorder="1"/>
    <xf numFmtId="0" fontId="47" fillId="9" borderId="0" xfId="22" applyFont="1" applyFill="1" applyBorder="1"/>
    <xf numFmtId="168" fontId="37" fillId="0" borderId="3" xfId="23" applyNumberFormat="1" applyFont="1" applyBorder="1" applyProtection="1">
      <protection locked="0"/>
    </xf>
    <xf numFmtId="14" fontId="37" fillId="0" borderId="3" xfId="23" applyNumberFormat="1" applyFont="1" applyBorder="1" applyProtection="1">
      <protection locked="0"/>
    </xf>
    <xf numFmtId="169" fontId="28" fillId="0" borderId="3" xfId="23" applyNumberFormat="1" applyFont="1" applyBorder="1" applyProtection="1">
      <protection locked="0"/>
    </xf>
    <xf numFmtId="168" fontId="39" fillId="0" borderId="3" xfId="23" applyNumberFormat="1" applyFont="1" applyFill="1" applyBorder="1" applyProtection="1">
      <protection locked="0"/>
    </xf>
    <xf numFmtId="0" fontId="28" fillId="0" borderId="0" xfId="23" applyNumberFormat="1" applyFont="1" applyProtection="1">
      <protection locked="0"/>
    </xf>
    <xf numFmtId="173" fontId="45" fillId="0" borderId="0" xfId="23" applyNumberFormat="1" applyFont="1" applyBorder="1" applyProtection="1">
      <protection locked="0"/>
    </xf>
    <xf numFmtId="168" fontId="40" fillId="0" borderId="0" xfId="23" applyNumberFormat="1" applyFont="1" applyFill="1" applyBorder="1" applyProtection="1">
      <protection locked="0"/>
    </xf>
    <xf numFmtId="168" fontId="41" fillId="0" borderId="0" xfId="23" applyNumberFormat="1" applyFont="1" applyFill="1" applyBorder="1" applyProtection="1">
      <protection locked="0"/>
    </xf>
    <xf numFmtId="43" fontId="38" fillId="0" borderId="0" xfId="23" applyNumberFormat="1" applyFont="1" applyFill="1" applyBorder="1" applyProtection="1">
      <protection locked="0"/>
    </xf>
    <xf numFmtId="9" fontId="38" fillId="0" borderId="0" xfId="24" applyFont="1" applyFill="1" applyBorder="1" applyProtection="1">
      <protection locked="0"/>
    </xf>
    <xf numFmtId="168" fontId="38" fillId="0" borderId="3" xfId="23" applyNumberFormat="1" applyFont="1" applyFill="1" applyBorder="1" applyProtection="1">
      <protection locked="0"/>
    </xf>
    <xf numFmtId="164" fontId="38" fillId="0" borderId="3" xfId="24" applyNumberFormat="1" applyFont="1" applyFill="1" applyBorder="1" applyProtection="1">
      <protection locked="0"/>
    </xf>
    <xf numFmtId="164" fontId="38" fillId="0" borderId="0" xfId="23" applyFont="1" applyFill="1" applyBorder="1" applyProtection="1">
      <protection locked="0"/>
    </xf>
    <xf numFmtId="173" fontId="38" fillId="0" borderId="0" xfId="23" applyNumberFormat="1" applyFont="1" applyFill="1" applyBorder="1" applyProtection="1">
      <protection locked="0"/>
    </xf>
    <xf numFmtId="173" fontId="40" fillId="0" borderId="0" xfId="23" applyNumberFormat="1" applyFont="1" applyFill="1" applyBorder="1" applyProtection="1">
      <protection locked="0"/>
    </xf>
    <xf numFmtId="174" fontId="28" fillId="0" borderId="3" xfId="23" applyNumberFormat="1" applyFont="1" applyBorder="1" applyProtection="1">
      <protection locked="0"/>
    </xf>
    <xf numFmtId="0" fontId="3" fillId="0" borderId="0" xfId="26" applyFont="1" applyFill="1" applyBorder="1"/>
    <xf numFmtId="0" fontId="3" fillId="0" borderId="3" xfId="26" applyFont="1" applyFill="1" applyBorder="1"/>
    <xf numFmtId="0" fontId="50" fillId="0" borderId="0" xfId="27" applyFont="1" applyFill="1" applyBorder="1"/>
    <xf numFmtId="0" fontId="21" fillId="7" borderId="0" xfId="26" applyFont="1" applyFill="1" applyBorder="1"/>
    <xf numFmtId="0" fontId="3" fillId="7" borderId="0" xfId="26" applyFont="1" applyFill="1" applyBorder="1"/>
    <xf numFmtId="0" fontId="3" fillId="9" borderId="0" xfId="26" applyFont="1" applyFill="1"/>
    <xf numFmtId="0" fontId="21" fillId="7" borderId="0" xfId="26" applyFont="1" applyFill="1"/>
    <xf numFmtId="0" fontId="23" fillId="0" borderId="4" xfId="26" applyFont="1" applyFill="1" applyBorder="1" applyProtection="1">
      <protection locked="0"/>
    </xf>
    <xf numFmtId="0" fontId="3" fillId="9" borderId="0" xfId="26" applyFont="1" applyFill="1" applyBorder="1"/>
    <xf numFmtId="0" fontId="23" fillId="0" borderId="0" xfId="26" applyFont="1" applyFill="1" applyBorder="1" applyAlignment="1">
      <alignment horizontal="right"/>
    </xf>
    <xf numFmtId="0" fontId="51" fillId="9" borderId="0" xfId="16" applyFont="1" applyFill="1" applyBorder="1"/>
    <xf numFmtId="0" fontId="52" fillId="7" borderId="0" xfId="0" applyFont="1" applyFill="1"/>
    <xf numFmtId="0" fontId="3" fillId="0" borderId="0" xfId="26" applyFont="1"/>
    <xf numFmtId="0" fontId="53" fillId="7" borderId="0" xfId="0" applyFont="1" applyFill="1" applyBorder="1" applyAlignment="1">
      <alignment horizontal="left" vertical="center" readingOrder="1"/>
    </xf>
    <xf numFmtId="168" fontId="31" fillId="7" borderId="0" xfId="32" applyNumberFormat="1" applyFont="1" applyFill="1" applyProtection="1">
      <protection locked="0"/>
    </xf>
    <xf numFmtId="168" fontId="28" fillId="7" borderId="0" xfId="32" applyNumberFormat="1" applyFont="1" applyFill="1" applyProtection="1">
      <protection locked="0"/>
    </xf>
    <xf numFmtId="168" fontId="28" fillId="7" borderId="0" xfId="32" applyNumberFormat="1" applyFont="1" applyFill="1" applyAlignment="1" applyProtection="1">
      <alignment horizontal="center"/>
      <protection locked="0"/>
    </xf>
    <xf numFmtId="168" fontId="32" fillId="8" borderId="0" xfId="32" applyNumberFormat="1" applyFont="1" applyFill="1" applyAlignment="1" applyProtection="1">
      <alignment horizontal="centerContinuous"/>
      <protection locked="0"/>
    </xf>
    <xf numFmtId="168" fontId="33" fillId="8" borderId="0" xfId="32" applyNumberFormat="1" applyFont="1" applyFill="1" applyAlignment="1" applyProtection="1">
      <alignment horizontal="centerContinuous"/>
      <protection locked="0"/>
    </xf>
    <xf numFmtId="168" fontId="32" fillId="7" borderId="0" xfId="32" applyNumberFormat="1" applyFont="1" applyFill="1" applyAlignment="1" applyProtection="1">
      <alignment horizontal="centerContinuous"/>
      <protection locked="0"/>
    </xf>
    <xf numFmtId="168" fontId="33" fillId="7" borderId="0" xfId="32" applyNumberFormat="1" applyFont="1" applyFill="1" applyAlignment="1" applyProtection="1">
      <alignment horizontal="centerContinuous"/>
      <protection locked="0"/>
    </xf>
    <xf numFmtId="168" fontId="28" fillId="0" borderId="0" xfId="32" applyNumberFormat="1" applyFont="1" applyProtection="1">
      <protection locked="0"/>
    </xf>
    <xf numFmtId="168" fontId="34" fillId="7" borderId="0" xfId="32" applyNumberFormat="1" applyFont="1" applyFill="1" applyAlignment="1" applyProtection="1">
      <protection locked="0"/>
    </xf>
    <xf numFmtId="168" fontId="35" fillId="7" borderId="0" xfId="32" applyNumberFormat="1" applyFont="1" applyFill="1" applyAlignment="1" applyProtection="1">
      <protection locked="0"/>
    </xf>
    <xf numFmtId="168" fontId="35" fillId="7" borderId="0" xfId="32" applyNumberFormat="1" applyFont="1" applyFill="1" applyAlignment="1" applyProtection="1">
      <alignment horizontal="center"/>
      <protection locked="0"/>
    </xf>
    <xf numFmtId="0" fontId="35" fillId="8" borderId="0" xfId="32" applyNumberFormat="1" applyFont="1" applyFill="1" applyAlignment="1" applyProtection="1">
      <protection locked="0"/>
    </xf>
    <xf numFmtId="0" fontId="35" fillId="7" borderId="0" xfId="32" applyNumberFormat="1" applyFont="1" applyFill="1" applyAlignment="1" applyProtection="1">
      <protection locked="0"/>
    </xf>
    <xf numFmtId="168" fontId="36" fillId="0" borderId="0" xfId="32" applyNumberFormat="1" applyFont="1" applyAlignment="1" applyProtection="1">
      <protection locked="0"/>
    </xf>
    <xf numFmtId="168" fontId="28" fillId="0" borderId="0" xfId="32" applyNumberFormat="1" applyFont="1" applyAlignment="1" applyProtection="1">
      <alignment horizontal="center"/>
      <protection locked="0"/>
    </xf>
    <xf numFmtId="168" fontId="37" fillId="0" borderId="0" xfId="32" applyNumberFormat="1" applyFont="1" applyAlignment="1" applyProtection="1">
      <alignment horizontal="right"/>
      <protection locked="0"/>
    </xf>
    <xf numFmtId="168" fontId="34" fillId="6" borderId="0" xfId="32" applyNumberFormat="1" applyFont="1" applyFill="1" applyBorder="1" applyProtection="1">
      <protection locked="0"/>
    </xf>
    <xf numFmtId="168" fontId="38" fillId="6" borderId="0" xfId="32" applyNumberFormat="1" applyFont="1" applyFill="1" applyBorder="1" applyProtection="1">
      <protection locked="0"/>
    </xf>
    <xf numFmtId="168" fontId="38" fillId="6" borderId="0" xfId="32" applyNumberFormat="1" applyFont="1" applyFill="1" applyBorder="1" applyAlignment="1" applyProtection="1">
      <alignment horizontal="center"/>
      <protection locked="0"/>
    </xf>
    <xf numFmtId="168" fontId="38" fillId="0" borderId="0" xfId="32" applyNumberFormat="1" applyFont="1" applyFill="1" applyProtection="1">
      <protection locked="0"/>
    </xf>
    <xf numFmtId="168" fontId="29" fillId="0" borderId="0" xfId="32" applyNumberFormat="1" applyFont="1" applyFill="1" applyProtection="1">
      <protection locked="0"/>
    </xf>
    <xf numFmtId="168" fontId="39" fillId="0" borderId="0" xfId="32" applyNumberFormat="1" applyFont="1" applyProtection="1">
      <protection locked="0"/>
    </xf>
    <xf numFmtId="168" fontId="28" fillId="0" borderId="3" xfId="32" applyNumberFormat="1" applyFont="1" applyBorder="1" applyProtection="1">
      <protection locked="0"/>
    </xf>
    <xf numFmtId="168" fontId="39" fillId="0" borderId="3" xfId="32" applyNumberFormat="1" applyFont="1" applyBorder="1" applyProtection="1">
      <protection locked="0"/>
    </xf>
    <xf numFmtId="168" fontId="39" fillId="0" borderId="3" xfId="32" applyNumberFormat="1" applyFont="1" applyBorder="1" applyAlignment="1" applyProtection="1">
      <alignment horizontal="center"/>
      <protection locked="0"/>
    </xf>
    <xf numFmtId="171" fontId="38" fillId="0" borderId="3" xfId="33" applyNumberFormat="1" applyFont="1" applyFill="1" applyBorder="1" applyProtection="1">
      <protection locked="0"/>
    </xf>
    <xf numFmtId="171" fontId="29" fillId="0" borderId="3" xfId="33" applyNumberFormat="1" applyFont="1" applyFill="1" applyBorder="1" applyProtection="1">
      <protection locked="0"/>
    </xf>
    <xf numFmtId="168" fontId="28" fillId="0" borderId="0" xfId="32" applyNumberFormat="1" applyFont="1" applyBorder="1" applyProtection="1">
      <protection locked="0"/>
    </xf>
    <xf numFmtId="168" fontId="28" fillId="0" borderId="0" xfId="32" applyNumberFormat="1" applyFont="1" applyBorder="1" applyAlignment="1" applyProtection="1">
      <alignment horizontal="center"/>
      <protection locked="0"/>
    </xf>
    <xf numFmtId="171" fontId="38" fillId="0" borderId="0" xfId="33" applyNumberFormat="1" applyFont="1" applyFill="1" applyBorder="1" applyProtection="1">
      <protection locked="0"/>
    </xf>
    <xf numFmtId="171" fontId="29" fillId="0" borderId="0" xfId="33" applyNumberFormat="1" applyFont="1" applyFill="1" applyBorder="1" applyProtection="1">
      <protection locked="0"/>
    </xf>
    <xf numFmtId="168" fontId="38" fillId="0" borderId="0" xfId="32" applyNumberFormat="1" applyFont="1" applyFill="1" applyBorder="1" applyProtection="1">
      <protection locked="0"/>
    </xf>
    <xf numFmtId="168" fontId="29" fillId="0" borderId="0" xfId="32" applyNumberFormat="1" applyFont="1" applyFill="1" applyBorder="1" applyProtection="1">
      <protection locked="0"/>
    </xf>
    <xf numFmtId="168" fontId="37" fillId="0" borderId="0" xfId="32" applyNumberFormat="1" applyFont="1" applyBorder="1" applyProtection="1">
      <protection locked="0"/>
    </xf>
    <xf numFmtId="168" fontId="37" fillId="0" borderId="0" xfId="32" applyNumberFormat="1" applyFont="1" applyBorder="1" applyAlignment="1" applyProtection="1">
      <alignment horizontal="center"/>
      <protection locked="0"/>
    </xf>
    <xf numFmtId="9" fontId="29" fillId="0" borderId="0" xfId="33" applyFont="1" applyFill="1" applyAlignment="1" applyProtection="1">
      <alignment horizontal="center"/>
      <protection locked="0"/>
    </xf>
    <xf numFmtId="168" fontId="39" fillId="0" borderId="0" xfId="32" applyNumberFormat="1" applyFont="1" applyBorder="1" applyProtection="1">
      <protection locked="0"/>
    </xf>
    <xf numFmtId="168" fontId="39" fillId="0" borderId="0" xfId="32" applyNumberFormat="1" applyFont="1" applyBorder="1" applyAlignment="1" applyProtection="1">
      <alignment horizontal="center"/>
      <protection locked="0"/>
    </xf>
    <xf numFmtId="168" fontId="41" fillId="0" borderId="0" xfId="32" applyNumberFormat="1" applyFont="1" applyBorder="1" applyProtection="1">
      <protection locked="0"/>
    </xf>
    <xf numFmtId="168" fontId="40" fillId="0" borderId="0" xfId="32" applyNumberFormat="1" applyFont="1" applyBorder="1" applyProtection="1">
      <protection locked="0"/>
    </xf>
    <xf numFmtId="168" fontId="39" fillId="0" borderId="0" xfId="32" applyNumberFormat="1" applyFont="1" applyAlignment="1" applyProtection="1">
      <alignment horizontal="center"/>
      <protection locked="0"/>
    </xf>
    <xf numFmtId="168" fontId="41" fillId="0" borderId="0" xfId="32" applyNumberFormat="1" applyFont="1" applyProtection="1">
      <protection locked="0"/>
    </xf>
    <xf numFmtId="168" fontId="39" fillId="0" borderId="0" xfId="32" applyNumberFormat="1" applyFont="1" applyFill="1" applyProtection="1">
      <protection locked="0"/>
    </xf>
    <xf numFmtId="168" fontId="29" fillId="0" borderId="0" xfId="32" applyNumberFormat="1" applyFont="1" applyBorder="1" applyProtection="1">
      <protection locked="0"/>
    </xf>
    <xf numFmtId="169" fontId="28" fillId="0" borderId="0" xfId="32" applyNumberFormat="1" applyFont="1" applyFill="1" applyBorder="1" applyProtection="1">
      <protection locked="0"/>
    </xf>
    <xf numFmtId="168" fontId="40" fillId="0" borderId="3" xfId="32" applyNumberFormat="1" applyFont="1" applyBorder="1" applyProtection="1">
      <protection locked="0"/>
    </xf>
    <xf numFmtId="9" fontId="41" fillId="0" borderId="0" xfId="33" applyFont="1" applyBorder="1" applyProtection="1">
      <protection locked="0"/>
    </xf>
    <xf numFmtId="168" fontId="29" fillId="0" borderId="0" xfId="32" applyNumberFormat="1" applyFont="1" applyProtection="1">
      <protection locked="0"/>
    </xf>
    <xf numFmtId="168" fontId="28" fillId="0" borderId="0" xfId="32" applyNumberFormat="1" applyFont="1" applyFill="1" applyProtection="1">
      <protection locked="0"/>
    </xf>
    <xf numFmtId="168" fontId="28" fillId="0" borderId="4" xfId="32" applyNumberFormat="1" applyFont="1" applyBorder="1" applyProtection="1">
      <protection locked="0"/>
    </xf>
    <xf numFmtId="168" fontId="28" fillId="0" borderId="4" xfId="32" applyNumberFormat="1" applyFont="1" applyBorder="1" applyAlignment="1" applyProtection="1">
      <alignment horizontal="center"/>
      <protection locked="0"/>
    </xf>
    <xf numFmtId="168" fontId="29" fillId="0" borderId="4" xfId="32" applyNumberFormat="1" applyFont="1" applyBorder="1" applyProtection="1">
      <protection locked="0"/>
    </xf>
    <xf numFmtId="168" fontId="38" fillId="0" borderId="4" xfId="32" applyNumberFormat="1" applyFont="1" applyBorder="1" applyProtection="1">
      <protection locked="0"/>
    </xf>
    <xf numFmtId="169" fontId="28" fillId="0" borderId="0" xfId="32" applyNumberFormat="1" applyFont="1" applyFill="1" applyProtection="1">
      <protection locked="0"/>
    </xf>
    <xf numFmtId="168" fontId="39" fillId="0" borderId="5" xfId="32" applyNumberFormat="1" applyFont="1" applyBorder="1" applyProtection="1">
      <protection locked="0"/>
    </xf>
    <xf numFmtId="168" fontId="39" fillId="0" borderId="5" xfId="32" applyNumberFormat="1" applyFont="1" applyBorder="1" applyAlignment="1" applyProtection="1">
      <alignment horizontal="center"/>
      <protection locked="0"/>
    </xf>
    <xf numFmtId="168" fontId="40" fillId="0" borderId="5" xfId="32" applyNumberFormat="1" applyFont="1" applyBorder="1" applyProtection="1">
      <protection locked="0"/>
    </xf>
    <xf numFmtId="0" fontId="1" fillId="0" borderId="0" xfId="34" applyProtection="1">
      <protection locked="0"/>
    </xf>
    <xf numFmtId="170" fontId="28" fillId="0" borderId="0" xfId="32" applyNumberFormat="1" applyFont="1" applyProtection="1">
      <protection locked="0"/>
    </xf>
    <xf numFmtId="168" fontId="39" fillId="0" borderId="6" xfId="32" applyNumberFormat="1" applyFont="1" applyBorder="1" applyProtection="1">
      <protection locked="0"/>
    </xf>
    <xf numFmtId="168" fontId="39" fillId="0" borderId="6" xfId="32" applyNumberFormat="1" applyFont="1" applyBorder="1" applyAlignment="1" applyProtection="1">
      <alignment horizontal="center"/>
      <protection locked="0"/>
    </xf>
    <xf numFmtId="168" fontId="40" fillId="0" borderId="6" xfId="32" applyNumberFormat="1" applyFont="1" applyBorder="1" applyProtection="1">
      <protection locked="0"/>
    </xf>
    <xf numFmtId="168" fontId="37" fillId="0" borderId="0" xfId="32" applyNumberFormat="1" applyFont="1" applyProtection="1">
      <protection locked="0"/>
    </xf>
    <xf numFmtId="172" fontId="37" fillId="0" borderId="0" xfId="32" applyNumberFormat="1" applyFont="1" applyProtection="1">
      <protection locked="0"/>
    </xf>
    <xf numFmtId="172" fontId="37" fillId="0" borderId="0" xfId="32" applyNumberFormat="1" applyFont="1" applyAlignment="1" applyProtection="1">
      <alignment horizontal="center"/>
      <protection locked="0"/>
    </xf>
    <xf numFmtId="168" fontId="28" fillId="0" borderId="3" xfId="32" applyNumberFormat="1" applyFont="1" applyBorder="1" applyAlignment="1" applyProtection="1">
      <alignment horizontal="center"/>
      <protection locked="0"/>
    </xf>
    <xf numFmtId="168" fontId="38" fillId="0" borderId="0" xfId="32" applyNumberFormat="1" applyFont="1" applyBorder="1" applyProtection="1">
      <protection locked="0"/>
    </xf>
    <xf numFmtId="168" fontId="28" fillId="0" borderId="0" xfId="32" applyNumberFormat="1" applyFont="1" applyProtection="1"/>
    <xf numFmtId="168" fontId="38" fillId="0" borderId="3" xfId="32" applyNumberFormat="1" applyFont="1" applyBorder="1" applyProtection="1">
      <protection locked="0"/>
    </xf>
    <xf numFmtId="168" fontId="38" fillId="0" borderId="3" xfId="32" applyNumberFormat="1" applyFont="1" applyBorder="1" applyProtection="1"/>
    <xf numFmtId="168" fontId="38" fillId="0" borderId="0" xfId="32" applyNumberFormat="1" applyFont="1" applyProtection="1">
      <protection locked="0"/>
    </xf>
    <xf numFmtId="169" fontId="28" fillId="0" borderId="0" xfId="32" applyNumberFormat="1" applyFont="1" applyProtection="1"/>
    <xf numFmtId="43" fontId="28" fillId="0" borderId="0" xfId="32" applyNumberFormat="1" applyFont="1" applyProtection="1"/>
    <xf numFmtId="168" fontId="38" fillId="0" borderId="0" xfId="32" applyNumberFormat="1" applyFont="1" applyFill="1" applyProtection="1"/>
    <xf numFmtId="168" fontId="28" fillId="0" borderId="3" xfId="32" applyNumberFormat="1" applyFont="1" applyBorder="1" applyProtection="1"/>
    <xf numFmtId="168" fontId="40" fillId="0" borderId="0" xfId="32" applyNumberFormat="1" applyFont="1" applyProtection="1">
      <protection locked="0"/>
    </xf>
    <xf numFmtId="168" fontId="29" fillId="0" borderId="3" xfId="32" applyNumberFormat="1" applyFont="1" applyBorder="1" applyProtection="1">
      <protection locked="0"/>
    </xf>
    <xf numFmtId="9" fontId="29" fillId="0" borderId="3" xfId="33" applyFont="1" applyBorder="1" applyAlignment="1" applyProtection="1">
      <alignment horizontal="right"/>
      <protection locked="0"/>
    </xf>
    <xf numFmtId="9" fontId="29" fillId="0" borderId="0" xfId="33" applyFont="1" applyAlignment="1" applyProtection="1">
      <alignment horizontal="right"/>
      <protection locked="0"/>
    </xf>
    <xf numFmtId="167" fontId="29" fillId="0" borderId="0" xfId="32" applyNumberFormat="1" applyFont="1" applyAlignment="1" applyProtection="1">
      <alignment horizontal="right"/>
      <protection locked="0"/>
    </xf>
    <xf numFmtId="14" fontId="29" fillId="0" borderId="0" xfId="32" applyNumberFormat="1" applyFont="1" applyProtection="1">
      <protection locked="0"/>
    </xf>
    <xf numFmtId="164" fontId="29" fillId="0" borderId="0" xfId="32" applyFont="1" applyAlignment="1" applyProtection="1">
      <alignment horizontal="right"/>
      <protection locked="0"/>
    </xf>
    <xf numFmtId="170" fontId="29" fillId="0" borderId="0" xfId="32" applyNumberFormat="1" applyFont="1" applyAlignment="1" applyProtection="1">
      <alignment horizontal="right"/>
      <protection locked="0"/>
    </xf>
    <xf numFmtId="14" fontId="29" fillId="0" borderId="0" xfId="32" applyNumberFormat="1" applyFont="1" applyBorder="1" applyProtection="1">
      <protection locked="0"/>
    </xf>
    <xf numFmtId="168" fontId="39" fillId="0" borderId="0" xfId="32" applyNumberFormat="1" applyFont="1" applyFill="1" applyBorder="1" applyProtection="1">
      <protection locked="0"/>
    </xf>
    <xf numFmtId="168" fontId="28" fillId="0" borderId="0" xfId="32" applyNumberFormat="1" applyFont="1" applyFill="1" applyBorder="1" applyProtection="1">
      <protection locked="0"/>
    </xf>
    <xf numFmtId="168" fontId="39" fillId="0" borderId="0" xfId="32" applyNumberFormat="1" applyFont="1" applyFill="1" applyBorder="1" applyAlignment="1" applyProtection="1">
      <alignment horizontal="right"/>
      <protection locked="0"/>
    </xf>
    <xf numFmtId="0" fontId="39" fillId="0" borderId="0" xfId="32" applyNumberFormat="1" applyFont="1" applyFill="1" applyBorder="1" applyAlignment="1" applyProtection="1">
      <alignment horizontal="right"/>
      <protection locked="0"/>
    </xf>
    <xf numFmtId="168" fontId="37" fillId="0" borderId="3" xfId="32" applyNumberFormat="1" applyFont="1" applyBorder="1" applyProtection="1">
      <protection locked="0"/>
    </xf>
    <xf numFmtId="14" fontId="37" fillId="0" borderId="3" xfId="32" applyNumberFormat="1" applyFont="1" applyBorder="1" applyProtection="1">
      <protection locked="0"/>
    </xf>
    <xf numFmtId="169" fontId="28" fillId="0" borderId="3" xfId="32" applyNumberFormat="1" applyFont="1" applyBorder="1" applyProtection="1">
      <protection locked="0"/>
    </xf>
    <xf numFmtId="14" fontId="37" fillId="0" borderId="0" xfId="32" applyNumberFormat="1" applyFont="1" applyBorder="1" applyProtection="1">
      <protection locked="0"/>
    </xf>
    <xf numFmtId="0" fontId="45" fillId="0" borderId="0" xfId="32" applyNumberFormat="1" applyFont="1" applyBorder="1" applyProtection="1">
      <protection locked="0"/>
    </xf>
    <xf numFmtId="0" fontId="37" fillId="0" borderId="0" xfId="32" applyNumberFormat="1" applyFont="1" applyBorder="1" applyProtection="1">
      <protection locked="0"/>
    </xf>
    <xf numFmtId="169" fontId="28" fillId="0" borderId="0" xfId="32" applyNumberFormat="1" applyFont="1" applyBorder="1" applyProtection="1">
      <protection locked="0"/>
    </xf>
    <xf numFmtId="173" fontId="37" fillId="0" borderId="0" xfId="32" applyNumberFormat="1" applyFont="1" applyBorder="1" applyProtection="1">
      <protection locked="0"/>
    </xf>
    <xf numFmtId="173" fontId="45" fillId="0" borderId="0" xfId="32" applyNumberFormat="1" applyFont="1" applyBorder="1" applyProtection="1">
      <protection locked="0"/>
    </xf>
    <xf numFmtId="173" fontId="28" fillId="0" borderId="0" xfId="32" applyNumberFormat="1" applyFont="1" applyBorder="1" applyProtection="1">
      <protection locked="0"/>
    </xf>
    <xf numFmtId="168" fontId="39" fillId="0" borderId="3" xfId="32" applyNumberFormat="1" applyFont="1" applyFill="1" applyBorder="1" applyProtection="1">
      <protection locked="0"/>
    </xf>
    <xf numFmtId="168" fontId="40" fillId="0" borderId="0" xfId="32" applyNumberFormat="1" applyFont="1" applyFill="1" applyBorder="1" applyProtection="1">
      <protection locked="0"/>
    </xf>
    <xf numFmtId="168" fontId="41" fillId="0" borderId="0" xfId="32" applyNumberFormat="1" applyFont="1" applyFill="1" applyBorder="1" applyProtection="1">
      <protection locked="0"/>
    </xf>
    <xf numFmtId="43" fontId="38" fillId="0" borderId="0" xfId="32" applyNumberFormat="1" applyFont="1" applyFill="1" applyBorder="1" applyProtection="1">
      <protection locked="0"/>
    </xf>
    <xf numFmtId="9" fontId="38" fillId="0" borderId="0" xfId="33" applyFont="1" applyFill="1" applyBorder="1" applyProtection="1">
      <protection locked="0"/>
    </xf>
    <xf numFmtId="168" fontId="38" fillId="0" borderId="3" xfId="32" applyNumberFormat="1" applyFont="1" applyFill="1" applyBorder="1" applyProtection="1">
      <protection locked="0"/>
    </xf>
    <xf numFmtId="164" fontId="38" fillId="0" borderId="3" xfId="33" applyNumberFormat="1" applyFont="1" applyFill="1" applyBorder="1" applyProtection="1">
      <protection locked="0"/>
    </xf>
    <xf numFmtId="164" fontId="38" fillId="0" borderId="0" xfId="32" applyFont="1" applyFill="1" applyBorder="1" applyProtection="1">
      <protection locked="0"/>
    </xf>
    <xf numFmtId="173" fontId="38" fillId="0" borderId="0" xfId="32" applyNumberFormat="1" applyFont="1" applyFill="1" applyBorder="1" applyProtection="1">
      <protection locked="0"/>
    </xf>
    <xf numFmtId="173" fontId="32" fillId="10" borderId="0" xfId="32" applyNumberFormat="1" applyFont="1" applyFill="1" applyBorder="1" applyProtection="1">
      <protection locked="0"/>
    </xf>
    <xf numFmtId="173" fontId="40" fillId="0" borderId="0" xfId="32" applyNumberFormat="1" applyFont="1" applyFill="1" applyBorder="1" applyProtection="1">
      <protection locked="0"/>
    </xf>
    <xf numFmtId="0" fontId="28" fillId="0" borderId="0" xfId="32" applyNumberFormat="1" applyFont="1" applyProtection="1">
      <protection locked="0"/>
    </xf>
    <xf numFmtId="174" fontId="28" fillId="0" borderId="3" xfId="32" applyNumberFormat="1" applyFont="1" applyBorder="1" applyProtection="1">
      <protection locked="0"/>
    </xf>
    <xf numFmtId="174" fontId="28" fillId="0" borderId="0" xfId="32" applyNumberFormat="1" applyFont="1" applyProtection="1">
      <protection locked="0"/>
    </xf>
    <xf numFmtId="171" fontId="38" fillId="0" borderId="0" xfId="24" applyNumberFormat="1" applyFont="1" applyFill="1" applyBorder="1" applyAlignment="1" applyProtection="1">
      <alignment horizontal="right"/>
      <protection locked="0"/>
    </xf>
    <xf numFmtId="168" fontId="29" fillId="0" borderId="0" xfId="23" applyNumberFormat="1" applyFont="1" applyAlignment="1" applyProtection="1">
      <alignment horizontal="right"/>
      <protection locked="0"/>
    </xf>
    <xf numFmtId="168" fontId="29" fillId="0" borderId="0" xfId="23" applyNumberFormat="1" applyFont="1" applyBorder="1" applyAlignment="1" applyProtection="1">
      <alignment horizontal="right"/>
      <protection locked="0"/>
    </xf>
    <xf numFmtId="168" fontId="39" fillId="0" borderId="0" xfId="23" applyNumberFormat="1" applyFont="1" applyAlignment="1" applyProtection="1">
      <alignment horizontal="right"/>
      <protection locked="0"/>
    </xf>
    <xf numFmtId="9" fontId="41" fillId="0" borderId="0" xfId="24" applyFont="1" applyBorder="1" applyAlignment="1" applyProtection="1">
      <alignment horizontal="right"/>
      <protection locked="0"/>
    </xf>
    <xf numFmtId="168" fontId="29" fillId="0" borderId="4" xfId="23" applyNumberFormat="1" applyFont="1" applyBorder="1" applyAlignment="1" applyProtection="1">
      <alignment horizontal="right"/>
      <protection locked="0"/>
    </xf>
    <xf numFmtId="168" fontId="28" fillId="0" borderId="0" xfId="23" applyNumberFormat="1" applyFont="1" applyAlignment="1" applyProtection="1">
      <alignment horizontal="right"/>
      <protection locked="0"/>
    </xf>
    <xf numFmtId="168" fontId="40" fillId="0" borderId="3" xfId="23" applyNumberFormat="1" applyFont="1" applyBorder="1" applyAlignment="1" applyProtection="1">
      <alignment horizontal="right"/>
      <protection locked="0"/>
    </xf>
    <xf numFmtId="168" fontId="41" fillId="0" borderId="0" xfId="23" applyNumberFormat="1" applyFont="1" applyBorder="1" applyAlignment="1" applyProtection="1">
      <alignment horizontal="right"/>
      <protection locked="0"/>
    </xf>
    <xf numFmtId="168" fontId="28" fillId="0" borderId="0" xfId="23" applyNumberFormat="1" applyFont="1" applyBorder="1" applyAlignment="1" applyProtection="1">
      <protection locked="0"/>
    </xf>
    <xf numFmtId="168" fontId="40" fillId="0" borderId="3" xfId="23" applyNumberFormat="1" applyFont="1" applyBorder="1" applyAlignment="1" applyProtection="1">
      <protection locked="0"/>
    </xf>
    <xf numFmtId="168" fontId="39" fillId="0" borderId="3" xfId="23" applyNumberFormat="1" applyFont="1" applyBorder="1" applyAlignment="1" applyProtection="1">
      <protection locked="0"/>
    </xf>
    <xf numFmtId="168" fontId="41" fillId="0" borderId="0" xfId="23" applyNumberFormat="1" applyFont="1" applyBorder="1" applyAlignment="1" applyProtection="1">
      <protection locked="0"/>
    </xf>
    <xf numFmtId="168" fontId="39" fillId="0" borderId="0" xfId="23" applyNumberFormat="1" applyFont="1" applyBorder="1" applyAlignment="1" applyProtection="1">
      <protection locked="0"/>
    </xf>
    <xf numFmtId="168" fontId="29" fillId="0" borderId="0" xfId="23" applyNumberFormat="1" applyFont="1" applyAlignment="1" applyProtection="1">
      <protection locked="0"/>
    </xf>
    <xf numFmtId="168" fontId="28" fillId="0" borderId="0" xfId="23" applyNumberFormat="1" applyFont="1" applyAlignment="1" applyProtection="1">
      <protection locked="0"/>
    </xf>
    <xf numFmtId="168" fontId="38" fillId="0" borderId="0" xfId="23" applyNumberFormat="1" applyFont="1" applyBorder="1" applyAlignment="1" applyProtection="1">
      <alignment horizontal="right"/>
      <protection locked="0"/>
    </xf>
    <xf numFmtId="168" fontId="28" fillId="0" borderId="0" xfId="23" applyNumberFormat="1" applyFont="1" applyBorder="1" applyAlignment="1" applyProtection="1">
      <alignment horizontal="right"/>
      <protection locked="0"/>
    </xf>
    <xf numFmtId="0" fontId="0" fillId="0" borderId="0" xfId="0" applyFont="1" applyBorder="1"/>
    <xf numFmtId="169" fontId="28" fillId="0" borderId="0" xfId="23" applyNumberFormat="1" applyFont="1" applyAlignment="1" applyProtection="1">
      <alignment horizontal="right"/>
    </xf>
    <xf numFmtId="168" fontId="28" fillId="0" borderId="0" xfId="23" applyNumberFormat="1" applyFont="1" applyAlignment="1" applyProtection="1"/>
    <xf numFmtId="0" fontId="20" fillId="12" borderId="0" xfId="0" applyFont="1" applyFill="1"/>
    <xf numFmtId="0" fontId="20" fillId="0" borderId="0" xfId="0" applyFont="1" applyFill="1"/>
    <xf numFmtId="0" fontId="20" fillId="12" borderId="0" xfId="0" applyFont="1" applyFill="1" applyBorder="1"/>
    <xf numFmtId="171" fontId="25" fillId="13" borderId="0" xfId="30" applyNumberFormat="1" applyFont="1" applyFill="1"/>
    <xf numFmtId="171" fontId="25" fillId="13" borderId="0" xfId="30" applyNumberFormat="1" applyFont="1" applyFill="1" applyAlignment="1">
      <alignment horizontal="right"/>
    </xf>
    <xf numFmtId="9" fontId="25" fillId="13" borderId="0" xfId="30" applyFont="1" applyFill="1"/>
    <xf numFmtId="1" fontId="25" fillId="13" borderId="0" xfId="30" applyNumberFormat="1" applyFont="1" applyFill="1"/>
    <xf numFmtId="0" fontId="30" fillId="0" borderId="3" xfId="0" applyFont="1" applyBorder="1"/>
    <xf numFmtId="0" fontId="30" fillId="0" borderId="0" xfId="0" applyFont="1"/>
    <xf numFmtId="0" fontId="56" fillId="0" borderId="0" xfId="0" applyFont="1"/>
    <xf numFmtId="0" fontId="57" fillId="0" borderId="0" xfId="0" applyFont="1"/>
    <xf numFmtId="0" fontId="57" fillId="0" borderId="3" xfId="0" applyFont="1" applyBorder="1"/>
    <xf numFmtId="0" fontId="57" fillId="14" borderId="7" xfId="0" applyFont="1" applyFill="1" applyBorder="1" applyAlignment="1">
      <alignment horizontal="center"/>
    </xf>
    <xf numFmtId="5" fontId="57" fillId="0" borderId="0" xfId="0" applyNumberFormat="1" applyFont="1" applyAlignment="1">
      <alignment horizontal="center"/>
    </xf>
    <xf numFmtId="0" fontId="35" fillId="0" borderId="0" xfId="23" applyNumberFormat="1" applyFont="1" applyFill="1" applyAlignment="1" applyProtection="1">
      <protection locked="0"/>
    </xf>
    <xf numFmtId="0" fontId="5" fillId="0" borderId="0" xfId="16" applyFont="1" applyBorder="1"/>
    <xf numFmtId="0" fontId="5" fillId="0" borderId="0" xfId="16" applyFont="1" applyFill="1" applyBorder="1"/>
    <xf numFmtId="9" fontId="58" fillId="0" borderId="4" xfId="30" applyFont="1" applyFill="1" applyBorder="1" applyAlignment="1" applyProtection="1">
      <alignment horizontal="right"/>
      <protection locked="0"/>
    </xf>
    <xf numFmtId="168" fontId="39" fillId="0" borderId="4" xfId="23" applyNumberFormat="1" applyFont="1" applyBorder="1" applyProtection="1">
      <protection locked="0"/>
    </xf>
    <xf numFmtId="168" fontId="39" fillId="0" borderId="4" xfId="23" applyNumberFormat="1" applyFont="1" applyBorder="1" applyAlignment="1" applyProtection="1">
      <alignment horizontal="center"/>
      <protection locked="0"/>
    </xf>
    <xf numFmtId="169" fontId="38" fillId="0" borderId="0" xfId="23" applyNumberFormat="1" applyFont="1" applyBorder="1" applyProtection="1">
      <protection locked="0"/>
    </xf>
    <xf numFmtId="169" fontId="38" fillId="0" borderId="4" xfId="23" applyNumberFormat="1" applyFont="1" applyBorder="1" applyProtection="1">
      <protection locked="0"/>
    </xf>
    <xf numFmtId="168" fontId="0" fillId="0" borderId="0" xfId="0" applyNumberFormat="1" applyFont="1"/>
    <xf numFmtId="0" fontId="59" fillId="0" borderId="0" xfId="0" applyFont="1"/>
    <xf numFmtId="0" fontId="60" fillId="0" borderId="0" xfId="0" applyFont="1"/>
    <xf numFmtId="3" fontId="59" fillId="0" borderId="0" xfId="0" applyNumberFormat="1" applyFont="1"/>
    <xf numFmtId="3" fontId="61" fillId="0" borderId="0" xfId="0" applyNumberFormat="1" applyFont="1"/>
    <xf numFmtId="0" fontId="61" fillId="0" borderId="0" xfId="0" applyFont="1"/>
    <xf numFmtId="0" fontId="59" fillId="0" borderId="5" xfId="0" applyFont="1" applyBorder="1"/>
    <xf numFmtId="3" fontId="60" fillId="0" borderId="5" xfId="0" applyNumberFormat="1" applyFont="1" applyBorder="1"/>
    <xf numFmtId="0" fontId="59" fillId="0" borderId="4" xfId="0" applyFont="1" applyBorder="1"/>
    <xf numFmtId="0" fontId="60" fillId="0" borderId="5" xfId="0" applyFont="1" applyBorder="1"/>
    <xf numFmtId="6" fontId="59" fillId="0" borderId="0" xfId="0" applyNumberFormat="1" applyFont="1"/>
    <xf numFmtId="8" fontId="59" fillId="0" borderId="0" xfId="0" applyNumberFormat="1" applyFont="1"/>
    <xf numFmtId="9" fontId="59" fillId="0" borderId="0" xfId="0" applyNumberFormat="1" applyFont="1"/>
    <xf numFmtId="0" fontId="59" fillId="0" borderId="0" xfId="0" applyFont="1" applyAlignment="1">
      <alignment horizontal="right"/>
    </xf>
    <xf numFmtId="8" fontId="59" fillId="0" borderId="0" xfId="0" applyNumberFormat="1" applyFont="1" applyAlignment="1">
      <alignment horizontal="right"/>
    </xf>
    <xf numFmtId="9" fontId="59" fillId="0" borderId="0" xfId="0" applyNumberFormat="1" applyFont="1" applyAlignment="1">
      <alignment horizontal="right"/>
    </xf>
    <xf numFmtId="0" fontId="59" fillId="0" borderId="3" xfId="0" applyFont="1" applyBorder="1"/>
    <xf numFmtId="2" fontId="59" fillId="0" borderId="0" xfId="0" applyNumberFormat="1" applyFont="1"/>
    <xf numFmtId="44" fontId="59" fillId="0" borderId="0" xfId="29" applyFont="1"/>
    <xf numFmtId="0" fontId="59" fillId="13" borderId="0" xfId="0" applyFont="1" applyFill="1"/>
    <xf numFmtId="171" fontId="59" fillId="0" borderId="0" xfId="30" applyNumberFormat="1" applyFont="1"/>
    <xf numFmtId="0" fontId="62" fillId="0" borderId="0" xfId="0" applyFont="1"/>
    <xf numFmtId="43" fontId="59" fillId="13" borderId="0" xfId="28" applyFont="1" applyFill="1"/>
    <xf numFmtId="169" fontId="59" fillId="13" borderId="0" xfId="28" applyNumberFormat="1" applyFont="1" applyFill="1"/>
    <xf numFmtId="169" fontId="59" fillId="0" borderId="0" xfId="0" applyNumberFormat="1" applyFont="1"/>
    <xf numFmtId="43" fontId="59" fillId="0" borderId="0" xfId="0" applyNumberFormat="1" applyFont="1"/>
    <xf numFmtId="169" fontId="59" fillId="13" borderId="0" xfId="0" applyNumberFormat="1" applyFont="1" applyFill="1"/>
    <xf numFmtId="43" fontId="59" fillId="13" borderId="0" xfId="0" applyNumberFormat="1" applyFont="1" applyFill="1"/>
    <xf numFmtId="43" fontId="59" fillId="0" borderId="0" xfId="28" applyFont="1"/>
    <xf numFmtId="10" fontId="59" fillId="13" borderId="0" xfId="0" applyNumberFormat="1" applyFont="1" applyFill="1"/>
    <xf numFmtId="10" fontId="59" fillId="0" borderId="0" xfId="0" applyNumberFormat="1" applyFont="1"/>
    <xf numFmtId="169" fontId="59" fillId="0" borderId="0" xfId="28" applyNumberFormat="1" applyFont="1"/>
    <xf numFmtId="44" fontId="61" fillId="0" borderId="0" xfId="29" applyFont="1"/>
    <xf numFmtId="44" fontId="59" fillId="13" borderId="0" xfId="29" applyFont="1" applyFill="1"/>
    <xf numFmtId="0" fontId="60" fillId="0" borderId="4" xfId="0" applyFont="1" applyBorder="1"/>
    <xf numFmtId="169" fontId="60" fillId="0" borderId="5" xfId="0" applyNumberFormat="1" applyFont="1" applyBorder="1"/>
    <xf numFmtId="0" fontId="59" fillId="0" borderId="0" xfId="0" applyFont="1" applyBorder="1"/>
    <xf numFmtId="10" fontId="59" fillId="0" borderId="0" xfId="30" applyNumberFormat="1" applyFont="1"/>
    <xf numFmtId="169" fontId="59" fillId="0" borderId="5" xfId="0" applyNumberFormat="1" applyFont="1" applyBorder="1"/>
    <xf numFmtId="44" fontId="59" fillId="0" borderId="0" xfId="0" applyNumberFormat="1" applyFont="1"/>
    <xf numFmtId="2" fontId="59" fillId="15" borderId="0" xfId="0" applyNumberFormat="1" applyFont="1" applyFill="1"/>
    <xf numFmtId="0" fontId="59" fillId="15" borderId="0" xfId="0" applyFont="1" applyFill="1"/>
    <xf numFmtId="43" fontId="59" fillId="15" borderId="0" xfId="0" applyNumberFormat="1" applyFont="1" applyFill="1"/>
    <xf numFmtId="0" fontId="59" fillId="0" borderId="0" xfId="0" applyFont="1" applyAlignment="1">
      <alignment horizontal="left"/>
    </xf>
    <xf numFmtId="43" fontId="59" fillId="0" borderId="0" xfId="28" applyNumberFormat="1" applyFont="1"/>
    <xf numFmtId="0" fontId="63" fillId="0" borderId="0" xfId="0" applyFont="1"/>
    <xf numFmtId="169" fontId="59" fillId="0" borderId="0" xfId="0" applyNumberFormat="1" applyFont="1" applyBorder="1"/>
    <xf numFmtId="44" fontId="60" fillId="0" borderId="0" xfId="0" applyNumberFormat="1" applyFont="1"/>
    <xf numFmtId="0" fontId="59" fillId="0" borderId="0" xfId="0" applyFont="1" applyFill="1"/>
    <xf numFmtId="169" fontId="59" fillId="0" borderId="0" xfId="0" applyNumberFormat="1" applyFont="1" applyFill="1"/>
    <xf numFmtId="43" fontId="59" fillId="0" borderId="0" xfId="0" applyNumberFormat="1" applyFont="1" applyFill="1"/>
    <xf numFmtId="10" fontId="59" fillId="0" borderId="5" xfId="0" applyNumberFormat="1" applyFont="1" applyBorder="1"/>
    <xf numFmtId="2" fontId="59" fillId="0" borderId="4" xfId="0" applyNumberFormat="1" applyFont="1" applyBorder="1"/>
    <xf numFmtId="0" fontId="60" fillId="0" borderId="6" xfId="0" applyFont="1" applyBorder="1"/>
    <xf numFmtId="169" fontId="60" fillId="0" borderId="6" xfId="28" applyNumberFormat="1" applyFont="1" applyBorder="1"/>
    <xf numFmtId="0" fontId="60" fillId="0" borderId="0" xfId="0" applyFont="1" applyBorder="1"/>
    <xf numFmtId="43" fontId="60" fillId="0" borderId="0" xfId="0" applyNumberFormat="1" applyFont="1" applyBorder="1"/>
    <xf numFmtId="2" fontId="59" fillId="0" borderId="0" xfId="0" applyNumberFormat="1" applyFont="1" applyFill="1"/>
    <xf numFmtId="0" fontId="61" fillId="0" borderId="0" xfId="0" applyFont="1" applyFill="1"/>
    <xf numFmtId="0" fontId="61" fillId="13" borderId="0" xfId="0" applyFont="1" applyFill="1"/>
    <xf numFmtId="2" fontId="59" fillId="0" borderId="0" xfId="0" applyNumberFormat="1" applyFont="1" applyBorder="1"/>
    <xf numFmtId="3" fontId="59" fillId="0" borderId="4" xfId="0" applyNumberFormat="1" applyFont="1" applyBorder="1"/>
    <xf numFmtId="10" fontId="59" fillId="0" borderId="4" xfId="30" applyNumberFormat="1" applyFont="1" applyBorder="1"/>
    <xf numFmtId="3" fontId="59" fillId="11" borderId="0" xfId="0" applyNumberFormat="1" applyFont="1" applyFill="1"/>
    <xf numFmtId="44" fontId="60" fillId="15" borderId="0" xfId="0" applyNumberFormat="1" applyFont="1" applyFill="1" applyBorder="1" applyAlignment="1">
      <alignment vertical="center"/>
    </xf>
    <xf numFmtId="44" fontId="60" fillId="15" borderId="4" xfId="0" applyNumberFormat="1" applyFont="1" applyFill="1" applyBorder="1" applyAlignment="1">
      <alignment vertical="center"/>
    </xf>
    <xf numFmtId="171" fontId="58" fillId="0" borderId="0" xfId="30" applyNumberFormat="1" applyFont="1" applyFill="1" applyBorder="1" applyAlignment="1" applyProtection="1">
      <alignment horizontal="right"/>
      <protection locked="0"/>
    </xf>
    <xf numFmtId="10" fontId="61" fillId="0" borderId="0" xfId="30" applyNumberFormat="1" applyFont="1" applyFill="1"/>
    <xf numFmtId="10" fontId="28" fillId="0" borderId="0" xfId="30" applyNumberFormat="1" applyFont="1" applyBorder="1" applyProtection="1">
      <protection locked="0"/>
    </xf>
    <xf numFmtId="43" fontId="58" fillId="0" borderId="0" xfId="28" applyFont="1" applyFill="1" applyBorder="1" applyAlignment="1" applyProtection="1">
      <alignment horizontal="right"/>
      <protection locked="0"/>
    </xf>
    <xf numFmtId="180" fontId="58" fillId="0" borderId="0" xfId="28" applyNumberFormat="1" applyFont="1" applyFill="1" applyBorder="1" applyAlignment="1" applyProtection="1">
      <alignment horizontal="right"/>
      <protection locked="0"/>
    </xf>
    <xf numFmtId="169" fontId="58" fillId="0" borderId="0" xfId="28" applyNumberFormat="1" applyFont="1" applyFill="1" applyBorder="1" applyAlignment="1" applyProtection="1">
      <alignment horizontal="right"/>
      <protection locked="0"/>
    </xf>
    <xf numFmtId="9" fontId="58" fillId="0" borderId="0" xfId="30" applyFont="1" applyFill="1" applyBorder="1" applyAlignment="1" applyProtection="1">
      <alignment horizontal="right"/>
      <protection locked="0"/>
    </xf>
    <xf numFmtId="10" fontId="58" fillId="0" borderId="0" xfId="30" applyNumberFormat="1" applyFont="1" applyFill="1" applyBorder="1" applyAlignment="1" applyProtection="1">
      <alignment horizontal="right"/>
      <protection locked="0"/>
    </xf>
    <xf numFmtId="10" fontId="59" fillId="13" borderId="0" xfId="30" applyNumberFormat="1" applyFont="1" applyFill="1"/>
    <xf numFmtId="10" fontId="59" fillId="13" borderId="4" xfId="30" applyNumberFormat="1" applyFont="1" applyFill="1" applyBorder="1"/>
    <xf numFmtId="10" fontId="61" fillId="0" borderId="4" xfId="30" applyNumberFormat="1" applyFont="1" applyFill="1" applyBorder="1"/>
    <xf numFmtId="10" fontId="59" fillId="15" borderId="0" xfId="0" applyNumberFormat="1" applyFont="1" applyFill="1"/>
    <xf numFmtId="171" fontId="59" fillId="0" borderId="0" xfId="30" applyNumberFormat="1" applyFont="1" applyBorder="1"/>
    <xf numFmtId="43" fontId="59" fillId="0" borderId="0" xfId="0" applyNumberFormat="1" applyFont="1" applyBorder="1"/>
    <xf numFmtId="3" fontId="59" fillId="0" borderId="0" xfId="0" applyNumberFormat="1" applyFont="1" applyBorder="1"/>
    <xf numFmtId="3" fontId="61" fillId="0" borderId="0" xfId="0" applyNumberFormat="1" applyFont="1" applyBorder="1"/>
    <xf numFmtId="10" fontId="59" fillId="0" borderId="0" xfId="0" applyNumberFormat="1" applyFont="1" applyBorder="1"/>
    <xf numFmtId="10" fontId="61" fillId="0" borderId="0" xfId="0" applyNumberFormat="1" applyFont="1" applyBorder="1"/>
    <xf numFmtId="0" fontId="61" fillId="0" borderId="0" xfId="0" applyFont="1" applyBorder="1"/>
    <xf numFmtId="169" fontId="59" fillId="0" borderId="0" xfId="28" applyNumberFormat="1" applyFont="1" applyBorder="1"/>
    <xf numFmtId="43" fontId="59" fillId="0" borderId="0" xfId="28" applyFont="1" applyBorder="1"/>
    <xf numFmtId="193" fontId="59" fillId="0" borderId="0" xfId="0" applyNumberFormat="1" applyFont="1" applyBorder="1"/>
    <xf numFmtId="10" fontId="59" fillId="0" borderId="0" xfId="30" applyNumberFormat="1" applyFont="1" applyBorder="1"/>
    <xf numFmtId="1" fontId="59" fillId="0" borderId="0" xfId="0" applyNumberFormat="1" applyFont="1" applyBorder="1"/>
    <xf numFmtId="186" fontId="59" fillId="0" borderId="0" xfId="29" applyNumberFormat="1" applyFont="1" applyBorder="1"/>
    <xf numFmtId="0" fontId="59" fillId="13" borderId="0" xfId="0" applyFont="1" applyFill="1" applyBorder="1"/>
    <xf numFmtId="44" fontId="59" fillId="0" borderId="0" xfId="29" applyFont="1" applyBorder="1"/>
    <xf numFmtId="0" fontId="59" fillId="0" borderId="4" xfId="0" applyFont="1" applyBorder="1" applyAlignment="1">
      <alignment horizontal="right" indent="1"/>
    </xf>
    <xf numFmtId="0" fontId="59" fillId="0" borderId="0" xfId="0" applyFont="1" applyBorder="1" applyAlignment="1">
      <alignment horizontal="right" indent="1"/>
    </xf>
    <xf numFmtId="169" fontId="59" fillId="0" borderId="0" xfId="28" applyNumberFormat="1" applyFont="1" applyBorder="1" applyAlignment="1">
      <alignment horizontal="right" indent="1"/>
    </xf>
    <xf numFmtId="169" fontId="59" fillId="0" borderId="0" xfId="0" applyNumberFormat="1" applyFont="1" applyBorder="1" applyAlignment="1">
      <alignment horizontal="right" indent="1"/>
    </xf>
    <xf numFmtId="0" fontId="59" fillId="0" borderId="5" xfId="0" applyFont="1" applyBorder="1" applyAlignment="1">
      <alignment horizontal="right" indent="1"/>
    </xf>
    <xf numFmtId="169" fontId="25" fillId="13" borderId="0" xfId="28" applyNumberFormat="1" applyFont="1" applyFill="1"/>
    <xf numFmtId="168" fontId="64" fillId="0" borderId="0" xfId="0" applyNumberFormat="1" applyFont="1" applyProtection="1">
      <protection locked="0"/>
    </xf>
    <xf numFmtId="168" fontId="28" fillId="0" borderId="8" xfId="23" applyNumberFormat="1" applyFont="1" applyBorder="1" applyProtection="1">
      <protection locked="0"/>
    </xf>
    <xf numFmtId="168" fontId="64" fillId="0" borderId="0" xfId="0" applyNumberFormat="1" applyFont="1" applyBorder="1" applyProtection="1">
      <protection locked="0"/>
    </xf>
    <xf numFmtId="171" fontId="38" fillId="0" borderId="0" xfId="30" applyNumberFormat="1" applyFont="1" applyFill="1" applyProtection="1">
      <protection locked="0"/>
    </xf>
    <xf numFmtId="168" fontId="38" fillId="13" borderId="0" xfId="23" applyNumberFormat="1" applyFont="1" applyFill="1" applyProtection="1">
      <protection locked="0"/>
    </xf>
    <xf numFmtId="9" fontId="38" fillId="0" borderId="0" xfId="30" applyFont="1" applyBorder="1" applyProtection="1">
      <protection locked="0"/>
    </xf>
    <xf numFmtId="168" fontId="28" fillId="0" borderId="4" xfId="23" applyNumberFormat="1" applyFont="1" applyBorder="1" applyAlignment="1" applyProtection="1">
      <alignment horizontal="right"/>
      <protection locked="0"/>
    </xf>
    <xf numFmtId="169" fontId="28" fillId="0" borderId="0" xfId="23" applyNumberFormat="1" applyFont="1" applyProtection="1">
      <protection locked="0"/>
    </xf>
    <xf numFmtId="210" fontId="38" fillId="0" borderId="0" xfId="23" applyNumberFormat="1" applyFont="1" applyFill="1" applyProtection="1">
      <protection locked="0"/>
    </xf>
    <xf numFmtId="9" fontId="29" fillId="0" borderId="0" xfId="30" applyFont="1" applyProtection="1">
      <protection locked="0"/>
    </xf>
    <xf numFmtId="168" fontId="28" fillId="13" borderId="0" xfId="23" applyNumberFormat="1" applyFont="1" applyFill="1" applyProtection="1">
      <protection locked="0"/>
    </xf>
    <xf numFmtId="171" fontId="38" fillId="13" borderId="0" xfId="24" applyNumberFormat="1" applyFont="1" applyFill="1" applyBorder="1" applyAlignment="1" applyProtection="1">
      <alignment horizontal="right"/>
      <protection locked="0"/>
    </xf>
    <xf numFmtId="171" fontId="38" fillId="13" borderId="0" xfId="24" applyNumberFormat="1" applyFont="1" applyFill="1" applyBorder="1" applyProtection="1">
      <protection locked="0"/>
    </xf>
    <xf numFmtId="168" fontId="64" fillId="0" borderId="0" xfId="0" applyNumberFormat="1" applyFont="1" applyFill="1" applyProtection="1">
      <protection locked="0"/>
    </xf>
    <xf numFmtId="169" fontId="38" fillId="0" borderId="0" xfId="28" applyNumberFormat="1" applyFont="1" applyFill="1" applyBorder="1" applyAlignment="1" applyProtection="1">
      <alignment horizontal="right"/>
      <protection locked="0"/>
    </xf>
    <xf numFmtId="168" fontId="64" fillId="0" borderId="0" xfId="0" applyNumberFormat="1" applyFont="1" applyAlignment="1" applyProtection="1">
      <alignment horizontal="center"/>
      <protection locked="0"/>
    </xf>
    <xf numFmtId="9" fontId="38" fillId="0" borderId="0" xfId="0" applyNumberFormat="1" applyFont="1" applyProtection="1">
      <protection locked="0"/>
    </xf>
    <xf numFmtId="168" fontId="28" fillId="0" borderId="9" xfId="23" applyNumberFormat="1" applyFont="1" applyBorder="1" applyAlignment="1" applyProtection="1">
      <alignment horizontal="center"/>
      <protection locked="0"/>
    </xf>
    <xf numFmtId="168" fontId="34" fillId="16" borderId="0" xfId="23" applyNumberFormat="1" applyFont="1" applyFill="1" applyBorder="1" applyProtection="1">
      <protection locked="0"/>
    </xf>
    <xf numFmtId="168" fontId="38" fillId="16" borderId="0" xfId="23" applyNumberFormat="1" applyFont="1" applyFill="1" applyBorder="1" applyProtection="1">
      <protection locked="0"/>
    </xf>
    <xf numFmtId="168" fontId="38" fillId="16" borderId="0" xfId="23" applyNumberFormat="1" applyFont="1" applyFill="1" applyBorder="1" applyAlignment="1" applyProtection="1">
      <alignment horizontal="center"/>
      <protection locked="0"/>
    </xf>
    <xf numFmtId="168" fontId="65" fillId="16" borderId="0" xfId="23" applyNumberFormat="1" applyFont="1" applyFill="1" applyBorder="1" applyProtection="1">
      <protection locked="0"/>
    </xf>
    <xf numFmtId="168" fontId="34" fillId="17" borderId="0" xfId="23" applyNumberFormat="1" applyFont="1" applyFill="1" applyBorder="1" applyProtection="1">
      <protection locked="0"/>
    </xf>
    <xf numFmtId="168" fontId="65" fillId="17" borderId="0" xfId="23" applyNumberFormat="1" applyFont="1" applyFill="1" applyBorder="1" applyAlignment="1" applyProtection="1">
      <alignment horizontal="center"/>
      <protection locked="0"/>
    </xf>
    <xf numFmtId="168" fontId="31" fillId="18" borderId="0" xfId="23" applyNumberFormat="1" applyFont="1" applyFill="1" applyProtection="1">
      <protection locked="0"/>
    </xf>
    <xf numFmtId="168" fontId="28" fillId="18" borderId="0" xfId="23" applyNumberFormat="1" applyFont="1" applyFill="1" applyProtection="1">
      <protection locked="0"/>
    </xf>
    <xf numFmtId="168" fontId="28" fillId="18" borderId="0" xfId="23" applyNumberFormat="1" applyFont="1" applyFill="1" applyAlignment="1" applyProtection="1">
      <alignment horizontal="center"/>
      <protection locked="0"/>
    </xf>
    <xf numFmtId="168" fontId="34" fillId="18" borderId="0" xfId="23" applyNumberFormat="1" applyFont="1" applyFill="1" applyAlignment="1" applyProtection="1">
      <protection locked="0"/>
    </xf>
    <xf numFmtId="168" fontId="35" fillId="18" borderId="0" xfId="23" applyNumberFormat="1" applyFont="1" applyFill="1" applyAlignment="1" applyProtection="1">
      <protection locked="0"/>
    </xf>
    <xf numFmtId="168" fontId="35" fillId="18" borderId="0" xfId="23" applyNumberFormat="1" applyFont="1" applyFill="1" applyAlignment="1" applyProtection="1">
      <alignment horizontal="center"/>
      <protection locked="0"/>
    </xf>
    <xf numFmtId="173" fontId="32" fillId="19" borderId="0" xfId="23" applyNumberFormat="1" applyFont="1" applyFill="1" applyBorder="1" applyProtection="1">
      <protection locked="0"/>
    </xf>
    <xf numFmtId="168" fontId="38" fillId="17" borderId="0" xfId="23" applyNumberFormat="1" applyFont="1" applyFill="1" applyBorder="1" applyProtection="1">
      <protection locked="0"/>
    </xf>
    <xf numFmtId="168" fontId="38" fillId="17" borderId="0" xfId="23" applyNumberFormat="1" applyFont="1" applyFill="1" applyBorder="1" applyAlignment="1" applyProtection="1">
      <alignment horizontal="center"/>
      <protection locked="0"/>
    </xf>
    <xf numFmtId="168" fontId="32" fillId="19" borderId="0" xfId="23" applyNumberFormat="1" applyFont="1" applyFill="1" applyAlignment="1" applyProtection="1">
      <alignment horizontal="centerContinuous"/>
      <protection locked="0"/>
    </xf>
    <xf numFmtId="168" fontId="33" fillId="19" borderId="0" xfId="23" applyNumberFormat="1" applyFont="1" applyFill="1" applyAlignment="1" applyProtection="1">
      <alignment horizontal="centerContinuous"/>
      <protection locked="0"/>
    </xf>
    <xf numFmtId="211" fontId="35" fillId="19" borderId="0" xfId="23" applyNumberFormat="1" applyFont="1" applyFill="1" applyAlignment="1" applyProtection="1">
      <alignment horizontal="centerContinuous"/>
      <protection locked="0"/>
    </xf>
    <xf numFmtId="168" fontId="32" fillId="20" borderId="0" xfId="23" applyNumberFormat="1" applyFont="1" applyFill="1" applyAlignment="1" applyProtection="1">
      <alignment horizontal="centerContinuous"/>
      <protection locked="0"/>
    </xf>
    <xf numFmtId="168" fontId="33" fillId="20" borderId="0" xfId="23" applyNumberFormat="1" applyFont="1" applyFill="1" applyAlignment="1" applyProtection="1">
      <alignment horizontal="centerContinuous"/>
      <protection locked="0"/>
    </xf>
    <xf numFmtId="211" fontId="35" fillId="20" borderId="0" xfId="23" applyNumberFormat="1" applyFont="1" applyFill="1" applyAlignment="1" applyProtection="1">
      <protection locked="0"/>
    </xf>
    <xf numFmtId="0" fontId="3" fillId="0" borderId="0" xfId="16" applyFont="1" applyAlignment="1">
      <alignment vertical="center"/>
    </xf>
    <xf numFmtId="164" fontId="58" fillId="0" borderId="0" xfId="17" applyFont="1" applyAlignment="1">
      <alignment horizontal="right"/>
    </xf>
    <xf numFmtId="170" fontId="58" fillId="0" borderId="0" xfId="17" applyNumberFormat="1" applyFont="1" applyAlignment="1">
      <alignment horizontal="right"/>
    </xf>
    <xf numFmtId="0" fontId="3" fillId="15" borderId="0" xfId="16" applyFont="1" applyFill="1" applyAlignment="1">
      <alignment vertical="center"/>
    </xf>
    <xf numFmtId="7" fontId="30" fillId="15" borderId="0" xfId="16" applyNumberFormat="1" applyFont="1" applyFill="1" applyAlignment="1">
      <alignment vertical="center"/>
    </xf>
    <xf numFmtId="37" fontId="30" fillId="15" borderId="0" xfId="16" applyNumberFormat="1" applyFont="1" applyFill="1" applyAlignment="1">
      <alignment vertical="center"/>
    </xf>
    <xf numFmtId="5" fontId="4" fillId="15" borderId="0" xfId="16" applyNumberFormat="1" applyFont="1" applyFill="1" applyAlignment="1">
      <alignment vertical="center"/>
    </xf>
    <xf numFmtId="5" fontId="30" fillId="15" borderId="0" xfId="16" applyNumberFormat="1" applyFont="1" applyFill="1" applyAlignment="1">
      <alignment vertical="center"/>
    </xf>
    <xf numFmtId="0" fontId="4" fillId="15" borderId="0" xfId="16" applyFont="1" applyFill="1" applyAlignment="1">
      <alignment vertical="center"/>
    </xf>
    <xf numFmtId="167" fontId="4" fillId="15" borderId="0" xfId="16" applyNumberFormat="1" applyFont="1" applyFill="1" applyAlignment="1">
      <alignment vertical="center"/>
    </xf>
    <xf numFmtId="0" fontId="20" fillId="7" borderId="2" xfId="16" applyFont="1" applyFill="1" applyBorder="1" applyAlignment="1">
      <alignment horizontal="center" vertical="center" wrapText="1"/>
    </xf>
    <xf numFmtId="0" fontId="20" fillId="7" borderId="0" xfId="16" applyFont="1" applyFill="1" applyBorder="1" applyAlignment="1">
      <alignment horizontal="center" vertical="center" wrapText="1"/>
    </xf>
    <xf numFmtId="180" fontId="4" fillId="15" borderId="0" xfId="28" applyNumberFormat="1" applyFont="1" applyFill="1" applyAlignment="1">
      <alignment vertical="center"/>
    </xf>
    <xf numFmtId="180" fontId="4" fillId="0" borderId="0" xfId="28" applyNumberFormat="1" applyFont="1" applyAlignment="1">
      <alignment vertical="center"/>
    </xf>
    <xf numFmtId="0" fontId="5" fillId="0" borderId="0" xfId="16" applyFont="1" applyFill="1"/>
    <xf numFmtId="0" fontId="35" fillId="8" borderId="0" xfId="23" applyNumberFormat="1" applyFont="1" applyFill="1" applyAlignment="1" applyProtection="1">
      <alignment vertical="center"/>
      <protection locked="0"/>
    </xf>
    <xf numFmtId="9" fontId="38" fillId="0" borderId="4" xfId="30" applyFont="1" applyBorder="1" applyProtection="1">
      <protection locked="0"/>
    </xf>
    <xf numFmtId="168" fontId="64" fillId="0" borderId="9" xfId="0" applyNumberFormat="1" applyFont="1" applyFill="1" applyBorder="1" applyProtection="1">
      <protection locked="0"/>
    </xf>
    <xf numFmtId="0" fontId="57" fillId="0" borderId="9" xfId="0" applyFont="1" applyBorder="1"/>
    <xf numFmtId="171" fontId="38" fillId="13" borderId="9" xfId="24" applyNumberFormat="1" applyFont="1" applyFill="1" applyBorder="1" applyProtection="1">
      <protection locked="0"/>
    </xf>
    <xf numFmtId="171" fontId="38" fillId="0" borderId="9" xfId="24" applyNumberFormat="1" applyFont="1" applyFill="1" applyBorder="1" applyProtection="1">
      <protection locked="0"/>
    </xf>
  </cellXfs>
  <cellStyles count="49">
    <cellStyle name="ChartingText" xfId="14"/>
    <cellStyle name="CHPTop" xfId="15"/>
    <cellStyle name="ColumnHeaderNormal" xfId="6"/>
    <cellStyle name="Comma" xfId="28" builtinId="3"/>
    <cellStyle name="Comma 2" xfId="17"/>
    <cellStyle name="Comma 3" xfId="19"/>
    <cellStyle name="Comma 4" xfId="23"/>
    <cellStyle name="Comma 4 2" xfId="32"/>
    <cellStyle name="Currency" xfId="29" builtinId="4"/>
    <cellStyle name="Followed Hyperlink" xfId="31"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Hyperlink" xfId="22" builtinId="8"/>
    <cellStyle name="Hyperlink 2 2" xfId="27"/>
    <cellStyle name="Invisible" xfId="13"/>
    <cellStyle name="NewColumnHeaderNormal" xfId="4"/>
    <cellStyle name="NewSectionHeaderNormal" xfId="3"/>
    <cellStyle name="NewTitleNormal" xfId="2"/>
    <cellStyle name="Normal" xfId="0" builtinId="0"/>
    <cellStyle name="Normal 2" xfId="16"/>
    <cellStyle name="Normal 2 2" xfId="26"/>
    <cellStyle name="Normal 3" xfId="21"/>
    <cellStyle name="Normal 4" xfId="25"/>
    <cellStyle name="Normal 4 2" xfId="34"/>
    <cellStyle name="Percent" xfId="30" builtinId="5"/>
    <cellStyle name="Percent 2" xfId="18"/>
    <cellStyle name="Percent 3" xfId="20"/>
    <cellStyle name="Percent 4" xfId="24"/>
    <cellStyle name="Percent 4 2" xfId="33"/>
    <cellStyle name="SectionHeaderNormal" xfId="5"/>
    <cellStyle name="SubScript" xfId="9"/>
    <cellStyle name="SuperScript" xfId="8"/>
    <cellStyle name="TextBold" xfId="10"/>
    <cellStyle name="TextItalic" xfId="11"/>
    <cellStyle name="TextNormal" xfId="7"/>
    <cellStyle name="TitleNormal" xfId="1"/>
    <cellStyle name="Total" xfId="12" builtinId="25" customBuiltin="1"/>
  </cellStyles>
  <dxfs count="4">
    <dxf>
      <font>
        <color rgb="FF9C0006"/>
      </font>
      <fill>
        <patternFill>
          <bgColor rgb="FFFFC7CE"/>
        </patternFill>
      </fill>
    </dxf>
    <dxf>
      <font>
        <color rgb="FF006100"/>
      </font>
      <fill>
        <patternFill patternType="none">
          <bgColor auto="1"/>
        </patternFill>
      </fill>
    </dxf>
    <dxf>
      <font>
        <color rgb="FF9C0006"/>
      </font>
      <fill>
        <patternFill>
          <bgColor rgb="FFFFC7CE"/>
        </patternFill>
      </fill>
    </dxf>
    <dxf>
      <font>
        <color rgb="FF006100"/>
      </font>
      <fill>
        <patternFill patternType="none">
          <bgColor auto="1"/>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mruColors>
      <color rgb="FF96291C"/>
      <color rgb="FF132E57"/>
      <color rgb="FF96281C"/>
      <color rgb="FF921605"/>
      <color rgb="FF871290"/>
      <color rgb="FF0000FF"/>
      <color rgb="FFFA621C"/>
      <color rgb="FFED94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externalLink" Target="externalLinks/externalLink1.xml"/><Relationship Id="rId10"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r>
              <a:rPr lang="en-US"/>
              <a:t>FCFF</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barChart>
        <c:barDir val="col"/>
        <c:grouping val="stacked"/>
        <c:varyColors val="0"/>
        <c:ser>
          <c:idx val="0"/>
          <c:order val="0"/>
          <c:tx>
            <c:strRef>
              <c:f>DCF!$A$224</c:f>
              <c:strCache>
                <c:ptCount val="1"/>
                <c:pt idx="0">
                  <c:v>FCFF</c:v>
                </c:pt>
              </c:strCache>
            </c:strRef>
          </c:tx>
          <c:spPr>
            <a:solidFill>
              <a:schemeClr val="accent3"/>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Narrow" panose="020B0606020202030204" pitchFamily="34" charset="0"/>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DCF!$D$223:$H$223</c:f>
              <c:numCache>
                <c:formatCode>General</c:formatCode>
                <c:ptCount val="5"/>
                <c:pt idx="0">
                  <c:v>2019.0</c:v>
                </c:pt>
                <c:pt idx="1">
                  <c:v>2020.0</c:v>
                </c:pt>
                <c:pt idx="2">
                  <c:v>2021.0</c:v>
                </c:pt>
                <c:pt idx="3">
                  <c:v>2022.0</c:v>
                </c:pt>
                <c:pt idx="4">
                  <c:v>2023.0</c:v>
                </c:pt>
              </c:numCache>
            </c:numRef>
          </c:cat>
          <c:val>
            <c:numRef>
              <c:f>DCF!$D$224:$H$224</c:f>
              <c:numCache>
                <c:formatCode>_-* #,##0_-;\(#,##0\)_-;_-* "-"_-;_-@_-</c:formatCode>
                <c:ptCount val="5"/>
                <c:pt idx="0">
                  <c:v>3521.6616273462</c:v>
                </c:pt>
                <c:pt idx="1">
                  <c:v>4277.19747584266</c:v>
                </c:pt>
                <c:pt idx="2">
                  <c:v>4898.497778716319</c:v>
                </c:pt>
                <c:pt idx="3">
                  <c:v>5681.244816881512</c:v>
                </c:pt>
                <c:pt idx="4">
                  <c:v>5776.124925651278</c:v>
                </c:pt>
              </c:numCache>
            </c:numRef>
          </c:val>
          <c:extLst xmlns:c16r2="http://schemas.microsoft.com/office/drawing/2015/06/chart">
            <c:ext xmlns:c16="http://schemas.microsoft.com/office/drawing/2014/chart" uri="{C3380CC4-5D6E-409C-BE32-E72D297353CC}">
              <c16:uniqueId val="{00000000-5924-4F74-8E37-2FBCED949945}"/>
            </c:ext>
          </c:extLst>
        </c:ser>
        <c:dLbls>
          <c:showLegendKey val="0"/>
          <c:showVal val="0"/>
          <c:showCatName val="0"/>
          <c:showSerName val="0"/>
          <c:showPercent val="0"/>
          <c:showBubbleSize val="0"/>
        </c:dLbls>
        <c:gapWidth val="50"/>
        <c:overlap val="100"/>
        <c:axId val="-1362504080"/>
        <c:axId val="-1362501760"/>
      </c:barChart>
      <c:catAx>
        <c:axId val="-1362504080"/>
        <c:scaling>
          <c:orientation val="minMax"/>
        </c:scaling>
        <c:delete val="0"/>
        <c:axPos val="b"/>
        <c:numFmt formatCode="General" sourceLinked="0"/>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1362501760"/>
        <c:crosses val="autoZero"/>
        <c:auto val="1"/>
        <c:lblAlgn val="ctr"/>
        <c:lblOffset val="100"/>
        <c:noMultiLvlLbl val="1"/>
      </c:catAx>
      <c:valAx>
        <c:axId val="-1362501760"/>
        <c:scaling>
          <c:orientation val="minMax"/>
        </c:scaling>
        <c:delete val="1"/>
        <c:axPos val="l"/>
        <c:numFmt formatCode="&quot;$&quot;#,##0" sourceLinked="0"/>
        <c:majorTickMark val="none"/>
        <c:minorTickMark val="none"/>
        <c:tickLblPos val="nextTo"/>
        <c:crossAx val="-136250408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Valuation Summary - Equity Value per Share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spPr>
            <a:ln w="28575" cap="rnd">
              <a:noFill/>
              <a:round/>
            </a:ln>
            <a:effectLst/>
          </c:spPr>
          <c:marker>
            <c:symbol val="none"/>
          </c:marker>
          <c:cat>
            <c:strRef>
              <c:f>'Summary - Football Field'!$L$15:$L$19</c:f>
              <c:strCache>
                <c:ptCount val="5"/>
                <c:pt idx="0">
                  <c:v>Comps</c:v>
                </c:pt>
                <c:pt idx="1">
                  <c:v>Precedents</c:v>
                </c:pt>
                <c:pt idx="2">
                  <c:v>DCF - base case</c:v>
                </c:pt>
                <c:pt idx="3">
                  <c:v>DCF - blue sky</c:v>
                </c:pt>
                <c:pt idx="4">
                  <c:v>52 wk hi/lo</c:v>
                </c:pt>
              </c:strCache>
            </c:strRef>
          </c:cat>
          <c:val>
            <c:numRef>
              <c:f>'Summary - Football Field'!$N$15:$N$19</c:f>
              <c:numCache>
                <c:formatCode>_-* #,##0.00_-;\-* #,##0.00_-;_-* "-"??_-;_-@_-</c:formatCode>
                <c:ptCount val="5"/>
                <c:pt idx="0">
                  <c:v>39.42302990836045</c:v>
                </c:pt>
                <c:pt idx="1">
                  <c:v>96.14242827284818</c:v>
                </c:pt>
                <c:pt idx="2">
                  <c:v>28.0</c:v>
                </c:pt>
                <c:pt idx="3">
                  <c:v>36.0</c:v>
                </c:pt>
                <c:pt idx="4">
                  <c:v>22.0</c:v>
                </c:pt>
              </c:numCache>
            </c:numRef>
          </c:val>
          <c:smooth val="0"/>
          <c:extLst xmlns:c16r2="http://schemas.microsoft.com/office/drawing/2015/06/chart">
            <c:ext xmlns:c16="http://schemas.microsoft.com/office/drawing/2014/chart" uri="{C3380CC4-5D6E-409C-BE32-E72D297353CC}">
              <c16:uniqueId val="{00000000-7E7A-41C9-970B-B9B45B225BA4}"/>
            </c:ext>
          </c:extLst>
        </c:ser>
        <c:ser>
          <c:idx val="1"/>
          <c:order val="1"/>
          <c:spPr>
            <a:ln w="28575" cap="rnd">
              <a:noFill/>
              <a:round/>
            </a:ln>
            <a:effectLst/>
          </c:spPr>
          <c:marker>
            <c:symbol val="none"/>
          </c:marker>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'Summary - Football Field'!$L$15:$L$19</c:f>
              <c:strCache>
                <c:ptCount val="5"/>
                <c:pt idx="0">
                  <c:v>Comps</c:v>
                </c:pt>
                <c:pt idx="1">
                  <c:v>Precedents</c:v>
                </c:pt>
                <c:pt idx="2">
                  <c:v>DCF - base case</c:v>
                </c:pt>
                <c:pt idx="3">
                  <c:v>DCF - blue sky</c:v>
                </c:pt>
                <c:pt idx="4">
                  <c:v>52 wk hi/lo</c:v>
                </c:pt>
              </c:strCache>
            </c:strRef>
          </c:cat>
          <c:val>
            <c:numRef>
              <c:f>'Summary - Football Field'!$O$15:$O$19</c:f>
              <c:numCache>
                <c:formatCode>_-* #,##0.00_-;\-* #,##0.00_-;_-* "-"??_-;_-@_-</c:formatCode>
                <c:ptCount val="5"/>
                <c:pt idx="0">
                  <c:v>39.42302990836045</c:v>
                </c:pt>
                <c:pt idx="1">
                  <c:v>96.14242827284818</c:v>
                </c:pt>
                <c:pt idx="2">
                  <c:v>28.0</c:v>
                </c:pt>
                <c:pt idx="3">
                  <c:v>36.0</c:v>
                </c:pt>
                <c:pt idx="4">
                  <c:v>22.0</c:v>
                </c:pt>
              </c:numCache>
            </c:numRef>
          </c:val>
          <c:smooth val="0"/>
          <c:extLst xmlns:c16r2="http://schemas.microsoft.com/office/drawing/2015/06/chart">
            <c:ext xmlns:c16="http://schemas.microsoft.com/office/drawing/2014/chart" uri="{C3380CC4-5D6E-409C-BE32-E72D297353CC}">
              <c16:uniqueId val="{00000001-7E7A-41C9-970B-B9B45B225BA4}"/>
            </c:ext>
          </c:extLst>
        </c:ser>
        <c:ser>
          <c:idx val="2"/>
          <c:order val="2"/>
          <c:spPr>
            <a:ln w="28575" cap="rnd">
              <a:noFill/>
              <a:round/>
            </a:ln>
            <a:effectLst/>
          </c:spPr>
          <c:marker>
            <c:symbol val="none"/>
          </c:marker>
          <c:cat>
            <c:strRef>
              <c:f>'Summary - Football Field'!$L$15:$L$19</c:f>
              <c:strCache>
                <c:ptCount val="5"/>
                <c:pt idx="0">
                  <c:v>Comps</c:v>
                </c:pt>
                <c:pt idx="1">
                  <c:v>Precedents</c:v>
                </c:pt>
                <c:pt idx="2">
                  <c:v>DCF - base case</c:v>
                </c:pt>
                <c:pt idx="3">
                  <c:v>DCF - blue sky</c:v>
                </c:pt>
                <c:pt idx="4">
                  <c:v>52 wk hi/lo</c:v>
                </c:pt>
              </c:strCache>
            </c:strRef>
          </c:cat>
          <c:val>
            <c:numRef>
              <c:f>'Summary - Football Field'!$P$15:$P$19</c:f>
              <c:numCache>
                <c:formatCode>_-* #,##0.00_-;\-* #,##0.00_-;_-* "-"??_-;_-@_-</c:formatCode>
                <c:ptCount val="5"/>
                <c:pt idx="0">
                  <c:v>52.83061265625049</c:v>
                </c:pt>
                <c:pt idx="1">
                  <c:v>98.32169548419786</c:v>
                </c:pt>
                <c:pt idx="2">
                  <c:v>36.0</c:v>
                </c:pt>
                <c:pt idx="3">
                  <c:v>44.0</c:v>
                </c:pt>
                <c:pt idx="4">
                  <c:v>30.0</c:v>
                </c:pt>
              </c:numCache>
            </c:numRef>
          </c:val>
          <c:smooth val="0"/>
          <c:extLst xmlns:c16r2="http://schemas.microsoft.com/office/drawing/2015/06/chart">
            <c:ext xmlns:c16="http://schemas.microsoft.com/office/drawing/2014/chart" uri="{C3380CC4-5D6E-409C-BE32-E72D297353CC}">
              <c16:uniqueId val="{00000002-7E7A-41C9-970B-B9B45B225BA4}"/>
            </c:ext>
          </c:extLst>
        </c:ser>
        <c:ser>
          <c:idx val="3"/>
          <c:order val="3"/>
          <c:spPr>
            <a:ln w="28575" cap="rnd">
              <a:noFill/>
              <a:round/>
            </a:ln>
            <a:effectLst/>
          </c:spPr>
          <c:marker>
            <c:symbol val="none"/>
          </c:marker>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'Summary - Football Field'!$L$15:$L$19</c:f>
              <c:strCache>
                <c:ptCount val="5"/>
                <c:pt idx="0">
                  <c:v>Comps</c:v>
                </c:pt>
                <c:pt idx="1">
                  <c:v>Precedents</c:v>
                </c:pt>
                <c:pt idx="2">
                  <c:v>DCF - base case</c:v>
                </c:pt>
                <c:pt idx="3">
                  <c:v>DCF - blue sky</c:v>
                </c:pt>
                <c:pt idx="4">
                  <c:v>52 wk hi/lo</c:v>
                </c:pt>
              </c:strCache>
            </c:strRef>
          </c:cat>
          <c:val>
            <c:numRef>
              <c:f>'Summary - Football Field'!$Q$15:$Q$19</c:f>
              <c:numCache>
                <c:formatCode>_-* #,##0.00_-;\-* #,##0.00_-;_-* "-"??_-;_-@_-</c:formatCode>
                <c:ptCount val="5"/>
                <c:pt idx="0">
                  <c:v>52.83061265625049</c:v>
                </c:pt>
                <c:pt idx="1">
                  <c:v>98.32169548419786</c:v>
                </c:pt>
                <c:pt idx="2">
                  <c:v>36.0</c:v>
                </c:pt>
                <c:pt idx="3">
                  <c:v>44.0</c:v>
                </c:pt>
                <c:pt idx="4">
                  <c:v>30.0</c:v>
                </c:pt>
              </c:numCache>
            </c:numRef>
          </c:val>
          <c:smooth val="0"/>
          <c:extLst xmlns:c16r2="http://schemas.microsoft.com/office/drawing/2015/06/chart">
            <c:ext xmlns:c16="http://schemas.microsoft.com/office/drawing/2014/chart" uri="{C3380CC4-5D6E-409C-BE32-E72D297353CC}">
              <c16:uniqueId val="{00000003-7E7A-41C9-970B-B9B45B225BA4}"/>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accent3"/>
              </a:solidFill>
              <a:ln w="9525" cap="flat" cmpd="sng" algn="ctr">
                <a:no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408556928"/>
        <c:axId val="-1408554608"/>
      </c:stockChart>
      <c:catAx>
        <c:axId val="-1408556928"/>
        <c:scaling>
          <c:orientation val="minMax"/>
        </c:scaling>
        <c:delete val="0"/>
        <c:axPos val="b"/>
        <c:numFmt formatCode="General" sourceLinked="1"/>
        <c:majorTickMark val="none"/>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554608"/>
        <c:crosses val="autoZero"/>
        <c:auto val="1"/>
        <c:lblAlgn val="ctr"/>
        <c:lblOffset val="100"/>
        <c:noMultiLvlLbl val="0"/>
      </c:catAx>
      <c:valAx>
        <c:axId val="-1408554608"/>
        <c:scaling>
          <c:orientation val="minMax"/>
          <c:min val="10.0"/>
        </c:scaling>
        <c:delete val="0"/>
        <c:axPos val="l"/>
        <c:numFmt formatCode="_(* #,##0.00_);_(* \(#,##0.00\);_(* &quot;-&quot;??_);_(@_)" sourceLinked="1"/>
        <c:majorTickMark val="none"/>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55692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r>
              <a:rPr lang="en-US"/>
              <a:t>FCFF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barChart>
        <c:barDir val="col"/>
        <c:grouping val="stacked"/>
        <c:varyColors val="0"/>
        <c:ser>
          <c:idx val="0"/>
          <c:order val="0"/>
          <c:tx>
            <c:strRef>
              <c:f>'DCF - Sample'!$A$152</c:f>
              <c:strCache>
                <c:ptCount val="1"/>
                <c:pt idx="0">
                  <c:v>FCFF</c:v>
                </c:pt>
              </c:strCache>
            </c:strRef>
          </c:tx>
          <c:spPr>
            <a:solidFill>
              <a:schemeClr val="accent3"/>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Narrow" panose="020B0606020202030204" pitchFamily="34" charset="0"/>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'DCF - Sample'!$D$151:$H$151</c:f>
              <c:numCache>
                <c:formatCode>General</c:formatCode>
                <c:ptCount val="5"/>
                <c:pt idx="0">
                  <c:v>2018.0</c:v>
                </c:pt>
                <c:pt idx="1">
                  <c:v>2019.0</c:v>
                </c:pt>
                <c:pt idx="2">
                  <c:v>2020.0</c:v>
                </c:pt>
                <c:pt idx="3">
                  <c:v>2021.0</c:v>
                </c:pt>
                <c:pt idx="4">
                  <c:v>2022.0</c:v>
                </c:pt>
              </c:numCache>
            </c:numRef>
          </c:cat>
          <c:val>
            <c:numRef>
              <c:f>'DCF - Sample'!$D$152:$H$152</c:f>
              <c:numCache>
                <c:formatCode>_-* #,##0_-;\(#,##0\)_-;_-* "-"_-;_-@_-</c:formatCode>
                <c:ptCount val="5"/>
                <c:pt idx="0">
                  <c:v>18642.2465083048</c:v>
                </c:pt>
                <c:pt idx="1">
                  <c:v>21391.45927710617</c:v>
                </c:pt>
                <c:pt idx="2">
                  <c:v>21202.50337814641</c:v>
                </c:pt>
                <c:pt idx="3">
                  <c:v>57797.14491537465</c:v>
                </c:pt>
                <c:pt idx="4">
                  <c:v>62790.64900961585</c:v>
                </c:pt>
              </c:numCache>
            </c:numRef>
          </c:val>
          <c:extLst xmlns:c16r2="http://schemas.microsoft.com/office/drawing/2015/06/chart">
            <c:ext xmlns:c16="http://schemas.microsoft.com/office/drawing/2014/chart" uri="{C3380CC4-5D6E-409C-BE32-E72D297353CC}">
              <c16:uniqueId val="{00000000-5924-4F74-8E37-2FBCED949945}"/>
            </c:ext>
          </c:extLst>
        </c:ser>
        <c:dLbls>
          <c:showLegendKey val="0"/>
          <c:showVal val="0"/>
          <c:showCatName val="0"/>
          <c:showSerName val="0"/>
          <c:showPercent val="0"/>
          <c:showBubbleSize val="0"/>
        </c:dLbls>
        <c:gapWidth val="50"/>
        <c:overlap val="100"/>
        <c:axId val="-1391965536"/>
        <c:axId val="-1391962784"/>
      </c:barChart>
      <c:catAx>
        <c:axId val="-1391965536"/>
        <c:scaling>
          <c:orientation val="minMax"/>
        </c:scaling>
        <c:delete val="0"/>
        <c:axPos val="b"/>
        <c:numFmt formatCode="General" sourceLinked="0"/>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1391962784"/>
        <c:crosses val="autoZero"/>
        <c:auto val="1"/>
        <c:lblAlgn val="ctr"/>
        <c:lblOffset val="100"/>
        <c:noMultiLvlLbl val="1"/>
      </c:catAx>
      <c:valAx>
        <c:axId val="-1391962784"/>
        <c:scaling>
          <c:orientation val="minMax"/>
        </c:scaling>
        <c:delete val="1"/>
        <c:axPos val="l"/>
        <c:numFmt formatCode="&quot;$&quot;#,##0" sourceLinked="0"/>
        <c:majorTickMark val="none"/>
        <c:minorTickMark val="none"/>
        <c:tickLblPos val="nextTo"/>
        <c:crossAx val="-139196553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Lines="57" dropStyle="combo" dx="16" fmlaLink="$L$4" fmlaRange="$D$4:$D$6"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441325</xdr:colOff>
      <xdr:row>227</xdr:row>
      <xdr:rowOff>193675</xdr:rowOff>
    </xdr:from>
    <xdr:to>
      <xdr:col>6</xdr:col>
      <xdr:colOff>346075</xdr:colOff>
      <xdr:row>241</xdr:row>
      <xdr:rowOff>146050</xdr:rowOff>
    </xdr:to>
    <xdr:graphicFrame macro="">
      <xdr:nvGraphicFramePr>
        <xdr:cNvPr id="2" name="Chart 1">
          <a:extLst>
            <a:ext uri="{FF2B5EF4-FFF2-40B4-BE49-F238E27FC236}">
              <a16:creationId xmlns:a16="http://schemas.microsoft.com/office/drawing/2014/main" xmlns="" id="{CA10DD73-2AD9-4164-869E-48B071D32E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688975</xdr:colOff>
      <xdr:row>228</xdr:row>
      <xdr:rowOff>20637</xdr:rowOff>
    </xdr:from>
    <xdr:to>
      <xdr:col>12</xdr:col>
      <xdr:colOff>631825</xdr:colOff>
      <xdr:row>241</xdr:row>
      <xdr:rowOff>160337</xdr:rowOff>
    </xdr:to>
    <xdr:sp macro="" textlink="">
      <xdr:nvSpPr>
        <xdr:cNvPr id="3" name="Rectangle 2"/>
        <xdr:cNvSpPr>
          <a:spLocks noTextEdit="1"/>
        </xdr:cNvSpPr>
      </xdr:nvSpPr>
      <xdr:spPr>
        <a:xfrm>
          <a:off x="7610475" y="46007337"/>
          <a:ext cx="5200650" cy="24384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812800</xdr:colOff>
          <xdr:row>0</xdr:row>
          <xdr:rowOff>0</xdr:rowOff>
        </xdr:from>
        <xdr:to>
          <xdr:col>3</xdr:col>
          <xdr:colOff>1899920</xdr:colOff>
          <xdr:row>0</xdr:row>
          <xdr:rowOff>335280</xdr:rowOff>
        </xdr:to>
        <xdr:sp macro="" textlink="">
          <xdr:nvSpPr>
            <xdr:cNvPr id="11267" name="Drop Down 3" hidden="1">
              <a:extLst>
                <a:ext uri="{63B3BB69-23CF-44E3-9099-C40C66FF867C}">
                  <a14:compatExt spid="_x0000_s11267"/>
                </a:ext>
              </a:extLst>
            </xdr:cNvPr>
            <xdr:cNvSpPr/>
          </xdr:nvSpPr>
          <xdr:spPr bwMode="auto">
            <a:xfrm>
              <a:off x="0" y="0"/>
              <a:ext cx="0" cy="0"/>
            </a:xfrm>
            <a:prstGeom prst="rect">
              <a:avLst/>
            </a:prstGeom>
            <a:noFill/>
            <a:ln>
              <a:noFill/>
            </a:ln>
            <a:extLst>
              <a:ext uri="{91240B29-F687-4F45-9708-019B960494DF}">
                <a14:hiddenLine w="9525">
                  <a:noFill/>
                  <a:miter lim="800000"/>
                  <a:headEnd type="none" w="med" len="med"/>
                  <a:tailEnd type="none" w="med" len="me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13805</xdr:colOff>
      <xdr:row>21</xdr:row>
      <xdr:rowOff>69574</xdr:rowOff>
    </xdr:from>
    <xdr:to>
      <xdr:col>10</xdr:col>
      <xdr:colOff>5522</xdr:colOff>
      <xdr:row>41</xdr:row>
      <xdr:rowOff>27609</xdr:rowOff>
    </xdr:to>
    <xdr:graphicFrame macro="">
      <xdr:nvGraphicFramePr>
        <xdr:cNvPr id="2" name="Chart 1">
          <a:extLst>
            <a:ext uri="{FF2B5EF4-FFF2-40B4-BE49-F238E27FC236}">
              <a16:creationId xmlns:a16="http://schemas.microsoft.com/office/drawing/2014/main" xmlns="" id="{102E4F66-101C-435A-BF48-5FA85DA4A7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513522</xdr:colOff>
      <xdr:row>32</xdr:row>
      <xdr:rowOff>160130</xdr:rowOff>
    </xdr:from>
    <xdr:to>
      <xdr:col>9</xdr:col>
      <xdr:colOff>706783</xdr:colOff>
      <xdr:row>32</xdr:row>
      <xdr:rowOff>171173</xdr:rowOff>
    </xdr:to>
    <xdr:cxnSp macro="">
      <xdr:nvCxnSpPr>
        <xdr:cNvPr id="4" name="Straight Connector 3">
          <a:extLst>
            <a:ext uri="{FF2B5EF4-FFF2-40B4-BE49-F238E27FC236}">
              <a16:creationId xmlns:a16="http://schemas.microsoft.com/office/drawing/2014/main" xmlns="" id="{0425D018-0FDD-4B56-86DB-AB632A8A4A2D}"/>
            </a:ext>
          </a:extLst>
        </xdr:cNvPr>
        <xdr:cNvCxnSpPr/>
      </xdr:nvCxnSpPr>
      <xdr:spPr bwMode="auto">
        <a:xfrm flipV="1">
          <a:off x="1054652" y="5461000"/>
          <a:ext cx="6521174" cy="11043"/>
        </a:xfrm>
        <a:prstGeom prst="line">
          <a:avLst/>
        </a:prstGeom>
        <a:solidFill>
          <a:srgbClr xmlns:mc="http://schemas.openxmlformats.org/markup-compatibility/2006" xmlns:a14="http://schemas.microsoft.com/office/drawing/2010/main" val="FFFFFF" mc:Ignorable="a14" a14:legacySpreadsheetColorIndex="65"/>
        </a:solidFill>
        <a:ln w="15875" cap="flat" cmpd="sng" algn="ctr">
          <a:solidFill>
            <a:srgbClr val="FA621C"/>
          </a:solidFill>
          <a:prstDash val="dash"/>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441325</xdr:colOff>
      <xdr:row>155</xdr:row>
      <xdr:rowOff>193675</xdr:rowOff>
    </xdr:from>
    <xdr:to>
      <xdr:col>6</xdr:col>
      <xdr:colOff>346075</xdr:colOff>
      <xdr:row>169</xdr:row>
      <xdr:rowOff>146050</xdr:rowOff>
    </xdr:to>
    <xdr:graphicFrame macro="">
      <xdr:nvGraphicFramePr>
        <xdr:cNvPr id="2" name="Chart 1">
          <a:extLst>
            <a:ext uri="{FF2B5EF4-FFF2-40B4-BE49-F238E27FC236}">
              <a16:creationId xmlns:a16="http://schemas.microsoft.com/office/drawing/2014/main" xmlns="" id="{CA10DD73-2AD9-4164-869E-48B071D32E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688975</xdr:colOff>
      <xdr:row>156</xdr:row>
      <xdr:rowOff>20637</xdr:rowOff>
    </xdr:from>
    <xdr:to>
      <xdr:col>12</xdr:col>
      <xdr:colOff>631825</xdr:colOff>
      <xdr:row>169</xdr:row>
      <xdr:rowOff>160337</xdr:rowOff>
    </xdr:to>
    <xdr:sp macro="" textlink="">
      <xdr:nvSpPr>
        <xdr:cNvPr id="3" name="Rectangle 2"/>
        <xdr:cNvSpPr>
          <a:spLocks noTextEdit="1"/>
        </xdr:cNvSpPr>
      </xdr:nvSpPr>
      <xdr:spPr>
        <a:xfrm>
          <a:off x="6086475" y="32177037"/>
          <a:ext cx="5200650" cy="24384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ravisvandusseldorp/Downloads/ValuationModelCompsPrecedentsDCFFootballFieldComplete-15470592934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Comps"/>
      <sheetName val="Precedents"/>
      <sheetName val="DCF"/>
      <sheetName val="Summary - Football Field"/>
    </sheetNames>
    <sheetDataSet>
      <sheetData sheetId="0"/>
      <sheetData sheetId="1"/>
      <sheetData sheetId="2"/>
      <sheetData sheetId="3">
        <row r="151">
          <cell r="D151">
            <v>2018</v>
          </cell>
          <cell r="E151">
            <v>2019</v>
          </cell>
          <cell r="F151">
            <v>2020</v>
          </cell>
          <cell r="G151">
            <v>2021</v>
          </cell>
          <cell r="H151">
            <v>2022</v>
          </cell>
        </row>
        <row r="152">
          <cell r="A152" t="str">
            <v>FCFF</v>
          </cell>
          <cell r="D152">
            <v>18642.246508304797</v>
          </cell>
          <cell r="E152">
            <v>21391.459277106165</v>
          </cell>
          <cell r="F152">
            <v>21202.503378146412</v>
          </cell>
          <cell r="G152">
            <v>57797.144915374651</v>
          </cell>
          <cell r="H152">
            <v>62790.649009615852</v>
          </cell>
        </row>
      </sheetData>
      <sheetData sheetId="4"/>
    </sheetDataSet>
  </externalBook>
</externalLink>
</file>

<file path=xl/theme/theme1.xml><?xml version="1.0" encoding="utf-8"?>
<a:theme xmlns:a="http://schemas.openxmlformats.org/drawingml/2006/main" name="Office Theme">
  <a:themeElements>
    <a:clrScheme name="CFI">
      <a:dk1>
        <a:sysClr val="windowText" lastClr="000000"/>
      </a:dk1>
      <a:lt1>
        <a:sysClr val="window" lastClr="FFFFFF"/>
      </a:lt1>
      <a:dk2>
        <a:srgbClr val="FA621C"/>
      </a:dk2>
      <a:lt2>
        <a:srgbClr val="132E57"/>
      </a:lt2>
      <a:accent1>
        <a:srgbClr val="E6E7E8"/>
      </a:accent1>
      <a:accent2>
        <a:srgbClr val="F57A16"/>
      </a:accent2>
      <a:accent3>
        <a:srgbClr val="1E8496"/>
      </a:accent3>
      <a:accent4>
        <a:srgbClr val="E6E7E8"/>
      </a:accent4>
      <a:accent5>
        <a:srgbClr val="ED942D"/>
      </a:accent5>
      <a:accent6>
        <a:srgbClr val="1E2A39"/>
      </a:accent6>
      <a:hlink>
        <a:srgbClr val="E6E7E8"/>
      </a:hlink>
      <a:folHlink>
        <a:srgbClr val="676767"/>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printerSettings" Target="../printerSettings/printerSettings4.bin"/><Relationship Id="rId2"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trlProp" Target="../ctrlProps/ctrlProp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4" Type="http://schemas.openxmlformats.org/officeDocument/2006/relationships/comments" Target="../comments2.xml"/><Relationship Id="rId1" Type="http://schemas.openxmlformats.org/officeDocument/2006/relationships/printerSettings" Target="../printerSettings/printerSettings6.bin"/><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O33"/>
  <sheetViews>
    <sheetView showGridLines="0" workbookViewId="0">
      <selection activeCell="C16" sqref="C16"/>
    </sheetView>
  </sheetViews>
  <sheetFormatPr baseColWidth="10" defaultColWidth="9.1640625" defaultRowHeight="14" x14ac:dyDescent="0.15"/>
  <cols>
    <col min="1" max="2" width="9.1640625" style="57"/>
    <col min="3" max="3" width="24.1640625" style="57" customWidth="1"/>
    <col min="4" max="14" width="11.83203125" style="57" customWidth="1"/>
    <col min="15" max="15" width="10" style="57" customWidth="1"/>
    <col min="16" max="16384" width="9.1640625" style="57"/>
  </cols>
  <sheetData>
    <row r="4" spans="2:15" ht="16.75" customHeight="1" x14ac:dyDescent="0.15">
      <c r="B4" s="58"/>
      <c r="C4" s="58"/>
      <c r="D4" s="58"/>
      <c r="E4" s="58"/>
      <c r="F4" s="58"/>
      <c r="G4" s="58"/>
      <c r="H4" s="58"/>
      <c r="I4" s="58"/>
      <c r="J4" s="58"/>
      <c r="K4" s="58"/>
      <c r="L4" s="58"/>
      <c r="M4" s="58"/>
      <c r="N4" s="58"/>
      <c r="O4" s="58"/>
    </row>
    <row r="5" spans="2:15" ht="16.75" customHeight="1" x14ac:dyDescent="0.15">
      <c r="B5" s="58"/>
      <c r="C5" s="58"/>
      <c r="D5" s="58"/>
      <c r="E5" s="58"/>
      <c r="F5" s="58"/>
      <c r="G5" s="58"/>
      <c r="H5" s="58"/>
      <c r="I5" s="58"/>
      <c r="J5" s="58"/>
      <c r="K5" s="58"/>
      <c r="L5" s="58"/>
      <c r="M5" s="58"/>
      <c r="N5" s="58"/>
      <c r="O5" s="58"/>
    </row>
    <row r="6" spans="2:15" ht="16.75" customHeight="1" x14ac:dyDescent="0.15">
      <c r="B6" s="58"/>
      <c r="C6" s="58"/>
      <c r="D6" s="58"/>
      <c r="E6" s="58"/>
      <c r="F6" s="58"/>
      <c r="G6" s="58"/>
      <c r="H6" s="58"/>
      <c r="I6" s="58"/>
      <c r="J6" s="58"/>
      <c r="K6" s="58"/>
      <c r="L6" s="58"/>
      <c r="M6" s="58"/>
      <c r="N6" s="58"/>
      <c r="O6" s="58"/>
    </row>
    <row r="7" spans="2:15" ht="16.75" customHeight="1" x14ac:dyDescent="0.15">
      <c r="B7" s="58"/>
      <c r="C7" s="58"/>
      <c r="D7" s="58"/>
      <c r="E7" s="58"/>
      <c r="F7" s="58"/>
      <c r="G7" s="58"/>
      <c r="H7" s="58"/>
      <c r="I7" s="58"/>
      <c r="J7" s="58"/>
      <c r="K7" s="58"/>
      <c r="L7" s="58"/>
      <c r="M7" s="58"/>
      <c r="N7" s="58"/>
      <c r="O7" s="58"/>
    </row>
    <row r="8" spans="2:15" ht="16.75" customHeight="1" x14ac:dyDescent="0.15">
      <c r="B8" s="58"/>
      <c r="C8" s="58"/>
      <c r="D8" s="58"/>
      <c r="E8" s="58"/>
      <c r="F8" s="58"/>
      <c r="G8" s="58"/>
      <c r="H8" s="58"/>
      <c r="I8" s="58"/>
      <c r="J8" s="58"/>
      <c r="K8" s="58"/>
      <c r="L8" s="58"/>
      <c r="M8" s="58"/>
      <c r="N8" s="58"/>
      <c r="O8" s="58"/>
    </row>
    <row r="9" spans="2:15" ht="16.75" customHeight="1" x14ac:dyDescent="0.15">
      <c r="B9" s="58"/>
      <c r="C9" s="58"/>
      <c r="D9" s="58"/>
      <c r="E9" s="58"/>
      <c r="F9" s="58"/>
      <c r="G9" s="58"/>
      <c r="H9" s="58"/>
      <c r="I9" s="58"/>
      <c r="J9" s="58"/>
      <c r="K9" s="58"/>
      <c r="L9" s="58"/>
      <c r="M9" s="58"/>
      <c r="N9" s="58"/>
      <c r="O9" s="58"/>
    </row>
    <row r="10" spans="2:15" ht="16.75" customHeight="1" x14ac:dyDescent="0.15">
      <c r="B10" s="58"/>
      <c r="C10" s="58"/>
      <c r="D10" s="58"/>
      <c r="E10" s="58"/>
      <c r="F10" s="58"/>
      <c r="G10" s="58"/>
      <c r="H10" s="58"/>
      <c r="I10" s="58"/>
      <c r="J10" s="58"/>
      <c r="K10" s="58"/>
      <c r="L10" s="58"/>
      <c r="M10" s="58"/>
      <c r="N10" s="58"/>
      <c r="O10" s="58"/>
    </row>
    <row r="11" spans="2:15" ht="16.75" customHeight="1" x14ac:dyDescent="0.15">
      <c r="B11" s="58"/>
      <c r="C11" s="58"/>
      <c r="D11" s="58"/>
      <c r="E11" s="58"/>
      <c r="F11" s="58"/>
      <c r="G11" s="58"/>
      <c r="H11" s="58"/>
      <c r="I11" s="58"/>
      <c r="J11" s="58"/>
      <c r="K11" s="58"/>
      <c r="L11" s="58"/>
      <c r="M11" s="58"/>
      <c r="N11" s="58"/>
      <c r="O11" s="58"/>
    </row>
    <row r="12" spans="2:15" ht="16.75" customHeight="1" x14ac:dyDescent="0.15">
      <c r="B12" s="58"/>
      <c r="C12" s="58"/>
      <c r="D12" s="58"/>
      <c r="E12" s="58"/>
      <c r="F12" s="58"/>
      <c r="G12" s="58"/>
      <c r="H12" s="58"/>
      <c r="I12" s="58"/>
      <c r="J12" s="58"/>
      <c r="K12" s="58"/>
      <c r="L12" s="58"/>
      <c r="M12" s="58"/>
      <c r="N12" s="58"/>
      <c r="O12" s="58"/>
    </row>
    <row r="13" spans="2:15" ht="28" x14ac:dyDescent="0.3">
      <c r="B13" s="58"/>
      <c r="C13" s="164" t="s">
        <v>146</v>
      </c>
      <c r="D13" s="58"/>
      <c r="E13" s="58"/>
      <c r="F13" s="58"/>
      <c r="G13" s="58"/>
      <c r="H13" s="58"/>
      <c r="I13" s="58"/>
      <c r="J13" s="58"/>
      <c r="K13" s="58"/>
      <c r="L13" s="58"/>
      <c r="M13" s="58"/>
      <c r="N13" s="58"/>
      <c r="O13" s="58"/>
    </row>
    <row r="14" spans="2:15" ht="16.75" customHeight="1" x14ac:dyDescent="0.25">
      <c r="B14" s="58"/>
      <c r="C14" s="59"/>
      <c r="D14" s="58"/>
      <c r="E14" s="58"/>
      <c r="F14" s="58"/>
      <c r="G14" s="58"/>
      <c r="H14" s="58"/>
      <c r="I14" s="58"/>
      <c r="J14" s="58"/>
      <c r="K14" s="58"/>
      <c r="L14" s="58"/>
      <c r="M14" s="58"/>
      <c r="N14" s="58"/>
      <c r="O14" s="58"/>
    </row>
    <row r="15" spans="2:15" ht="16.75" customHeight="1" x14ac:dyDescent="0.15">
      <c r="B15" s="58"/>
      <c r="C15" s="161" t="s">
        <v>186</v>
      </c>
      <c r="D15" s="162"/>
      <c r="E15" s="162"/>
      <c r="F15" s="162"/>
      <c r="G15" s="162"/>
      <c r="H15" s="162"/>
      <c r="I15" s="162"/>
      <c r="J15" s="162"/>
      <c r="K15" s="162"/>
      <c r="L15" s="162"/>
      <c r="M15" s="162"/>
      <c r="N15" s="163"/>
      <c r="O15" s="58"/>
    </row>
    <row r="16" spans="2:15" ht="16.75" customHeight="1" x14ac:dyDescent="0.15">
      <c r="B16" s="136"/>
      <c r="C16" s="137" t="s">
        <v>14</v>
      </c>
      <c r="D16" s="58"/>
      <c r="E16" s="58"/>
      <c r="F16" s="58"/>
      <c r="G16" s="58"/>
      <c r="H16" s="58"/>
      <c r="I16" s="58"/>
      <c r="J16" s="58"/>
      <c r="K16" s="58"/>
      <c r="L16" s="58"/>
      <c r="M16" s="58"/>
      <c r="N16" s="58"/>
      <c r="O16" s="58"/>
    </row>
    <row r="17" spans="2:15" ht="16.75" customHeight="1" x14ac:dyDescent="0.15">
      <c r="B17" s="136"/>
      <c r="C17" s="137" t="s">
        <v>13</v>
      </c>
      <c r="D17" s="58"/>
      <c r="E17" s="58"/>
      <c r="F17" s="58"/>
      <c r="G17" s="58"/>
      <c r="H17" s="58"/>
      <c r="I17" s="58"/>
      <c r="J17" s="58"/>
      <c r="K17" s="58"/>
      <c r="L17" s="58"/>
      <c r="M17" s="58"/>
      <c r="N17" s="58"/>
      <c r="O17" s="58"/>
    </row>
    <row r="18" spans="2:15" ht="16.75" customHeight="1" x14ac:dyDescent="0.15">
      <c r="B18" s="136"/>
      <c r="C18" s="137" t="s">
        <v>147</v>
      </c>
      <c r="D18" s="58"/>
      <c r="E18" s="58"/>
      <c r="F18" s="58"/>
      <c r="G18" s="58"/>
      <c r="H18" s="58"/>
      <c r="I18" s="58"/>
      <c r="J18" s="58"/>
      <c r="K18" s="58"/>
      <c r="L18" s="58"/>
      <c r="M18" s="58"/>
      <c r="N18" s="58"/>
      <c r="O18" s="58"/>
    </row>
    <row r="19" spans="2:15" ht="16.75" customHeight="1" x14ac:dyDescent="0.15">
      <c r="B19" s="136"/>
      <c r="C19" s="137" t="s">
        <v>155</v>
      </c>
      <c r="D19" s="58"/>
      <c r="E19" s="58"/>
      <c r="F19" s="58"/>
      <c r="G19" s="58"/>
      <c r="H19" s="58"/>
      <c r="I19" s="58"/>
      <c r="J19" s="58"/>
      <c r="K19" s="58"/>
      <c r="L19" s="58"/>
      <c r="M19" s="58"/>
      <c r="N19" s="58"/>
      <c r="O19" s="58"/>
    </row>
    <row r="20" spans="2:15" ht="16.75" customHeight="1" x14ac:dyDescent="0.15">
      <c r="B20" s="136"/>
      <c r="C20" s="136"/>
      <c r="D20" s="58"/>
      <c r="E20" s="58"/>
      <c r="F20" s="58"/>
      <c r="G20" s="58"/>
      <c r="H20" s="58"/>
      <c r="I20" s="58"/>
      <c r="J20" s="58"/>
      <c r="K20" s="58"/>
      <c r="L20" s="58"/>
      <c r="M20" s="58"/>
      <c r="N20" s="58"/>
      <c r="O20" s="58"/>
    </row>
    <row r="21" spans="2:15" ht="16.75" customHeight="1" x14ac:dyDescent="0.15">
      <c r="B21" s="58"/>
      <c r="C21" s="58"/>
      <c r="D21" s="58"/>
      <c r="E21" s="58"/>
      <c r="F21" s="58"/>
      <c r="G21" s="58"/>
      <c r="H21" s="58"/>
      <c r="I21" s="58"/>
      <c r="J21" s="58"/>
      <c r="K21" s="58"/>
      <c r="L21" s="58"/>
      <c r="M21" s="58"/>
      <c r="N21" s="58"/>
      <c r="O21" s="58"/>
    </row>
    <row r="22" spans="2:15" ht="16.75" customHeight="1" x14ac:dyDescent="0.15">
      <c r="B22" s="58"/>
      <c r="C22" s="58"/>
      <c r="D22" s="58"/>
      <c r="E22" s="58"/>
      <c r="F22" s="58"/>
      <c r="G22" s="58"/>
      <c r="H22" s="58"/>
      <c r="I22" s="58"/>
      <c r="J22" s="58"/>
      <c r="K22" s="58"/>
      <c r="L22" s="58"/>
      <c r="M22" s="58"/>
      <c r="N22" s="58"/>
      <c r="O22" s="58"/>
    </row>
    <row r="23" spans="2:15" ht="16.75" customHeight="1" x14ac:dyDescent="0.15">
      <c r="B23" s="154"/>
      <c r="C23" s="154" t="s">
        <v>148</v>
      </c>
      <c r="D23" s="154"/>
      <c r="E23" s="154"/>
      <c r="F23" s="154"/>
      <c r="G23" s="154"/>
      <c r="H23" s="154"/>
      <c r="I23" s="154"/>
      <c r="J23" s="154"/>
      <c r="K23" s="154"/>
      <c r="L23" s="154"/>
      <c r="M23" s="154"/>
      <c r="N23" s="154"/>
      <c r="O23" s="154"/>
    </row>
    <row r="24" spans="2:15" ht="16.75" customHeight="1" x14ac:dyDescent="0.15">
      <c r="B24" s="154"/>
      <c r="C24" s="155"/>
      <c r="D24" s="155"/>
      <c r="E24" s="155"/>
      <c r="F24" s="155"/>
      <c r="G24" s="155"/>
      <c r="H24" s="155"/>
      <c r="I24" s="155"/>
      <c r="J24" s="155"/>
      <c r="K24" s="155"/>
      <c r="L24" s="155"/>
      <c r="M24" s="155"/>
      <c r="N24" s="155"/>
      <c r="O24" s="154"/>
    </row>
    <row r="25" spans="2:15" ht="16.75" customHeight="1" x14ac:dyDescent="0.15">
      <c r="B25" s="154"/>
      <c r="C25" s="154"/>
      <c r="D25" s="154"/>
      <c r="E25" s="154"/>
      <c r="F25" s="154"/>
      <c r="G25" s="154"/>
      <c r="H25" s="154"/>
      <c r="I25" s="154"/>
      <c r="J25" s="154"/>
      <c r="K25" s="154"/>
      <c r="L25" s="154"/>
      <c r="M25" s="154"/>
      <c r="N25" s="154"/>
      <c r="O25" s="154"/>
    </row>
    <row r="26" spans="2:15" ht="16.75" customHeight="1" x14ac:dyDescent="0.15">
      <c r="B26" s="154"/>
      <c r="C26" s="156"/>
      <c r="D26" s="154"/>
      <c r="E26" s="154"/>
      <c r="F26" s="154"/>
      <c r="G26" s="154"/>
      <c r="H26" s="154"/>
      <c r="I26" s="154"/>
      <c r="J26" s="154"/>
      <c r="K26" s="154"/>
      <c r="L26" s="154"/>
      <c r="M26" s="154"/>
      <c r="N26" s="154"/>
      <c r="O26" s="154"/>
    </row>
    <row r="27" spans="2:15" ht="16.75" customHeight="1" x14ac:dyDescent="0.15">
      <c r="B27" s="154"/>
      <c r="C27" s="156"/>
      <c r="D27" s="154"/>
      <c r="E27" s="154"/>
      <c r="F27" s="154"/>
      <c r="G27" s="154"/>
      <c r="H27" s="154"/>
      <c r="I27" s="154"/>
      <c r="J27" s="154"/>
      <c r="K27" s="154"/>
      <c r="L27" s="154"/>
      <c r="M27" s="154"/>
      <c r="N27" s="154"/>
      <c r="O27" s="154"/>
    </row>
    <row r="28" spans="2:15" ht="16.75" customHeight="1" x14ac:dyDescent="0.15">
      <c r="B28" s="154"/>
      <c r="C28" s="157"/>
      <c r="D28" s="158"/>
      <c r="E28" s="158"/>
      <c r="F28" s="158"/>
      <c r="G28" s="158"/>
      <c r="H28" s="158"/>
      <c r="I28" s="158"/>
      <c r="J28" s="158"/>
      <c r="K28" s="158"/>
      <c r="L28" s="158"/>
      <c r="M28" s="158"/>
      <c r="N28" s="158"/>
      <c r="O28" s="154"/>
    </row>
    <row r="29" spans="2:15" ht="16.75" customHeight="1" x14ac:dyDescent="0.15">
      <c r="B29" s="159"/>
      <c r="C29" s="160"/>
      <c r="D29" s="160"/>
      <c r="E29" s="160"/>
      <c r="F29" s="160"/>
      <c r="G29" s="160"/>
      <c r="H29" s="160"/>
      <c r="I29" s="160"/>
      <c r="J29" s="160"/>
      <c r="K29" s="160"/>
      <c r="L29" s="160"/>
      <c r="M29" s="160"/>
      <c r="N29" s="160"/>
      <c r="O29" s="159"/>
    </row>
    <row r="30" spans="2:15" ht="16.75" customHeight="1" x14ac:dyDescent="0.15">
      <c r="B30" s="159"/>
      <c r="C30" s="160"/>
      <c r="D30" s="160"/>
      <c r="E30" s="160"/>
      <c r="F30" s="160"/>
      <c r="G30" s="160"/>
      <c r="H30" s="160"/>
      <c r="I30" s="160"/>
      <c r="J30" s="160"/>
      <c r="K30" s="160"/>
      <c r="L30" s="160"/>
      <c r="M30" s="160"/>
      <c r="N30" s="160"/>
      <c r="O30" s="159"/>
    </row>
    <row r="31" spans="2:15" ht="16.75" customHeight="1" x14ac:dyDescent="0.15">
      <c r="B31" s="159"/>
      <c r="C31" s="160"/>
      <c r="D31" s="160"/>
      <c r="E31" s="160"/>
      <c r="F31" s="160"/>
      <c r="G31" s="160"/>
      <c r="H31" s="160"/>
      <c r="I31" s="160"/>
      <c r="J31" s="160"/>
      <c r="K31" s="160"/>
      <c r="L31" s="160"/>
      <c r="M31" s="160"/>
      <c r="N31" s="160"/>
      <c r="O31" s="159"/>
    </row>
    <row r="32" spans="2:15" ht="16.75" customHeight="1" x14ac:dyDescent="0.15">
      <c r="B32" s="159"/>
      <c r="C32" s="160"/>
      <c r="D32" s="160"/>
      <c r="E32" s="160"/>
      <c r="F32" s="160"/>
      <c r="G32" s="160"/>
      <c r="H32" s="160"/>
      <c r="I32" s="160"/>
      <c r="J32" s="160"/>
      <c r="K32" s="160"/>
      <c r="L32" s="160"/>
      <c r="M32" s="160"/>
      <c r="N32" s="160"/>
      <c r="O32" s="159"/>
    </row>
    <row r="33" spans="2:15" ht="16.75" customHeight="1" x14ac:dyDescent="0.15">
      <c r="B33" s="159"/>
      <c r="C33" s="159"/>
      <c r="D33" s="159"/>
      <c r="E33" s="159"/>
      <c r="F33" s="159"/>
      <c r="G33" s="159"/>
      <c r="H33" s="159"/>
      <c r="I33" s="159"/>
      <c r="J33" s="159"/>
      <c r="K33" s="159"/>
      <c r="L33" s="159"/>
      <c r="M33" s="159"/>
      <c r="N33" s="159"/>
      <c r="O33" s="159"/>
    </row>
  </sheetData>
  <hyperlinks>
    <hyperlink ref="C16" location="Comps!A1" display="Comps"/>
    <hyperlink ref="C17" location="Precedents!A1" display="Precedents"/>
    <hyperlink ref="C18" location="DCF!A1" display="DCF"/>
    <hyperlink ref="C19" location="'Summary - Football Field'!A1" display="Summary"/>
  </hyperlinks>
  <pageMargins left="0.7" right="0.7" top="0.75" bottom="0.75" header="0.3" footer="0.3"/>
  <pageSetup scale="9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P21"/>
  <sheetViews>
    <sheetView showGridLines="0" workbookViewId="0">
      <selection activeCell="B2" sqref="B2"/>
    </sheetView>
  </sheetViews>
  <sheetFormatPr baseColWidth="10" defaultColWidth="9.1640625" defaultRowHeight="14" x14ac:dyDescent="0.15"/>
  <cols>
    <col min="1" max="1" width="9.1640625" style="36"/>
    <col min="2" max="2" width="20.83203125" style="36" customWidth="1"/>
    <col min="3" max="3" width="9.1640625" style="36"/>
    <col min="4" max="4" width="9.83203125" style="36" customWidth="1"/>
    <col min="5" max="6" width="12" style="36" customWidth="1"/>
    <col min="7" max="7" width="10.6640625" style="36" customWidth="1"/>
    <col min="8" max="8" width="2" style="36" customWidth="1"/>
    <col min="9" max="9" width="9.1640625" style="36"/>
    <col min="10" max="10" width="9.83203125" style="36" customWidth="1"/>
    <col min="11" max="11" width="10" style="36" customWidth="1"/>
    <col min="12" max="12" width="2" style="36" customWidth="1"/>
    <col min="13" max="13" width="9.33203125" style="36" customWidth="1"/>
    <col min="14" max="14" width="11.6640625" style="36" customWidth="1"/>
    <col min="15" max="15" width="11" style="36" customWidth="1"/>
    <col min="16" max="16" width="13.1640625" style="36" customWidth="1"/>
    <col min="17" max="16384" width="9.1640625" style="36"/>
  </cols>
  <sheetData>
    <row r="1" spans="1:16" s="166" customFormat="1" x14ac:dyDescent="0.15">
      <c r="A1" s="165"/>
      <c r="B1" s="165"/>
      <c r="C1" s="165"/>
      <c r="D1" s="165"/>
      <c r="E1" s="165"/>
      <c r="F1" s="165"/>
      <c r="G1" s="165"/>
      <c r="H1" s="165"/>
      <c r="I1" s="165"/>
      <c r="J1" s="165"/>
      <c r="K1" s="165"/>
      <c r="L1" s="165"/>
      <c r="M1" s="165"/>
      <c r="N1" s="165"/>
      <c r="O1" s="165"/>
      <c r="P1" s="165"/>
    </row>
    <row r="2" spans="1:16" s="166" customFormat="1" ht="18" x14ac:dyDescent="0.15">
      <c r="A2" s="167" t="s">
        <v>187</v>
      </c>
      <c r="B2" s="167"/>
      <c r="C2" s="167"/>
      <c r="D2" s="167"/>
      <c r="E2" s="167"/>
      <c r="F2" s="167"/>
      <c r="G2" s="167"/>
      <c r="H2" s="167"/>
      <c r="I2" s="167"/>
      <c r="J2" s="167"/>
      <c r="K2" s="167"/>
      <c r="L2" s="167"/>
      <c r="M2" s="167"/>
      <c r="N2" s="167"/>
      <c r="O2" s="167"/>
      <c r="P2" s="167"/>
    </row>
    <row r="5" spans="1:16" ht="21" customHeight="1" x14ac:dyDescent="0.15">
      <c r="B5" s="14"/>
      <c r="C5" s="15" t="s">
        <v>15</v>
      </c>
      <c r="D5" s="15"/>
      <c r="E5" s="16"/>
      <c r="F5" s="16"/>
      <c r="G5" s="16"/>
      <c r="H5" s="14"/>
      <c r="I5" s="15" t="s">
        <v>16</v>
      </c>
      <c r="J5" s="16"/>
      <c r="K5" s="15"/>
      <c r="L5" s="14"/>
      <c r="M5" s="15" t="s">
        <v>17</v>
      </c>
      <c r="N5" s="16"/>
      <c r="O5" s="15"/>
      <c r="P5" s="15"/>
    </row>
    <row r="6" spans="1:16" ht="16.5" customHeight="1" x14ac:dyDescent="0.15">
      <c r="B6" s="17"/>
      <c r="C6" s="18" t="s">
        <v>18</v>
      </c>
      <c r="D6" s="18" t="s">
        <v>19</v>
      </c>
      <c r="E6" s="18" t="s">
        <v>20</v>
      </c>
      <c r="F6" s="18" t="s">
        <v>21</v>
      </c>
      <c r="G6" s="18" t="s">
        <v>22</v>
      </c>
      <c r="H6" s="19"/>
      <c r="I6" s="18" t="s">
        <v>23</v>
      </c>
      <c r="J6" s="18" t="s">
        <v>24</v>
      </c>
      <c r="K6" s="18" t="s">
        <v>26</v>
      </c>
      <c r="L6" s="20"/>
      <c r="M6" s="18" t="s">
        <v>5</v>
      </c>
      <c r="N6" s="18" t="s">
        <v>6</v>
      </c>
      <c r="O6" s="18" t="s">
        <v>27</v>
      </c>
      <c r="P6" s="471" t="s">
        <v>490</v>
      </c>
    </row>
    <row r="7" spans="1:16" ht="14.25" customHeight="1" x14ac:dyDescent="0.15">
      <c r="B7" s="17" t="s">
        <v>0</v>
      </c>
      <c r="C7" s="21" t="s">
        <v>28</v>
      </c>
      <c r="D7" s="22" t="s">
        <v>29</v>
      </c>
      <c r="E7" s="21" t="s">
        <v>30</v>
      </c>
      <c r="F7" s="21"/>
      <c r="G7" s="21" t="s">
        <v>30</v>
      </c>
      <c r="H7" s="19"/>
      <c r="I7" s="21" t="s">
        <v>30</v>
      </c>
      <c r="J7" s="21" t="s">
        <v>30</v>
      </c>
      <c r="K7" s="21" t="s">
        <v>30</v>
      </c>
      <c r="L7" s="20"/>
      <c r="M7" s="21" t="s">
        <v>31</v>
      </c>
      <c r="N7" s="23" t="s">
        <v>31</v>
      </c>
      <c r="O7" s="23" t="s">
        <v>31</v>
      </c>
      <c r="P7" s="472"/>
    </row>
    <row r="8" spans="1:16" ht="21" customHeight="1" x14ac:dyDescent="0.15">
      <c r="B8" s="464" t="s">
        <v>484</v>
      </c>
      <c r="C8" s="465">
        <v>54.49</v>
      </c>
      <c r="D8" s="466">
        <v>526.29999999999995</v>
      </c>
      <c r="E8" s="467">
        <f>C8*D8</f>
        <v>28678.087</v>
      </c>
      <c r="F8" s="468">
        <v>389</v>
      </c>
      <c r="G8" s="467">
        <f>E8+F8</f>
        <v>29067.087</v>
      </c>
      <c r="H8" s="467"/>
      <c r="I8" s="468">
        <v>22402</v>
      </c>
      <c r="J8" s="468">
        <v>4194</v>
      </c>
      <c r="K8" s="468">
        <f>4.45*D8</f>
        <v>2342.0349999999999</v>
      </c>
      <c r="L8" s="469"/>
      <c r="M8" s="470">
        <f>G8/I8</f>
        <v>1.2975219623247924</v>
      </c>
      <c r="N8" s="470">
        <f>G8/J8</f>
        <v>6.930635908440629</v>
      </c>
      <c r="O8" s="470">
        <f>E8/K8</f>
        <v>12.244943820224719</v>
      </c>
      <c r="P8" s="473">
        <v>16.440000000000001</v>
      </c>
    </row>
    <row r="9" spans="1:16" ht="21" customHeight="1" x14ac:dyDescent="0.15">
      <c r="B9" s="461" t="s">
        <v>486</v>
      </c>
      <c r="C9" s="38">
        <v>27.53</v>
      </c>
      <c r="D9" s="39">
        <v>438.1</v>
      </c>
      <c r="E9" s="40">
        <f t="shared" ref="E9:E12" si="0">C9*D9</f>
        <v>12060.893000000002</v>
      </c>
      <c r="F9" s="41">
        <v>29272</v>
      </c>
      <c r="G9" s="40">
        <f t="shared" ref="G9:G13" si="1">E9+F9</f>
        <v>41332.893000000004</v>
      </c>
      <c r="H9" s="40"/>
      <c r="I9" s="41">
        <v>45393</v>
      </c>
      <c r="J9" s="41">
        <v>6058</v>
      </c>
      <c r="K9" s="41">
        <f>3.53*D9</f>
        <v>1546.4929999999999</v>
      </c>
      <c r="L9" s="37"/>
      <c r="M9" s="42">
        <f t="shared" ref="M9:M12" si="2">G9/I9</f>
        <v>0.91055653955455695</v>
      </c>
      <c r="N9" s="42">
        <f t="shared" ref="N9:N12" si="3">G9/J9</f>
        <v>6.8228611753053823</v>
      </c>
      <c r="O9" s="42">
        <f t="shared" ref="O9:O12" si="4">E9/K9</f>
        <v>7.7988668555240812</v>
      </c>
      <c r="P9" s="474">
        <v>-13.76</v>
      </c>
    </row>
    <row r="10" spans="1:16" ht="21" customHeight="1" x14ac:dyDescent="0.15">
      <c r="B10" s="461" t="s">
        <v>487</v>
      </c>
      <c r="C10" s="38">
        <v>87.85</v>
      </c>
      <c r="D10" s="39">
        <v>253</v>
      </c>
      <c r="E10" s="40">
        <f t="shared" si="0"/>
        <v>22226.05</v>
      </c>
      <c r="F10" s="41">
        <v>15014</v>
      </c>
      <c r="G10" s="40">
        <f t="shared" si="1"/>
        <v>37240.050000000003</v>
      </c>
      <c r="H10" s="40"/>
      <c r="I10" s="41">
        <v>42862</v>
      </c>
      <c r="J10" s="41">
        <v>6783</v>
      </c>
      <c r="K10" s="41">
        <f>10.72*D10</f>
        <v>2712.1600000000003</v>
      </c>
      <c r="L10" s="37"/>
      <c r="M10" s="42">
        <f t="shared" si="2"/>
        <v>0.86883603191638292</v>
      </c>
      <c r="N10" s="42">
        <f t="shared" si="3"/>
        <v>5.4902034498009735</v>
      </c>
      <c r="O10" s="42">
        <f t="shared" si="4"/>
        <v>8.1949626865671625</v>
      </c>
      <c r="P10" s="474">
        <v>14.45</v>
      </c>
    </row>
    <row r="11" spans="1:16" ht="21" customHeight="1" x14ac:dyDescent="0.15">
      <c r="B11" s="461" t="s">
        <v>485</v>
      </c>
      <c r="C11" s="38">
        <v>61.45</v>
      </c>
      <c r="D11" s="39">
        <v>644.29999999999995</v>
      </c>
      <c r="E11" s="40">
        <f t="shared" si="0"/>
        <v>39592.235000000001</v>
      </c>
      <c r="F11" s="41">
        <v>15109</v>
      </c>
      <c r="G11" s="40">
        <f t="shared" si="1"/>
        <v>54701.235000000001</v>
      </c>
      <c r="H11" s="40"/>
      <c r="I11" s="41">
        <v>47007</v>
      </c>
      <c r="J11" s="41">
        <v>9107.2999999999993</v>
      </c>
      <c r="K11" s="41">
        <f>7.3*D11</f>
        <v>4703.3899999999994</v>
      </c>
      <c r="L11" s="37"/>
      <c r="M11" s="42">
        <f t="shared" si="2"/>
        <v>1.1636827493777522</v>
      </c>
      <c r="N11" s="42">
        <f t="shared" si="3"/>
        <v>6.0063064794176109</v>
      </c>
      <c r="O11" s="42">
        <f t="shared" si="4"/>
        <v>8.4178082191780828</v>
      </c>
      <c r="P11" s="474">
        <v>0.77</v>
      </c>
    </row>
    <row r="12" spans="1:16" ht="21" customHeight="1" x14ac:dyDescent="0.15">
      <c r="B12" s="461" t="s">
        <v>489</v>
      </c>
      <c r="C12" s="38">
        <v>18.52</v>
      </c>
      <c r="D12" s="39">
        <v>288.7</v>
      </c>
      <c r="E12" s="40">
        <f t="shared" si="0"/>
        <v>5346.7239999999993</v>
      </c>
      <c r="F12" s="41">
        <v>1514</v>
      </c>
      <c r="G12" s="40">
        <f t="shared" si="1"/>
        <v>6860.7239999999993</v>
      </c>
      <c r="H12" s="40"/>
      <c r="I12" s="41">
        <v>8031</v>
      </c>
      <c r="J12" s="41">
        <v>1314</v>
      </c>
      <c r="K12" s="41">
        <f>1.9*D12</f>
        <v>548.53</v>
      </c>
      <c r="L12" s="37"/>
      <c r="M12" s="42">
        <f t="shared" si="2"/>
        <v>0.85428016436309295</v>
      </c>
      <c r="N12" s="42">
        <f t="shared" si="3"/>
        <v>5.2212511415525107</v>
      </c>
      <c r="O12" s="42">
        <f t="shared" si="4"/>
        <v>9.7473684210526308</v>
      </c>
      <c r="P12" s="474">
        <v>16.5</v>
      </c>
    </row>
    <row r="13" spans="1:16" ht="21" customHeight="1" x14ac:dyDescent="0.15">
      <c r="B13" s="461" t="s">
        <v>488</v>
      </c>
      <c r="C13" s="38">
        <v>40.11</v>
      </c>
      <c r="D13" s="39">
        <v>68.400000000000006</v>
      </c>
      <c r="E13" s="40">
        <f t="shared" ref="E13" si="5">C13*D13</f>
        <v>2743.5240000000003</v>
      </c>
      <c r="F13" s="41">
        <v>2156.4</v>
      </c>
      <c r="G13" s="40">
        <f t="shared" si="1"/>
        <v>4899.9240000000009</v>
      </c>
      <c r="H13" s="40"/>
      <c r="I13" s="41">
        <v>3723.5</v>
      </c>
      <c r="J13" s="41">
        <v>696.6</v>
      </c>
      <c r="K13" s="41">
        <f>5.06*D13</f>
        <v>346.10399999999998</v>
      </c>
      <c r="L13" s="37"/>
      <c r="M13" s="42">
        <f t="shared" ref="M13" si="6">G13/I13</f>
        <v>1.3159457499664298</v>
      </c>
      <c r="N13" s="42">
        <f t="shared" ref="N13" si="7">G13/J13</f>
        <v>7.0340568475452203</v>
      </c>
      <c r="O13" s="42">
        <f t="shared" ref="O13" si="8">E13/K13</f>
        <v>7.9268774703557323</v>
      </c>
      <c r="P13" s="474">
        <v>31.85</v>
      </c>
    </row>
    <row r="14" spans="1:16" ht="21" customHeight="1" x14ac:dyDescent="0.15">
      <c r="B14" s="43" t="s">
        <v>8</v>
      </c>
      <c r="C14" s="43"/>
      <c r="D14" s="43"/>
      <c r="E14" s="43"/>
      <c r="F14" s="43"/>
      <c r="G14" s="43"/>
      <c r="H14" s="43"/>
      <c r="I14" s="43"/>
      <c r="J14" s="43"/>
      <c r="K14" s="43"/>
      <c r="L14" s="43"/>
      <c r="M14" s="44">
        <f>AVERAGE(M9:M13)</f>
        <v>1.022660247035643</v>
      </c>
      <c r="N14" s="44">
        <f t="shared" ref="N14:P14" si="9">AVERAGE(N9:N13)</f>
        <v>6.114935818724339</v>
      </c>
      <c r="O14" s="44">
        <f t="shared" si="9"/>
        <v>8.4171767305355392</v>
      </c>
      <c r="P14" s="44">
        <f t="shared" si="9"/>
        <v>9.9619999999999997</v>
      </c>
    </row>
    <row r="15" spans="1:16" ht="21" customHeight="1" x14ac:dyDescent="0.15">
      <c r="B15" s="43" t="s">
        <v>9</v>
      </c>
      <c r="C15" s="43"/>
      <c r="D15" s="43"/>
      <c r="E15" s="43"/>
      <c r="F15" s="43"/>
      <c r="G15" s="43"/>
      <c r="H15" s="43"/>
      <c r="I15" s="43"/>
      <c r="J15" s="43"/>
      <c r="K15" s="43"/>
      <c r="L15" s="43"/>
      <c r="M15" s="44">
        <f>MEDIAN(M9:M13)</f>
        <v>0.91055653955455695</v>
      </c>
      <c r="N15" s="44">
        <f t="shared" ref="N15:P15" si="10">MEDIAN(N9:N13)</f>
        <v>6.0063064794176109</v>
      </c>
      <c r="O15" s="44">
        <f t="shared" si="10"/>
        <v>8.1949626865671625</v>
      </c>
      <c r="P15" s="44">
        <f t="shared" si="10"/>
        <v>14.45</v>
      </c>
    </row>
    <row r="17" spans="3:15" x14ac:dyDescent="0.15">
      <c r="C17" s="45"/>
      <c r="D17" s="39"/>
      <c r="E17" s="40"/>
      <c r="F17" s="41"/>
      <c r="G17" s="40"/>
      <c r="H17" s="40"/>
      <c r="I17" s="41"/>
      <c r="J17" s="41"/>
      <c r="K17" s="41"/>
      <c r="L17" s="37"/>
      <c r="M17" s="42"/>
      <c r="N17" s="42"/>
      <c r="O17" s="42"/>
    </row>
    <row r="19" spans="3:15" x14ac:dyDescent="0.15">
      <c r="C19" s="46"/>
      <c r="D19" s="47"/>
      <c r="E19" s="48"/>
      <c r="F19" s="48"/>
      <c r="G19" s="49"/>
      <c r="H19" s="50"/>
      <c r="I19" s="50"/>
      <c r="J19" s="50"/>
    </row>
    <row r="20" spans="3:15" x14ac:dyDescent="0.15">
      <c r="C20" s="46"/>
      <c r="D20" s="47"/>
      <c r="E20" s="48"/>
      <c r="F20" s="48"/>
      <c r="G20" s="49"/>
      <c r="H20" s="50"/>
      <c r="I20" s="50"/>
      <c r="J20" s="50"/>
    </row>
    <row r="21" spans="3:15" x14ac:dyDescent="0.15">
      <c r="C21" s="46"/>
      <c r="D21" s="47"/>
      <c r="E21" s="49"/>
      <c r="F21" s="48"/>
      <c r="G21" s="49"/>
      <c r="H21" s="50"/>
      <c r="I21" s="50"/>
      <c r="J21" s="50"/>
    </row>
  </sheetData>
  <mergeCells count="1">
    <mergeCell ref="P6:P7"/>
  </mergeCells>
  <pageMargins left="0.7" right="0.7" top="0.75" bottom="0.75" header="0.3" footer="0.3"/>
  <pageSetup scale="83" orientation="landscape" r:id="rId1"/>
  <ignoredErrors>
    <ignoredError sqref="P14:P15"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outlinePr summaryBelow="0" summaryRight="0"/>
    <pageSetUpPr autoPageBreaks="0"/>
  </sheetPr>
  <dimension ref="A1:M22"/>
  <sheetViews>
    <sheetView showGridLines="0" workbookViewId="0">
      <selection activeCell="C6" sqref="C6"/>
    </sheetView>
  </sheetViews>
  <sheetFormatPr baseColWidth="10" defaultColWidth="8.83203125" defaultRowHeight="14" x14ac:dyDescent="0.15"/>
  <cols>
    <col min="1" max="1" width="8.83203125" style="3"/>
    <col min="2" max="2" width="13.1640625" style="3" customWidth="1"/>
    <col min="3" max="3" width="16.83203125" style="3" customWidth="1"/>
    <col min="4" max="4" width="13" style="3" customWidth="1"/>
    <col min="5" max="5" width="4.33203125" style="3" customWidth="1"/>
    <col min="6" max="6" width="19.1640625" style="3" customWidth="1"/>
    <col min="7" max="9" width="11.33203125" style="3" customWidth="1"/>
    <col min="10" max="10" width="2.83203125" style="3" customWidth="1"/>
    <col min="11" max="13" width="11.33203125" style="3" customWidth="1"/>
    <col min="14" max="16384" width="8.83203125" style="3"/>
  </cols>
  <sheetData>
    <row r="1" spans="1:13" x14ac:dyDescent="0.15">
      <c r="A1" s="165"/>
      <c r="B1" s="165"/>
      <c r="C1" s="165"/>
      <c r="D1" s="165"/>
      <c r="E1" s="165"/>
      <c r="F1" s="165"/>
      <c r="G1" s="165"/>
      <c r="H1" s="165"/>
      <c r="I1" s="165"/>
      <c r="J1" s="165"/>
      <c r="K1" s="165"/>
      <c r="L1" s="165"/>
      <c r="M1" s="165"/>
    </row>
    <row r="2" spans="1:13" ht="18" x14ac:dyDescent="0.15">
      <c r="A2" s="167" t="s">
        <v>188</v>
      </c>
      <c r="B2" s="167"/>
      <c r="C2" s="167"/>
      <c r="D2" s="167"/>
      <c r="E2" s="167"/>
      <c r="F2" s="167"/>
      <c r="G2" s="167"/>
      <c r="H2" s="167"/>
      <c r="I2" s="167"/>
      <c r="J2" s="167"/>
      <c r="K2" s="167"/>
      <c r="L2" s="167"/>
      <c r="M2" s="167"/>
    </row>
    <row r="4" spans="1:13" ht="17.5" customHeight="1" x14ac:dyDescent="0.15">
      <c r="B4" s="24"/>
      <c r="C4" s="24"/>
      <c r="D4" s="25" t="s">
        <v>32</v>
      </c>
      <c r="E4" s="24"/>
      <c r="F4" s="24"/>
      <c r="G4" s="26" t="s">
        <v>59</v>
      </c>
      <c r="H4" s="26"/>
      <c r="I4" s="26"/>
      <c r="J4" s="24"/>
      <c r="K4" s="26" t="s">
        <v>4</v>
      </c>
      <c r="L4" s="26"/>
      <c r="M4" s="26"/>
    </row>
    <row r="5" spans="1:13" x14ac:dyDescent="0.15">
      <c r="B5" s="27" t="s">
        <v>1</v>
      </c>
      <c r="C5" s="27" t="s">
        <v>2</v>
      </c>
      <c r="D5" s="28" t="s">
        <v>33</v>
      </c>
      <c r="E5" s="28"/>
      <c r="F5" s="27" t="s">
        <v>3</v>
      </c>
      <c r="G5" s="28" t="s">
        <v>23</v>
      </c>
      <c r="H5" s="28" t="s">
        <v>24</v>
      </c>
      <c r="I5" s="28" t="s">
        <v>25</v>
      </c>
      <c r="J5" s="27"/>
      <c r="K5" s="28" t="s">
        <v>5</v>
      </c>
      <c r="L5" s="28" t="s">
        <v>6</v>
      </c>
      <c r="M5" s="28" t="s">
        <v>7</v>
      </c>
    </row>
    <row r="6" spans="1:13" ht="18" customHeight="1" x14ac:dyDescent="0.15">
      <c r="B6" s="51">
        <v>42759</v>
      </c>
      <c r="C6" s="37" t="s">
        <v>40</v>
      </c>
      <c r="D6" s="52">
        <v>2350</v>
      </c>
      <c r="E6" s="5"/>
      <c r="F6" s="4" t="s">
        <v>38</v>
      </c>
      <c r="G6" s="53">
        <v>1236.8421052631579</v>
      </c>
      <c r="H6" s="53"/>
      <c r="I6" s="53"/>
      <c r="J6" s="4"/>
      <c r="K6" s="54">
        <f>IFERROR($D6/G6,"na")</f>
        <v>1.9</v>
      </c>
      <c r="L6" s="54" t="str">
        <f t="shared" ref="L6:M11" si="0">IFERROR($D6/H6,"na")</f>
        <v>na</v>
      </c>
      <c r="M6" s="54" t="str">
        <f t="shared" si="0"/>
        <v>na</v>
      </c>
    </row>
    <row r="7" spans="1:13" ht="18" customHeight="1" x14ac:dyDescent="0.15">
      <c r="B7" s="51">
        <v>42479</v>
      </c>
      <c r="C7" s="37" t="s">
        <v>41</v>
      </c>
      <c r="D7" s="52">
        <v>6500</v>
      </c>
      <c r="E7" s="5"/>
      <c r="F7" s="37" t="s">
        <v>34</v>
      </c>
      <c r="G7" s="53">
        <v>4642.8571428571431</v>
      </c>
      <c r="H7" s="53">
        <v>808.45771144278615</v>
      </c>
      <c r="I7" s="53">
        <v>514.64766429136978</v>
      </c>
      <c r="J7" s="37"/>
      <c r="K7" s="54">
        <f t="shared" ref="K7:K11" si="1">IFERROR($D7/G7,"na")</f>
        <v>1.4</v>
      </c>
      <c r="L7" s="54">
        <f t="shared" si="0"/>
        <v>8.0399999999999991</v>
      </c>
      <c r="M7" s="54">
        <f t="shared" si="0"/>
        <v>12.629999999999999</v>
      </c>
    </row>
    <row r="8" spans="1:13" ht="18" customHeight="1" x14ac:dyDescent="0.15">
      <c r="B8" s="51">
        <v>41748</v>
      </c>
      <c r="C8" s="37" t="s">
        <v>42</v>
      </c>
      <c r="D8" s="52">
        <v>2150</v>
      </c>
      <c r="E8" s="5"/>
      <c r="F8" s="37" t="s">
        <v>39</v>
      </c>
      <c r="G8" s="53">
        <v>1692.9133858267717</v>
      </c>
      <c r="H8" s="53">
        <v>248.55491329479767</v>
      </c>
      <c r="I8" s="53">
        <v>177.98013245033113</v>
      </c>
      <c r="J8" s="37"/>
      <c r="K8" s="54">
        <f t="shared" si="1"/>
        <v>1.27</v>
      </c>
      <c r="L8" s="54">
        <f t="shared" si="0"/>
        <v>8.65</v>
      </c>
      <c r="M8" s="54">
        <f t="shared" si="0"/>
        <v>12.08</v>
      </c>
    </row>
    <row r="9" spans="1:13" ht="18" customHeight="1" x14ac:dyDescent="0.15">
      <c r="B9" s="51">
        <v>41950</v>
      </c>
      <c r="C9" s="37" t="s">
        <v>43</v>
      </c>
      <c r="D9" s="52">
        <v>450</v>
      </c>
      <c r="E9" s="5"/>
      <c r="F9" s="37" t="s">
        <v>36</v>
      </c>
      <c r="G9" s="53">
        <v>196.50655021834061</v>
      </c>
      <c r="H9" s="53"/>
      <c r="I9" s="53"/>
      <c r="J9" s="37"/>
      <c r="K9" s="54">
        <f t="shared" si="1"/>
        <v>2.29</v>
      </c>
      <c r="L9" s="54" t="str">
        <f t="shared" si="0"/>
        <v>na</v>
      </c>
      <c r="M9" s="54" t="str">
        <f t="shared" si="0"/>
        <v>na</v>
      </c>
    </row>
    <row r="10" spans="1:13" ht="18" customHeight="1" x14ac:dyDescent="0.15">
      <c r="B10" s="51">
        <v>41214</v>
      </c>
      <c r="C10" s="37" t="s">
        <v>44</v>
      </c>
      <c r="D10" s="52">
        <v>325</v>
      </c>
      <c r="E10" s="5"/>
      <c r="F10" s="37" t="s">
        <v>37</v>
      </c>
      <c r="G10" s="53">
        <v>63.850687622789785</v>
      </c>
      <c r="H10" s="53">
        <v>17.333333333333332</v>
      </c>
      <c r="I10" s="53">
        <v>15.095215977705527</v>
      </c>
      <c r="J10" s="37"/>
      <c r="K10" s="54">
        <f t="shared" si="1"/>
        <v>5.09</v>
      </c>
      <c r="L10" s="54">
        <f t="shared" si="0"/>
        <v>18.75</v>
      </c>
      <c r="M10" s="54">
        <f t="shared" si="0"/>
        <v>21.53</v>
      </c>
    </row>
    <row r="11" spans="1:13" ht="18" customHeight="1" x14ac:dyDescent="0.15">
      <c r="B11" s="51">
        <v>40823</v>
      </c>
      <c r="C11" s="4" t="s">
        <v>45</v>
      </c>
      <c r="D11" s="52">
        <v>150</v>
      </c>
      <c r="E11" s="5"/>
      <c r="F11" s="37" t="s">
        <v>35</v>
      </c>
      <c r="G11" s="53">
        <v>71.428571428571431</v>
      </c>
      <c r="H11" s="53">
        <v>16.129032258064516</v>
      </c>
      <c r="I11" s="53"/>
      <c r="J11" s="37"/>
      <c r="K11" s="54">
        <f t="shared" si="1"/>
        <v>2.1</v>
      </c>
      <c r="L11" s="54">
        <f t="shared" si="0"/>
        <v>9.3000000000000007</v>
      </c>
      <c r="M11" s="54" t="str">
        <f t="shared" si="0"/>
        <v>na</v>
      </c>
    </row>
    <row r="12" spans="1:13" ht="18" customHeight="1" x14ac:dyDescent="0.15">
      <c r="B12" s="6"/>
      <c r="C12" s="6"/>
      <c r="D12" s="6"/>
      <c r="E12" s="6"/>
      <c r="F12" s="6"/>
      <c r="G12" s="6"/>
      <c r="H12" s="6"/>
      <c r="I12" s="6"/>
      <c r="J12" s="6"/>
      <c r="K12" s="6"/>
      <c r="L12" s="6"/>
      <c r="M12" s="6"/>
    </row>
    <row r="13" spans="1:13" ht="18" customHeight="1" x14ac:dyDescent="0.15">
      <c r="B13" s="29" t="s">
        <v>8</v>
      </c>
      <c r="C13" s="29"/>
      <c r="D13" s="29"/>
      <c r="E13" s="29"/>
      <c r="F13" s="29"/>
      <c r="G13" s="29"/>
      <c r="H13" s="29"/>
      <c r="I13" s="29"/>
      <c r="J13" s="29"/>
      <c r="K13" s="30">
        <f>AVERAGE(K6:K11)</f>
        <v>2.3416666666666663</v>
      </c>
      <c r="L13" s="30">
        <f t="shared" ref="L13:M13" si="2">AVERAGE(L6:L11)</f>
        <v>11.184999999999999</v>
      </c>
      <c r="M13" s="30">
        <f t="shared" si="2"/>
        <v>15.413333333333334</v>
      </c>
    </row>
    <row r="14" spans="1:13" ht="18" customHeight="1" x14ac:dyDescent="0.15">
      <c r="B14" s="29" t="s">
        <v>9</v>
      </c>
      <c r="C14" s="29"/>
      <c r="D14" s="29"/>
      <c r="E14" s="29"/>
      <c r="F14" s="29"/>
      <c r="G14" s="29"/>
      <c r="H14" s="29"/>
      <c r="I14" s="29"/>
      <c r="J14" s="29"/>
      <c r="K14" s="30">
        <f>MEDIAN(K6:K11)</f>
        <v>2</v>
      </c>
      <c r="L14" s="30">
        <f t="shared" ref="L14:M14" si="3">MEDIAN(L6:L11)</f>
        <v>8.9750000000000014</v>
      </c>
      <c r="M14" s="30">
        <f t="shared" si="3"/>
        <v>12.629999999999999</v>
      </c>
    </row>
    <row r="15" spans="1:13" ht="15.5" customHeight="1" x14ac:dyDescent="0.15">
      <c r="B15" s="6"/>
      <c r="C15" s="6"/>
      <c r="D15" s="6"/>
      <c r="E15" s="6"/>
      <c r="F15" s="6"/>
      <c r="G15" s="6"/>
      <c r="H15" s="6"/>
      <c r="I15" s="6"/>
      <c r="J15" s="6"/>
      <c r="K15" s="6"/>
      <c r="L15" s="6"/>
      <c r="M15" s="6"/>
    </row>
    <row r="16" spans="1:13" ht="15.5" customHeight="1" x14ac:dyDescent="0.15">
      <c r="B16" s="36"/>
      <c r="C16" s="45"/>
      <c r="D16" s="47"/>
      <c r="E16" s="40"/>
      <c r="F16" s="41"/>
      <c r="G16" s="53"/>
      <c r="H16" s="53"/>
      <c r="I16" s="53"/>
      <c r="J16" s="41"/>
      <c r="K16" s="41"/>
      <c r="L16" s="6"/>
      <c r="M16" s="6"/>
    </row>
    <row r="17" spans="2:13" ht="15.5" customHeight="1" x14ac:dyDescent="0.15">
      <c r="B17" s="6"/>
      <c r="C17" s="6"/>
      <c r="D17" s="6"/>
      <c r="E17" s="6"/>
      <c r="F17" s="6"/>
      <c r="G17" s="6"/>
      <c r="H17" s="6"/>
      <c r="I17" s="6"/>
      <c r="J17" s="6"/>
      <c r="K17" s="6"/>
      <c r="L17" s="6"/>
      <c r="M17" s="6"/>
    </row>
    <row r="18" spans="2:13" ht="15.5" customHeight="1" x14ac:dyDescent="0.15">
      <c r="B18" s="6"/>
      <c r="C18" s="37"/>
      <c r="D18" s="6"/>
      <c r="E18" s="6"/>
      <c r="F18" s="6"/>
      <c r="G18" s="6"/>
      <c r="H18" s="6"/>
      <c r="I18" s="6"/>
      <c r="J18" s="6"/>
      <c r="K18" s="6"/>
      <c r="L18" s="6"/>
      <c r="M18" s="6"/>
    </row>
    <row r="19" spans="2:13" ht="15.5" customHeight="1" x14ac:dyDescent="0.15">
      <c r="B19" s="6"/>
      <c r="C19" s="37"/>
      <c r="D19" s="6"/>
      <c r="E19" s="6"/>
      <c r="F19" s="6"/>
      <c r="G19" s="6"/>
      <c r="H19" s="6"/>
      <c r="I19" s="6"/>
      <c r="J19" s="6"/>
      <c r="K19" s="6"/>
      <c r="L19" s="6"/>
      <c r="M19" s="6"/>
    </row>
    <row r="20" spans="2:13" ht="15.5" customHeight="1" x14ac:dyDescent="0.15">
      <c r="C20" s="37"/>
    </row>
    <row r="21" spans="2:13" ht="15.5" customHeight="1" x14ac:dyDescent="0.15">
      <c r="C21" s="37"/>
    </row>
    <row r="22" spans="2:13" x14ac:dyDescent="0.15">
      <c r="C22" s="37"/>
    </row>
  </sheetData>
  <pageMargins left="0.2" right="0.2" top="0.5" bottom="0.5" header="0.5" footer="0.5"/>
  <pageSetup scale="94" fitToWidth="0" fitToHeight="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9"/>
  <sheetViews>
    <sheetView showGridLines="0" topLeftCell="A53" zoomScale="88" workbookViewId="0">
      <selection activeCell="B90" sqref="B90"/>
    </sheetView>
  </sheetViews>
  <sheetFormatPr baseColWidth="10" defaultRowHeight="16" x14ac:dyDescent="0.2"/>
  <cols>
    <col min="1" max="1" width="16.6640625" style="324" customWidth="1"/>
    <col min="2" max="4" width="47.5" style="324" customWidth="1"/>
    <col min="5" max="14" width="20.83203125" style="324" customWidth="1"/>
    <col min="15" max="15" width="17" style="324" bestFit="1" customWidth="1"/>
    <col min="16" max="16" width="46.5" style="324" customWidth="1"/>
    <col min="17" max="17" width="21.1640625" style="324" bestFit="1" customWidth="1"/>
    <col min="18" max="18" width="14.83203125" style="324" bestFit="1" customWidth="1"/>
    <col min="19" max="19" width="18.6640625" style="324" bestFit="1" customWidth="1"/>
    <col min="20" max="20" width="16" style="324" customWidth="1"/>
    <col min="21" max="21" width="14.83203125" style="324" customWidth="1"/>
    <col min="22" max="16384" width="10.83203125" style="324"/>
  </cols>
  <sheetData>
    <row r="1" spans="1:14" x14ac:dyDescent="0.2">
      <c r="A1" s="378" t="s">
        <v>390</v>
      </c>
      <c r="B1" s="331"/>
      <c r="C1" s="331"/>
      <c r="D1" s="331"/>
      <c r="E1" s="357">
        <v>2014</v>
      </c>
      <c r="F1" s="357">
        <f>E1+1</f>
        <v>2015</v>
      </c>
      <c r="G1" s="357">
        <f t="shared" ref="G1:N1" si="0">F1+1</f>
        <v>2016</v>
      </c>
      <c r="H1" s="357">
        <f t="shared" si="0"/>
        <v>2017</v>
      </c>
      <c r="I1" s="357">
        <f t="shared" si="0"/>
        <v>2018</v>
      </c>
      <c r="J1" s="357">
        <f t="shared" si="0"/>
        <v>2019</v>
      </c>
      <c r="K1" s="357">
        <f t="shared" si="0"/>
        <v>2020</v>
      </c>
      <c r="L1" s="357">
        <f t="shared" si="0"/>
        <v>2021</v>
      </c>
      <c r="M1" s="357">
        <f t="shared" si="0"/>
        <v>2022</v>
      </c>
      <c r="N1" s="357">
        <f t="shared" si="0"/>
        <v>2023</v>
      </c>
    </row>
    <row r="2" spans="1:14" ht="16" customHeight="1" x14ac:dyDescent="0.2">
      <c r="A2" s="387" t="s">
        <v>402</v>
      </c>
      <c r="B2" s="324" t="s">
        <v>387</v>
      </c>
      <c r="I2" s="360">
        <f>I13/H13-1</f>
        <v>3.8905398175756778E-2</v>
      </c>
      <c r="J2" s="400">
        <v>2.5000000000000001E-2</v>
      </c>
      <c r="K2" s="353">
        <v>2.5000000000000001E-2</v>
      </c>
      <c r="L2" s="353">
        <v>2.5000000000000001E-2</v>
      </c>
      <c r="M2" s="353">
        <v>2.5000000000000001E-2</v>
      </c>
      <c r="N2" s="353">
        <v>2.5000000000000001E-2</v>
      </c>
    </row>
    <row r="3" spans="1:14" ht="16" customHeight="1" x14ac:dyDescent="0.2">
      <c r="A3" s="387"/>
      <c r="B3" s="324" t="s">
        <v>392</v>
      </c>
      <c r="I3" s="360">
        <f>I14/H14-1</f>
        <v>0</v>
      </c>
      <c r="J3" s="400">
        <v>4.4999999999999998E-2</v>
      </c>
      <c r="K3" s="353">
        <v>4.4999999999999998E-2</v>
      </c>
      <c r="L3" s="353">
        <v>4.4999999999999998E-2</v>
      </c>
      <c r="M3" s="353">
        <v>4.4999999999999998E-2</v>
      </c>
      <c r="N3" s="353">
        <v>4.4999999999999998E-2</v>
      </c>
    </row>
    <row r="4" spans="1:14" ht="16" customHeight="1" x14ac:dyDescent="0.2">
      <c r="A4" s="387"/>
      <c r="B4" s="324" t="s">
        <v>393</v>
      </c>
      <c r="I4" s="360">
        <f>I15/H15-1</f>
        <v>-3.8910505836574627E-3</v>
      </c>
      <c r="J4" s="400">
        <f>I4</f>
        <v>-3.8910505836574627E-3</v>
      </c>
      <c r="K4" s="353">
        <f t="shared" ref="K4:N4" si="1">J4</f>
        <v>-3.8910505836574627E-3</v>
      </c>
      <c r="L4" s="353">
        <f t="shared" si="1"/>
        <v>-3.8910505836574627E-3</v>
      </c>
      <c r="M4" s="353">
        <f t="shared" si="1"/>
        <v>-3.8910505836574627E-3</v>
      </c>
      <c r="N4" s="353">
        <f t="shared" si="1"/>
        <v>-3.8910505836574627E-3</v>
      </c>
    </row>
    <row r="5" spans="1:14" x14ac:dyDescent="0.2">
      <c r="A5" s="387"/>
      <c r="B5" s="324" t="s">
        <v>388</v>
      </c>
      <c r="G5" s="343">
        <f>I22/H22-1</f>
        <v>0.1055276381909549</v>
      </c>
      <c r="I5" s="360">
        <f>I20/H20-1</f>
        <v>1.8213356461405095E-2</v>
      </c>
      <c r="J5" s="353">
        <f>J20/I20-1</f>
        <v>-1.4840483196531085E-2</v>
      </c>
      <c r="K5" s="353">
        <f t="shared" ref="K5:N5" si="2">J5</f>
        <v>-1.4840483196531085E-2</v>
      </c>
      <c r="L5" s="353">
        <f t="shared" si="2"/>
        <v>-1.4840483196531085E-2</v>
      </c>
      <c r="M5" s="353">
        <f t="shared" si="2"/>
        <v>-1.4840483196531085E-2</v>
      </c>
      <c r="N5" s="353">
        <f t="shared" si="2"/>
        <v>-1.4840483196531085E-2</v>
      </c>
    </row>
    <row r="6" spans="1:14" x14ac:dyDescent="0.2">
      <c r="A6" s="387"/>
      <c r="B6" s="324" t="s">
        <v>401</v>
      </c>
      <c r="F6" s="351"/>
      <c r="I6" s="360">
        <f>I21/H21-1</f>
        <v>-3.3783783783785104E-3</v>
      </c>
      <c r="J6" s="400">
        <v>0.01</v>
      </c>
      <c r="K6" s="353">
        <f t="shared" ref="K6:N6" si="3">J6</f>
        <v>0.01</v>
      </c>
      <c r="L6" s="353">
        <f t="shared" si="3"/>
        <v>0.01</v>
      </c>
      <c r="M6" s="353">
        <f t="shared" si="3"/>
        <v>0.01</v>
      </c>
      <c r="N6" s="353">
        <f t="shared" si="3"/>
        <v>0.01</v>
      </c>
    </row>
    <row r="7" spans="1:14" x14ac:dyDescent="0.2">
      <c r="A7" s="387"/>
      <c r="B7" s="324" t="s">
        <v>389</v>
      </c>
      <c r="I7" s="397">
        <f>I22/H22-1</f>
        <v>0.1055276381909549</v>
      </c>
      <c r="J7" s="397">
        <f>J22/I22-1</f>
        <v>-6.8181818181818343E-2</v>
      </c>
      <c r="K7" s="397">
        <f t="shared" ref="K7:N7" si="4">K22/J22-1</f>
        <v>0</v>
      </c>
      <c r="L7" s="397">
        <f t="shared" si="4"/>
        <v>0</v>
      </c>
      <c r="M7" s="397">
        <f t="shared" si="4"/>
        <v>0</v>
      </c>
      <c r="N7" s="397">
        <f t="shared" si="4"/>
        <v>0</v>
      </c>
    </row>
    <row r="8" spans="1:14" x14ac:dyDescent="0.2">
      <c r="A8" s="387"/>
      <c r="H8" s="380"/>
      <c r="I8" s="397"/>
      <c r="J8" s="342"/>
      <c r="K8" s="342"/>
      <c r="L8" s="342"/>
      <c r="M8" s="342"/>
      <c r="N8" s="342"/>
    </row>
    <row r="9" spans="1:14" x14ac:dyDescent="0.2">
      <c r="A9" s="387"/>
      <c r="I9" s="397"/>
      <c r="J9" s="397"/>
      <c r="K9" s="397"/>
      <c r="L9" s="397"/>
      <c r="M9" s="397"/>
      <c r="N9" s="397"/>
    </row>
    <row r="10" spans="1:14" x14ac:dyDescent="0.2">
      <c r="A10" s="387"/>
      <c r="I10" s="397"/>
      <c r="J10" s="397"/>
      <c r="K10" s="397"/>
      <c r="L10" s="397"/>
      <c r="M10" s="397"/>
      <c r="N10" s="397"/>
    </row>
    <row r="11" spans="1:14" x14ac:dyDescent="0.2">
      <c r="A11" s="387"/>
      <c r="I11" s="397"/>
      <c r="J11" s="397"/>
      <c r="K11" s="397"/>
      <c r="L11" s="397"/>
      <c r="M11" s="397"/>
      <c r="N11" s="397"/>
    </row>
    <row r="12" spans="1:14" x14ac:dyDescent="0.2">
      <c r="A12" s="388"/>
      <c r="B12" s="331"/>
      <c r="C12" s="331"/>
      <c r="D12" s="331"/>
      <c r="E12" s="331"/>
      <c r="F12" s="331"/>
      <c r="G12" s="331"/>
      <c r="H12" s="384"/>
      <c r="I12" s="398"/>
      <c r="J12" s="398"/>
      <c r="K12" s="398"/>
      <c r="L12" s="398"/>
      <c r="M12" s="398"/>
      <c r="N12" s="398"/>
    </row>
    <row r="13" spans="1:14" x14ac:dyDescent="0.2">
      <c r="B13" s="76" t="s">
        <v>387</v>
      </c>
      <c r="C13" s="76"/>
      <c r="D13" s="76"/>
      <c r="H13" s="326">
        <v>153811072</v>
      </c>
      <c r="I13" s="327">
        <v>159795153</v>
      </c>
      <c r="J13" s="354">
        <f>I13*(1+J2)</f>
        <v>163790031.82499999</v>
      </c>
      <c r="K13" s="354">
        <f>J13*(1+K2)</f>
        <v>167884782.62062496</v>
      </c>
      <c r="L13" s="354">
        <f>K13*(1+L2)</f>
        <v>172081902.18614057</v>
      </c>
      <c r="M13" s="354">
        <f>L13*(1+M2)</f>
        <v>176383949.74079406</v>
      </c>
      <c r="N13" s="354">
        <f>M13*(1+N2)</f>
        <v>180793548.48431391</v>
      </c>
    </row>
    <row r="14" spans="1:14" x14ac:dyDescent="0.2">
      <c r="B14" s="324" t="s">
        <v>392</v>
      </c>
      <c r="H14" s="324">
        <f>H71</f>
        <v>13.75</v>
      </c>
      <c r="I14" s="324">
        <f>I71</f>
        <v>13.75</v>
      </c>
      <c r="J14" s="340">
        <f>I14*(1+J3)</f>
        <v>14.368749999999999</v>
      </c>
      <c r="K14" s="340">
        <f>J14*(1+K3)</f>
        <v>15.015343749999998</v>
      </c>
      <c r="L14" s="340">
        <f>K14*(1+L3)</f>
        <v>15.691034218749996</v>
      </c>
      <c r="M14" s="340">
        <f>L14*(1+M3)</f>
        <v>16.397130758593743</v>
      </c>
      <c r="N14" s="340">
        <f>M14*(1+N3)</f>
        <v>17.135001642730462</v>
      </c>
    </row>
    <row r="15" spans="1:14" x14ac:dyDescent="0.2">
      <c r="B15" s="76" t="s">
        <v>393</v>
      </c>
      <c r="C15" s="76"/>
      <c r="D15" s="76"/>
      <c r="H15" s="324">
        <f>H72</f>
        <v>12.85</v>
      </c>
      <c r="I15" s="324">
        <f>I72</f>
        <v>12.8</v>
      </c>
      <c r="J15" s="340">
        <f>I15*(1+J4)</f>
        <v>12.750194552529186</v>
      </c>
      <c r="K15" s="340">
        <f t="shared" ref="K15:N15" si="5">J15*(1+K4)</f>
        <v>12.700582900573821</v>
      </c>
      <c r="L15" s="340">
        <f t="shared" si="5"/>
        <v>12.651164290065752</v>
      </c>
      <c r="M15" s="340">
        <f t="shared" si="5"/>
        <v>12.601937969870946</v>
      </c>
      <c r="N15" s="340">
        <f t="shared" si="5"/>
        <v>12.552903191778064</v>
      </c>
    </row>
    <row r="16" spans="1:14" x14ac:dyDescent="0.2">
      <c r="B16" s="76" t="s">
        <v>272</v>
      </c>
      <c r="C16" s="76"/>
      <c r="D16" s="76"/>
      <c r="H16" s="360">
        <v>8.4282123318054122E-3</v>
      </c>
      <c r="I16" s="390">
        <v>8.1812163056842902E-3</v>
      </c>
      <c r="J16" s="340"/>
      <c r="K16" s="340"/>
      <c r="L16" s="340"/>
      <c r="M16" s="340"/>
      <c r="N16" s="340"/>
    </row>
    <row r="17" spans="2:14" x14ac:dyDescent="0.2">
      <c r="B17" s="76" t="s">
        <v>273</v>
      </c>
      <c r="C17" s="76"/>
      <c r="D17" s="76"/>
      <c r="H17" s="360">
        <v>0.93981960668342457</v>
      </c>
      <c r="I17" s="390">
        <v>0.93459755982218862</v>
      </c>
      <c r="J17" s="340"/>
      <c r="K17" s="340"/>
      <c r="L17" s="340"/>
      <c r="M17" s="340"/>
      <c r="N17" s="340"/>
    </row>
    <row r="18" spans="2:14" x14ac:dyDescent="0.2">
      <c r="B18" s="76" t="s">
        <v>274</v>
      </c>
      <c r="C18" s="76"/>
      <c r="D18" s="76"/>
      <c r="H18" s="360">
        <v>0</v>
      </c>
      <c r="I18" s="390">
        <v>0</v>
      </c>
      <c r="J18" s="340"/>
      <c r="K18" s="340"/>
      <c r="L18" s="340"/>
      <c r="M18" s="340"/>
      <c r="N18" s="340"/>
    </row>
    <row r="19" spans="2:14" s="331" customFormat="1" x14ac:dyDescent="0.2">
      <c r="B19" s="93" t="s">
        <v>275</v>
      </c>
      <c r="C19" s="93"/>
      <c r="D19" s="93"/>
      <c r="H19" s="385">
        <v>5.1752180984770073E-2</v>
      </c>
      <c r="I19" s="399">
        <v>5.7221223872127115E-2</v>
      </c>
      <c r="J19" s="375"/>
      <c r="K19" s="375"/>
      <c r="L19" s="375"/>
      <c r="M19" s="375"/>
      <c r="N19" s="375"/>
    </row>
    <row r="20" spans="2:14" x14ac:dyDescent="0.2">
      <c r="B20" s="76" t="s">
        <v>388</v>
      </c>
      <c r="C20" s="76"/>
      <c r="D20" s="76"/>
      <c r="H20" s="351">
        <f>H73</f>
        <v>11.53</v>
      </c>
      <c r="I20" s="351">
        <f>I73</f>
        <v>11.74</v>
      </c>
      <c r="J20" s="340">
        <f>J46/J13*100000</f>
        <v>11.565772727272725</v>
      </c>
      <c r="K20" s="340">
        <f t="shared" ref="K20:N20" si="6">J20*(1+K5)</f>
        <v>11.394131071458736</v>
      </c>
      <c r="L20" s="340">
        <f t="shared" si="6"/>
        <v>11.225036660753679</v>
      </c>
      <c r="M20" s="340">
        <f t="shared" si="6"/>
        <v>11.058451692809319</v>
      </c>
      <c r="N20" s="340">
        <f t="shared" si="6"/>
        <v>10.894338926282531</v>
      </c>
    </row>
    <row r="21" spans="2:14" x14ac:dyDescent="0.2">
      <c r="B21" s="76" t="s">
        <v>401</v>
      </c>
      <c r="C21" s="76"/>
      <c r="D21" s="76"/>
      <c r="E21" s="359"/>
      <c r="F21" s="359"/>
      <c r="G21" s="359"/>
      <c r="H21" s="324">
        <v>8.8800000000000008</v>
      </c>
      <c r="I21" s="381">
        <v>8.85</v>
      </c>
      <c r="J21" s="340">
        <f>I21*(1+J6)</f>
        <v>8.9384999999999994</v>
      </c>
      <c r="K21" s="340">
        <f t="shared" ref="K21:N21" si="7">J21*(1+K6)</f>
        <v>9.0278849999999995</v>
      </c>
      <c r="L21" s="340">
        <f t="shared" si="7"/>
        <v>9.1181638500000002</v>
      </c>
      <c r="M21" s="340">
        <f t="shared" si="7"/>
        <v>9.2093454885000003</v>
      </c>
      <c r="N21" s="340">
        <f t="shared" si="7"/>
        <v>9.3014389433849995</v>
      </c>
    </row>
    <row r="22" spans="2:14" x14ac:dyDescent="0.2">
      <c r="B22" s="76" t="s">
        <v>389</v>
      </c>
      <c r="C22" s="76"/>
      <c r="D22" s="76"/>
      <c r="H22" s="324">
        <v>1.99</v>
      </c>
      <c r="I22" s="328">
        <v>2.2000000000000002</v>
      </c>
      <c r="J22" s="324">
        <v>2.0499999999999998</v>
      </c>
      <c r="K22" s="324">
        <v>2.0499999999999998</v>
      </c>
      <c r="L22" s="324">
        <v>2.0499999999999998</v>
      </c>
      <c r="M22" s="324">
        <v>2.0499999999999998</v>
      </c>
      <c r="N22" s="324">
        <v>2.0499999999999998</v>
      </c>
    </row>
    <row r="23" spans="2:14" x14ac:dyDescent="0.2">
      <c r="B23" s="76" t="s">
        <v>403</v>
      </c>
      <c r="C23" s="76"/>
      <c r="D23" s="76"/>
      <c r="H23" s="324">
        <v>2045</v>
      </c>
      <c r="I23" s="328">
        <v>2094</v>
      </c>
      <c r="J23" s="347">
        <f>J24/J22</f>
        <v>2099.1272371363634</v>
      </c>
      <c r="K23" s="347">
        <f t="shared" ref="K23:N23" si="8">K24/K22</f>
        <v>2099.1272371363634</v>
      </c>
      <c r="L23" s="347">
        <f t="shared" si="8"/>
        <v>2099.1272371363634</v>
      </c>
      <c r="M23" s="347">
        <f t="shared" si="8"/>
        <v>2099.1272371363634</v>
      </c>
      <c r="N23" s="347">
        <f t="shared" si="8"/>
        <v>2099.1272371363634</v>
      </c>
    </row>
    <row r="24" spans="2:14" x14ac:dyDescent="0.2">
      <c r="B24" s="76" t="s">
        <v>397</v>
      </c>
      <c r="C24" s="76"/>
      <c r="D24" s="76"/>
      <c r="H24" s="326">
        <f>H22*H23</f>
        <v>4069.55</v>
      </c>
      <c r="I24" s="326">
        <f>I22*I23</f>
        <v>4606.8</v>
      </c>
      <c r="J24" s="354">
        <f>J45</f>
        <v>4303.210836129545</v>
      </c>
      <c r="K24" s="354">
        <f>J24*(1+K11)</f>
        <v>4303.210836129545</v>
      </c>
      <c r="L24" s="354">
        <f>K24*(1+L11)</f>
        <v>4303.210836129545</v>
      </c>
      <c r="M24" s="354">
        <f>L24*(1+M11)</f>
        <v>4303.210836129545</v>
      </c>
      <c r="N24" s="354">
        <f>M24*(1+N11)</f>
        <v>4303.210836129545</v>
      </c>
    </row>
    <row r="26" spans="2:14" x14ac:dyDescent="0.2">
      <c r="I26" s="326"/>
    </row>
    <row r="27" spans="2:14" x14ac:dyDescent="0.2">
      <c r="B27" s="324" t="s">
        <v>404</v>
      </c>
    </row>
    <row r="28" spans="2:14" x14ac:dyDescent="0.2">
      <c r="H28" s="347"/>
      <c r="I28" s="347"/>
      <c r="J28" s="347"/>
      <c r="K28" s="347"/>
      <c r="L28" s="347"/>
      <c r="M28" s="347"/>
      <c r="N28" s="347"/>
    </row>
    <row r="30" spans="2:14" x14ac:dyDescent="0.2">
      <c r="H30" s="367"/>
      <c r="I30" s="367"/>
      <c r="J30" s="354"/>
      <c r="K30" s="354"/>
      <c r="L30" s="354"/>
      <c r="M30" s="354"/>
      <c r="N30" s="354"/>
    </row>
    <row r="31" spans="2:14" x14ac:dyDescent="0.2">
      <c r="H31" s="364"/>
      <c r="I31" s="364"/>
      <c r="J31" s="364"/>
      <c r="K31" s="364"/>
      <c r="L31" s="364"/>
      <c r="M31" s="364"/>
      <c r="N31" s="364"/>
    </row>
    <row r="32" spans="2:14" x14ac:dyDescent="0.2">
      <c r="B32" s="371"/>
      <c r="C32" s="371"/>
      <c r="D32" s="371"/>
      <c r="E32" s="373"/>
      <c r="F32" s="371"/>
      <c r="G32" s="371"/>
      <c r="H32" s="380"/>
      <c r="I32" s="380"/>
      <c r="J32" s="380"/>
      <c r="K32" s="380"/>
      <c r="L32" s="380"/>
      <c r="M32" s="380"/>
      <c r="N32" s="380"/>
    </row>
    <row r="33" spans="2:14" x14ac:dyDescent="0.2">
      <c r="B33" s="371"/>
      <c r="C33" s="371"/>
      <c r="D33" s="371"/>
      <c r="E33" s="371"/>
      <c r="F33" s="371"/>
      <c r="G33" s="371"/>
      <c r="H33" s="372"/>
      <c r="I33" s="372"/>
      <c r="J33" s="372"/>
      <c r="K33" s="372"/>
      <c r="L33" s="372"/>
      <c r="M33" s="372"/>
      <c r="N33" s="372"/>
    </row>
    <row r="34" spans="2:14" x14ac:dyDescent="0.2">
      <c r="J34" s="360"/>
      <c r="K34" s="360"/>
      <c r="L34" s="360"/>
      <c r="M34" s="360"/>
      <c r="N34" s="360"/>
    </row>
    <row r="35" spans="2:14" x14ac:dyDescent="0.2">
      <c r="J35" s="348"/>
      <c r="K35" s="348"/>
      <c r="L35" s="348"/>
      <c r="M35" s="348"/>
      <c r="N35" s="348"/>
    </row>
    <row r="37" spans="2:14" x14ac:dyDescent="0.2">
      <c r="J37" s="340"/>
      <c r="K37" s="340"/>
      <c r="L37" s="340"/>
      <c r="M37" s="340"/>
      <c r="N37" s="340"/>
    </row>
    <row r="39" spans="2:14" x14ac:dyDescent="0.2">
      <c r="B39" s="342" t="s">
        <v>391</v>
      </c>
      <c r="C39" s="342"/>
      <c r="D39" s="342"/>
      <c r="E39" s="342"/>
      <c r="F39" s="342"/>
      <c r="G39" s="342"/>
      <c r="H39" s="342"/>
      <c r="I39" s="346">
        <v>2045377958.4000001</v>
      </c>
      <c r="J39" s="346">
        <f>J15*J13/100000</f>
        <v>20883.547715336968</v>
      </c>
      <c r="K39" s="346">
        <f>K15*K13/100000</f>
        <v>21322.345994180621</v>
      </c>
      <c r="L39" s="346">
        <f>L15*L13/100000</f>
        <v>21770.364159038891</v>
      </c>
      <c r="M39" s="346">
        <f>M15*M13/100000</f>
        <v>22227.795935143215</v>
      </c>
      <c r="N39" s="346">
        <f>N15*N13/100000</f>
        <v>22694.839118216263</v>
      </c>
    </row>
    <row r="40" spans="2:14" x14ac:dyDescent="0.2">
      <c r="B40" s="342" t="s">
        <v>272</v>
      </c>
      <c r="C40" s="342"/>
      <c r="D40" s="342"/>
      <c r="E40" s="342"/>
      <c r="F40" s="342"/>
      <c r="G40" s="342"/>
      <c r="H40" s="342"/>
      <c r="I40" s="342"/>
      <c r="J40" s="346"/>
      <c r="K40" s="346"/>
      <c r="L40" s="346"/>
      <c r="M40" s="346"/>
      <c r="N40" s="346"/>
    </row>
    <row r="41" spans="2:14" x14ac:dyDescent="0.2">
      <c r="B41" s="342" t="s">
        <v>274</v>
      </c>
      <c r="C41" s="342"/>
      <c r="D41" s="342"/>
      <c r="E41" s="342"/>
      <c r="F41" s="342"/>
      <c r="G41" s="342"/>
      <c r="H41" s="342"/>
      <c r="I41" s="342"/>
      <c r="J41" s="345"/>
      <c r="K41" s="345"/>
      <c r="L41" s="345"/>
      <c r="M41" s="345"/>
      <c r="N41" s="345"/>
    </row>
    <row r="42" spans="2:14" x14ac:dyDescent="0.2">
      <c r="B42" s="342" t="s">
        <v>275</v>
      </c>
      <c r="C42" s="342"/>
      <c r="D42" s="342"/>
      <c r="E42" s="342"/>
      <c r="F42" s="342"/>
      <c r="G42" s="342"/>
      <c r="H42" s="342"/>
      <c r="I42" s="342"/>
      <c r="J42" s="346"/>
      <c r="K42" s="346"/>
      <c r="L42" s="346"/>
      <c r="M42" s="346"/>
      <c r="N42" s="346"/>
    </row>
    <row r="43" spans="2:14" x14ac:dyDescent="0.2">
      <c r="B43" s="376" t="s">
        <v>400</v>
      </c>
      <c r="C43" s="376"/>
      <c r="D43" s="376"/>
      <c r="E43" s="376"/>
      <c r="F43" s="376"/>
      <c r="G43" s="376"/>
      <c r="H43" s="376"/>
      <c r="I43" s="377">
        <f>I13*I14/100000</f>
        <v>21971.833537499999</v>
      </c>
      <c r="J43" s="377">
        <f>J13*J14/100000</f>
        <v>23534.580197854684</v>
      </c>
      <c r="K43" s="377">
        <f>K13*K14/100000</f>
        <v>25208.477214427094</v>
      </c>
      <c r="L43" s="377">
        <f>L13*L14/100000</f>
        <v>27001.430156303217</v>
      </c>
      <c r="M43" s="377">
        <f>M13*M14/100000</f>
        <v>28921.906876170273</v>
      </c>
      <c r="N43" s="377">
        <f>N13*N14/100000</f>
        <v>30978.977502737878</v>
      </c>
    </row>
    <row r="44" spans="2:14" x14ac:dyDescent="0.2">
      <c r="B44" s="359" t="s">
        <v>396</v>
      </c>
      <c r="C44" s="359"/>
      <c r="D44" s="359"/>
      <c r="E44" s="359"/>
      <c r="F44" s="359"/>
      <c r="G44" s="359"/>
      <c r="H44" s="359"/>
      <c r="I44" s="369">
        <f>I21*I13/100000</f>
        <v>14141.8710405</v>
      </c>
      <c r="J44" s="369">
        <f>J21*J13/100000</f>
        <v>14640.371994677622</v>
      </c>
      <c r="K44" s="369">
        <f t="shared" ref="K44:N44" si="9">K21*K13/100000</f>
        <v>15156.445107490008</v>
      </c>
      <c r="L44" s="369">
        <f t="shared" si="9"/>
        <v>15690.709797529029</v>
      </c>
      <c r="M44" s="369">
        <f t="shared" si="9"/>
        <v>16243.807317891928</v>
      </c>
      <c r="N44" s="369">
        <f t="shared" si="9"/>
        <v>16816.401525847614</v>
      </c>
    </row>
    <row r="45" spans="2:14" x14ac:dyDescent="0.2">
      <c r="B45" s="324" t="s">
        <v>397</v>
      </c>
      <c r="H45" s="347">
        <f>H33*H22</f>
        <v>0</v>
      </c>
      <c r="I45" s="347">
        <f>I46-I44</f>
        <v>4618.0799217000003</v>
      </c>
      <c r="J45" s="347">
        <f>I45*(1+(J22/I22-1))</f>
        <v>4303.210836129545</v>
      </c>
      <c r="K45" s="347">
        <f t="shared" ref="K45:N45" si="10">J45*(1+(K22/J22-1))</f>
        <v>4303.210836129545</v>
      </c>
      <c r="L45" s="347">
        <f t="shared" si="10"/>
        <v>4303.210836129545</v>
      </c>
      <c r="M45" s="347">
        <f t="shared" si="10"/>
        <v>4303.210836129545</v>
      </c>
      <c r="N45" s="347">
        <f t="shared" si="10"/>
        <v>4303.210836129545</v>
      </c>
    </row>
    <row r="46" spans="2:14" x14ac:dyDescent="0.2">
      <c r="B46" s="359" t="s">
        <v>398</v>
      </c>
      <c r="C46" s="359"/>
      <c r="D46" s="359"/>
      <c r="E46" s="359"/>
      <c r="F46" s="359"/>
      <c r="G46" s="359"/>
      <c r="H46" s="359"/>
      <c r="I46" s="369">
        <f>I20*I13/100000</f>
        <v>18759.950962200001</v>
      </c>
      <c r="J46" s="369">
        <f>SUM(J44:J45)</f>
        <v>18943.582830807165</v>
      </c>
      <c r="K46" s="369">
        <f t="shared" ref="K46:N46" si="11">SUM(K44:K45)</f>
        <v>19459.655943619553</v>
      </c>
      <c r="L46" s="369">
        <f t="shared" si="11"/>
        <v>19993.920633658574</v>
      </c>
      <c r="M46" s="369">
        <f t="shared" si="11"/>
        <v>20547.018154021473</v>
      </c>
      <c r="N46" s="369">
        <f t="shared" si="11"/>
        <v>21119.612361977161</v>
      </c>
    </row>
    <row r="47" spans="2:14" ht="17" thickBot="1" x14ac:dyDescent="0.25">
      <c r="B47" s="332" t="s">
        <v>395</v>
      </c>
      <c r="C47" s="332"/>
      <c r="D47" s="332"/>
      <c r="E47" s="332"/>
      <c r="F47" s="332"/>
      <c r="G47" s="332"/>
      <c r="H47" s="332">
        <v>3407</v>
      </c>
      <c r="I47" s="358">
        <f>I43-I46</f>
        <v>3211.8825752999983</v>
      </c>
      <c r="J47" s="358">
        <f>J43-J46</f>
        <v>4590.9973670475192</v>
      </c>
      <c r="K47" s="358">
        <f t="shared" ref="K47:N47" si="12">K43-K46</f>
        <v>5748.8212708075407</v>
      </c>
      <c r="L47" s="358">
        <f t="shared" si="12"/>
        <v>7007.5095226446429</v>
      </c>
      <c r="M47" s="358">
        <f t="shared" si="12"/>
        <v>8374.8887221488003</v>
      </c>
      <c r="N47" s="358">
        <f t="shared" si="12"/>
        <v>9859.3651407607176</v>
      </c>
    </row>
    <row r="48" spans="2:14" ht="17" thickTop="1" x14ac:dyDescent="0.2">
      <c r="H48" s="324">
        <v>4069.5500000000006</v>
      </c>
      <c r="I48" s="324">
        <v>4616</v>
      </c>
      <c r="J48" s="347"/>
    </row>
    <row r="49" spans="1:13" x14ac:dyDescent="0.2">
      <c r="H49" s="324">
        <v>3407</v>
      </c>
      <c r="I49" s="324">
        <v>3206</v>
      </c>
    </row>
    <row r="51" spans="1:13" x14ac:dyDescent="0.2">
      <c r="I51" s="351"/>
    </row>
    <row r="52" spans="1:13" ht="16" customHeight="1" x14ac:dyDescent="0.2"/>
    <row r="53" spans="1:13" x14ac:dyDescent="0.2">
      <c r="I53" s="351"/>
    </row>
    <row r="54" spans="1:13" x14ac:dyDescent="0.2">
      <c r="I54" s="348"/>
    </row>
    <row r="56" spans="1:13" x14ac:dyDescent="0.2">
      <c r="H56" s="325">
        <v>2017</v>
      </c>
      <c r="I56" s="325">
        <v>2018</v>
      </c>
      <c r="K56" s="325">
        <v>2019</v>
      </c>
      <c r="L56" s="344" t="s">
        <v>385</v>
      </c>
    </row>
    <row r="57" spans="1:13" x14ac:dyDescent="0.2">
      <c r="A57" s="325" t="s">
        <v>304</v>
      </c>
      <c r="H57" s="325"/>
      <c r="I57" s="325"/>
      <c r="K57" s="325"/>
      <c r="L57" s="344"/>
    </row>
    <row r="58" spans="1:13" x14ac:dyDescent="0.2">
      <c r="A58" s="325"/>
      <c r="K58" s="335"/>
    </row>
    <row r="59" spans="1:13" x14ac:dyDescent="0.2">
      <c r="A59" s="324" t="s">
        <v>305</v>
      </c>
      <c r="H59" s="326">
        <v>130256190</v>
      </c>
      <c r="I59" s="327">
        <v>134890243</v>
      </c>
      <c r="K59" s="349">
        <f>I59*(1+K102)</f>
        <v>134890243</v>
      </c>
    </row>
    <row r="60" spans="1:13" x14ac:dyDescent="0.2">
      <c r="A60" s="324" t="s">
        <v>306</v>
      </c>
      <c r="H60" s="326">
        <v>157677218</v>
      </c>
      <c r="I60" s="327">
        <v>163605833</v>
      </c>
      <c r="K60" s="349">
        <f>K59*K103+K59</f>
        <v>134890243</v>
      </c>
    </row>
    <row r="61" spans="1:13" x14ac:dyDescent="0.2">
      <c r="A61" s="324" t="s">
        <v>307</v>
      </c>
      <c r="H61" s="326">
        <v>129041420</v>
      </c>
      <c r="I61" s="327">
        <v>133322322</v>
      </c>
      <c r="K61" s="350">
        <f>K59*K104</f>
        <v>0</v>
      </c>
      <c r="M61" s="351"/>
    </row>
    <row r="62" spans="1:13" x14ac:dyDescent="0.2">
      <c r="A62" s="324" t="s">
        <v>308</v>
      </c>
      <c r="H62" s="326">
        <v>153811072</v>
      </c>
      <c r="I62" s="327">
        <v>159795153</v>
      </c>
      <c r="K62" s="365">
        <f>K109</f>
        <v>0</v>
      </c>
      <c r="L62" s="324" t="s">
        <v>381</v>
      </c>
      <c r="M62" s="368"/>
    </row>
    <row r="63" spans="1:13" x14ac:dyDescent="0.2">
      <c r="A63" s="324" t="s">
        <v>386</v>
      </c>
      <c r="H63" s="353">
        <v>0.83899999999999997</v>
      </c>
      <c r="I63" s="360">
        <v>0.83399999999999996</v>
      </c>
      <c r="K63" s="352">
        <f>K120</f>
        <v>0</v>
      </c>
    </row>
    <row r="64" spans="1:13" x14ac:dyDescent="0.2">
      <c r="A64" s="324" t="s">
        <v>309</v>
      </c>
      <c r="H64" s="324">
        <v>991</v>
      </c>
      <c r="I64" s="328">
        <v>988</v>
      </c>
      <c r="K64" s="364">
        <v>990</v>
      </c>
    </row>
    <row r="65" spans="1:14" x14ac:dyDescent="0.2">
      <c r="A65" s="324" t="s">
        <v>310</v>
      </c>
      <c r="H65" s="324">
        <v>754</v>
      </c>
      <c r="I65" s="328">
        <v>757</v>
      </c>
      <c r="K65" s="342">
        <v>755</v>
      </c>
      <c r="M65" s="348"/>
    </row>
    <row r="66" spans="1:14" x14ac:dyDescent="0.2">
      <c r="A66" s="324" t="s">
        <v>311</v>
      </c>
      <c r="H66" s="386">
        <v>1347893</v>
      </c>
      <c r="I66" s="327">
        <v>1375030</v>
      </c>
      <c r="K66" s="346">
        <f>K115</f>
        <v>0</v>
      </c>
      <c r="L66" s="347"/>
      <c r="M66" s="348"/>
    </row>
    <row r="67" spans="1:14" x14ac:dyDescent="0.2">
      <c r="A67" s="324" t="s">
        <v>312</v>
      </c>
      <c r="H67" s="326">
        <v>200878967</v>
      </c>
      <c r="I67" s="327">
        <v>207223050</v>
      </c>
      <c r="K67" s="349">
        <f>K66*K68</f>
        <v>0</v>
      </c>
      <c r="L67" s="347"/>
    </row>
    <row r="68" spans="1:14" x14ac:dyDescent="0.2">
      <c r="A68" s="324" t="s">
        <v>313</v>
      </c>
      <c r="H68" s="324">
        <v>151.72999999999999</v>
      </c>
      <c r="I68" s="328">
        <v>150.69999999999999</v>
      </c>
      <c r="K68" s="364">
        <f>K121</f>
        <v>0</v>
      </c>
      <c r="L68" s="348"/>
      <c r="M68" s="362"/>
    </row>
    <row r="69" spans="1:14" x14ac:dyDescent="0.2">
      <c r="A69" s="324" t="s">
        <v>314</v>
      </c>
      <c r="H69" s="341">
        <v>149.03</v>
      </c>
      <c r="I69" s="355">
        <v>151.63999999999999</v>
      </c>
      <c r="K69" s="356">
        <f>K122</f>
        <v>0</v>
      </c>
    </row>
    <row r="70" spans="1:14" x14ac:dyDescent="0.2">
      <c r="A70" s="324" t="s">
        <v>315</v>
      </c>
      <c r="H70" s="341">
        <v>15.32</v>
      </c>
      <c r="I70" s="355">
        <v>15.34</v>
      </c>
      <c r="K70" s="356" t="e">
        <f>K138*100000/K61</f>
        <v>#DIV/0!</v>
      </c>
      <c r="L70" s="362"/>
      <c r="M70" s="370"/>
    </row>
    <row r="71" spans="1:14" x14ac:dyDescent="0.2">
      <c r="A71" s="324" t="s">
        <v>316</v>
      </c>
      <c r="G71" s="351">
        <f>H62/H71</f>
        <v>11186259.781818181</v>
      </c>
      <c r="H71" s="324">
        <v>13.75</v>
      </c>
      <c r="I71" s="382">
        <v>13.75</v>
      </c>
      <c r="K71" s="363"/>
      <c r="L71" s="324" t="s">
        <v>380</v>
      </c>
      <c r="M71" s="354"/>
      <c r="N71" s="354"/>
    </row>
    <row r="72" spans="1:14" x14ac:dyDescent="0.2">
      <c r="A72" s="324" t="s">
        <v>317</v>
      </c>
      <c r="H72" s="324">
        <v>12.85</v>
      </c>
      <c r="I72" s="328">
        <v>12.8</v>
      </c>
      <c r="J72" s="324">
        <f>I72*(1+4.5%)</f>
        <v>13.375999999999999</v>
      </c>
      <c r="K72" s="364"/>
      <c r="M72" s="348"/>
      <c r="N72" s="348"/>
    </row>
    <row r="73" spans="1:14" x14ac:dyDescent="0.2">
      <c r="A73" s="324" t="s">
        <v>318</v>
      </c>
      <c r="H73" s="324">
        <v>11.53</v>
      </c>
      <c r="I73" s="328">
        <v>11.74</v>
      </c>
      <c r="K73" s="364"/>
    </row>
    <row r="74" spans="1:14" x14ac:dyDescent="0.2">
      <c r="A74" s="324" t="s">
        <v>394</v>
      </c>
      <c r="H74" s="324">
        <v>8.8800000000000008</v>
      </c>
      <c r="I74" s="382">
        <v>8.85</v>
      </c>
      <c r="K74" s="364"/>
      <c r="L74" s="324" t="s">
        <v>337</v>
      </c>
    </row>
    <row r="75" spans="1:14" x14ac:dyDescent="0.2">
      <c r="A75" s="324" t="s">
        <v>319</v>
      </c>
      <c r="H75" s="324">
        <v>11.57</v>
      </c>
      <c r="I75" s="328">
        <v>11.76</v>
      </c>
      <c r="K75" s="364"/>
    </row>
    <row r="76" spans="1:14" x14ac:dyDescent="0.2">
      <c r="A76" s="324" t="s">
        <v>324</v>
      </c>
      <c r="H76" s="324">
        <v>8.82</v>
      </c>
      <c r="I76" s="328">
        <v>8.8699999999999992</v>
      </c>
      <c r="K76" s="364"/>
    </row>
    <row r="77" spans="1:14" x14ac:dyDescent="0.2">
      <c r="A77" s="324" t="s">
        <v>320</v>
      </c>
      <c r="H77" s="324">
        <v>8.4700000000000006</v>
      </c>
      <c r="I77" s="328">
        <v>8.5299999999999994</v>
      </c>
      <c r="K77" s="364"/>
    </row>
    <row r="78" spans="1:14" x14ac:dyDescent="0.2">
      <c r="A78" s="324" t="s">
        <v>322</v>
      </c>
      <c r="H78" s="324">
        <v>1.72</v>
      </c>
      <c r="I78" s="328">
        <v>2.21</v>
      </c>
      <c r="K78" s="342"/>
    </row>
    <row r="79" spans="1:14" x14ac:dyDescent="0.2">
      <c r="A79" s="324" t="s">
        <v>325</v>
      </c>
      <c r="H79" s="324">
        <v>1.99</v>
      </c>
      <c r="I79" s="328">
        <v>2.2000000000000002</v>
      </c>
      <c r="K79" s="342"/>
      <c r="L79" s="324" t="s">
        <v>384</v>
      </c>
      <c r="M79" s="366"/>
    </row>
    <row r="80" spans="1:14" x14ac:dyDescent="0.2">
      <c r="A80" s="324" t="s">
        <v>323</v>
      </c>
      <c r="H80" s="324">
        <v>2.06</v>
      </c>
      <c r="I80" s="328">
        <v>2.2000000000000002</v>
      </c>
      <c r="K80" s="342"/>
      <c r="M80" s="366"/>
    </row>
    <row r="81" spans="1:17" x14ac:dyDescent="0.2">
      <c r="A81" s="324" t="s">
        <v>326</v>
      </c>
      <c r="H81" s="326">
        <v>2045</v>
      </c>
      <c r="I81" s="327">
        <v>2094</v>
      </c>
      <c r="K81" s="342"/>
      <c r="M81" s="366"/>
    </row>
    <row r="82" spans="1:17" x14ac:dyDescent="0.2">
      <c r="A82" s="324" t="s">
        <v>321</v>
      </c>
      <c r="H82" s="326">
        <v>56110</v>
      </c>
      <c r="I82" s="327">
        <v>58803</v>
      </c>
      <c r="K82" s="342"/>
      <c r="M82" s="366"/>
    </row>
    <row r="83" spans="1:17" x14ac:dyDescent="0.2">
      <c r="A83" s="324" t="s">
        <v>327</v>
      </c>
      <c r="H83" s="324">
        <v>706</v>
      </c>
      <c r="I83" s="328">
        <v>750</v>
      </c>
      <c r="K83" s="342">
        <f>K136</f>
        <v>0</v>
      </c>
      <c r="L83" s="324" t="s">
        <v>383</v>
      </c>
      <c r="M83" s="366"/>
    </row>
    <row r="84" spans="1:17" x14ac:dyDescent="0.2">
      <c r="I84" s="324" t="e">
        <f>#REF!</f>
        <v>#REF!</v>
      </c>
    </row>
    <row r="85" spans="1:17" x14ac:dyDescent="0.2">
      <c r="J85" s="324" t="e">
        <f>#REF!</f>
        <v>#REF!</v>
      </c>
    </row>
    <row r="86" spans="1:17" x14ac:dyDescent="0.2">
      <c r="A86" s="324" t="s">
        <v>328</v>
      </c>
      <c r="J86" s="324" t="e">
        <f>J85/I62*100000</f>
        <v>#REF!</v>
      </c>
      <c r="K86" s="324" t="e">
        <f>J86*I62</f>
        <v>#REF!</v>
      </c>
    </row>
    <row r="87" spans="1:17" x14ac:dyDescent="0.2">
      <c r="A87" s="324" t="s">
        <v>329</v>
      </c>
      <c r="J87" s="324" t="e">
        <f>#REF!</f>
        <v>#REF!</v>
      </c>
      <c r="P87" s="378"/>
      <c r="Q87" s="379"/>
    </row>
    <row r="88" spans="1:17" x14ac:dyDescent="0.2">
      <c r="A88" s="324" t="s">
        <v>330</v>
      </c>
      <c r="J88" s="324" t="e">
        <f>#REF!</f>
        <v>#REF!</v>
      </c>
      <c r="Q88" s="348"/>
    </row>
    <row r="89" spans="1:17" x14ac:dyDescent="0.2">
      <c r="A89" s="324" t="s">
        <v>331</v>
      </c>
      <c r="J89" s="324" t="e">
        <f>J87/I62</f>
        <v>#REF!</v>
      </c>
      <c r="P89" s="328"/>
    </row>
    <row r="90" spans="1:17" x14ac:dyDescent="0.2">
      <c r="A90" s="324" t="s">
        <v>332</v>
      </c>
    </row>
    <row r="91" spans="1:17" x14ac:dyDescent="0.2">
      <c r="A91" s="324" t="s">
        <v>333</v>
      </c>
    </row>
    <row r="92" spans="1:17" x14ac:dyDescent="0.2">
      <c r="A92" s="324" t="s">
        <v>334</v>
      </c>
    </row>
    <row r="93" spans="1:17" x14ac:dyDescent="0.2">
      <c r="A93" s="324" t="s">
        <v>335</v>
      </c>
    </row>
    <row r="94" spans="1:17" x14ac:dyDescent="0.2">
      <c r="A94" s="324" t="s">
        <v>336</v>
      </c>
    </row>
    <row r="95" spans="1:17" x14ac:dyDescent="0.2">
      <c r="A95" s="357" t="s">
        <v>399</v>
      </c>
      <c r="B95" s="331"/>
      <c r="C95" s="331"/>
      <c r="D95" s="331"/>
      <c r="E95" s="331"/>
      <c r="F95" s="331"/>
      <c r="G95" s="331"/>
      <c r="H95" s="331"/>
      <c r="I95" s="331"/>
      <c r="J95" s="331"/>
      <c r="K95" s="331"/>
      <c r="L95" s="331"/>
      <c r="M95" s="331"/>
      <c r="N95" s="331"/>
    </row>
    <row r="96" spans="1:17" x14ac:dyDescent="0.2">
      <c r="A96" s="324" t="s">
        <v>190</v>
      </c>
      <c r="F96" s="360">
        <f>IFERROR(#REF!/#REF!,0)</f>
        <v>0</v>
      </c>
      <c r="G96" s="360">
        <f>IFERROR(#REF!/#REF!,0)</f>
        <v>0</v>
      </c>
      <c r="H96" s="360">
        <f>IFERROR(#REF!/#REF!,0)</f>
        <v>0</v>
      </c>
      <c r="I96" s="360">
        <f>IFERROR(#REF!/#REF!,0)</f>
        <v>0</v>
      </c>
      <c r="J96" s="360">
        <f>IFERROR(#REF!/#REF!,0)</f>
        <v>0</v>
      </c>
      <c r="K96" s="348" t="e">
        <f>K100*J96</f>
        <v>#DIV/0!</v>
      </c>
      <c r="L96" s="348" t="e">
        <f>L100*$J96</f>
        <v>#DIV/0!</v>
      </c>
      <c r="M96" s="348" t="e">
        <f>M100*$J96</f>
        <v>#DIV/0!</v>
      </c>
      <c r="N96" s="348" t="e">
        <f>N100*$J96</f>
        <v>#DIV/0!</v>
      </c>
      <c r="O96" s="348" t="e">
        <f>O100*$J96</f>
        <v>#DIV/0!</v>
      </c>
    </row>
    <row r="97" spans="1:15" x14ac:dyDescent="0.2">
      <c r="A97" s="324" t="s">
        <v>191</v>
      </c>
      <c r="F97" s="360">
        <f>IFERROR(#REF!/#REF!,0)</f>
        <v>0</v>
      </c>
      <c r="G97" s="360">
        <f>IFERROR(#REF!/#REF!,0)</f>
        <v>0</v>
      </c>
      <c r="H97" s="360">
        <f>IFERROR(#REF!/#REF!,0)</f>
        <v>0</v>
      </c>
      <c r="I97" s="360">
        <f>IFERROR(#REF!/#REF!,0)</f>
        <v>0</v>
      </c>
      <c r="J97" s="360">
        <f>IFERROR(#REF!/#REF!,0)</f>
        <v>0</v>
      </c>
      <c r="K97" s="347">
        <f>J39</f>
        <v>20883.547715336968</v>
      </c>
      <c r="L97" s="347">
        <f>K39</f>
        <v>21322.345994180621</v>
      </c>
      <c r="M97" s="347">
        <f>L39</f>
        <v>21770.364159038891</v>
      </c>
      <c r="N97" s="347">
        <f>M39</f>
        <v>22227.795935143215</v>
      </c>
      <c r="O97" s="347">
        <f>N39</f>
        <v>22694.839118216263</v>
      </c>
    </row>
    <row r="98" spans="1:15" x14ac:dyDescent="0.2">
      <c r="A98" s="324" t="s">
        <v>192</v>
      </c>
      <c r="F98" s="360">
        <f>IFERROR(#REF!/#REF!,0)</f>
        <v>0</v>
      </c>
      <c r="G98" s="360">
        <f>IFERROR(#REF!/#REF!,0)</f>
        <v>0</v>
      </c>
      <c r="H98" s="360">
        <f>IFERROR(#REF!/#REF!,0)</f>
        <v>0</v>
      </c>
      <c r="I98" s="360">
        <f>IFERROR(#REF!/#REF!,0)</f>
        <v>0</v>
      </c>
      <c r="J98" s="360">
        <f>IFERROR(#REF!/#REF!,0)</f>
        <v>0</v>
      </c>
      <c r="K98" s="348">
        <f>K97*J98</f>
        <v>0</v>
      </c>
      <c r="L98" s="348">
        <f>L97*K98</f>
        <v>0</v>
      </c>
      <c r="M98" s="348">
        <f>M97*L98</f>
        <v>0</v>
      </c>
      <c r="N98" s="348">
        <f t="shared" ref="N98" si="13">N97*M98</f>
        <v>0</v>
      </c>
      <c r="O98" s="348">
        <f>O97*N98</f>
        <v>0</v>
      </c>
    </row>
    <row r="99" spans="1:15" x14ac:dyDescent="0.2">
      <c r="A99" s="324" t="s">
        <v>194</v>
      </c>
      <c r="F99" s="360">
        <f>IFERROR(#REF!/#REF!,0)</f>
        <v>0</v>
      </c>
      <c r="G99" s="360">
        <f>IFERROR(#REF!/#REF!,0)</f>
        <v>0</v>
      </c>
      <c r="H99" s="360">
        <f>IFERROR(#REF!/#REF!,0)</f>
        <v>0</v>
      </c>
      <c r="I99" s="360">
        <f>IFERROR(#REF!/#REF!,0)</f>
        <v>0</v>
      </c>
      <c r="J99" s="360">
        <f>IFERROR(#REF!/#REF!,0)</f>
        <v>0</v>
      </c>
      <c r="K99" s="348" t="e">
        <f>K100*J99</f>
        <v>#DIV/0!</v>
      </c>
      <c r="L99" s="348" t="e">
        <f>L100*$J99</f>
        <v>#DIV/0!</v>
      </c>
      <c r="M99" s="348" t="e">
        <f>M100*$J99</f>
        <v>#DIV/0!</v>
      </c>
      <c r="N99" s="348" t="e">
        <f>N100*$J99</f>
        <v>#DIV/0!</v>
      </c>
      <c r="O99" s="348" t="e">
        <f>O100*$J99</f>
        <v>#DIV/0!</v>
      </c>
    </row>
    <row r="100" spans="1:15" ht="17" thickBot="1" x14ac:dyDescent="0.25">
      <c r="A100" s="329"/>
      <c r="B100" s="329"/>
      <c r="C100" s="329"/>
      <c r="D100" s="329"/>
      <c r="E100" s="329"/>
      <c r="F100" s="374">
        <f>SUM(F96:F99)</f>
        <v>0</v>
      </c>
      <c r="G100" s="374">
        <f>SUM(G96:G99)</f>
        <v>0</v>
      </c>
      <c r="H100" s="374">
        <f>SUM(H96:H99)</f>
        <v>0</v>
      </c>
      <c r="I100" s="374">
        <f>SUM(I96:I99)</f>
        <v>0</v>
      </c>
      <c r="J100" s="374">
        <f>SUM(J96:J99)</f>
        <v>0</v>
      </c>
      <c r="K100" s="361" t="e">
        <f>K97/J97</f>
        <v>#DIV/0!</v>
      </c>
      <c r="L100" s="361" t="e">
        <f>L97/$J97</f>
        <v>#DIV/0!</v>
      </c>
      <c r="M100" s="361" t="e">
        <f>M97/$J97</f>
        <v>#DIV/0!</v>
      </c>
      <c r="N100" s="361" t="e">
        <f>N97/$J97</f>
        <v>#DIV/0!</v>
      </c>
      <c r="O100" s="361" t="e">
        <f>O97/$J97</f>
        <v>#DIV/0!</v>
      </c>
    </row>
    <row r="101" spans="1:15" ht="17" thickTop="1" x14ac:dyDescent="0.2">
      <c r="A101" s="378"/>
      <c r="B101" s="359"/>
      <c r="C101" s="359"/>
      <c r="D101" s="359"/>
      <c r="E101" s="359"/>
      <c r="F101" s="359"/>
      <c r="G101" s="359"/>
      <c r="H101" s="359"/>
      <c r="I101" s="359"/>
      <c r="J101" s="359"/>
      <c r="K101" s="359"/>
    </row>
    <row r="102" spans="1:15" x14ac:dyDescent="0.2">
      <c r="A102" s="378" t="s">
        <v>414</v>
      </c>
      <c r="B102" s="359"/>
      <c r="C102" s="359"/>
      <c r="D102" s="359"/>
      <c r="E102" s="359"/>
      <c r="F102" s="359"/>
      <c r="G102" s="359"/>
      <c r="H102" s="359"/>
      <c r="I102" s="359"/>
      <c r="J102" s="401"/>
      <c r="K102" s="401"/>
    </row>
    <row r="103" spans="1:15" x14ac:dyDescent="0.2">
      <c r="A103" s="331" t="s">
        <v>405</v>
      </c>
      <c r="B103" s="416" t="s">
        <v>410</v>
      </c>
      <c r="C103" s="416"/>
      <c r="D103" s="416"/>
      <c r="E103" s="416" t="s">
        <v>411</v>
      </c>
      <c r="F103" s="416" t="s">
        <v>415</v>
      </c>
      <c r="G103" s="416" t="s">
        <v>412</v>
      </c>
      <c r="H103" s="416" t="s">
        <v>413</v>
      </c>
      <c r="J103" s="401"/>
      <c r="K103" s="401"/>
    </row>
    <row r="104" spans="1:15" x14ac:dyDescent="0.2">
      <c r="A104" s="359" t="s">
        <v>406</v>
      </c>
      <c r="B104" s="417">
        <v>143</v>
      </c>
      <c r="C104" s="417"/>
      <c r="D104" s="417"/>
      <c r="E104" s="417">
        <v>15</v>
      </c>
      <c r="F104" s="417">
        <v>512</v>
      </c>
      <c r="G104" s="417">
        <v>396</v>
      </c>
      <c r="H104" s="418">
        <v>116</v>
      </c>
      <c r="J104" s="401"/>
      <c r="K104" s="401"/>
    </row>
    <row r="105" spans="1:15" x14ac:dyDescent="0.2">
      <c r="A105" s="359" t="s">
        <v>407</v>
      </c>
      <c r="B105" s="417">
        <v>175</v>
      </c>
      <c r="C105" s="417"/>
      <c r="D105" s="417"/>
      <c r="E105" s="417">
        <v>3</v>
      </c>
      <c r="F105" s="417">
        <v>207</v>
      </c>
      <c r="G105" s="417">
        <v>200</v>
      </c>
      <c r="H105" s="419">
        <v>7</v>
      </c>
      <c r="J105" s="359"/>
      <c r="K105" s="359"/>
    </row>
    <row r="106" spans="1:15" x14ac:dyDescent="0.2">
      <c r="A106" s="359" t="s">
        <v>408</v>
      </c>
      <c r="B106" s="417">
        <v>175</v>
      </c>
      <c r="C106" s="417"/>
      <c r="D106" s="417"/>
      <c r="E106" s="417">
        <v>1</v>
      </c>
      <c r="F106" s="417">
        <v>31</v>
      </c>
      <c r="G106" s="417">
        <v>31</v>
      </c>
      <c r="H106" s="419">
        <v>0</v>
      </c>
      <c r="J106" s="359"/>
      <c r="K106" s="359"/>
    </row>
    <row r="107" spans="1:15" ht="17" thickBot="1" x14ac:dyDescent="0.25">
      <c r="A107" s="329" t="s">
        <v>409</v>
      </c>
      <c r="B107" s="420"/>
      <c r="C107" s="420"/>
      <c r="D107" s="420"/>
      <c r="E107" s="420">
        <v>11</v>
      </c>
      <c r="F107" s="420">
        <f>SUM(F104:F106)</f>
        <v>750</v>
      </c>
      <c r="G107" s="420">
        <f t="shared" ref="G107:H107" si="14">SUM(G104:G106)</f>
        <v>627</v>
      </c>
      <c r="H107" s="420">
        <f t="shared" si="14"/>
        <v>123</v>
      </c>
      <c r="J107" s="404"/>
      <c r="K107" s="404"/>
    </row>
    <row r="108" spans="1:15" ht="17" thickTop="1" x14ac:dyDescent="0.2">
      <c r="B108" s="359"/>
      <c r="C108" s="359"/>
      <c r="D108" s="359"/>
      <c r="E108" s="359"/>
      <c r="F108" s="359"/>
      <c r="G108" s="359"/>
      <c r="H108" s="359"/>
      <c r="I108" s="405"/>
      <c r="J108" s="406"/>
      <c r="K108" s="406"/>
    </row>
    <row r="109" spans="1:15" x14ac:dyDescent="0.2">
      <c r="B109" s="359"/>
      <c r="C109" s="359"/>
      <c r="D109" s="359"/>
      <c r="E109" s="359"/>
      <c r="F109" s="359"/>
      <c r="G109" s="359"/>
      <c r="H109" s="359"/>
      <c r="I109" s="369"/>
      <c r="J109" s="369"/>
      <c r="K109" s="369"/>
    </row>
    <row r="110" spans="1:15" x14ac:dyDescent="0.2">
      <c r="B110" s="359"/>
      <c r="C110" s="359"/>
      <c r="D110" s="359"/>
      <c r="E110" s="359"/>
      <c r="F110" s="359"/>
      <c r="G110" s="359"/>
      <c r="H110" s="359"/>
      <c r="I110" s="402"/>
      <c r="J110" s="359"/>
      <c r="K110" s="359"/>
    </row>
    <row r="111" spans="1:15" x14ac:dyDescent="0.2">
      <c r="B111" s="359"/>
      <c r="C111" s="359"/>
      <c r="D111" s="359"/>
      <c r="E111" s="359"/>
      <c r="F111" s="359"/>
      <c r="G111" s="359"/>
      <c r="H111" s="359"/>
      <c r="I111" s="402"/>
      <c r="J111" s="359"/>
      <c r="K111" s="359"/>
    </row>
    <row r="112" spans="1:15" x14ac:dyDescent="0.2">
      <c r="B112" s="359"/>
      <c r="C112" s="359"/>
      <c r="D112" s="359"/>
      <c r="E112" s="359"/>
      <c r="F112" s="359"/>
      <c r="G112" s="359"/>
      <c r="H112" s="359"/>
      <c r="I112" s="403"/>
      <c r="J112" s="404"/>
      <c r="K112" s="369"/>
    </row>
    <row r="113" spans="1:11" x14ac:dyDescent="0.2">
      <c r="B113" s="359"/>
      <c r="C113" s="359"/>
      <c r="D113" s="359"/>
      <c r="E113" s="359"/>
      <c r="F113" s="359"/>
      <c r="G113" s="359"/>
      <c r="H113" s="359"/>
      <c r="I113" s="359"/>
      <c r="J113" s="407"/>
      <c r="K113" s="407"/>
    </row>
    <row r="114" spans="1:11" x14ac:dyDescent="0.2">
      <c r="B114" s="359"/>
      <c r="C114" s="359"/>
      <c r="D114" s="359"/>
      <c r="E114" s="359"/>
      <c r="F114" s="359"/>
      <c r="G114" s="359"/>
      <c r="H114" s="359"/>
      <c r="I114" s="408"/>
      <c r="J114" s="408"/>
      <c r="K114" s="408"/>
    </row>
    <row r="115" spans="1:11" x14ac:dyDescent="0.2">
      <c r="B115" s="359"/>
      <c r="C115" s="359"/>
      <c r="D115" s="359"/>
      <c r="E115" s="359"/>
      <c r="F115" s="359"/>
      <c r="G115" s="359"/>
      <c r="H115" s="359"/>
      <c r="I115" s="403"/>
      <c r="J115" s="403"/>
      <c r="K115" s="403"/>
    </row>
    <row r="116" spans="1:11" x14ac:dyDescent="0.2">
      <c r="A116" s="359"/>
      <c r="B116" s="359"/>
      <c r="C116" s="359"/>
      <c r="D116" s="359"/>
      <c r="E116" s="359"/>
      <c r="F116" s="359"/>
      <c r="G116" s="359"/>
      <c r="H116" s="359"/>
      <c r="I116" s="409"/>
      <c r="J116" s="410"/>
      <c r="K116" s="369"/>
    </row>
    <row r="117" spans="1:11" x14ac:dyDescent="0.2">
      <c r="A117" s="359"/>
      <c r="B117" s="359"/>
      <c r="C117" s="359"/>
      <c r="D117" s="359"/>
      <c r="E117" s="359"/>
      <c r="F117" s="359"/>
      <c r="G117" s="359"/>
      <c r="H117" s="359"/>
      <c r="I117" s="409"/>
      <c r="J117" s="411"/>
      <c r="K117" s="369"/>
    </row>
    <row r="118" spans="1:11" x14ac:dyDescent="0.2">
      <c r="A118" s="359"/>
      <c r="B118" s="359"/>
      <c r="C118" s="359"/>
      <c r="D118" s="359"/>
      <c r="E118" s="359"/>
      <c r="F118" s="359"/>
      <c r="G118" s="359"/>
      <c r="H118" s="359"/>
      <c r="I118" s="409"/>
      <c r="J118" s="409"/>
      <c r="K118" s="369"/>
    </row>
    <row r="119" spans="1:11" x14ac:dyDescent="0.2">
      <c r="A119" s="359"/>
      <c r="B119" s="359"/>
      <c r="C119" s="359"/>
      <c r="D119" s="359"/>
      <c r="E119" s="359"/>
      <c r="F119" s="359"/>
      <c r="G119" s="359"/>
      <c r="H119" s="359"/>
      <c r="I119" s="409"/>
      <c r="J119" s="412"/>
      <c r="K119" s="359"/>
    </row>
    <row r="120" spans="1:11" x14ac:dyDescent="0.2">
      <c r="A120" s="359"/>
      <c r="B120" s="359"/>
      <c r="C120" s="359"/>
      <c r="D120" s="359"/>
      <c r="E120" s="359"/>
      <c r="F120" s="359"/>
      <c r="G120" s="359"/>
      <c r="H120" s="359"/>
      <c r="I120" s="401"/>
      <c r="J120" s="401"/>
      <c r="K120" s="401"/>
    </row>
    <row r="121" spans="1:11" x14ac:dyDescent="0.2">
      <c r="A121" s="359"/>
      <c r="B121" s="359"/>
      <c r="C121" s="359"/>
      <c r="D121" s="359"/>
      <c r="E121" s="359"/>
      <c r="F121" s="359"/>
      <c r="G121" s="359"/>
      <c r="H121" s="359"/>
      <c r="I121" s="412"/>
      <c r="J121" s="412"/>
      <c r="K121" s="359"/>
    </row>
    <row r="122" spans="1:11" x14ac:dyDescent="0.2">
      <c r="A122" s="359"/>
      <c r="B122" s="359"/>
      <c r="C122" s="359"/>
      <c r="D122" s="359"/>
      <c r="E122" s="359"/>
      <c r="F122" s="359"/>
      <c r="G122" s="359"/>
      <c r="H122" s="359"/>
      <c r="I122" s="413"/>
      <c r="J122" s="413"/>
      <c r="K122" s="359"/>
    </row>
    <row r="123" spans="1:11" x14ac:dyDescent="0.2">
      <c r="A123" s="359"/>
      <c r="B123" s="359"/>
      <c r="C123" s="359"/>
      <c r="D123" s="359"/>
      <c r="E123" s="359"/>
      <c r="F123" s="359"/>
      <c r="G123" s="359"/>
      <c r="H123" s="359"/>
      <c r="I123" s="359"/>
      <c r="J123" s="407"/>
      <c r="K123" s="414"/>
    </row>
    <row r="124" spans="1:11" x14ac:dyDescent="0.2">
      <c r="A124" s="359"/>
      <c r="B124" s="359"/>
      <c r="C124" s="359"/>
      <c r="D124" s="359"/>
      <c r="E124" s="359"/>
      <c r="F124" s="359"/>
      <c r="G124" s="359"/>
      <c r="H124" s="359"/>
      <c r="I124" s="359"/>
      <c r="J124" s="407"/>
      <c r="K124" s="414"/>
    </row>
    <row r="125" spans="1:11" x14ac:dyDescent="0.2">
      <c r="A125" s="359"/>
      <c r="B125" s="359"/>
      <c r="C125" s="359"/>
      <c r="D125" s="359"/>
      <c r="E125" s="359"/>
      <c r="F125" s="359"/>
      <c r="G125" s="359"/>
      <c r="H125" s="359"/>
      <c r="I125" s="413"/>
      <c r="J125" s="413"/>
      <c r="K125" s="359"/>
    </row>
    <row r="126" spans="1:11" x14ac:dyDescent="0.2">
      <c r="A126" s="359"/>
      <c r="B126" s="359"/>
      <c r="C126" s="359"/>
      <c r="D126" s="359"/>
      <c r="E126" s="359"/>
      <c r="F126" s="359"/>
      <c r="G126" s="359"/>
      <c r="H126" s="359"/>
      <c r="I126" s="413"/>
      <c r="J126" s="413"/>
      <c r="K126" s="359"/>
    </row>
    <row r="127" spans="1:11" x14ac:dyDescent="0.2">
      <c r="A127" s="359"/>
      <c r="B127" s="359"/>
      <c r="C127" s="359"/>
      <c r="D127" s="359"/>
      <c r="E127" s="359"/>
      <c r="F127" s="359"/>
      <c r="G127" s="359"/>
      <c r="H127" s="359"/>
      <c r="I127" s="413"/>
      <c r="J127" s="413"/>
      <c r="K127" s="359"/>
    </row>
    <row r="128" spans="1:11" x14ac:dyDescent="0.2">
      <c r="A128" s="359"/>
      <c r="B128" s="359"/>
      <c r="C128" s="359"/>
      <c r="D128" s="359"/>
      <c r="E128" s="359"/>
      <c r="F128" s="359"/>
      <c r="G128" s="359"/>
      <c r="H128" s="359"/>
      <c r="I128" s="413"/>
      <c r="J128" s="413"/>
      <c r="K128" s="359"/>
    </row>
    <row r="129" spans="1:12" x14ac:dyDescent="0.2">
      <c r="A129" s="359"/>
      <c r="B129" s="359"/>
      <c r="C129" s="359"/>
      <c r="D129" s="359"/>
      <c r="E129" s="359"/>
      <c r="F129" s="359"/>
      <c r="G129" s="359"/>
      <c r="H129" s="359"/>
      <c r="I129" s="415"/>
      <c r="J129" s="415"/>
      <c r="K129" s="359"/>
    </row>
    <row r="130" spans="1:12" x14ac:dyDescent="0.2">
      <c r="A130" s="359"/>
      <c r="B130" s="359"/>
      <c r="C130" s="359"/>
      <c r="D130" s="359"/>
      <c r="E130" s="359"/>
      <c r="F130" s="359"/>
      <c r="G130" s="359"/>
      <c r="H130" s="359"/>
      <c r="I130" s="412"/>
      <c r="J130" s="412"/>
      <c r="K130" s="359"/>
    </row>
    <row r="131" spans="1:12" x14ac:dyDescent="0.2">
      <c r="A131" s="359"/>
      <c r="B131" s="359"/>
      <c r="C131" s="359"/>
      <c r="D131" s="359"/>
      <c r="E131" s="359"/>
      <c r="F131" s="359"/>
      <c r="G131" s="359"/>
      <c r="H131" s="359"/>
      <c r="I131" s="383"/>
      <c r="J131" s="383"/>
      <c r="K131" s="359"/>
    </row>
    <row r="132" spans="1:12" x14ac:dyDescent="0.2">
      <c r="A132" s="359"/>
      <c r="B132" s="359"/>
      <c r="C132" s="359"/>
      <c r="D132" s="359"/>
      <c r="E132" s="359"/>
      <c r="F132" s="359"/>
      <c r="G132" s="359"/>
      <c r="H132" s="359"/>
      <c r="I132" s="383"/>
      <c r="J132" s="383"/>
      <c r="K132" s="383"/>
    </row>
    <row r="133" spans="1:12" x14ac:dyDescent="0.2">
      <c r="A133" s="359"/>
      <c r="B133" s="359"/>
      <c r="C133" s="359"/>
      <c r="D133" s="359"/>
      <c r="E133" s="359"/>
      <c r="F133" s="359"/>
      <c r="G133" s="359"/>
      <c r="H133" s="359"/>
      <c r="I133" s="359"/>
      <c r="J133" s="359"/>
      <c r="K133" s="359"/>
    </row>
    <row r="134" spans="1:12" x14ac:dyDescent="0.2">
      <c r="A134" s="359"/>
      <c r="B134" s="359"/>
      <c r="C134" s="359"/>
      <c r="D134" s="359"/>
      <c r="E134" s="359"/>
      <c r="F134" s="359"/>
      <c r="G134" s="359"/>
      <c r="H134" s="359"/>
      <c r="I134" s="359"/>
      <c r="J134" s="359"/>
      <c r="K134" s="359"/>
    </row>
    <row r="135" spans="1:12" s="359" customFormat="1" x14ac:dyDescent="0.2">
      <c r="L135" s="324"/>
    </row>
    <row r="136" spans="1:12" s="359" customFormat="1" x14ac:dyDescent="0.2">
      <c r="L136" s="324"/>
    </row>
    <row r="137" spans="1:12" s="359" customFormat="1" x14ac:dyDescent="0.2">
      <c r="L137" s="324"/>
    </row>
    <row r="138" spans="1:12" s="359" customFormat="1" x14ac:dyDescent="0.2">
      <c r="I138" s="408"/>
      <c r="J138" s="408"/>
      <c r="K138" s="408"/>
      <c r="L138" s="324"/>
    </row>
    <row r="139" spans="1:12" s="359" customFormat="1" x14ac:dyDescent="0.2">
      <c r="A139" s="324"/>
      <c r="B139" s="324"/>
      <c r="C139" s="324"/>
      <c r="D139" s="324"/>
      <c r="E139" s="324"/>
      <c r="F139" s="324"/>
      <c r="G139" s="324"/>
      <c r="H139" s="324"/>
      <c r="I139" s="324"/>
      <c r="J139" s="324"/>
      <c r="K139" s="324"/>
      <c r="L139" s="324"/>
    </row>
    <row r="140" spans="1:12" s="359" customFormat="1" x14ac:dyDescent="0.2">
      <c r="A140" s="324" t="s">
        <v>382</v>
      </c>
      <c r="B140" s="324"/>
      <c r="C140" s="324"/>
      <c r="D140" s="324"/>
      <c r="E140" s="324"/>
      <c r="F140" s="324"/>
      <c r="G140" s="324"/>
      <c r="H140" s="324"/>
      <c r="I140" s="324"/>
      <c r="J140" s="324"/>
      <c r="K140" s="324"/>
      <c r="L140" s="324"/>
    </row>
    <row r="141" spans="1:12" s="359" customFormat="1" x14ac:dyDescent="0.2">
      <c r="A141" s="339"/>
      <c r="B141" s="339"/>
      <c r="C141" s="339"/>
      <c r="D141" s="339"/>
      <c r="E141" s="339"/>
      <c r="F141" s="339"/>
      <c r="G141" s="339"/>
      <c r="H141" s="339"/>
      <c r="I141" s="339"/>
      <c r="J141" s="339"/>
      <c r="K141" s="339"/>
      <c r="L141" s="339"/>
    </row>
    <row r="142" spans="1:12" s="359" customFormat="1" x14ac:dyDescent="0.2">
      <c r="A142" s="325" t="s">
        <v>338</v>
      </c>
      <c r="B142" s="324"/>
      <c r="C142" s="324"/>
      <c r="D142" s="324"/>
      <c r="E142" s="324"/>
      <c r="F142" s="324"/>
      <c r="G142" s="324"/>
      <c r="H142" s="324"/>
      <c r="I142" s="324"/>
      <c r="J142" s="324"/>
      <c r="K142" s="324"/>
      <c r="L142" s="324"/>
    </row>
    <row r="143" spans="1:12" s="359" customFormat="1" x14ac:dyDescent="0.2">
      <c r="A143" s="324" t="s">
        <v>339</v>
      </c>
      <c r="B143" s="324"/>
      <c r="C143" s="324"/>
      <c r="D143" s="324"/>
      <c r="E143" s="324"/>
      <c r="F143" s="324"/>
      <c r="G143" s="324"/>
      <c r="H143" s="324"/>
      <c r="I143" s="324"/>
      <c r="J143" s="324"/>
      <c r="K143" s="324" t="s">
        <v>340</v>
      </c>
      <c r="L143" s="324"/>
    </row>
    <row r="144" spans="1:12" s="359" customFormat="1" x14ac:dyDescent="0.2">
      <c r="A144" s="324" t="s">
        <v>341</v>
      </c>
      <c r="B144" s="324"/>
      <c r="C144" s="324"/>
      <c r="D144" s="324"/>
      <c r="E144" s="324"/>
      <c r="F144" s="324"/>
      <c r="G144" s="324"/>
      <c r="H144" s="324"/>
      <c r="I144" s="324"/>
      <c r="J144" s="324"/>
      <c r="K144" s="324" t="s">
        <v>342</v>
      </c>
      <c r="L144" s="324"/>
    </row>
    <row r="145" spans="1:12" s="359" customFormat="1" x14ac:dyDescent="0.2">
      <c r="A145" s="324" t="s">
        <v>343</v>
      </c>
      <c r="B145" s="324"/>
      <c r="C145" s="324"/>
      <c r="D145" s="324"/>
      <c r="E145" s="324"/>
      <c r="F145" s="324"/>
      <c r="G145" s="324"/>
      <c r="H145" s="324"/>
      <c r="I145" s="324"/>
      <c r="J145" s="324"/>
      <c r="K145" s="324" t="s">
        <v>344</v>
      </c>
      <c r="L145" s="324"/>
    </row>
    <row r="146" spans="1:12" s="359" customFormat="1" x14ac:dyDescent="0.2">
      <c r="A146" s="324"/>
      <c r="B146" s="324"/>
      <c r="C146" s="324"/>
      <c r="D146" s="324"/>
      <c r="E146" s="324"/>
      <c r="F146" s="324"/>
      <c r="G146" s="324"/>
      <c r="H146" s="324"/>
      <c r="I146" s="324"/>
      <c r="J146" s="324"/>
      <c r="K146" s="324"/>
      <c r="L146" s="324"/>
    </row>
    <row r="147" spans="1:12" s="359" customFormat="1" x14ac:dyDescent="0.2">
      <c r="A147" s="324" t="s">
        <v>303</v>
      </c>
      <c r="B147" s="324"/>
      <c r="C147" s="324"/>
      <c r="D147" s="324"/>
      <c r="E147" s="324"/>
      <c r="F147" s="324"/>
      <c r="G147" s="324"/>
      <c r="H147" s="324"/>
      <c r="I147" s="324"/>
      <c r="J147" s="324"/>
      <c r="K147" s="324"/>
      <c r="L147" s="324"/>
    </row>
    <row r="148" spans="1:12" s="359" customFormat="1" x14ac:dyDescent="0.2">
      <c r="A148" s="324" t="s">
        <v>278</v>
      </c>
      <c r="B148" s="324"/>
      <c r="C148" s="324"/>
      <c r="D148" s="324"/>
      <c r="E148" s="324"/>
      <c r="F148" s="324"/>
      <c r="G148" s="324"/>
      <c r="H148" s="324"/>
      <c r="I148" s="324"/>
      <c r="J148" s="324"/>
      <c r="K148" s="324"/>
      <c r="L148" s="324"/>
    </row>
    <row r="149" spans="1:12" s="359" customFormat="1" x14ac:dyDescent="0.2">
      <c r="A149" s="324" t="s">
        <v>279</v>
      </c>
      <c r="B149" s="324"/>
      <c r="C149" s="324"/>
      <c r="D149" s="324"/>
      <c r="E149" s="324"/>
      <c r="F149" s="324"/>
      <c r="G149" s="324"/>
      <c r="H149" s="325">
        <v>2016</v>
      </c>
      <c r="I149" s="325">
        <v>2017</v>
      </c>
      <c r="J149" s="325">
        <v>2018</v>
      </c>
      <c r="K149" s="324"/>
      <c r="L149" s="324"/>
    </row>
    <row r="150" spans="1:12" s="359" customFormat="1" x14ac:dyDescent="0.2">
      <c r="A150" s="324" t="s">
        <v>280</v>
      </c>
      <c r="B150" s="324"/>
      <c r="C150" s="324"/>
      <c r="D150" s="324"/>
      <c r="E150" s="324"/>
      <c r="F150" s="324"/>
      <c r="G150" s="324"/>
      <c r="H150" s="326">
        <v>16534</v>
      </c>
      <c r="I150" s="326">
        <v>16934</v>
      </c>
      <c r="J150" s="326">
        <v>17506</v>
      </c>
      <c r="K150" s="324"/>
      <c r="L150" s="324"/>
    </row>
    <row r="151" spans="1:12" s="359" customFormat="1" x14ac:dyDescent="0.2">
      <c r="A151" s="324" t="s">
        <v>281</v>
      </c>
      <c r="B151" s="324"/>
      <c r="C151" s="324"/>
      <c r="D151" s="324"/>
      <c r="E151" s="324"/>
      <c r="F151" s="324"/>
      <c r="G151" s="324"/>
      <c r="H151" s="326">
        <v>1997</v>
      </c>
      <c r="I151" s="326">
        <v>2263</v>
      </c>
      <c r="J151" s="326">
        <v>2307</v>
      </c>
      <c r="K151" s="324"/>
      <c r="L151" s="324"/>
    </row>
    <row r="152" spans="1:12" s="359" customFormat="1" x14ac:dyDescent="0.2">
      <c r="A152" s="324" t="s">
        <v>282</v>
      </c>
      <c r="B152" s="324"/>
      <c r="C152" s="324"/>
      <c r="D152" s="324"/>
      <c r="E152" s="324"/>
      <c r="F152" s="324"/>
      <c r="G152" s="324"/>
      <c r="H152" s="324">
        <v>537</v>
      </c>
      <c r="I152" s="324">
        <v>566</v>
      </c>
      <c r="J152" s="324">
        <v>642</v>
      </c>
      <c r="K152" s="324"/>
      <c r="L152" s="324"/>
    </row>
    <row r="153" spans="1:12" s="359" customFormat="1" ht="17" thickBot="1" x14ac:dyDescent="0.25">
      <c r="A153" s="329" t="s">
        <v>283</v>
      </c>
      <c r="B153" s="329"/>
      <c r="C153" s="329"/>
      <c r="D153" s="329"/>
      <c r="E153" s="329"/>
      <c r="F153" s="329"/>
      <c r="G153" s="329"/>
      <c r="H153" s="330">
        <v>19068</v>
      </c>
      <c r="I153" s="330">
        <v>19763</v>
      </c>
      <c r="J153" s="330">
        <v>20455</v>
      </c>
    </row>
    <row r="154" spans="1:12" s="359" customFormat="1" ht="17" thickTop="1" x14ac:dyDescent="0.2"/>
    <row r="155" spans="1:12" s="359" customFormat="1" x14ac:dyDescent="0.2"/>
    <row r="156" spans="1:12" s="359" customFormat="1" x14ac:dyDescent="0.2">
      <c r="A156" s="324"/>
      <c r="B156" s="324"/>
      <c r="C156" s="324"/>
      <c r="D156" s="324"/>
      <c r="E156" s="324"/>
      <c r="F156" s="324"/>
      <c r="G156" s="324"/>
      <c r="H156" s="324"/>
      <c r="I156" s="324"/>
      <c r="J156" s="324"/>
      <c r="K156" s="324"/>
      <c r="L156" s="324"/>
    </row>
    <row r="157" spans="1:12" s="359" customFormat="1" x14ac:dyDescent="0.2">
      <c r="A157" s="325" t="s">
        <v>284</v>
      </c>
      <c r="B157" s="324"/>
      <c r="C157" s="324"/>
      <c r="D157" s="324"/>
      <c r="E157" s="324"/>
      <c r="F157" s="324"/>
      <c r="G157" s="324"/>
      <c r="H157" s="324"/>
      <c r="I157" s="324"/>
      <c r="J157" s="324"/>
      <c r="K157" s="324"/>
      <c r="L157" s="324"/>
    </row>
    <row r="158" spans="1:12" s="359" customFormat="1" x14ac:dyDescent="0.2">
      <c r="A158" s="324" t="s">
        <v>285</v>
      </c>
      <c r="B158" s="324"/>
      <c r="C158" s="324"/>
      <c r="D158" s="324"/>
      <c r="E158" s="324"/>
      <c r="F158" s="324"/>
      <c r="G158" s="324"/>
      <c r="H158" s="324"/>
      <c r="I158" s="324">
        <v>0</v>
      </c>
      <c r="J158" s="324">
        <v>1</v>
      </c>
      <c r="K158" s="324"/>
      <c r="L158" s="324"/>
    </row>
    <row r="159" spans="1:12" s="359" customFormat="1" x14ac:dyDescent="0.2">
      <c r="A159" s="324" t="s">
        <v>286</v>
      </c>
      <c r="B159" s="324"/>
      <c r="C159" s="324"/>
      <c r="D159" s="324"/>
      <c r="E159" s="324"/>
      <c r="F159" s="324"/>
      <c r="G159" s="324"/>
      <c r="H159" s="324"/>
      <c r="I159" s="324">
        <v>0</v>
      </c>
      <c r="J159" s="324">
        <v>3</v>
      </c>
      <c r="K159" s="324"/>
      <c r="L159" s="324"/>
    </row>
    <row r="160" spans="1:12" s="359" customFormat="1" x14ac:dyDescent="0.2">
      <c r="A160" s="324" t="s">
        <v>287</v>
      </c>
      <c r="B160" s="324"/>
      <c r="C160" s="324"/>
      <c r="D160" s="324"/>
      <c r="E160" s="324"/>
      <c r="F160" s="324"/>
      <c r="G160" s="324"/>
      <c r="H160" s="324"/>
      <c r="I160" s="324">
        <v>300</v>
      </c>
      <c r="J160" s="324">
        <v>300</v>
      </c>
      <c r="K160" s="324"/>
      <c r="L160" s="324"/>
    </row>
    <row r="161" spans="1:12" s="359" customFormat="1" x14ac:dyDescent="0.2">
      <c r="A161" s="324" t="s">
        <v>288</v>
      </c>
      <c r="B161" s="324"/>
      <c r="C161" s="324"/>
      <c r="D161" s="324"/>
      <c r="E161" s="324"/>
      <c r="F161" s="324"/>
      <c r="G161" s="324"/>
      <c r="H161" s="324"/>
      <c r="I161" s="324">
        <v>23</v>
      </c>
      <c r="J161" s="324">
        <v>66</v>
      </c>
      <c r="K161" s="324"/>
      <c r="L161" s="324"/>
    </row>
    <row r="162" spans="1:12" s="359" customFormat="1" x14ac:dyDescent="0.2">
      <c r="A162" s="324" t="s">
        <v>289</v>
      </c>
      <c r="B162" s="324"/>
      <c r="C162" s="324"/>
      <c r="D162" s="324"/>
      <c r="E162" s="324"/>
      <c r="F162" s="324"/>
      <c r="G162" s="324"/>
      <c r="H162" s="324"/>
      <c r="I162" s="324">
        <v>10</v>
      </c>
      <c r="J162" s="324">
        <v>19</v>
      </c>
      <c r="K162" s="324"/>
      <c r="L162" s="324"/>
    </row>
    <row r="163" spans="1:12" s="359" customFormat="1" x14ac:dyDescent="0.2">
      <c r="A163" s="324" t="s">
        <v>290</v>
      </c>
      <c r="B163" s="324"/>
      <c r="C163" s="324"/>
      <c r="D163" s="324"/>
      <c r="E163" s="324"/>
      <c r="F163" s="324"/>
      <c r="G163" s="324"/>
      <c r="H163" s="324"/>
      <c r="I163" s="324">
        <v>492</v>
      </c>
      <c r="J163" s="324">
        <v>491</v>
      </c>
      <c r="K163" s="324"/>
      <c r="L163" s="324"/>
    </row>
    <row r="164" spans="1:12" s="359" customFormat="1" x14ac:dyDescent="0.2">
      <c r="A164" s="326" t="s">
        <v>291</v>
      </c>
      <c r="B164" s="324"/>
      <c r="C164" s="324"/>
      <c r="D164" s="324"/>
      <c r="E164" s="324"/>
      <c r="F164" s="324"/>
      <c r="G164" s="324"/>
      <c r="H164" s="324"/>
      <c r="I164" s="324">
        <v>187</v>
      </c>
      <c r="J164" s="324">
        <v>237</v>
      </c>
      <c r="K164" s="324"/>
      <c r="L164" s="324"/>
    </row>
    <row r="165" spans="1:12" s="359" customFormat="1" x14ac:dyDescent="0.2">
      <c r="A165" s="326" t="s">
        <v>292</v>
      </c>
      <c r="B165" s="324"/>
      <c r="C165" s="324"/>
      <c r="D165" s="324"/>
      <c r="E165" s="324"/>
      <c r="F165" s="324"/>
      <c r="G165" s="324"/>
      <c r="H165" s="324"/>
      <c r="I165" s="324">
        <v>67</v>
      </c>
      <c r="J165" s="324">
        <v>155</v>
      </c>
      <c r="K165" s="324"/>
      <c r="L165" s="324"/>
    </row>
    <row r="166" spans="1:12" s="359" customFormat="1" x14ac:dyDescent="0.2">
      <c r="A166" s="324" t="s">
        <v>293</v>
      </c>
      <c r="B166" s="324"/>
      <c r="C166" s="324"/>
      <c r="D166" s="324"/>
      <c r="E166" s="324"/>
      <c r="F166" s="324"/>
      <c r="G166" s="324"/>
      <c r="H166" s="324"/>
      <c r="I166" s="324">
        <v>300</v>
      </c>
      <c r="J166" s="324">
        <v>300</v>
      </c>
      <c r="K166" s="324"/>
      <c r="L166" s="324"/>
    </row>
    <row r="167" spans="1:12" s="359" customFormat="1" x14ac:dyDescent="0.2">
      <c r="A167" s="326" t="s">
        <v>294</v>
      </c>
      <c r="B167" s="324"/>
      <c r="C167" s="324"/>
      <c r="D167" s="324"/>
      <c r="E167" s="324"/>
      <c r="F167" s="324"/>
      <c r="G167" s="324"/>
      <c r="H167" s="324"/>
      <c r="I167" s="324">
        <v>250</v>
      </c>
      <c r="J167" s="324">
        <v>294</v>
      </c>
      <c r="K167" s="324"/>
      <c r="L167" s="324"/>
    </row>
    <row r="168" spans="1:12" s="359" customFormat="1" x14ac:dyDescent="0.2">
      <c r="A168" s="324" t="s">
        <v>295</v>
      </c>
      <c r="B168" s="324"/>
      <c r="C168" s="324"/>
      <c r="D168" s="324"/>
      <c r="E168" s="324"/>
      <c r="F168" s="324"/>
      <c r="G168" s="324"/>
      <c r="H168" s="324"/>
      <c r="I168" s="324">
        <v>197</v>
      </c>
      <c r="J168" s="324">
        <v>215</v>
      </c>
      <c r="K168" s="324"/>
      <c r="L168" s="324"/>
    </row>
    <row r="169" spans="1:12" s="359" customFormat="1" x14ac:dyDescent="0.2">
      <c r="A169" s="324" t="s">
        <v>296</v>
      </c>
      <c r="B169" s="324"/>
      <c r="C169" s="324"/>
      <c r="D169" s="324"/>
      <c r="E169" s="324"/>
      <c r="F169" s="324"/>
      <c r="G169" s="324"/>
      <c r="H169" s="324"/>
      <c r="I169" s="324">
        <v>300</v>
      </c>
      <c r="J169" s="324">
        <v>300</v>
      </c>
      <c r="K169" s="324"/>
      <c r="L169" s="324"/>
    </row>
    <row r="170" spans="1:12" s="359" customFormat="1" x14ac:dyDescent="0.2">
      <c r="A170" s="324" t="s">
        <v>297</v>
      </c>
      <c r="B170" s="324"/>
      <c r="C170" s="324"/>
      <c r="D170" s="324"/>
      <c r="E170" s="324"/>
      <c r="F170" s="324"/>
      <c r="G170" s="324"/>
      <c r="H170" s="324"/>
      <c r="I170" s="324">
        <v>300</v>
      </c>
      <c r="J170" s="324">
        <v>300</v>
      </c>
      <c r="K170" s="324"/>
      <c r="L170" s="324"/>
    </row>
    <row r="171" spans="1:12" s="359" customFormat="1" x14ac:dyDescent="0.2">
      <c r="A171" s="324" t="s">
        <v>298</v>
      </c>
      <c r="B171" s="324"/>
      <c r="C171" s="324"/>
      <c r="D171" s="324"/>
      <c r="E171" s="324"/>
      <c r="F171" s="324"/>
      <c r="G171" s="324"/>
      <c r="H171" s="324"/>
      <c r="I171" s="324">
        <v>125</v>
      </c>
      <c r="J171" s="324">
        <v>127</v>
      </c>
      <c r="K171" s="324"/>
      <c r="L171" s="324"/>
    </row>
    <row r="172" spans="1:12" s="359" customFormat="1" x14ac:dyDescent="0.2">
      <c r="A172" s="324" t="s">
        <v>299</v>
      </c>
      <c r="B172" s="324"/>
      <c r="C172" s="324"/>
      <c r="D172" s="324"/>
      <c r="E172" s="324"/>
      <c r="F172" s="324"/>
      <c r="G172" s="324"/>
      <c r="H172" s="324"/>
      <c r="I172" s="331">
        <v>845</v>
      </c>
      <c r="J172" s="331">
        <v>885</v>
      </c>
      <c r="K172" s="324"/>
      <c r="L172" s="324"/>
    </row>
    <row r="173" spans="1:12" s="359" customFormat="1" x14ac:dyDescent="0.2">
      <c r="A173" s="324" t="s">
        <v>300</v>
      </c>
      <c r="B173" s="324"/>
      <c r="C173" s="324"/>
      <c r="D173" s="324"/>
      <c r="E173" s="324"/>
      <c r="F173" s="324"/>
      <c r="G173" s="324"/>
      <c r="H173" s="324"/>
      <c r="I173" s="325">
        <f>SUM(I158:I172)</f>
        <v>3396</v>
      </c>
      <c r="J173" s="325">
        <f>SUM(J158:J172)</f>
        <v>3693</v>
      </c>
      <c r="K173" s="324"/>
      <c r="L173" s="324"/>
    </row>
    <row r="174" spans="1:12" s="359" customFormat="1" x14ac:dyDescent="0.2">
      <c r="A174" s="324"/>
      <c r="B174" s="324"/>
      <c r="C174" s="324"/>
      <c r="D174" s="324"/>
      <c r="E174" s="324"/>
      <c r="F174" s="324"/>
      <c r="G174" s="324"/>
      <c r="H174" s="324"/>
      <c r="I174" s="324">
        <v>606</v>
      </c>
      <c r="J174" s="324">
        <v>348</v>
      </c>
      <c r="K174" s="324"/>
      <c r="L174" s="324"/>
    </row>
    <row r="175" spans="1:12" s="359" customFormat="1" x14ac:dyDescent="0.2">
      <c r="A175" s="324" t="s">
        <v>301</v>
      </c>
      <c r="B175" s="324"/>
      <c r="C175" s="324"/>
      <c r="D175" s="324"/>
      <c r="E175" s="324"/>
      <c r="F175" s="324"/>
      <c r="G175" s="324"/>
      <c r="H175" s="324"/>
      <c r="I175" s="324">
        <v>19</v>
      </c>
      <c r="J175" s="324">
        <v>25</v>
      </c>
      <c r="K175" s="324"/>
      <c r="L175" s="324"/>
    </row>
    <row r="176" spans="1:12" s="359" customFormat="1" ht="17" thickBot="1" x14ac:dyDescent="0.25">
      <c r="A176" s="324" t="s">
        <v>302</v>
      </c>
      <c r="B176" s="324"/>
      <c r="C176" s="324"/>
      <c r="D176" s="324"/>
      <c r="E176" s="324"/>
      <c r="F176" s="324"/>
      <c r="G176" s="324"/>
      <c r="H176" s="324"/>
      <c r="I176" s="332">
        <f>I173-I174-I175</f>
        <v>2771</v>
      </c>
      <c r="J176" s="332">
        <f>J173-J174-J175</f>
        <v>3320</v>
      </c>
      <c r="K176" s="324"/>
      <c r="L176" s="324"/>
    </row>
    <row r="177" spans="1:12" s="359" customFormat="1" ht="17" thickTop="1" x14ac:dyDescent="0.2">
      <c r="A177" s="339"/>
      <c r="B177" s="339"/>
      <c r="C177" s="339"/>
      <c r="D177" s="339"/>
      <c r="E177" s="339"/>
      <c r="F177" s="339"/>
      <c r="G177" s="339"/>
      <c r="H177" s="339"/>
      <c r="I177" s="339"/>
      <c r="J177" s="339"/>
      <c r="K177" s="339"/>
      <c r="L177" s="339"/>
    </row>
    <row r="178" spans="1:12" s="359" customFormat="1" x14ac:dyDescent="0.2">
      <c r="A178" s="324"/>
      <c r="B178" s="324"/>
      <c r="C178" s="324"/>
      <c r="D178" s="324"/>
      <c r="E178" s="324"/>
      <c r="F178" s="324"/>
      <c r="G178" s="324"/>
      <c r="H178" s="324"/>
      <c r="I178" s="324"/>
      <c r="J178" s="324"/>
      <c r="K178" s="324"/>
      <c r="L178" s="324"/>
    </row>
    <row r="179" spans="1:12" s="359" customFormat="1" x14ac:dyDescent="0.2">
      <c r="A179" s="325" t="s">
        <v>353</v>
      </c>
      <c r="B179" s="324"/>
      <c r="C179" s="324"/>
      <c r="D179" s="324"/>
      <c r="E179" s="324"/>
      <c r="F179" s="324"/>
      <c r="G179" s="324"/>
      <c r="H179" s="324"/>
      <c r="I179" s="324"/>
      <c r="J179" s="324"/>
      <c r="K179" s="324"/>
      <c r="L179" s="324"/>
    </row>
    <row r="180" spans="1:12" s="359" customFormat="1" x14ac:dyDescent="0.2">
      <c r="A180" s="324" t="s">
        <v>345</v>
      </c>
      <c r="B180" s="324"/>
      <c r="C180" s="324"/>
      <c r="D180" s="324"/>
      <c r="E180" s="324"/>
      <c r="F180" s="324"/>
      <c r="G180" s="324"/>
      <c r="H180" s="324" t="s">
        <v>346</v>
      </c>
      <c r="I180" s="324" t="s">
        <v>347</v>
      </c>
      <c r="J180" s="324" t="s">
        <v>348</v>
      </c>
      <c r="K180" s="324" t="s">
        <v>349</v>
      </c>
      <c r="L180" s="324" t="s">
        <v>350</v>
      </c>
    </row>
    <row r="181" spans="1:12" s="359" customFormat="1" x14ac:dyDescent="0.2">
      <c r="A181" s="324">
        <v>2019</v>
      </c>
      <c r="B181" s="324"/>
      <c r="C181" s="324"/>
      <c r="D181" s="324"/>
      <c r="E181" s="324"/>
      <c r="F181" s="324"/>
      <c r="G181" s="324"/>
      <c r="H181" s="324">
        <v>7</v>
      </c>
      <c r="I181" s="324">
        <v>21</v>
      </c>
      <c r="J181" s="324">
        <v>0</v>
      </c>
      <c r="K181" s="324">
        <v>16</v>
      </c>
      <c r="L181" s="324">
        <v>44</v>
      </c>
    </row>
    <row r="182" spans="1:12" s="359" customFormat="1" x14ac:dyDescent="0.2">
      <c r="A182" s="324">
        <f>A181+1</f>
        <v>2020</v>
      </c>
      <c r="B182" s="324"/>
      <c r="C182" s="324"/>
      <c r="D182" s="324"/>
      <c r="E182" s="324"/>
      <c r="F182" s="324"/>
      <c r="G182" s="324"/>
      <c r="H182" s="324">
        <v>0</v>
      </c>
      <c r="I182" s="324">
        <v>35</v>
      </c>
      <c r="J182" s="324">
        <v>0</v>
      </c>
      <c r="K182" s="324">
        <v>3</v>
      </c>
      <c r="L182" s="324">
        <v>38</v>
      </c>
    </row>
    <row r="183" spans="1:12" s="359" customFormat="1" x14ac:dyDescent="0.2">
      <c r="A183" s="324">
        <f t="shared" ref="A183:A188" si="15">A182+1</f>
        <v>2021</v>
      </c>
      <c r="B183" s="324"/>
      <c r="C183" s="324"/>
      <c r="D183" s="324"/>
      <c r="E183" s="324"/>
      <c r="F183" s="324"/>
      <c r="G183" s="324"/>
      <c r="H183" s="324">
        <v>0</v>
      </c>
      <c r="I183" s="324">
        <v>44</v>
      </c>
      <c r="J183" s="324">
        <v>0</v>
      </c>
      <c r="K183" s="324">
        <v>0</v>
      </c>
      <c r="L183" s="324">
        <v>44</v>
      </c>
    </row>
    <row r="184" spans="1:12" s="359" customFormat="1" x14ac:dyDescent="0.2">
      <c r="A184" s="324">
        <f t="shared" si="15"/>
        <v>2022</v>
      </c>
      <c r="B184" s="324"/>
      <c r="C184" s="324"/>
      <c r="D184" s="324"/>
      <c r="E184" s="324"/>
      <c r="F184" s="324"/>
      <c r="G184" s="324"/>
      <c r="H184" s="324">
        <v>0</v>
      </c>
      <c r="I184" s="324">
        <v>27</v>
      </c>
      <c r="J184" s="324">
        <v>14</v>
      </c>
      <c r="K184" s="324">
        <v>0</v>
      </c>
      <c r="L184" s="324">
        <v>41</v>
      </c>
    </row>
    <row r="185" spans="1:12" s="359" customFormat="1" x14ac:dyDescent="0.2">
      <c r="A185" s="324">
        <f t="shared" si="15"/>
        <v>2023</v>
      </c>
      <c r="B185" s="324"/>
      <c r="C185" s="324"/>
      <c r="D185" s="324"/>
      <c r="E185" s="324"/>
      <c r="F185" s="324"/>
      <c r="G185" s="324"/>
      <c r="H185" s="324">
        <v>12</v>
      </c>
      <c r="I185" s="324">
        <v>22</v>
      </c>
      <c r="J185" s="324">
        <v>23</v>
      </c>
      <c r="K185" s="324">
        <v>0</v>
      </c>
      <c r="L185" s="324">
        <v>57</v>
      </c>
    </row>
    <row r="186" spans="1:12" s="359" customFormat="1" x14ac:dyDescent="0.2">
      <c r="A186" s="324">
        <f t="shared" si="15"/>
        <v>2024</v>
      </c>
      <c r="B186" s="324"/>
      <c r="C186" s="324"/>
      <c r="D186" s="324"/>
      <c r="E186" s="324"/>
      <c r="F186" s="324"/>
      <c r="G186" s="324"/>
      <c r="H186" s="324">
        <v>11</v>
      </c>
      <c r="I186" s="324">
        <v>30</v>
      </c>
      <c r="J186" s="324">
        <v>23</v>
      </c>
      <c r="K186" s="324">
        <v>0</v>
      </c>
      <c r="L186" s="324">
        <v>64</v>
      </c>
    </row>
    <row r="187" spans="1:12" s="359" customFormat="1" x14ac:dyDescent="0.2">
      <c r="A187" s="324">
        <f t="shared" si="15"/>
        <v>2025</v>
      </c>
      <c r="B187" s="324"/>
      <c r="C187" s="324"/>
      <c r="D187" s="324"/>
      <c r="E187" s="324"/>
      <c r="F187" s="324"/>
      <c r="G187" s="324"/>
      <c r="H187" s="324">
        <v>0</v>
      </c>
      <c r="I187" s="324">
        <v>40</v>
      </c>
      <c r="J187" s="324">
        <v>36</v>
      </c>
      <c r="K187" s="324">
        <v>0</v>
      </c>
      <c r="L187" s="324">
        <v>76</v>
      </c>
    </row>
    <row r="188" spans="1:12" s="359" customFormat="1" x14ac:dyDescent="0.2">
      <c r="A188" s="324">
        <f t="shared" si="15"/>
        <v>2026</v>
      </c>
      <c r="B188" s="324"/>
      <c r="C188" s="324"/>
      <c r="D188" s="324"/>
      <c r="E188" s="324"/>
      <c r="F188" s="324"/>
      <c r="G188" s="324"/>
      <c r="H188" s="324">
        <v>0</v>
      </c>
      <c r="I188" s="324">
        <v>0</v>
      </c>
      <c r="J188" s="324">
        <v>19</v>
      </c>
      <c r="K188" s="324">
        <v>0</v>
      </c>
      <c r="L188" s="324">
        <v>19</v>
      </c>
    </row>
    <row r="189" spans="1:12" s="359" customFormat="1" ht="17" thickBot="1" x14ac:dyDescent="0.25">
      <c r="A189" s="324"/>
      <c r="B189" s="324"/>
      <c r="C189" s="324"/>
      <c r="D189" s="324"/>
      <c r="E189" s="324"/>
      <c r="F189" s="324"/>
      <c r="G189" s="324"/>
      <c r="H189" s="329">
        <f>SUM(H181:H188)</f>
        <v>30</v>
      </c>
      <c r="I189" s="329" t="s">
        <v>354</v>
      </c>
      <c r="J189" s="329">
        <f>SUM(J181:J188)</f>
        <v>115</v>
      </c>
      <c r="K189" s="329" t="s">
        <v>352</v>
      </c>
      <c r="L189" s="329">
        <f>SUM(L181:L188)</f>
        <v>383</v>
      </c>
    </row>
    <row r="190" spans="1:12" s="359" customFormat="1" ht="17" thickTop="1" x14ac:dyDescent="0.2">
      <c r="A190" s="324" t="s">
        <v>351</v>
      </c>
      <c r="B190" s="324"/>
      <c r="C190" s="324"/>
      <c r="D190" s="324"/>
      <c r="E190" s="324"/>
      <c r="F190" s="324"/>
      <c r="G190" s="324"/>
      <c r="H190" s="324"/>
      <c r="I190" s="324"/>
      <c r="J190" s="324"/>
      <c r="K190" s="324"/>
      <c r="L190" s="324"/>
    </row>
    <row r="191" spans="1:12" s="359" customFormat="1" x14ac:dyDescent="0.2">
      <c r="A191" s="339"/>
      <c r="B191" s="339"/>
      <c r="C191" s="339"/>
      <c r="D191" s="339"/>
      <c r="E191" s="339"/>
      <c r="F191" s="339"/>
      <c r="G191" s="339"/>
      <c r="H191" s="339"/>
      <c r="I191" s="339"/>
      <c r="J191" s="339"/>
      <c r="K191" s="339"/>
      <c r="L191" s="339"/>
    </row>
    <row r="192" spans="1:12" s="359" customFormat="1" x14ac:dyDescent="0.2">
      <c r="A192" s="324"/>
      <c r="B192" s="324"/>
      <c r="C192" s="324"/>
      <c r="D192" s="324"/>
      <c r="E192" s="324"/>
      <c r="F192" s="324"/>
      <c r="G192" s="324"/>
      <c r="H192" s="324"/>
      <c r="I192" s="324"/>
      <c r="J192" s="324"/>
      <c r="K192" s="324"/>
      <c r="L192" s="324"/>
    </row>
    <row r="193" spans="1:12" s="359" customFormat="1" x14ac:dyDescent="0.2">
      <c r="A193" s="325" t="s">
        <v>377</v>
      </c>
      <c r="B193" s="324"/>
      <c r="C193" s="324"/>
      <c r="D193" s="324"/>
      <c r="E193" s="324"/>
      <c r="F193" s="324"/>
      <c r="G193" s="324"/>
      <c r="H193" s="324"/>
      <c r="I193" s="324"/>
      <c r="J193" s="324"/>
      <c r="K193" s="324"/>
      <c r="L193" s="324"/>
    </row>
    <row r="194" spans="1:12" s="359" customFormat="1" x14ac:dyDescent="0.2">
      <c r="A194" s="324"/>
      <c r="B194" s="324"/>
      <c r="C194" s="324"/>
      <c r="D194" s="324"/>
      <c r="E194" s="324"/>
      <c r="F194" s="324"/>
      <c r="G194" s="324"/>
      <c r="H194" s="325" t="s">
        <v>360</v>
      </c>
      <c r="I194" s="324"/>
      <c r="J194" s="324"/>
      <c r="K194" s="324"/>
      <c r="L194" s="324"/>
    </row>
    <row r="195" spans="1:12" s="359" customFormat="1" x14ac:dyDescent="0.2">
      <c r="A195" s="324" t="s">
        <v>356</v>
      </c>
      <c r="B195" s="324"/>
      <c r="C195" s="324"/>
      <c r="D195" s="324"/>
      <c r="E195" s="324"/>
      <c r="F195" s="324"/>
      <c r="G195" s="324"/>
      <c r="H195" s="324"/>
      <c r="I195" s="336" t="s">
        <v>361</v>
      </c>
      <c r="J195" s="336" t="s">
        <v>362</v>
      </c>
      <c r="K195" s="324"/>
      <c r="L195" s="324"/>
    </row>
    <row r="196" spans="1:12" s="359" customFormat="1" x14ac:dyDescent="0.2">
      <c r="A196" s="333">
        <v>50</v>
      </c>
      <c r="B196" s="324"/>
      <c r="C196" s="324"/>
      <c r="D196" s="324"/>
      <c r="E196" s="324"/>
      <c r="F196" s="324"/>
      <c r="G196" s="324"/>
      <c r="H196" s="324"/>
      <c r="I196" s="336" t="s">
        <v>373</v>
      </c>
      <c r="J196" s="336" t="s">
        <v>355</v>
      </c>
      <c r="K196" s="324"/>
      <c r="L196" s="324"/>
    </row>
    <row r="197" spans="1:12" s="359" customFormat="1" x14ac:dyDescent="0.2">
      <c r="A197" s="333">
        <v>55</v>
      </c>
      <c r="B197" s="324"/>
      <c r="C197" s="324"/>
      <c r="D197" s="324"/>
      <c r="E197" s="324"/>
      <c r="F197" s="324"/>
      <c r="G197" s="324"/>
      <c r="H197" s="324"/>
      <c r="I197" s="336" t="s">
        <v>370</v>
      </c>
      <c r="J197" s="336" t="s">
        <v>374</v>
      </c>
      <c r="K197" s="324"/>
      <c r="L197" s="324"/>
    </row>
    <row r="198" spans="1:12" s="359" customFormat="1" x14ac:dyDescent="0.2">
      <c r="A198" s="333" t="s">
        <v>367</v>
      </c>
      <c r="B198" s="324"/>
      <c r="C198" s="324"/>
      <c r="D198" s="324"/>
      <c r="E198" s="324"/>
      <c r="F198" s="324"/>
      <c r="G198" s="324"/>
      <c r="H198" s="324"/>
      <c r="I198" s="336" t="s">
        <v>372</v>
      </c>
      <c r="J198" s="336" t="s">
        <v>363</v>
      </c>
      <c r="K198" s="324"/>
      <c r="L198" s="324"/>
    </row>
    <row r="199" spans="1:12" s="359" customFormat="1" x14ac:dyDescent="0.2">
      <c r="A199" s="333">
        <v>70</v>
      </c>
      <c r="B199" s="324"/>
      <c r="C199" s="324"/>
      <c r="D199" s="324"/>
      <c r="E199" s="324"/>
      <c r="F199" s="324"/>
      <c r="G199" s="324"/>
      <c r="H199" s="324"/>
      <c r="I199" s="336" t="s">
        <v>371</v>
      </c>
      <c r="J199" s="336" t="s">
        <v>375</v>
      </c>
      <c r="K199" s="324"/>
      <c r="L199" s="324"/>
    </row>
    <row r="200" spans="1:12" s="359" customFormat="1" x14ac:dyDescent="0.2">
      <c r="A200" s="333">
        <v>80</v>
      </c>
      <c r="B200" s="324"/>
      <c r="C200" s="324"/>
      <c r="D200" s="324"/>
      <c r="E200" s="324"/>
      <c r="F200" s="324"/>
      <c r="G200" s="324"/>
      <c r="H200" s="324"/>
      <c r="I200" s="336" t="s">
        <v>369</v>
      </c>
      <c r="J200" s="336" t="s">
        <v>364</v>
      </c>
      <c r="K200" s="324"/>
      <c r="L200" s="324"/>
    </row>
    <row r="201" spans="1:12" s="359" customFormat="1" x14ac:dyDescent="0.2">
      <c r="A201" s="333">
        <v>90</v>
      </c>
      <c r="B201" s="324"/>
      <c r="C201" s="324"/>
      <c r="D201" s="324"/>
      <c r="E201" s="324"/>
      <c r="F201" s="324"/>
      <c r="G201" s="324"/>
      <c r="H201" s="324"/>
      <c r="I201" s="336" t="s">
        <v>368</v>
      </c>
      <c r="J201" s="336" t="s">
        <v>376</v>
      </c>
      <c r="K201" s="324"/>
      <c r="L201" s="324"/>
    </row>
    <row r="202" spans="1:12" s="359" customFormat="1" x14ac:dyDescent="0.2">
      <c r="A202" s="324" t="s">
        <v>357</v>
      </c>
      <c r="B202" s="324"/>
      <c r="C202" s="324"/>
      <c r="D202" s="324"/>
      <c r="E202" s="324"/>
      <c r="F202" s="324"/>
      <c r="G202" s="324"/>
      <c r="H202" s="324"/>
      <c r="I202" s="337">
        <v>0.06</v>
      </c>
      <c r="J202" s="337">
        <v>0.04</v>
      </c>
      <c r="K202" s="324"/>
      <c r="L202" s="324"/>
    </row>
    <row r="203" spans="1:12" s="359" customFormat="1" x14ac:dyDescent="0.2">
      <c r="A203" s="324"/>
      <c r="B203" s="324"/>
      <c r="C203" s="324"/>
      <c r="D203" s="324"/>
      <c r="E203" s="324"/>
      <c r="F203" s="324"/>
      <c r="G203" s="324"/>
      <c r="H203" s="324"/>
      <c r="I203" s="337"/>
      <c r="J203" s="337"/>
      <c r="K203" s="324"/>
      <c r="L203" s="324"/>
    </row>
    <row r="204" spans="1:12" s="359" customFormat="1" x14ac:dyDescent="0.2">
      <c r="A204" s="324"/>
      <c r="B204" s="324"/>
      <c r="C204" s="324"/>
      <c r="D204" s="324"/>
      <c r="E204" s="324"/>
      <c r="F204" s="324"/>
      <c r="G204" s="324"/>
      <c r="H204" s="325" t="s">
        <v>365</v>
      </c>
      <c r="I204" s="337"/>
      <c r="J204" s="337"/>
      <c r="K204" s="324"/>
      <c r="L204" s="324"/>
    </row>
    <row r="205" spans="1:12" s="359" customFormat="1" x14ac:dyDescent="0.2">
      <c r="A205" s="324" t="s">
        <v>358</v>
      </c>
      <c r="B205" s="324"/>
      <c r="C205" s="324"/>
      <c r="D205" s="324"/>
      <c r="E205" s="324"/>
      <c r="F205" s="324"/>
      <c r="G205" s="324"/>
      <c r="H205" s="324"/>
      <c r="I205" s="324"/>
      <c r="J205" s="324"/>
      <c r="K205" s="324"/>
      <c r="L205" s="324"/>
    </row>
    <row r="206" spans="1:12" s="359" customFormat="1" x14ac:dyDescent="0.2">
      <c r="A206" s="324">
        <v>2019</v>
      </c>
      <c r="B206" s="324"/>
      <c r="C206" s="324"/>
      <c r="D206" s="324"/>
      <c r="E206" s="324"/>
      <c r="F206" s="324"/>
      <c r="G206" s="324"/>
      <c r="H206" s="324"/>
      <c r="I206" s="338">
        <v>0.7</v>
      </c>
      <c r="J206" s="324"/>
      <c r="K206" s="324"/>
      <c r="L206" s="324"/>
    </row>
    <row r="207" spans="1:12" s="359" customFormat="1" x14ac:dyDescent="0.2">
      <c r="A207" s="324">
        <v>2020</v>
      </c>
      <c r="B207" s="324"/>
      <c r="C207" s="324"/>
      <c r="D207" s="324"/>
      <c r="E207" s="324"/>
      <c r="F207" s="324"/>
      <c r="G207" s="324"/>
      <c r="H207" s="324"/>
      <c r="I207" s="338">
        <v>0.53</v>
      </c>
      <c r="J207" s="324"/>
      <c r="K207" s="324"/>
      <c r="L207" s="324"/>
    </row>
    <row r="208" spans="1:12" s="359" customFormat="1" x14ac:dyDescent="0.2">
      <c r="A208" s="324">
        <v>2021</v>
      </c>
      <c r="B208" s="324"/>
      <c r="C208" s="324"/>
      <c r="D208" s="324"/>
      <c r="E208" s="324"/>
      <c r="F208" s="324"/>
      <c r="G208" s="324"/>
      <c r="H208" s="324"/>
      <c r="I208" s="338">
        <v>0.25</v>
      </c>
      <c r="J208" s="324"/>
      <c r="K208" s="324"/>
      <c r="L208" s="324"/>
    </row>
    <row r="209" spans="1:12" s="359" customFormat="1" x14ac:dyDescent="0.2">
      <c r="A209" s="324" t="s">
        <v>359</v>
      </c>
      <c r="B209" s="324"/>
      <c r="C209" s="324"/>
      <c r="D209" s="324"/>
      <c r="E209" s="324"/>
      <c r="F209" s="324"/>
      <c r="G209" s="324"/>
      <c r="H209" s="324"/>
      <c r="I209" s="336" t="s">
        <v>366</v>
      </c>
      <c r="J209" s="324"/>
      <c r="K209" s="324"/>
      <c r="L209" s="324"/>
    </row>
    <row r="210" spans="1:12" s="359" customFormat="1" x14ac:dyDescent="0.2">
      <c r="A210" s="324"/>
      <c r="B210" s="324"/>
      <c r="C210" s="324"/>
      <c r="D210" s="324"/>
      <c r="E210" s="324"/>
      <c r="F210" s="324"/>
      <c r="G210" s="324"/>
      <c r="H210" s="324"/>
      <c r="I210" s="336"/>
      <c r="J210" s="324"/>
      <c r="K210" s="324"/>
      <c r="L210" s="324"/>
    </row>
    <row r="211" spans="1:12" s="359" customFormat="1" x14ac:dyDescent="0.2">
      <c r="A211" s="324" t="s">
        <v>379</v>
      </c>
      <c r="B211" s="324"/>
      <c r="C211" s="324"/>
      <c r="D211" s="324"/>
      <c r="E211" s="324"/>
      <c r="F211" s="324"/>
      <c r="G211" s="324"/>
      <c r="H211" s="324"/>
      <c r="I211" s="324"/>
      <c r="J211" s="324"/>
      <c r="K211" s="324"/>
      <c r="L211" s="324"/>
    </row>
    <row r="212" spans="1:12" s="359" customFormat="1" x14ac:dyDescent="0.2">
      <c r="A212" s="324" t="s">
        <v>378</v>
      </c>
      <c r="B212" s="324"/>
      <c r="C212" s="324"/>
      <c r="D212" s="324"/>
      <c r="E212" s="324"/>
      <c r="F212" s="324"/>
      <c r="G212" s="324"/>
      <c r="H212" s="324"/>
      <c r="I212" s="324"/>
      <c r="J212" s="324"/>
      <c r="K212" s="324"/>
      <c r="L212" s="324"/>
    </row>
    <row r="213" spans="1:12" s="359" customFormat="1" x14ac:dyDescent="0.2">
      <c r="A213" s="339"/>
      <c r="B213" s="339"/>
      <c r="C213" s="339"/>
      <c r="D213" s="339"/>
      <c r="E213" s="339"/>
      <c r="F213" s="339"/>
      <c r="G213" s="339"/>
      <c r="H213" s="339"/>
      <c r="I213" s="339"/>
      <c r="J213" s="339"/>
      <c r="K213" s="339"/>
      <c r="L213" s="339"/>
    </row>
    <row r="214" spans="1:12" s="359" customFormat="1" x14ac:dyDescent="0.2">
      <c r="B214" s="324"/>
      <c r="C214" s="324"/>
      <c r="D214" s="324"/>
      <c r="E214" s="324"/>
      <c r="F214" s="324"/>
      <c r="G214" s="324"/>
      <c r="H214" s="324"/>
      <c r="I214" s="324"/>
      <c r="J214" s="324"/>
      <c r="K214" s="324"/>
      <c r="L214" s="324"/>
    </row>
    <row r="215" spans="1:12" s="359" customFormat="1" x14ac:dyDescent="0.2">
      <c r="A215" s="324"/>
      <c r="B215" s="324"/>
      <c r="C215" s="324"/>
      <c r="D215" s="324"/>
      <c r="E215" s="324"/>
      <c r="F215" s="324"/>
      <c r="G215" s="324"/>
      <c r="H215" s="324"/>
      <c r="I215" s="324"/>
      <c r="J215" s="324"/>
      <c r="K215" s="324"/>
      <c r="L215" s="324"/>
    </row>
    <row r="216" spans="1:12" s="359" customFormat="1" x14ac:dyDescent="0.2">
      <c r="A216" s="324"/>
      <c r="B216" s="324"/>
      <c r="C216" s="324"/>
      <c r="D216" s="324"/>
      <c r="E216" s="324"/>
      <c r="F216" s="324"/>
      <c r="G216" s="324"/>
      <c r="H216" s="324"/>
      <c r="I216" s="324"/>
      <c r="J216" s="324"/>
      <c r="K216" s="324"/>
      <c r="L216" s="324"/>
    </row>
    <row r="217" spans="1:12" s="359" customFormat="1" x14ac:dyDescent="0.2">
      <c r="A217" s="324"/>
      <c r="B217" s="324"/>
      <c r="C217" s="324"/>
      <c r="D217" s="324"/>
      <c r="E217" s="324"/>
      <c r="F217" s="324"/>
      <c r="G217" s="324"/>
      <c r="H217" s="324"/>
      <c r="I217" s="324"/>
      <c r="J217" s="324"/>
      <c r="K217" s="324"/>
      <c r="L217" s="324"/>
    </row>
    <row r="218" spans="1:12" s="359" customFormat="1" x14ac:dyDescent="0.2">
      <c r="A218" s="334"/>
      <c r="B218" s="324"/>
      <c r="C218" s="324"/>
      <c r="D218" s="324"/>
      <c r="E218" s="324"/>
      <c r="F218" s="324"/>
      <c r="G218" s="324"/>
      <c r="H218" s="324"/>
      <c r="I218" s="324"/>
      <c r="J218" s="324"/>
      <c r="K218" s="324"/>
      <c r="L218" s="324"/>
    </row>
    <row r="227" spans="1:1" x14ac:dyDescent="0.2">
      <c r="A227" s="335"/>
    </row>
    <row r="228" spans="1:1" x14ac:dyDescent="0.2">
      <c r="A228" s="335"/>
    </row>
    <row r="229" spans="1:1" x14ac:dyDescent="0.2">
      <c r="A229" s="335"/>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41"/>
  <sheetViews>
    <sheetView showGridLines="0" tabSelected="1" workbookViewId="0">
      <pane ySplit="3" topLeftCell="A70" activePane="bottomLeft" state="frozen"/>
      <selection pane="bottomLeft" activeCell="G9" sqref="G9"/>
    </sheetView>
  </sheetViews>
  <sheetFormatPr baseColWidth="10" defaultColWidth="9.1640625" defaultRowHeight="13" outlineLevelRow="1" x14ac:dyDescent="0.15"/>
  <cols>
    <col min="1" max="1" width="12.6640625" customWidth="1"/>
    <col min="2" max="2" width="12.33203125" customWidth="1"/>
    <col min="3" max="3" width="31.33203125" customWidth="1"/>
    <col min="4" max="14" width="15.83203125" customWidth="1"/>
  </cols>
  <sheetData>
    <row r="1" spans="1:16" ht="16" x14ac:dyDescent="0.2">
      <c r="A1" s="446"/>
      <c r="B1" s="447"/>
      <c r="C1" s="448"/>
      <c r="D1" s="458" t="s">
        <v>61</v>
      </c>
      <c r="E1" s="459"/>
      <c r="F1" s="459"/>
      <c r="G1" s="459"/>
      <c r="H1" s="459"/>
      <c r="I1" s="455" t="s">
        <v>62</v>
      </c>
      <c r="J1" s="456"/>
      <c r="K1" s="456"/>
      <c r="L1" s="456"/>
      <c r="M1" s="456"/>
      <c r="N1" s="64"/>
      <c r="O1" s="64"/>
      <c r="P1" s="64"/>
    </row>
    <row r="2" spans="1:16" ht="21" customHeight="1" x14ac:dyDescent="0.2">
      <c r="A2" s="449" t="s">
        <v>63</v>
      </c>
      <c r="B2" s="450"/>
      <c r="C2" s="451"/>
      <c r="D2" s="460">
        <f>DATE(2014,12,31)</f>
        <v>42004</v>
      </c>
      <c r="E2" s="460">
        <f>DATE(YEAR(D2+1),12,31)</f>
        <v>42369</v>
      </c>
      <c r="F2" s="460">
        <f t="shared" ref="F2:M2" si="0">DATE(YEAR(E2+1),12,31)</f>
        <v>42735</v>
      </c>
      <c r="G2" s="460">
        <f t="shared" si="0"/>
        <v>43100</v>
      </c>
      <c r="H2" s="460">
        <f t="shared" si="0"/>
        <v>43465</v>
      </c>
      <c r="I2" s="457">
        <f t="shared" si="0"/>
        <v>43830</v>
      </c>
      <c r="J2" s="457">
        <f t="shared" si="0"/>
        <v>44196</v>
      </c>
      <c r="K2" s="457">
        <f t="shared" si="0"/>
        <v>44561</v>
      </c>
      <c r="L2" s="457">
        <f t="shared" si="0"/>
        <v>44926</v>
      </c>
      <c r="M2" s="457">
        <f t="shared" si="0"/>
        <v>45291</v>
      </c>
      <c r="N2" s="67"/>
      <c r="O2" s="67"/>
      <c r="P2" s="67"/>
    </row>
    <row r="3" spans="1:16" ht="16" x14ac:dyDescent="0.2">
      <c r="A3" s="64" t="s">
        <v>64</v>
      </c>
      <c r="B3" s="64"/>
      <c r="C3" s="68"/>
      <c r="D3" s="69" t="str">
        <f>IFERROR(IF(ABS(D106)&gt;1,"ERROR","OK"),"OK")</f>
        <v>OK</v>
      </c>
      <c r="E3" s="69" t="str">
        <f>IFERROR(IF(ABS(E106)&gt;1,"ERROR","OK"),"OK")</f>
        <v>OK</v>
      </c>
      <c r="F3" s="69" t="str">
        <f>IFERROR(IF(ABS(F106)&gt;1,"ERROR","OK"),"OK")</f>
        <v>OK</v>
      </c>
      <c r="G3" s="69" t="str">
        <f>IFERROR(IF(ABS(G106)&gt;1,"ERROR","OK"),"OK")</f>
        <v>OK</v>
      </c>
      <c r="H3" s="69" t="str">
        <f>IFERROR(IF(ABS(H106)&gt;1,"ERROR","OK"),"OK")</f>
        <v>OK</v>
      </c>
      <c r="I3" s="69" t="str">
        <f>IFERROR(IF(ABS(I106)&gt;1,"ERROR","OK"),"OK")</f>
        <v>OK</v>
      </c>
      <c r="J3" s="69" t="str">
        <f>IFERROR(IF(ABS(J106)&gt;1,"ERROR","OK"),"OK")</f>
        <v>OK</v>
      </c>
      <c r="K3" s="69" t="str">
        <f>IFERROR(IF(ABS(K106)&gt;1,"ERROR","OK"),"OK")</f>
        <v>OK</v>
      </c>
      <c r="L3" s="69" t="str">
        <f>IFERROR(IF(ABS(L106)&gt;1,"ERROR","OK"),"OK")</f>
        <v>OK</v>
      </c>
      <c r="M3" s="69" t="str">
        <f>IFERROR(IF(ABS(M106)&gt;1,"ERROR","OK"),"OK")</f>
        <v>OK</v>
      </c>
      <c r="N3" s="64"/>
      <c r="O3" s="64"/>
      <c r="P3" s="64"/>
    </row>
    <row r="4" spans="1:16" x14ac:dyDescent="0.15">
      <c r="E4">
        <f t="shared" ref="E4:M4" si="1">_xlfn.DAYS(E2,D2)</f>
        <v>365</v>
      </c>
      <c r="F4">
        <f t="shared" si="1"/>
        <v>366</v>
      </c>
      <c r="G4">
        <f t="shared" si="1"/>
        <v>365</v>
      </c>
      <c r="H4">
        <f t="shared" si="1"/>
        <v>365</v>
      </c>
      <c r="I4">
        <f t="shared" si="1"/>
        <v>365</v>
      </c>
      <c r="J4">
        <f t="shared" si="1"/>
        <v>366</v>
      </c>
      <c r="K4">
        <f t="shared" si="1"/>
        <v>365</v>
      </c>
      <c r="L4">
        <f t="shared" si="1"/>
        <v>365</v>
      </c>
      <c r="M4">
        <f t="shared" si="1"/>
        <v>365</v>
      </c>
    </row>
    <row r="5" spans="1:16" ht="20" outlineLevel="1" x14ac:dyDescent="0.2">
      <c r="A5" s="440" t="s">
        <v>66</v>
      </c>
      <c r="B5" s="443"/>
      <c r="C5" s="445"/>
      <c r="D5" s="443"/>
      <c r="E5" s="443"/>
      <c r="F5" s="443"/>
      <c r="G5" s="443"/>
      <c r="H5" s="443"/>
      <c r="I5" s="443"/>
      <c r="J5" s="443"/>
      <c r="K5" s="443"/>
      <c r="L5" s="443"/>
      <c r="M5" s="443"/>
      <c r="N5" s="64"/>
      <c r="O5" s="64">
        <v>1</v>
      </c>
      <c r="P5" s="64" t="s">
        <v>476</v>
      </c>
    </row>
    <row r="6" spans="1:16" ht="16" outlineLevel="1" x14ac:dyDescent="0.2">
      <c r="A6" s="64"/>
      <c r="B6" s="64"/>
      <c r="C6" s="68"/>
      <c r="D6" s="70"/>
      <c r="E6" s="70"/>
      <c r="F6" s="70"/>
      <c r="G6" s="70"/>
      <c r="H6" s="70"/>
      <c r="I6" s="71"/>
      <c r="J6" s="71"/>
      <c r="K6" s="71"/>
      <c r="L6" s="71"/>
      <c r="M6" s="71"/>
      <c r="N6" s="64"/>
      <c r="O6" s="64">
        <f>O5+1</f>
        <v>2</v>
      </c>
      <c r="P6" s="64" t="s">
        <v>477</v>
      </c>
    </row>
    <row r="7" spans="1:16" ht="16" outlineLevel="1" x14ac:dyDescent="0.2">
      <c r="A7" s="72" t="s">
        <v>65</v>
      </c>
      <c r="B7" s="64"/>
      <c r="C7" s="68"/>
      <c r="D7" s="70"/>
      <c r="E7" s="70"/>
      <c r="F7" s="70"/>
      <c r="G7" s="70"/>
      <c r="H7" s="70"/>
      <c r="I7" s="71"/>
      <c r="J7" s="71"/>
      <c r="K7" s="71"/>
      <c r="L7" s="71"/>
      <c r="M7" s="71"/>
      <c r="N7" s="92"/>
      <c r="O7" s="64">
        <f t="shared" ref="O7:O15" si="2">O6+1</f>
        <v>3</v>
      </c>
      <c r="P7" s="64" t="s">
        <v>478</v>
      </c>
    </row>
    <row r="8" spans="1:16" ht="16" outlineLevel="1" x14ac:dyDescent="0.2">
      <c r="A8" s="422" t="s">
        <v>439</v>
      </c>
      <c r="B8" s="76"/>
      <c r="C8" s="77"/>
      <c r="D8" s="280"/>
      <c r="E8" s="280"/>
      <c r="F8" s="280"/>
      <c r="G8" s="280"/>
      <c r="H8" s="280">
        <f>H9/G9-1</f>
        <v>3.8905398175756778E-2</v>
      </c>
      <c r="I8" s="396">
        <f>Scenarios!I9</f>
        <v>2.5000000000000001E-2</v>
      </c>
      <c r="J8" s="396">
        <f>Scenarios!J9</f>
        <v>2.5000000000000001E-2</v>
      </c>
      <c r="K8" s="396">
        <f>Scenarios!K9</f>
        <v>2.5000000000000001E-2</v>
      </c>
      <c r="L8" s="396">
        <f>Scenarios!L9</f>
        <v>2.5000000000000001E-2</v>
      </c>
      <c r="M8" s="396">
        <f>Scenarios!M9</f>
        <v>2.5000000000000001E-2</v>
      </c>
      <c r="N8" s="64"/>
      <c r="O8" s="64">
        <f t="shared" si="2"/>
        <v>4</v>
      </c>
      <c r="P8" s="64" t="s">
        <v>479</v>
      </c>
    </row>
    <row r="9" spans="1:16" ht="16" outlineLevel="1" x14ac:dyDescent="0.2">
      <c r="A9" s="422" t="s">
        <v>420</v>
      </c>
      <c r="B9" s="76"/>
      <c r="C9" s="77"/>
      <c r="D9" s="280"/>
      <c r="E9" s="280"/>
      <c r="F9" s="280"/>
      <c r="G9" s="436">
        <v>153811072</v>
      </c>
      <c r="H9" s="436">
        <v>159795153</v>
      </c>
      <c r="I9" s="394">
        <f>Scenarios!I10</f>
        <v>163790031.82499999</v>
      </c>
      <c r="J9" s="394">
        <f>Scenarios!J10</f>
        <v>167884782.62062496</v>
      </c>
      <c r="K9" s="394">
        <f>Scenarios!K10</f>
        <v>172081902.18614057</v>
      </c>
      <c r="L9" s="394">
        <f>Scenarios!L10</f>
        <v>176383949.74079406</v>
      </c>
      <c r="M9" s="394">
        <f>Scenarios!M10</f>
        <v>180793548.48431391</v>
      </c>
      <c r="N9" s="64"/>
      <c r="O9" s="64">
        <f t="shared" si="2"/>
        <v>5</v>
      </c>
      <c r="P9" s="64" t="s">
        <v>480</v>
      </c>
    </row>
    <row r="10" spans="1:16" ht="16" outlineLevel="1" x14ac:dyDescent="0.2">
      <c r="A10" s="422" t="s">
        <v>421</v>
      </c>
      <c r="B10" s="76"/>
      <c r="C10" s="77"/>
      <c r="D10" s="280"/>
      <c r="E10" s="280"/>
      <c r="F10" s="280"/>
      <c r="G10" s="134">
        <v>13.75</v>
      </c>
      <c r="H10" s="134">
        <v>13.75</v>
      </c>
      <c r="I10" s="392">
        <f>Scenarios!I11</f>
        <v>14.368749999999999</v>
      </c>
      <c r="J10" s="392">
        <f>Scenarios!J11</f>
        <v>15.015343749999998</v>
      </c>
      <c r="K10" s="392">
        <f>Scenarios!K11</f>
        <v>15.691034218749996</v>
      </c>
      <c r="L10" s="392">
        <f>Scenarios!L11</f>
        <v>16.397130758593743</v>
      </c>
      <c r="M10" s="392">
        <f>Scenarios!M11</f>
        <v>17.135001642730462</v>
      </c>
      <c r="N10" s="64"/>
      <c r="O10" s="64">
        <f t="shared" si="2"/>
        <v>6</v>
      </c>
      <c r="P10" s="64"/>
    </row>
    <row r="11" spans="1:16" ht="16" outlineLevel="1" x14ac:dyDescent="0.2">
      <c r="A11" s="422" t="s">
        <v>422</v>
      </c>
      <c r="B11" s="76"/>
      <c r="C11" s="77"/>
      <c r="D11" s="280"/>
      <c r="E11" s="280"/>
      <c r="F11" s="280"/>
      <c r="G11" s="134">
        <v>12.85</v>
      </c>
      <c r="H11" s="134">
        <v>12.8</v>
      </c>
      <c r="I11" s="392">
        <f>Scenarios!I12</f>
        <v>13.375999999999999</v>
      </c>
      <c r="J11" s="392">
        <f>Scenarios!J12</f>
        <v>13.977919999999999</v>
      </c>
      <c r="K11" s="392">
        <f>Scenarios!K12</f>
        <v>14.606926399999999</v>
      </c>
      <c r="L11" s="392">
        <f>Scenarios!L12</f>
        <v>15.264238087999997</v>
      </c>
      <c r="M11" s="392">
        <f>Scenarios!M12</f>
        <v>15.951128801959996</v>
      </c>
      <c r="N11" s="64"/>
      <c r="O11" s="64">
        <f t="shared" si="2"/>
        <v>7</v>
      </c>
      <c r="P11" s="64"/>
    </row>
    <row r="12" spans="1:16" ht="16" outlineLevel="1" x14ac:dyDescent="0.2">
      <c r="A12" s="422" t="s">
        <v>423</v>
      </c>
      <c r="B12" s="83"/>
      <c r="C12" s="84"/>
      <c r="D12" s="280"/>
      <c r="E12" s="280"/>
      <c r="F12" s="280"/>
      <c r="G12" s="134">
        <v>11.53</v>
      </c>
      <c r="H12" s="134">
        <v>11.74</v>
      </c>
      <c r="I12" s="392">
        <f>Scenarios!I13</f>
        <v>11.565772727272725</v>
      </c>
      <c r="J12" s="392">
        <f>Scenarios!J13</f>
        <v>11.7</v>
      </c>
      <c r="K12" s="392">
        <f>Scenarios!K13</f>
        <v>12</v>
      </c>
      <c r="L12" s="392">
        <f>Scenarios!L13</f>
        <v>12.25</v>
      </c>
      <c r="M12" s="392">
        <f>Scenarios!M13</f>
        <v>13</v>
      </c>
      <c r="N12" s="64"/>
      <c r="O12" s="64">
        <f t="shared" si="2"/>
        <v>8</v>
      </c>
      <c r="P12" s="64"/>
    </row>
    <row r="13" spans="1:16" ht="16" outlineLevel="1" x14ac:dyDescent="0.2">
      <c r="A13" s="424" t="s">
        <v>424</v>
      </c>
      <c r="B13" s="76"/>
      <c r="C13" s="77"/>
      <c r="D13" s="280"/>
      <c r="E13" s="280"/>
      <c r="F13" s="280"/>
      <c r="G13" s="134">
        <v>8.8800000000000008</v>
      </c>
      <c r="H13" s="134">
        <v>8.85</v>
      </c>
      <c r="I13" s="392">
        <f>Scenarios!I14</f>
        <v>8.9384999999999994</v>
      </c>
      <c r="J13" s="392">
        <f>Scenarios!J14</f>
        <v>9.0278849999999995</v>
      </c>
      <c r="K13" s="392">
        <f>Scenarios!K14</f>
        <v>9.1181638500000002</v>
      </c>
      <c r="L13" s="392">
        <f>Scenarios!L14</f>
        <v>9.2093454885000003</v>
      </c>
      <c r="M13" s="392">
        <f>Scenarios!M14</f>
        <v>9.3014389433849995</v>
      </c>
      <c r="N13" s="64"/>
      <c r="O13" s="64">
        <f t="shared" si="2"/>
        <v>9</v>
      </c>
      <c r="P13" s="64"/>
    </row>
    <row r="14" spans="1:16" ht="16" outlineLevel="1" x14ac:dyDescent="0.2">
      <c r="A14" s="422" t="s">
        <v>425</v>
      </c>
      <c r="B14" s="76"/>
      <c r="C14" s="77"/>
      <c r="D14" s="280"/>
      <c r="E14" s="280"/>
      <c r="F14" s="280"/>
      <c r="G14" s="134">
        <v>1.99</v>
      </c>
      <c r="H14" s="134">
        <v>2.2000000000000002</v>
      </c>
      <c r="I14" s="392">
        <f>Scenarios!I15</f>
        <v>2.0499999999999998</v>
      </c>
      <c r="J14" s="392">
        <f>Scenarios!J15</f>
        <v>2.2000000000000002</v>
      </c>
      <c r="K14" s="392">
        <f>Scenarios!K15</f>
        <v>2.2999999999999998</v>
      </c>
      <c r="L14" s="392">
        <f>Scenarios!L15</f>
        <v>2.15</v>
      </c>
      <c r="M14" s="392">
        <f>Scenarios!M15</f>
        <v>2.2999999999999998</v>
      </c>
      <c r="N14" s="64"/>
      <c r="O14" s="64">
        <f t="shared" si="2"/>
        <v>10</v>
      </c>
      <c r="P14" s="64"/>
    </row>
    <row r="15" spans="1:16" ht="16" outlineLevel="1" x14ac:dyDescent="0.2">
      <c r="A15" s="422" t="s">
        <v>426</v>
      </c>
      <c r="B15" s="76"/>
      <c r="C15" s="77"/>
      <c r="D15" s="280"/>
      <c r="E15" s="280"/>
      <c r="F15" s="280"/>
      <c r="G15" s="76">
        <v>2045</v>
      </c>
      <c r="H15" s="76">
        <v>2094</v>
      </c>
      <c r="I15" s="394">
        <f>Scenarios!I16</f>
        <v>2099.1272371363634</v>
      </c>
      <c r="J15" s="394">
        <f>Scenarios!J16</f>
        <v>2099.1272371363634</v>
      </c>
      <c r="K15" s="394">
        <f>Scenarios!K16</f>
        <v>2099.1272371363634</v>
      </c>
      <c r="L15" s="394">
        <f>Scenarios!L16</f>
        <v>2099.1272371363634</v>
      </c>
      <c r="M15" s="394">
        <f>Scenarios!M16</f>
        <v>2099.1272371363634</v>
      </c>
      <c r="N15" s="64"/>
      <c r="O15" s="64">
        <f t="shared" si="2"/>
        <v>11</v>
      </c>
      <c r="P15" s="64"/>
    </row>
    <row r="16" spans="1:16" ht="16" outlineLevel="1" x14ac:dyDescent="0.2">
      <c r="A16" s="424" t="s">
        <v>427</v>
      </c>
      <c r="B16" s="76"/>
      <c r="C16" s="77"/>
      <c r="D16" s="280"/>
      <c r="E16" s="280"/>
      <c r="F16" s="280"/>
      <c r="G16" s="76">
        <v>4069.55</v>
      </c>
      <c r="H16" s="76">
        <v>4606.8</v>
      </c>
      <c r="I16" s="394">
        <f>Scenarios!I17</f>
        <v>4303.210836129545</v>
      </c>
      <c r="J16" s="394">
        <f>Scenarios!J17</f>
        <v>4303.210836129545</v>
      </c>
      <c r="K16" s="394">
        <f>Scenarios!K17</f>
        <v>4303.210836129545</v>
      </c>
      <c r="L16" s="394">
        <f>Scenarios!L17</f>
        <v>4303.210836129545</v>
      </c>
      <c r="M16" s="394">
        <f>Scenarios!M17</f>
        <v>4303.210836129545</v>
      </c>
      <c r="N16" s="64"/>
      <c r="O16" s="64"/>
      <c r="P16" s="64"/>
    </row>
    <row r="17" spans="1:16" ht="16" outlineLevel="1" x14ac:dyDescent="0.2">
      <c r="A17" s="422" t="s">
        <v>429</v>
      </c>
      <c r="B17" s="311"/>
      <c r="C17" s="81"/>
      <c r="D17" s="78">
        <f>D113/D77</f>
        <v>7.157573445249904E-2</v>
      </c>
      <c r="E17" s="78">
        <f>E113/E77</f>
        <v>7.4648819592557175E-2</v>
      </c>
      <c r="F17" s="78">
        <f>F113/F77</f>
        <v>8.3435834358343577E-2</v>
      </c>
      <c r="G17" s="78">
        <f>G113/G77</f>
        <v>7.5760403060272444E-2</v>
      </c>
      <c r="H17" s="78">
        <f>H113/H77</f>
        <v>7.0721940878577319E-2</v>
      </c>
      <c r="I17" s="389">
        <f>Scenarios!I18</f>
        <v>7.4999999999999997E-2</v>
      </c>
      <c r="J17" s="389">
        <f>Scenarios!J18</f>
        <v>7.4999999999999997E-2</v>
      </c>
      <c r="K17" s="389">
        <f>Scenarios!K18</f>
        <v>7.4999999999999997E-2</v>
      </c>
      <c r="L17" s="389">
        <f>Scenarios!L18</f>
        <v>7.4999999999999997E-2</v>
      </c>
      <c r="M17" s="389">
        <f>Scenarios!M18</f>
        <v>7.4999999999999997E-2</v>
      </c>
      <c r="N17" s="64"/>
      <c r="O17" s="64"/>
      <c r="P17" s="64"/>
    </row>
    <row r="18" spans="1:16" s="298" customFormat="1" ht="16" outlineLevel="1" x14ac:dyDescent="0.2">
      <c r="A18" s="422" t="s">
        <v>430</v>
      </c>
      <c r="B18" s="311"/>
      <c r="C18" s="82"/>
      <c r="D18" s="425">
        <f>D52/SUM(D91,D87)</f>
        <v>4.8291233283803865E-2</v>
      </c>
      <c r="E18" s="425">
        <f>E52/SUM(E91,E87)</f>
        <v>3.8074260541220893E-2</v>
      </c>
      <c r="F18" s="425">
        <f>F52/SUM(F91,F87)</f>
        <v>3.6020076764098019E-2</v>
      </c>
      <c r="G18" s="425">
        <f>G52/SUM(G91,G87)</f>
        <v>3.1079607415485277E-2</v>
      </c>
      <c r="H18" s="425">
        <f>H52/SUM(H91,H87)</f>
        <v>3.8791827065442701E-2</v>
      </c>
      <c r="I18" s="389">
        <f>Scenarios!I19</f>
        <v>3.5000000000000003E-2</v>
      </c>
      <c r="J18" s="389">
        <f>Scenarios!J19</f>
        <v>3.5000000000000003E-2</v>
      </c>
      <c r="K18" s="389">
        <f>Scenarios!K19</f>
        <v>3.5000000000000003E-2</v>
      </c>
      <c r="L18" s="389">
        <f>Scenarios!L19</f>
        <v>3.5000000000000003E-2</v>
      </c>
      <c r="M18" s="389">
        <f>Scenarios!M19</f>
        <v>3.5000000000000003E-2</v>
      </c>
      <c r="N18" s="297" t="s">
        <v>481</v>
      </c>
      <c r="O18" s="76">
        <v>150</v>
      </c>
      <c r="P18" s="76"/>
    </row>
    <row r="19" spans="1:16" ht="16" outlineLevel="1" x14ac:dyDescent="0.2">
      <c r="A19" s="422" t="s">
        <v>431</v>
      </c>
      <c r="B19" s="311"/>
      <c r="C19" s="82"/>
      <c r="D19" s="425">
        <f>D59/D58</f>
        <v>0.37444933920704848</v>
      </c>
      <c r="E19" s="425">
        <f>E59/E58</f>
        <v>0.37309571716010348</v>
      </c>
      <c r="F19" s="425">
        <f>F59/F58</f>
        <v>0.36724637681159422</v>
      </c>
      <c r="G19" s="425">
        <f>G59/G58</f>
        <v>-2.8177641653905055E-2</v>
      </c>
      <c r="H19" s="425">
        <f>H59/H58</f>
        <v>0.2209228824273072</v>
      </c>
      <c r="I19" s="389">
        <f>Scenarios!I20</f>
        <v>0.21</v>
      </c>
      <c r="J19" s="389">
        <f>Scenarios!J20</f>
        <v>0.21</v>
      </c>
      <c r="K19" s="389">
        <f>Scenarios!K20</f>
        <v>0.21</v>
      </c>
      <c r="L19" s="389">
        <f>Scenarios!L20</f>
        <v>0.21</v>
      </c>
      <c r="M19" s="389">
        <f>Scenarios!M20</f>
        <v>0.21</v>
      </c>
      <c r="N19" s="286" t="s">
        <v>482</v>
      </c>
      <c r="O19" s="64">
        <v>40</v>
      </c>
      <c r="P19" s="64"/>
    </row>
    <row r="20" spans="1:16" ht="16" outlineLevel="1" x14ac:dyDescent="0.2">
      <c r="A20" s="422" t="s">
        <v>432</v>
      </c>
      <c r="B20" s="311"/>
      <c r="C20" s="82"/>
      <c r="D20" s="426"/>
      <c r="E20" s="70">
        <f>AVERAGE(D68:E68)/E41*365</f>
        <v>7.725403632694249</v>
      </c>
      <c r="F20" s="70">
        <f>AVERAGE(E68:F68)/F41*365</f>
        <v>9.1749223717285222</v>
      </c>
      <c r="G20" s="70">
        <f>AVERAGE(F68:G68)/G41*365</f>
        <v>10.425612408966234</v>
      </c>
      <c r="H20" s="70">
        <f>AVERAGE(G68:H68)/H41*365</f>
        <v>10.219667653084453</v>
      </c>
      <c r="I20" s="394">
        <f>Scenarios!I21</f>
        <v>10</v>
      </c>
      <c r="J20" s="394">
        <f>Scenarios!J21</f>
        <v>10</v>
      </c>
      <c r="K20" s="394">
        <f>Scenarios!K21</f>
        <v>10</v>
      </c>
      <c r="L20" s="394">
        <f>Scenarios!L21</f>
        <v>10</v>
      </c>
      <c r="M20" s="394">
        <f>Scenarios!M21</f>
        <v>10</v>
      </c>
      <c r="N20" s="286" t="s">
        <v>483</v>
      </c>
      <c r="O20" s="64">
        <v>28</v>
      </c>
      <c r="P20" s="64"/>
    </row>
    <row r="21" spans="1:16" ht="16" outlineLevel="1" x14ac:dyDescent="0.2">
      <c r="A21" s="422" t="s">
        <v>444</v>
      </c>
      <c r="B21" s="311"/>
      <c r="C21" s="82"/>
      <c r="D21" s="426"/>
      <c r="E21" s="430">
        <f>E4/(E51/AVERAGE(D69:E69))</f>
        <v>7.6075646345355885</v>
      </c>
      <c r="F21" s="430">
        <f>F4/(F51/AVERAGE(E69:F69))</f>
        <v>7.0724637681159424</v>
      </c>
      <c r="G21" s="430">
        <f>G4/(G51/AVERAGE(F69:G69))</f>
        <v>7.7880658436213999</v>
      </c>
      <c r="H21" s="430">
        <f>H4/(H51/AVERAGE(G69:H69))</f>
        <v>8.5709526094141477</v>
      </c>
      <c r="I21" s="393">
        <f>Scenarios!I22</f>
        <v>9</v>
      </c>
      <c r="J21" s="393">
        <f>Scenarios!J22</f>
        <v>9</v>
      </c>
      <c r="K21" s="393">
        <f>Scenarios!K22</f>
        <v>9</v>
      </c>
      <c r="L21" s="393">
        <f>Scenarios!L22</f>
        <v>9</v>
      </c>
      <c r="M21" s="393">
        <f>Scenarios!M22</f>
        <v>9</v>
      </c>
      <c r="N21" s="64"/>
      <c r="O21" s="64"/>
      <c r="P21" s="64"/>
    </row>
    <row r="22" spans="1:16" ht="16" outlineLevel="1" x14ac:dyDescent="0.2">
      <c r="A22" s="422" t="s">
        <v>433</v>
      </c>
      <c r="B22" s="311"/>
      <c r="C22" s="68"/>
      <c r="D22" s="426"/>
      <c r="E22" s="70">
        <f>E4/(SUM(E45)/AVERAGE(D85:E85))</f>
        <v>120.67408738938052</v>
      </c>
      <c r="F22" s="70">
        <f>F4/(SUM(F45)/AVERAGE(E85:F85))</f>
        <v>113.91160220994475</v>
      </c>
      <c r="G22" s="70">
        <f>G4/(SUM(G45)/AVERAGE(F85:G85))</f>
        <v>111.84617271835133</v>
      </c>
      <c r="H22" s="70">
        <f>H4/(SUM(H45)/AVERAGE(G85:H85))</f>
        <v>108.17157712305026</v>
      </c>
      <c r="I22" s="394">
        <f>Scenarios!I23</f>
        <v>108</v>
      </c>
      <c r="J22" s="394">
        <f>Scenarios!J23</f>
        <v>108</v>
      </c>
      <c r="K22" s="394">
        <f>Scenarios!K23</f>
        <v>108</v>
      </c>
      <c r="L22" s="394">
        <f>Scenarios!L23</f>
        <v>108</v>
      </c>
      <c r="M22" s="394">
        <f>Scenarios!M23</f>
        <v>108</v>
      </c>
      <c r="N22" s="64"/>
      <c r="O22" s="64"/>
      <c r="P22" s="64"/>
    </row>
    <row r="23" spans="1:16" ht="16" outlineLevel="1" x14ac:dyDescent="0.2">
      <c r="A23" s="422" t="s">
        <v>434</v>
      </c>
      <c r="B23" s="311"/>
      <c r="C23" s="68"/>
      <c r="D23" s="426"/>
      <c r="E23" s="70">
        <f>E4/(E51/AVERAGE(D85:E85))</f>
        <v>27.855569741461856</v>
      </c>
      <c r="F23" s="70">
        <f>F4/(F51/AVERAGE(E85:F85))</f>
        <v>25.823224190373949</v>
      </c>
      <c r="G23" s="70">
        <f>G4/(G51/AVERAGE(F85:G85))</f>
        <v>25.699588477366255</v>
      </c>
      <c r="H23" s="70">
        <f>H4/(H51/AVERAGE(G85:H85))</f>
        <v>26.617623540700464</v>
      </c>
      <c r="I23" s="394">
        <f>Scenarios!I24</f>
        <v>28</v>
      </c>
      <c r="J23" s="394">
        <f>Scenarios!J24</f>
        <v>28</v>
      </c>
      <c r="K23" s="394">
        <f>Scenarios!K24</f>
        <v>28</v>
      </c>
      <c r="L23" s="394">
        <f>Scenarios!L24</f>
        <v>28</v>
      </c>
      <c r="M23" s="394">
        <f>Scenarios!M24</f>
        <v>28</v>
      </c>
      <c r="N23" s="64"/>
      <c r="O23" s="64"/>
      <c r="P23" s="64"/>
    </row>
    <row r="24" spans="1:16" ht="16" outlineLevel="1" x14ac:dyDescent="0.2">
      <c r="A24" s="422" t="s">
        <v>440</v>
      </c>
      <c r="B24" s="311"/>
      <c r="C24" s="68"/>
      <c r="D24" s="70">
        <f>-D130</f>
        <v>1748</v>
      </c>
      <c r="E24" s="70">
        <f>-E130</f>
        <v>2041</v>
      </c>
      <c r="F24" s="70">
        <f t="shared" ref="F24:H24" si="3">-F130</f>
        <v>2038</v>
      </c>
      <c r="G24" s="70">
        <f t="shared" si="3"/>
        <v>2123</v>
      </c>
      <c r="H24" s="70">
        <f t="shared" si="3"/>
        <v>1922</v>
      </c>
      <c r="I24" s="394">
        <f>Scenarios!I25</f>
        <v>1500</v>
      </c>
      <c r="J24" s="394">
        <f>Scenarios!J25</f>
        <v>1500</v>
      </c>
      <c r="K24" s="394">
        <f>Scenarios!K25</f>
        <v>1500</v>
      </c>
      <c r="L24" s="394">
        <f>Scenarios!L25</f>
        <v>1500</v>
      </c>
      <c r="M24" s="394">
        <f>Scenarios!M25</f>
        <v>1500</v>
      </c>
      <c r="N24" s="64"/>
      <c r="O24" s="64"/>
      <c r="P24" s="64"/>
    </row>
    <row r="25" spans="1:16" ht="16" outlineLevel="1" x14ac:dyDescent="0.2">
      <c r="A25" s="422" t="s">
        <v>417</v>
      </c>
      <c r="B25" s="311"/>
      <c r="C25" s="68"/>
      <c r="D25" s="70">
        <f>SUM(D137:D139)</f>
        <v>-261</v>
      </c>
      <c r="E25" s="70">
        <f>SUM(E137:E139)</f>
        <v>287</v>
      </c>
      <c r="F25" s="70">
        <f>SUM(F137:F139)</f>
        <v>-76</v>
      </c>
      <c r="G25" s="70">
        <f>SUM(G137:G139)</f>
        <v>8</v>
      </c>
      <c r="H25" s="70">
        <f>SUM(H137:H139)</f>
        <v>-342</v>
      </c>
      <c r="I25" s="394">
        <f>Scenarios!I26</f>
        <v>-250</v>
      </c>
      <c r="J25" s="394">
        <f>Scenarios!J26</f>
        <v>-250</v>
      </c>
      <c r="K25" s="394">
        <f>Scenarios!K26</f>
        <v>-250</v>
      </c>
      <c r="L25" s="394">
        <f>Scenarios!L26</f>
        <v>-250</v>
      </c>
      <c r="M25" s="394">
        <f>Scenarios!M26</f>
        <v>-250</v>
      </c>
    </row>
    <row r="26" spans="1:16" ht="16" outlineLevel="1" x14ac:dyDescent="0.2">
      <c r="A26" s="422" t="s">
        <v>418</v>
      </c>
      <c r="B26" s="311"/>
      <c r="C26" s="68"/>
      <c r="D26" s="70">
        <f>D141</f>
        <v>-955</v>
      </c>
      <c r="E26" s="70">
        <f t="shared" ref="E26:H26" si="4">E141</f>
        <v>-1180</v>
      </c>
      <c r="F26" s="70">
        <f t="shared" si="4"/>
        <v>-1750</v>
      </c>
      <c r="G26" s="70">
        <f t="shared" si="4"/>
        <v>-1600</v>
      </c>
      <c r="H26" s="70">
        <f t="shared" si="4"/>
        <v>-2000</v>
      </c>
      <c r="I26" s="394">
        <f>Scenarios!I27</f>
        <v>-500</v>
      </c>
      <c r="J26" s="394">
        <f>Scenarios!J27</f>
        <v>-500</v>
      </c>
      <c r="K26" s="394">
        <f>Scenarios!K27</f>
        <v>-500</v>
      </c>
      <c r="L26" s="394">
        <f>Scenarios!L27</f>
        <v>-500</v>
      </c>
      <c r="M26" s="394">
        <f>Scenarios!M27</f>
        <v>-500</v>
      </c>
    </row>
    <row r="27" spans="1:16" ht="16" outlineLevel="1" x14ac:dyDescent="0.2">
      <c r="A27" s="422" t="s">
        <v>419</v>
      </c>
      <c r="B27" s="311"/>
      <c r="C27" s="68"/>
      <c r="D27" s="70">
        <f>D142</f>
        <v>-139</v>
      </c>
      <c r="E27" s="70">
        <f t="shared" ref="E27:H27" si="5">E142</f>
        <v>-180</v>
      </c>
      <c r="F27" s="70">
        <f t="shared" si="5"/>
        <v>-222</v>
      </c>
      <c r="G27" s="70">
        <f t="shared" si="5"/>
        <v>-274</v>
      </c>
      <c r="H27" s="70">
        <f t="shared" si="5"/>
        <v>-332</v>
      </c>
      <c r="I27" s="394">
        <f>Scenarios!I28</f>
        <v>-360</v>
      </c>
      <c r="J27" s="394">
        <f>Scenarios!J28</f>
        <v>-360</v>
      </c>
      <c r="K27" s="394">
        <f>Scenarios!K28</f>
        <v>-360</v>
      </c>
      <c r="L27" s="394">
        <f>Scenarios!L28</f>
        <v>-360</v>
      </c>
      <c r="M27" s="394">
        <f>Scenarios!M28</f>
        <v>-360</v>
      </c>
    </row>
    <row r="28" spans="1:16" ht="16" outlineLevel="1" x14ac:dyDescent="0.2">
      <c r="A28" s="76" t="s">
        <v>442</v>
      </c>
      <c r="B28" s="76"/>
      <c r="C28" s="77"/>
      <c r="D28" s="427">
        <f>D87/D91</f>
        <v>0.10599835661462613</v>
      </c>
      <c r="E28" s="427">
        <f>E87/E91</f>
        <v>0.25068870523415976</v>
      </c>
      <c r="F28" s="427">
        <f>F87/F91</f>
        <v>0.20063807160581354</v>
      </c>
      <c r="G28" s="427">
        <f>G87/G91</f>
        <v>0.10481927710843374</v>
      </c>
      <c r="H28" s="427">
        <f>H87/H91</f>
        <v>0.21869361241429086</v>
      </c>
      <c r="I28" s="395">
        <f>Scenarios!I29</f>
        <v>0.2</v>
      </c>
      <c r="J28" s="395">
        <f>Scenarios!J29</f>
        <v>0.2</v>
      </c>
      <c r="K28" s="395">
        <f>Scenarios!K29</f>
        <v>0.2</v>
      </c>
      <c r="L28" s="395">
        <f>Scenarios!L29</f>
        <v>0.2</v>
      </c>
      <c r="M28" s="395">
        <f>Scenarios!M29</f>
        <v>0.2</v>
      </c>
    </row>
    <row r="29" spans="1:16" ht="16" outlineLevel="1" x14ac:dyDescent="0.2">
      <c r="A29" s="93" t="s">
        <v>443</v>
      </c>
      <c r="B29" s="93"/>
      <c r="C29" s="94"/>
      <c r="D29" s="477">
        <f>1-D28</f>
        <v>0.89400164338537391</v>
      </c>
      <c r="E29" s="477">
        <f t="shared" ref="E29:H29" si="6">1-E28</f>
        <v>0.74931129476584024</v>
      </c>
      <c r="F29" s="477">
        <f t="shared" si="6"/>
        <v>0.79936192839418641</v>
      </c>
      <c r="G29" s="477">
        <f t="shared" si="6"/>
        <v>0.89518072289156625</v>
      </c>
      <c r="H29" s="477">
        <f t="shared" si="6"/>
        <v>0.78130638758570914</v>
      </c>
      <c r="I29" s="318">
        <f>Scenarios!I30</f>
        <v>0.8</v>
      </c>
      <c r="J29" s="318">
        <f>Scenarios!J30</f>
        <v>0.8</v>
      </c>
      <c r="K29" s="318">
        <f>Scenarios!K30</f>
        <v>0.8</v>
      </c>
      <c r="L29" s="318">
        <f>Scenarios!L30</f>
        <v>0.8</v>
      </c>
      <c r="M29" s="318">
        <f>Scenarios!M30</f>
        <v>0.8</v>
      </c>
    </row>
    <row r="30" spans="1:16" ht="16" outlineLevel="1" x14ac:dyDescent="0.2">
      <c r="A30" s="435" t="s">
        <v>447</v>
      </c>
      <c r="B30" s="311"/>
      <c r="C30" s="77"/>
      <c r="D30" s="433"/>
      <c r="E30" s="280">
        <f>E41/D41-1</f>
        <v>6.5305025530771221E-2</v>
      </c>
      <c r="F30" s="280">
        <f>F41/E41-1</f>
        <v>2.3662966700302768E-2</v>
      </c>
      <c r="G30" s="280">
        <f>G41/F41-1</f>
        <v>4.2239637241855199E-2</v>
      </c>
      <c r="H30" s="280">
        <f>H41/G41-1</f>
        <v>3.8730729215927351E-2</v>
      </c>
      <c r="I30" s="280">
        <f>I41/H41-1</f>
        <v>7.1458238008408115E-2</v>
      </c>
      <c r="J30" s="280">
        <f>J41/I41-1</f>
        <v>7.1124999999999883E-2</v>
      </c>
      <c r="K30" s="280">
        <f>K41/J41-1</f>
        <v>7.1124999999999883E-2</v>
      </c>
      <c r="L30" s="280">
        <f>L41/K41-1</f>
        <v>7.1124999999999661E-2</v>
      </c>
      <c r="M30" s="280">
        <f>M41/L41-1</f>
        <v>7.1124999999999883E-2</v>
      </c>
    </row>
    <row r="31" spans="1:16" ht="16" outlineLevel="1" x14ac:dyDescent="0.2">
      <c r="A31" s="435" t="s">
        <v>448</v>
      </c>
      <c r="B31" s="311"/>
      <c r="C31" s="77"/>
      <c r="D31" s="434"/>
      <c r="E31" s="78">
        <f>E38/D38-1</f>
        <v>3.6300826820704568E-2</v>
      </c>
      <c r="F31" s="78">
        <f>F38/E38-1</f>
        <v>4.2024154325372987E-2</v>
      </c>
      <c r="G31" s="78">
        <f>G38/F38-1</f>
        <v>3.644850010488776E-2</v>
      </c>
      <c r="H31" s="78">
        <f>H38/G38-1</f>
        <v>3.5014926883570219E-2</v>
      </c>
      <c r="I31" s="78">
        <f>I38/H38-1</f>
        <v>7.1061092980298168E-2</v>
      </c>
      <c r="J31" s="78">
        <f>J38/I38-1</f>
        <v>7.1124999999999883E-2</v>
      </c>
      <c r="K31" s="78">
        <f>K38/J38-1</f>
        <v>7.1124999999999883E-2</v>
      </c>
      <c r="L31" s="78">
        <f>L38/K38-1</f>
        <v>7.1124999999999661E-2</v>
      </c>
      <c r="M31" s="78">
        <f>M38/L38-1</f>
        <v>7.1124999999999883E-2</v>
      </c>
    </row>
    <row r="32" spans="1:16" ht="16" outlineLevel="1" x14ac:dyDescent="0.2">
      <c r="A32" s="435" t="s">
        <v>428</v>
      </c>
      <c r="B32" s="311"/>
      <c r="C32" s="77"/>
      <c r="D32" s="434"/>
      <c r="E32" s="78">
        <f>E51/D51-1</f>
        <v>-3.6237233911652567E-2</v>
      </c>
      <c r="F32" s="78">
        <f>F51/E51-1</f>
        <v>7.0347909352058702E-2</v>
      </c>
      <c r="G32" s="78">
        <f>G51/F51-1</f>
        <v>5.7971014492753659E-2</v>
      </c>
      <c r="H32" s="78">
        <f>H51/G51-1</f>
        <v>5.7500422797226447E-2</v>
      </c>
      <c r="I32" s="78">
        <f>I51/H51-1</f>
        <v>9.8396945896457311E-3</v>
      </c>
      <c r="J32" s="78">
        <f>J51/I51-1</f>
        <v>3.6895699300836693E-2</v>
      </c>
      <c r="K32" s="78">
        <f>K51/J51-1</f>
        <v>5.1282051282051322E-2</v>
      </c>
      <c r="L32" s="78">
        <f>L51/K51-1</f>
        <v>4.6354166666666474E-2</v>
      </c>
      <c r="M32" s="78">
        <f>M51/L51-1</f>
        <v>8.7755102040816269E-2</v>
      </c>
    </row>
    <row r="33" spans="1:15" ht="17" outlineLevel="1" thickBot="1" x14ac:dyDescent="0.25">
      <c r="A33" s="478" t="s">
        <v>449</v>
      </c>
      <c r="B33" s="479"/>
      <c r="C33" s="439"/>
      <c r="D33" s="480"/>
      <c r="E33" s="481">
        <f>E45/D45-1</f>
        <v>-0.31683355375023614</v>
      </c>
      <c r="F33" s="481">
        <f>F45/E45-1</f>
        <v>5.1161504424778848E-2</v>
      </c>
      <c r="G33" s="481">
        <f>G45/F45-1</f>
        <v>7.2349381741646956E-2</v>
      </c>
      <c r="H33" s="481">
        <f>H45/G45-1</f>
        <v>0.1324828263002944</v>
      </c>
      <c r="I33" s="481">
        <f>I45/H45-1</f>
        <v>-6.7761950578521413E-2</v>
      </c>
      <c r="J33" s="481">
        <f>J45/I45-1</f>
        <v>0</v>
      </c>
      <c r="K33" s="481">
        <f>K45/J45-1</f>
        <v>0</v>
      </c>
      <c r="L33" s="481">
        <f>L45/K45-1</f>
        <v>0</v>
      </c>
      <c r="M33" s="481">
        <f>M45/L45-1</f>
        <v>0</v>
      </c>
    </row>
    <row r="34" spans="1:15" ht="17" thickTop="1" x14ac:dyDescent="0.2">
      <c r="A34" s="76"/>
      <c r="B34" s="76"/>
      <c r="C34" s="77"/>
      <c r="D34" s="427"/>
      <c r="E34" s="427"/>
      <c r="F34" s="427"/>
      <c r="G34" s="427"/>
      <c r="H34" s="427"/>
      <c r="I34" s="395"/>
      <c r="J34" s="395"/>
      <c r="K34" s="395"/>
      <c r="L34" s="395"/>
      <c r="M34" s="395"/>
    </row>
    <row r="35" spans="1:15" ht="16" x14ac:dyDescent="0.2">
      <c r="A35" s="76"/>
      <c r="B35" s="76"/>
      <c r="C35" s="77"/>
      <c r="D35" s="427"/>
      <c r="E35" s="427"/>
      <c r="F35" s="427"/>
      <c r="G35" s="427"/>
      <c r="H35" s="427"/>
      <c r="I35" s="395"/>
      <c r="J35" s="395"/>
      <c r="K35" s="395"/>
      <c r="L35" s="395"/>
      <c r="M35" s="395"/>
    </row>
    <row r="36" spans="1:15" ht="20" outlineLevel="1" x14ac:dyDescent="0.2">
      <c r="A36" s="444" t="s">
        <v>80</v>
      </c>
      <c r="B36" s="453"/>
      <c r="C36" s="454"/>
      <c r="D36" s="453"/>
      <c r="E36" s="453"/>
      <c r="F36" s="453"/>
      <c r="G36" s="453"/>
      <c r="H36" s="453"/>
      <c r="I36" s="453"/>
      <c r="J36" s="453"/>
      <c r="K36" s="453"/>
      <c r="L36" s="453"/>
      <c r="M36" s="453"/>
    </row>
    <row r="37" spans="1:15" ht="16" outlineLevel="1" x14ac:dyDescent="0.2">
      <c r="A37" s="76" t="s">
        <v>190</v>
      </c>
      <c r="B37" s="83"/>
      <c r="C37" s="84"/>
      <c r="D37" s="282">
        <v>175</v>
      </c>
      <c r="E37" s="282">
        <v>179</v>
      </c>
      <c r="F37" s="282">
        <v>171</v>
      </c>
      <c r="G37" s="282">
        <v>173</v>
      </c>
      <c r="H37" s="282">
        <v>175</v>
      </c>
      <c r="I37" s="88">
        <v>175</v>
      </c>
      <c r="J37" s="88">
        <v>175</v>
      </c>
      <c r="K37" s="88">
        <v>175</v>
      </c>
      <c r="L37" s="88">
        <v>175</v>
      </c>
      <c r="M37" s="88">
        <v>175</v>
      </c>
    </row>
    <row r="38" spans="1:15" ht="16" outlineLevel="1" x14ac:dyDescent="0.2">
      <c r="A38" s="76" t="s">
        <v>191</v>
      </c>
      <c r="B38" s="83"/>
      <c r="C38" s="84"/>
      <c r="D38" s="282">
        <v>17658</v>
      </c>
      <c r="E38" s="282">
        <v>18299</v>
      </c>
      <c r="F38" s="282">
        <v>19068</v>
      </c>
      <c r="G38" s="282">
        <v>19763</v>
      </c>
      <c r="H38" s="282">
        <v>20455</v>
      </c>
      <c r="I38" s="109">
        <f>I11*I9/100000</f>
        <v>21908.554656911998</v>
      </c>
      <c r="J38" s="109">
        <f>J11*J9/100000</f>
        <v>23466.800606884863</v>
      </c>
      <c r="K38" s="109">
        <f>K11*K9/100000</f>
        <v>25135.876800049544</v>
      </c>
      <c r="L38" s="109">
        <f>L11*L9/100000</f>
        <v>26923.666037453058</v>
      </c>
      <c r="M38" s="109">
        <f>M11*M9/100000</f>
        <v>28838.611784366902</v>
      </c>
    </row>
    <row r="39" spans="1:15" ht="16" outlineLevel="1" x14ac:dyDescent="0.2">
      <c r="A39" s="76" t="s">
        <v>192</v>
      </c>
      <c r="B39" s="83"/>
      <c r="C39" s="84"/>
      <c r="D39" s="282" t="s">
        <v>193</v>
      </c>
      <c r="E39" s="282">
        <v>172</v>
      </c>
      <c r="F39" s="282">
        <v>0</v>
      </c>
      <c r="G39" s="282">
        <v>0</v>
      </c>
      <c r="H39" s="282">
        <v>0</v>
      </c>
      <c r="I39" s="109">
        <v>0</v>
      </c>
      <c r="J39" s="109">
        <v>0</v>
      </c>
      <c r="K39" s="109">
        <v>0</v>
      </c>
      <c r="L39" s="109">
        <v>0</v>
      </c>
      <c r="M39" s="109">
        <v>0</v>
      </c>
    </row>
    <row r="40" spans="1:15" ht="16" outlineLevel="1" x14ac:dyDescent="0.2">
      <c r="A40" s="93" t="s">
        <v>194</v>
      </c>
      <c r="B40" s="319"/>
      <c r="C40" s="320"/>
      <c r="D40" s="285">
        <v>772</v>
      </c>
      <c r="E40" s="285">
        <v>1170</v>
      </c>
      <c r="F40" s="285">
        <v>1050</v>
      </c>
      <c r="G40" s="285">
        <v>1210</v>
      </c>
      <c r="H40" s="285">
        <v>1335</v>
      </c>
      <c r="I40" s="95">
        <f>I41-I37-I38</f>
        <v>1451.0255409426863</v>
      </c>
      <c r="J40" s="95">
        <f t="shared" ref="J40:M40" si="7">J41-J37-J38</f>
        <v>1566.6766075422311</v>
      </c>
      <c r="K40" s="95">
        <f t="shared" si="7"/>
        <v>1690.553356253673</v>
      </c>
      <c r="L40" s="95">
        <f t="shared" si="7"/>
        <v>1823.2408387172145</v>
      </c>
      <c r="M40" s="95">
        <f t="shared" si="7"/>
        <v>1965.3657183709765</v>
      </c>
    </row>
    <row r="41" spans="1:15" ht="16" outlineLevel="1" x14ac:dyDescent="0.2">
      <c r="A41" s="72" t="s">
        <v>81</v>
      </c>
      <c r="B41" s="72"/>
      <c r="C41" s="87"/>
      <c r="D41" s="283">
        <f>SUM(D37:D40)</f>
        <v>18605</v>
      </c>
      <c r="E41" s="283">
        <f t="shared" ref="E41:H41" si="8">SUM(E37:E40)</f>
        <v>19820</v>
      </c>
      <c r="F41" s="283">
        <f t="shared" si="8"/>
        <v>20289</v>
      </c>
      <c r="G41" s="283">
        <f t="shared" si="8"/>
        <v>21146</v>
      </c>
      <c r="H41" s="283">
        <f t="shared" si="8"/>
        <v>21965</v>
      </c>
      <c r="I41" s="86">
        <f>I9*I10/100000</f>
        <v>23534.580197854684</v>
      </c>
      <c r="J41" s="86">
        <f>J9*J10/100000</f>
        <v>25208.477214427094</v>
      </c>
      <c r="K41" s="86">
        <f>K9*K10/100000</f>
        <v>27001.430156303217</v>
      </c>
      <c r="L41" s="86">
        <f>L9*L10/100000</f>
        <v>28921.906876170273</v>
      </c>
      <c r="M41" s="86">
        <f>M9*M10/100000</f>
        <v>30978.977502737878</v>
      </c>
    </row>
    <row r="42" spans="1:15" ht="16" outlineLevel="1" x14ac:dyDescent="0.2">
      <c r="A42" s="83" t="s">
        <v>84</v>
      </c>
      <c r="B42" s="83"/>
      <c r="C42" s="84"/>
      <c r="D42" s="284"/>
      <c r="E42" s="284"/>
      <c r="F42" s="284"/>
      <c r="G42" s="284"/>
      <c r="H42" s="284"/>
      <c r="I42" s="90"/>
      <c r="J42" s="90"/>
      <c r="K42" s="90"/>
      <c r="L42" s="86"/>
      <c r="M42" s="86"/>
    </row>
    <row r="43" spans="1:15" ht="16" outlineLevel="1" x14ac:dyDescent="0.2">
      <c r="A43" s="76" t="s">
        <v>195</v>
      </c>
      <c r="B43" s="76"/>
      <c r="C43" s="77"/>
      <c r="D43" s="282">
        <v>5434</v>
      </c>
      <c r="E43" s="282">
        <v>6383</v>
      </c>
      <c r="F43" s="282">
        <v>6786</v>
      </c>
      <c r="G43" s="282">
        <v>7305</v>
      </c>
      <c r="H43" s="282">
        <v>7649</v>
      </c>
      <c r="I43" s="321"/>
      <c r="J43" s="321"/>
      <c r="K43" s="321"/>
      <c r="L43" s="321"/>
      <c r="M43" s="321"/>
    </row>
    <row r="44" spans="1:15" ht="16" outlineLevel="1" x14ac:dyDescent="0.2">
      <c r="A44" s="76" t="s">
        <v>196</v>
      </c>
      <c r="B44" s="76"/>
      <c r="C44" s="77"/>
      <c r="D44" s="282">
        <v>978</v>
      </c>
      <c r="E44" s="282">
        <v>1005</v>
      </c>
      <c r="F44" s="282">
        <v>1045</v>
      </c>
      <c r="G44" s="282">
        <v>1001</v>
      </c>
      <c r="H44" s="282">
        <v>1107</v>
      </c>
      <c r="I44" s="321"/>
      <c r="J44" s="321"/>
      <c r="K44" s="321"/>
      <c r="L44" s="321"/>
      <c r="M44" s="321"/>
    </row>
    <row r="45" spans="1:15" ht="16" outlineLevel="1" x14ac:dyDescent="0.2">
      <c r="A45" s="76" t="s">
        <v>197</v>
      </c>
      <c r="B45" s="76"/>
      <c r="C45" s="77"/>
      <c r="D45" s="282">
        <v>5293</v>
      </c>
      <c r="E45" s="282">
        <v>3616</v>
      </c>
      <c r="F45" s="282">
        <v>3801</v>
      </c>
      <c r="G45" s="282">
        <v>4076</v>
      </c>
      <c r="H45" s="282">
        <v>4616</v>
      </c>
      <c r="I45" s="321">
        <f>I16</f>
        <v>4303.210836129545</v>
      </c>
      <c r="J45" s="321">
        <f>J16</f>
        <v>4303.210836129545</v>
      </c>
      <c r="K45" s="321">
        <f>K16</f>
        <v>4303.210836129545</v>
      </c>
      <c r="L45" s="321">
        <f>L16</f>
        <v>4303.210836129545</v>
      </c>
      <c r="M45" s="321">
        <f>M16</f>
        <v>4303.210836129545</v>
      </c>
    </row>
    <row r="46" spans="1:15" ht="16" outlineLevel="1" x14ac:dyDescent="0.2">
      <c r="A46" s="76" t="s">
        <v>198</v>
      </c>
      <c r="B46" s="76"/>
      <c r="C46" s="77"/>
      <c r="D46" s="282">
        <v>1111</v>
      </c>
      <c r="E46" s="282">
        <v>1166</v>
      </c>
      <c r="F46" s="282" t="s">
        <v>193</v>
      </c>
      <c r="G46" s="282" t="s">
        <v>193</v>
      </c>
      <c r="H46" s="282" t="s">
        <v>193</v>
      </c>
      <c r="I46" s="321"/>
      <c r="J46" s="321"/>
      <c r="K46" s="321"/>
      <c r="L46" s="321"/>
      <c r="M46" s="321"/>
      <c r="O46" s="323"/>
    </row>
    <row r="47" spans="1:15" ht="16" outlineLevel="1" x14ac:dyDescent="0.2">
      <c r="A47" s="76" t="s">
        <v>199</v>
      </c>
      <c r="B47" s="76"/>
      <c r="C47" s="77"/>
      <c r="D47" s="282" t="s">
        <v>193</v>
      </c>
      <c r="E47" s="282" t="s">
        <v>193</v>
      </c>
      <c r="F47" s="282">
        <v>1211</v>
      </c>
      <c r="G47" s="282">
        <v>1292</v>
      </c>
      <c r="H47" s="282">
        <v>1334</v>
      </c>
      <c r="I47" s="321"/>
      <c r="J47" s="321"/>
      <c r="K47" s="321"/>
      <c r="L47" s="321"/>
      <c r="M47" s="321"/>
      <c r="O47" s="323"/>
    </row>
    <row r="48" spans="1:15" ht="16" outlineLevel="1" x14ac:dyDescent="0.2">
      <c r="A48" s="76" t="s">
        <v>200</v>
      </c>
      <c r="B48" s="76"/>
      <c r="C48" s="77"/>
      <c r="D48" s="282">
        <v>295</v>
      </c>
      <c r="E48" s="282">
        <v>238</v>
      </c>
      <c r="F48" s="282" t="s">
        <v>193</v>
      </c>
      <c r="G48" s="282" t="s">
        <v>193</v>
      </c>
      <c r="H48" s="282" t="s">
        <v>193</v>
      </c>
      <c r="I48" s="321"/>
      <c r="J48" s="321"/>
      <c r="K48" s="321"/>
      <c r="L48" s="321"/>
      <c r="M48" s="321"/>
      <c r="O48" s="323"/>
    </row>
    <row r="49" spans="1:14" ht="16" outlineLevel="1" x14ac:dyDescent="0.2">
      <c r="A49" s="76" t="s">
        <v>201</v>
      </c>
      <c r="B49" s="76"/>
      <c r="C49" s="77"/>
      <c r="D49" s="282">
        <v>2205</v>
      </c>
      <c r="E49" s="282">
        <v>2242</v>
      </c>
      <c r="F49" s="282">
        <v>2703</v>
      </c>
      <c r="G49" s="282">
        <v>2847</v>
      </c>
      <c r="H49" s="282">
        <v>2852</v>
      </c>
      <c r="I49" s="321"/>
      <c r="J49" s="321"/>
      <c r="K49" s="321"/>
      <c r="L49" s="321"/>
      <c r="M49" s="321"/>
    </row>
    <row r="50" spans="1:14" ht="16" outlineLevel="1" x14ac:dyDescent="0.2">
      <c r="A50" s="93" t="s">
        <v>202</v>
      </c>
      <c r="B50" s="93"/>
      <c r="C50" s="94"/>
      <c r="D50" s="285">
        <v>938</v>
      </c>
      <c r="E50" s="285">
        <v>1015</v>
      </c>
      <c r="F50" s="285">
        <v>1221</v>
      </c>
      <c r="G50" s="285">
        <v>1218</v>
      </c>
      <c r="H50" s="285">
        <v>1201</v>
      </c>
      <c r="I50" s="322">
        <f>I169</f>
        <v>1273.6499999999999</v>
      </c>
      <c r="J50" s="322">
        <f t="shared" ref="J50:M50" si="9">J169</f>
        <v>1290.6262499999998</v>
      </c>
      <c r="K50" s="322">
        <f t="shared" si="9"/>
        <v>1306.3292812499997</v>
      </c>
      <c r="L50" s="322">
        <f t="shared" si="9"/>
        <v>1320.8545851562496</v>
      </c>
      <c r="M50" s="322">
        <f t="shared" si="9"/>
        <v>1334.290491269531</v>
      </c>
    </row>
    <row r="51" spans="1:14" ht="16" outlineLevel="1" x14ac:dyDescent="0.2">
      <c r="A51" s="76" t="s">
        <v>446</v>
      </c>
      <c r="B51" s="76"/>
      <c r="C51" s="77"/>
      <c r="D51" s="297">
        <f>SUM(D43:D50)</f>
        <v>16254</v>
      </c>
      <c r="E51" s="297">
        <f t="shared" ref="E51:H51" si="10">SUM(E43:E50)</f>
        <v>15665</v>
      </c>
      <c r="F51" s="297">
        <f t="shared" si="10"/>
        <v>16767</v>
      </c>
      <c r="G51" s="297">
        <f t="shared" si="10"/>
        <v>17739</v>
      </c>
      <c r="H51" s="297">
        <f t="shared" si="10"/>
        <v>18759</v>
      </c>
      <c r="I51" s="321">
        <f>I9*I12/100000</f>
        <v>18943.582830807165</v>
      </c>
      <c r="J51" s="321">
        <f>J9*J12/100000</f>
        <v>19642.519566613119</v>
      </c>
      <c r="K51" s="321">
        <f>K9*K12/100000</f>
        <v>20649.828262336869</v>
      </c>
      <c r="L51" s="321">
        <f>L9*L12/100000</f>
        <v>21607.033843247271</v>
      </c>
      <c r="M51" s="321">
        <f>M9*M12/100000</f>
        <v>23503.161302960805</v>
      </c>
    </row>
    <row r="52" spans="1:14" ht="16" outlineLevel="1" x14ac:dyDescent="0.2">
      <c r="A52" s="76" t="s">
        <v>203</v>
      </c>
      <c r="B52" s="76"/>
      <c r="C52" s="77"/>
      <c r="D52" s="282">
        <v>130</v>
      </c>
      <c r="E52" s="282">
        <v>121</v>
      </c>
      <c r="F52" s="282">
        <v>122</v>
      </c>
      <c r="G52" s="282">
        <v>114</v>
      </c>
      <c r="H52" s="282">
        <v>131</v>
      </c>
      <c r="I52" s="321">
        <f>I176</f>
        <v>109.44500000000001</v>
      </c>
      <c r="J52" s="321">
        <f t="shared" ref="J52:M52" si="11">J176</f>
        <v>100.69500000000001</v>
      </c>
      <c r="K52" s="321">
        <f t="shared" si="11"/>
        <v>91.945000000000007</v>
      </c>
      <c r="L52" s="321">
        <f t="shared" si="11"/>
        <v>83.195000000000007</v>
      </c>
      <c r="M52" s="321">
        <f t="shared" si="11"/>
        <v>74.445000000000007</v>
      </c>
    </row>
    <row r="53" spans="1:14" ht="16" outlineLevel="1" x14ac:dyDescent="0.2">
      <c r="A53" s="76" t="s">
        <v>204</v>
      </c>
      <c r="B53" s="76"/>
      <c r="C53" s="77"/>
      <c r="D53" s="282">
        <v>-23</v>
      </c>
      <c r="E53" s="282">
        <v>-31</v>
      </c>
      <c r="F53" s="282">
        <v>-47</v>
      </c>
      <c r="G53" s="282">
        <v>-49</v>
      </c>
      <c r="H53" s="282">
        <v>-38</v>
      </c>
      <c r="I53" s="321">
        <f>AVERAGE(G53:H53)</f>
        <v>-43.5</v>
      </c>
      <c r="J53" s="321">
        <f t="shared" ref="J53:M53" si="12">AVERAGE(H53:I53)</f>
        <v>-40.75</v>
      </c>
      <c r="K53" s="321">
        <f t="shared" si="12"/>
        <v>-42.125</v>
      </c>
      <c r="L53" s="321">
        <f t="shared" si="12"/>
        <v>-41.4375</v>
      </c>
      <c r="M53" s="321">
        <f t="shared" si="12"/>
        <v>-41.78125</v>
      </c>
    </row>
    <row r="54" spans="1:14" ht="16" outlineLevel="1" x14ac:dyDescent="0.2">
      <c r="A54" s="76" t="s">
        <v>205</v>
      </c>
      <c r="B54" s="76"/>
      <c r="C54" s="77"/>
      <c r="D54" s="282">
        <v>-7</v>
      </c>
      <c r="E54" s="282">
        <v>-9</v>
      </c>
      <c r="F54" s="282">
        <v>-24</v>
      </c>
      <c r="G54" s="282">
        <v>-35</v>
      </c>
      <c r="H54" s="282">
        <v>-69</v>
      </c>
      <c r="I54" s="321">
        <f>AVERAGE(G54:H54)</f>
        <v>-52</v>
      </c>
      <c r="J54" s="321">
        <f t="shared" ref="J54:M54" si="13">AVERAGE(H54:I54)</f>
        <v>-60.5</v>
      </c>
      <c r="K54" s="321">
        <f t="shared" si="13"/>
        <v>-56.25</v>
      </c>
      <c r="L54" s="321">
        <f t="shared" si="13"/>
        <v>-58.375</v>
      </c>
      <c r="M54" s="321">
        <f t="shared" si="13"/>
        <v>-57.3125</v>
      </c>
    </row>
    <row r="55" spans="1:14" ht="16" outlineLevel="1" x14ac:dyDescent="0.2">
      <c r="A55" s="76" t="s">
        <v>206</v>
      </c>
      <c r="B55" s="76"/>
      <c r="C55" s="77"/>
      <c r="D55" s="282">
        <v>309</v>
      </c>
      <c r="E55" s="282">
        <v>556</v>
      </c>
      <c r="F55" s="282">
        <v>21</v>
      </c>
      <c r="G55" s="282">
        <v>112</v>
      </c>
      <c r="H55" s="282">
        <v>18</v>
      </c>
      <c r="I55" s="321">
        <v>0</v>
      </c>
      <c r="J55" s="321">
        <v>0</v>
      </c>
      <c r="K55" s="321">
        <v>0</v>
      </c>
      <c r="L55" s="321">
        <v>0</v>
      </c>
      <c r="M55" s="321">
        <v>0</v>
      </c>
    </row>
    <row r="56" spans="1:14" ht="16" outlineLevel="1" x14ac:dyDescent="0.2">
      <c r="A56" s="93" t="s">
        <v>207</v>
      </c>
      <c r="B56" s="93"/>
      <c r="C56" s="94"/>
      <c r="D56" s="285">
        <v>126</v>
      </c>
      <c r="E56" s="285">
        <v>39</v>
      </c>
      <c r="F56" s="285" t="s">
        <v>193</v>
      </c>
      <c r="G56" s="285" t="s">
        <v>193</v>
      </c>
      <c r="H56" s="285" t="s">
        <v>193</v>
      </c>
      <c r="I56" s="322">
        <v>0</v>
      </c>
      <c r="J56" s="322">
        <v>0</v>
      </c>
      <c r="K56" s="322">
        <v>0</v>
      </c>
      <c r="L56" s="322">
        <v>0</v>
      </c>
      <c r="M56" s="322">
        <v>0</v>
      </c>
    </row>
    <row r="57" spans="1:14" ht="16" outlineLevel="1" x14ac:dyDescent="0.2">
      <c r="A57" s="83" t="s">
        <v>89</v>
      </c>
      <c r="B57" s="76"/>
      <c r="C57" s="77"/>
      <c r="D57" s="86">
        <f>SUM(D51:D56)</f>
        <v>16789</v>
      </c>
      <c r="E57" s="86">
        <f t="shared" ref="E57:M57" si="14">SUM(E51:E56)</f>
        <v>16341</v>
      </c>
      <c r="F57" s="86">
        <f t="shared" si="14"/>
        <v>16839</v>
      </c>
      <c r="G57" s="86">
        <f t="shared" si="14"/>
        <v>17881</v>
      </c>
      <c r="H57" s="86">
        <f t="shared" si="14"/>
        <v>18801</v>
      </c>
      <c r="I57" s="86">
        <f t="shared" si="14"/>
        <v>18957.527830807165</v>
      </c>
      <c r="J57" s="86">
        <f t="shared" si="14"/>
        <v>19641.964566613118</v>
      </c>
      <c r="K57" s="86">
        <f t="shared" si="14"/>
        <v>20643.398262336868</v>
      </c>
      <c r="L57" s="86">
        <f t="shared" si="14"/>
        <v>21590.416343247271</v>
      </c>
      <c r="M57" s="86">
        <f t="shared" si="14"/>
        <v>23478.512552960805</v>
      </c>
      <c r="N57" t="s">
        <v>441</v>
      </c>
    </row>
    <row r="58" spans="1:14" ht="16" outlineLevel="1" x14ac:dyDescent="0.2">
      <c r="A58" s="74" t="s">
        <v>90</v>
      </c>
      <c r="B58" s="74"/>
      <c r="C58" s="75"/>
      <c r="D58" s="89">
        <f>D41-D57</f>
        <v>1816</v>
      </c>
      <c r="E58" s="89">
        <f t="shared" ref="E58:H58" si="15">E41-E57</f>
        <v>3479</v>
      </c>
      <c r="F58" s="89">
        <f t="shared" si="15"/>
        <v>3450</v>
      </c>
      <c r="G58" s="89">
        <f t="shared" si="15"/>
        <v>3265</v>
      </c>
      <c r="H58" s="89">
        <f t="shared" si="15"/>
        <v>3164</v>
      </c>
      <c r="I58" s="89">
        <f>I41-I57</f>
        <v>4577.0523670475195</v>
      </c>
      <c r="J58" s="89">
        <f t="shared" ref="J58:M58" si="16">J41-J57</f>
        <v>5566.5126478139755</v>
      </c>
      <c r="K58" s="89">
        <f t="shared" si="16"/>
        <v>6358.0318939663484</v>
      </c>
      <c r="L58" s="89">
        <f t="shared" si="16"/>
        <v>7331.4905329230023</v>
      </c>
      <c r="M58" s="89">
        <f t="shared" si="16"/>
        <v>7500.4649497770733</v>
      </c>
    </row>
    <row r="59" spans="1:14" ht="16" outlineLevel="1" collapsed="1" x14ac:dyDescent="0.2">
      <c r="A59" s="76" t="s">
        <v>91</v>
      </c>
      <c r="B59" s="76"/>
      <c r="C59" s="77"/>
      <c r="D59" s="88">
        <v>680</v>
      </c>
      <c r="E59" s="88">
        <v>1298</v>
      </c>
      <c r="F59" s="88">
        <v>1267</v>
      </c>
      <c r="G59" s="88">
        <v>-92</v>
      </c>
      <c r="H59" s="88">
        <v>699</v>
      </c>
      <c r="I59" s="96">
        <f>I58*I19</f>
        <v>961.18099707997908</v>
      </c>
      <c r="J59" s="96">
        <f>J58*J19</f>
        <v>1168.9676560409348</v>
      </c>
      <c r="K59" s="96">
        <f>K58*K19</f>
        <v>1335.1866977329332</v>
      </c>
      <c r="L59" s="96">
        <f>L58*L19</f>
        <v>1539.6130119138304</v>
      </c>
      <c r="M59" s="96">
        <f>M58*M19</f>
        <v>1575.0976394531854</v>
      </c>
    </row>
    <row r="60" spans="1:14" ht="17" thickBot="1" x14ac:dyDescent="0.25">
      <c r="A60" s="97" t="s">
        <v>92</v>
      </c>
      <c r="B60" s="97"/>
      <c r="C60" s="98"/>
      <c r="D60" s="99">
        <f>D58-D59</f>
        <v>1136</v>
      </c>
      <c r="E60" s="99">
        <f>E58-E59</f>
        <v>2181</v>
      </c>
      <c r="F60" s="99">
        <f>F58-F59</f>
        <v>2183</v>
      </c>
      <c r="G60" s="99">
        <f>G58-G59</f>
        <v>3357</v>
      </c>
      <c r="H60" s="99">
        <f>H58-H59</f>
        <v>2465</v>
      </c>
      <c r="I60" s="99">
        <f>I58-I59</f>
        <v>3615.8713699675404</v>
      </c>
      <c r="J60" s="99">
        <f>J58-J59</f>
        <v>4397.5449917730402</v>
      </c>
      <c r="K60" s="99">
        <f>K58-K59</f>
        <v>5022.8451962334148</v>
      </c>
      <c r="L60" s="99">
        <f>L58-L59</f>
        <v>5791.8775210091717</v>
      </c>
      <c r="M60" s="99">
        <f>M58-M59</f>
        <v>5925.367310323888</v>
      </c>
    </row>
    <row r="61" spans="1:14" ht="17" thickTop="1" x14ac:dyDescent="0.2">
      <c r="A61" s="64"/>
      <c r="B61" s="64"/>
      <c r="C61" s="68"/>
      <c r="D61" s="91"/>
      <c r="E61" s="91"/>
      <c r="F61" s="91"/>
      <c r="G61" s="91"/>
      <c r="H61" s="91"/>
      <c r="I61" s="64"/>
      <c r="J61" s="64"/>
      <c r="K61" s="64"/>
      <c r="L61" s="64"/>
      <c r="M61" s="64"/>
    </row>
    <row r="62" spans="1:14" ht="16" outlineLevel="1" x14ac:dyDescent="0.2">
      <c r="A62" s="64"/>
      <c r="B62" s="64"/>
      <c r="C62" s="68"/>
      <c r="D62" s="91"/>
      <c r="E62" s="91"/>
      <c r="F62" s="91"/>
      <c r="G62" s="91"/>
      <c r="H62" s="91"/>
      <c r="I62" s="64"/>
      <c r="J62" s="64"/>
      <c r="K62" s="64"/>
      <c r="L62" s="64"/>
      <c r="M62" s="64"/>
    </row>
    <row r="63" spans="1:14" ht="20" outlineLevel="1" x14ac:dyDescent="0.2">
      <c r="A63" s="444" t="s">
        <v>93</v>
      </c>
      <c r="B63" s="453"/>
      <c r="C63" s="454"/>
      <c r="D63" s="453"/>
      <c r="E63" s="453"/>
      <c r="F63" s="453"/>
      <c r="G63" s="453"/>
      <c r="H63" s="453"/>
      <c r="I63" s="453"/>
      <c r="J63" s="453"/>
      <c r="K63" s="453"/>
      <c r="L63" s="453"/>
      <c r="M63" s="453"/>
    </row>
    <row r="64" spans="1:14" ht="16" outlineLevel="1" x14ac:dyDescent="0.2">
      <c r="A64" s="64"/>
      <c r="B64" s="64"/>
      <c r="C64" s="68"/>
      <c r="D64" s="91"/>
      <c r="E64" s="91"/>
      <c r="F64" s="91"/>
      <c r="G64" s="91"/>
      <c r="H64" s="91"/>
      <c r="I64" s="64"/>
      <c r="J64" s="64"/>
      <c r="K64" s="64"/>
      <c r="L64" s="64"/>
      <c r="M64" s="64"/>
      <c r="N64" s="323"/>
    </row>
    <row r="65" spans="1:14" ht="16" outlineLevel="1" x14ac:dyDescent="0.2">
      <c r="A65" s="72" t="s">
        <v>94</v>
      </c>
      <c r="B65" s="64"/>
      <c r="C65" s="68"/>
      <c r="D65" s="91"/>
      <c r="E65" s="91"/>
      <c r="F65" s="91"/>
      <c r="G65" s="91"/>
      <c r="H65" s="91"/>
      <c r="I65" s="64"/>
      <c r="J65" s="64"/>
      <c r="K65" s="64"/>
      <c r="L65" s="64"/>
      <c r="M65" s="64"/>
      <c r="N65" s="323"/>
    </row>
    <row r="66" spans="1:14" ht="16" outlineLevel="1" x14ac:dyDescent="0.2">
      <c r="A66" s="64" t="s">
        <v>208</v>
      </c>
      <c r="B66" s="64"/>
      <c r="C66" s="100"/>
      <c r="D66" s="91">
        <v>1282</v>
      </c>
      <c r="E66" s="91">
        <v>1583</v>
      </c>
      <c r="F66" s="91">
        <v>1680</v>
      </c>
      <c r="G66" s="91">
        <v>1495</v>
      </c>
      <c r="H66" s="91">
        <v>1854</v>
      </c>
      <c r="I66" s="64">
        <f>I151</f>
        <v>4670.242662588882</v>
      </c>
      <c r="J66" s="64">
        <f t="shared" ref="J66:M66" si="17">J151</f>
        <v>8264.2767202923042</v>
      </c>
      <c r="K66" s="64">
        <f t="shared" si="17"/>
        <v>12366.498446542815</v>
      </c>
      <c r="L66" s="64">
        <f t="shared" si="17"/>
        <v>17393.301291992146</v>
      </c>
      <c r="M66" s="64">
        <f t="shared" si="17"/>
        <v>22719.511259527706</v>
      </c>
      <c r="N66" s="323"/>
    </row>
    <row r="67" spans="1:14" ht="16" outlineLevel="1" x14ac:dyDescent="0.2">
      <c r="A67" s="64" t="s">
        <v>209</v>
      </c>
      <c r="B67" s="64"/>
      <c r="C67" s="100"/>
      <c r="D67" s="91">
        <v>1706</v>
      </c>
      <c r="E67" s="91">
        <v>1468</v>
      </c>
      <c r="F67" s="91">
        <v>1625</v>
      </c>
      <c r="G67" s="91">
        <v>1778</v>
      </c>
      <c r="H67" s="91">
        <v>1835</v>
      </c>
      <c r="I67" s="101">
        <f>H67</f>
        <v>1835</v>
      </c>
      <c r="J67" s="101">
        <f t="shared" ref="J67:M67" si="18">I67</f>
        <v>1835</v>
      </c>
      <c r="K67" s="101">
        <f t="shared" si="18"/>
        <v>1835</v>
      </c>
      <c r="L67" s="101">
        <f t="shared" si="18"/>
        <v>1835</v>
      </c>
      <c r="M67" s="101">
        <f t="shared" si="18"/>
        <v>1835</v>
      </c>
      <c r="N67" s="323"/>
    </row>
    <row r="68" spans="1:14" ht="16" outlineLevel="1" x14ac:dyDescent="0.2">
      <c r="A68" s="64" t="s">
        <v>210</v>
      </c>
      <c r="B68" s="64"/>
      <c r="C68" s="100"/>
      <c r="D68" s="91">
        <v>365</v>
      </c>
      <c r="E68" s="91">
        <v>474</v>
      </c>
      <c r="F68" s="91">
        <v>546</v>
      </c>
      <c r="G68" s="91">
        <v>662</v>
      </c>
      <c r="H68" s="91">
        <v>568</v>
      </c>
      <c r="I68" s="64">
        <f>I41/365*I20</f>
        <v>644.78301911930646</v>
      </c>
      <c r="J68" s="64">
        <f>J41/365*J20</f>
        <v>690.64321135416685</v>
      </c>
      <c r="K68" s="64">
        <f>K41/365*K20</f>
        <v>739.76520976173197</v>
      </c>
      <c r="L68" s="64">
        <f>L41/365*L20</f>
        <v>792.38101030603491</v>
      </c>
      <c r="M68" s="64">
        <f>M41/365*M20</f>
        <v>848.73910966405151</v>
      </c>
      <c r="N68" s="323"/>
    </row>
    <row r="69" spans="1:14" ht="16" outlineLevel="1" x14ac:dyDescent="0.2">
      <c r="A69" s="64" t="s">
        <v>211</v>
      </c>
      <c r="B69" s="64"/>
      <c r="C69" s="100"/>
      <c r="D69" s="91">
        <v>342</v>
      </c>
      <c r="E69" s="91">
        <v>311</v>
      </c>
      <c r="F69" s="91">
        <v>337</v>
      </c>
      <c r="G69" s="91">
        <v>420</v>
      </c>
      <c r="H69" s="91">
        <v>461</v>
      </c>
      <c r="I69" s="64">
        <f>I51/365*I21</f>
        <v>467.10204240346434</v>
      </c>
      <c r="J69" s="64">
        <f>J51/365*J21</f>
        <v>484.33609890278922</v>
      </c>
      <c r="K69" s="64">
        <f>K51/365*K21</f>
        <v>509.17384756447075</v>
      </c>
      <c r="L69" s="64">
        <f>L51/365*L21</f>
        <v>532.77617695678202</v>
      </c>
      <c r="M69" s="64">
        <f>M51/365*M21</f>
        <v>579.53000473054044</v>
      </c>
      <c r="N69" s="323"/>
    </row>
    <row r="70" spans="1:14" ht="16" outlineLevel="1" x14ac:dyDescent="0.2">
      <c r="A70" s="64" t="s">
        <v>212</v>
      </c>
      <c r="B70" s="64"/>
      <c r="C70" s="68"/>
      <c r="D70" s="91">
        <v>232</v>
      </c>
      <c r="E70" s="91">
        <v>188</v>
      </c>
      <c r="F70" s="91">
        <v>310</v>
      </c>
      <c r="G70" s="91">
        <v>460</v>
      </c>
      <c r="H70" s="91">
        <v>310</v>
      </c>
      <c r="I70" s="64">
        <f>H70</f>
        <v>310</v>
      </c>
      <c r="J70" s="64">
        <f t="shared" ref="J70:M70" si="19">I70</f>
        <v>310</v>
      </c>
      <c r="K70" s="64">
        <f t="shared" si="19"/>
        <v>310</v>
      </c>
      <c r="L70" s="64">
        <f t="shared" si="19"/>
        <v>310</v>
      </c>
      <c r="M70" s="64">
        <f t="shared" si="19"/>
        <v>310</v>
      </c>
      <c r="N70" s="323"/>
    </row>
    <row r="71" spans="1:14" ht="16" outlineLevel="1" x14ac:dyDescent="0.2">
      <c r="A71" s="102" t="s">
        <v>213</v>
      </c>
      <c r="B71" s="102"/>
      <c r="C71" s="103"/>
      <c r="D71" s="104">
        <f>SUM(D66:D70)</f>
        <v>3927</v>
      </c>
      <c r="E71" s="104">
        <f t="shared" ref="E71:M71" si="20">SUM(E66:E70)</f>
        <v>4024</v>
      </c>
      <c r="F71" s="104">
        <f t="shared" si="20"/>
        <v>4498</v>
      </c>
      <c r="G71" s="104">
        <f t="shared" si="20"/>
        <v>4815</v>
      </c>
      <c r="H71" s="104">
        <f t="shared" si="20"/>
        <v>5028</v>
      </c>
      <c r="I71" s="104">
        <f>SUM(I66:I70)</f>
        <v>7927.1277241116522</v>
      </c>
      <c r="J71" s="104">
        <f t="shared" si="20"/>
        <v>11584.256030549261</v>
      </c>
      <c r="K71" s="104">
        <f t="shared" si="20"/>
        <v>15760.437503869018</v>
      </c>
      <c r="L71" s="104">
        <f t="shared" si="20"/>
        <v>20863.458479254961</v>
      </c>
      <c r="M71" s="104">
        <f t="shared" si="20"/>
        <v>26292.780373922298</v>
      </c>
      <c r="N71" s="323"/>
    </row>
    <row r="72" spans="1:14" ht="16" outlineLevel="1" x14ac:dyDescent="0.2">
      <c r="A72" s="72" t="s">
        <v>214</v>
      </c>
      <c r="B72" s="64"/>
      <c r="C72" s="100"/>
      <c r="D72" s="91"/>
      <c r="E72" s="91"/>
      <c r="F72" s="91"/>
      <c r="G72" s="91"/>
      <c r="H72" s="91"/>
      <c r="I72" s="64"/>
      <c r="J72" s="64"/>
      <c r="K72" s="64"/>
      <c r="L72" s="64"/>
      <c r="M72" s="64"/>
      <c r="N72" s="323"/>
    </row>
    <row r="73" spans="1:14" ht="16" outlineLevel="1" x14ac:dyDescent="0.2">
      <c r="A73" s="64" t="s">
        <v>215</v>
      </c>
      <c r="B73" s="64"/>
      <c r="C73" s="100"/>
      <c r="D73" s="281">
        <v>2853</v>
      </c>
      <c r="E73" s="281">
        <v>3219</v>
      </c>
      <c r="F73" s="281">
        <v>3779</v>
      </c>
      <c r="G73" s="281">
        <v>4399</v>
      </c>
      <c r="H73" s="281">
        <v>4960</v>
      </c>
      <c r="I73" s="64"/>
      <c r="J73" s="64"/>
      <c r="K73" s="64"/>
      <c r="L73" s="64"/>
      <c r="M73" s="64"/>
      <c r="N73" s="323"/>
    </row>
    <row r="74" spans="1:14" ht="16" outlineLevel="1" x14ac:dyDescent="0.2">
      <c r="A74" s="64" t="s">
        <v>216</v>
      </c>
      <c r="B74" s="64"/>
      <c r="C74" s="100"/>
      <c r="D74" s="281" t="s">
        <v>193</v>
      </c>
      <c r="E74" s="281">
        <v>-9084</v>
      </c>
      <c r="F74" s="281">
        <v>-9420</v>
      </c>
      <c r="G74" s="281" t="s">
        <v>193</v>
      </c>
      <c r="H74" s="281" t="s">
        <v>193</v>
      </c>
      <c r="I74" s="64"/>
      <c r="J74" s="64"/>
      <c r="K74" s="64"/>
      <c r="L74" s="64"/>
      <c r="M74" s="64"/>
      <c r="N74" s="323"/>
    </row>
    <row r="75" spans="1:14" ht="16" outlineLevel="1" x14ac:dyDescent="0.2">
      <c r="A75" s="64" t="s">
        <v>217</v>
      </c>
      <c r="B75" s="64"/>
      <c r="C75" s="100"/>
      <c r="D75" s="281">
        <v>18473</v>
      </c>
      <c r="E75" s="281">
        <v>19462</v>
      </c>
      <c r="F75" s="281">
        <v>20275</v>
      </c>
      <c r="G75" s="281">
        <v>21368</v>
      </c>
      <c r="H75" s="281">
        <v>21753</v>
      </c>
      <c r="I75" s="64"/>
      <c r="J75" s="64"/>
      <c r="K75" s="64"/>
      <c r="L75" s="64"/>
      <c r="M75" s="64"/>
      <c r="N75" s="323"/>
    </row>
    <row r="76" spans="1:14" ht="16" outlineLevel="1" x14ac:dyDescent="0.2">
      <c r="A76" s="64" t="s">
        <v>218</v>
      </c>
      <c r="B76" s="64"/>
      <c r="C76" s="100"/>
      <c r="D76" s="281">
        <v>-8221</v>
      </c>
      <c r="E76" s="281" t="s">
        <v>193</v>
      </c>
      <c r="F76" s="281" t="s">
        <v>193</v>
      </c>
      <c r="G76" s="281">
        <v>-9690</v>
      </c>
      <c r="H76" s="281">
        <v>-9731</v>
      </c>
      <c r="I76" s="64"/>
      <c r="J76" s="64"/>
      <c r="K76" s="64"/>
      <c r="L76" s="64"/>
      <c r="M76" s="64"/>
      <c r="N76" s="323"/>
    </row>
    <row r="77" spans="1:14" ht="16" outlineLevel="1" x14ac:dyDescent="0.2">
      <c r="A77" s="64" t="s">
        <v>277</v>
      </c>
      <c r="B77" s="64"/>
      <c r="C77" s="100"/>
      <c r="D77" s="281">
        <f>SUM(D73:D76)</f>
        <v>13105</v>
      </c>
      <c r="E77" s="281">
        <f t="shared" ref="E77:H77" si="21">SUM(E73:E76)</f>
        <v>13597</v>
      </c>
      <c r="F77" s="281">
        <f t="shared" si="21"/>
        <v>14634</v>
      </c>
      <c r="G77" s="281">
        <f t="shared" si="21"/>
        <v>16077</v>
      </c>
      <c r="H77" s="281">
        <f t="shared" si="21"/>
        <v>16982</v>
      </c>
      <c r="I77" s="64">
        <f>I170</f>
        <v>17208.349999999999</v>
      </c>
      <c r="J77" s="64">
        <f t="shared" ref="J77:M77" si="22">J170</f>
        <v>17417.723749999997</v>
      </c>
      <c r="K77" s="64">
        <f t="shared" si="22"/>
        <v>17611.394468749997</v>
      </c>
      <c r="L77" s="64">
        <f t="shared" si="22"/>
        <v>17790.539883593749</v>
      </c>
      <c r="M77" s="64">
        <f t="shared" si="22"/>
        <v>17956.249392324218</v>
      </c>
      <c r="N77" s="323"/>
    </row>
    <row r="78" spans="1:14" ht="16" outlineLevel="1" x14ac:dyDescent="0.2">
      <c r="A78" s="64" t="s">
        <v>219</v>
      </c>
      <c r="B78" s="64"/>
      <c r="C78" s="100"/>
      <c r="D78" s="281">
        <v>621</v>
      </c>
      <c r="E78" s="281">
        <v>915</v>
      </c>
      <c r="F78" s="281">
        <v>1220</v>
      </c>
      <c r="G78" s="281">
        <v>1543</v>
      </c>
      <c r="H78" s="281">
        <v>1768</v>
      </c>
      <c r="I78" s="64">
        <f>H78</f>
        <v>1768</v>
      </c>
      <c r="J78" s="64">
        <f t="shared" ref="J78:M79" si="23">I78</f>
        <v>1768</v>
      </c>
      <c r="K78" s="64">
        <f t="shared" si="23"/>
        <v>1768</v>
      </c>
      <c r="L78" s="64">
        <f t="shared" si="23"/>
        <v>1768</v>
      </c>
      <c r="M78" s="64">
        <f t="shared" si="23"/>
        <v>1768</v>
      </c>
      <c r="N78" s="323"/>
    </row>
    <row r="79" spans="1:14" ht="16" x14ac:dyDescent="0.2">
      <c r="A79" s="64" t="s">
        <v>220</v>
      </c>
      <c r="B79" s="64"/>
      <c r="C79" s="100"/>
      <c r="D79" s="281">
        <v>970</v>
      </c>
      <c r="E79" s="281">
        <v>970</v>
      </c>
      <c r="F79" s="281">
        <v>970</v>
      </c>
      <c r="G79" s="281">
        <v>970</v>
      </c>
      <c r="H79" s="281">
        <v>970</v>
      </c>
      <c r="I79" s="64">
        <f>H79</f>
        <v>970</v>
      </c>
      <c r="J79" s="64">
        <f t="shared" si="23"/>
        <v>970</v>
      </c>
      <c r="K79" s="64">
        <f t="shared" si="23"/>
        <v>970</v>
      </c>
      <c r="L79" s="64">
        <f t="shared" si="23"/>
        <v>970</v>
      </c>
      <c r="M79" s="64">
        <f t="shared" si="23"/>
        <v>970</v>
      </c>
      <c r="N79" s="323"/>
    </row>
    <row r="80" spans="1:14" ht="16" outlineLevel="1" x14ac:dyDescent="0.2">
      <c r="A80" s="64" t="s">
        <v>221</v>
      </c>
      <c r="B80" s="64"/>
      <c r="C80" s="100"/>
      <c r="D80" s="281">
        <v>534</v>
      </c>
      <c r="E80" s="281">
        <v>717</v>
      </c>
      <c r="F80" s="281">
        <v>774</v>
      </c>
      <c r="G80" s="281">
        <v>786</v>
      </c>
      <c r="H80" s="281">
        <v>720</v>
      </c>
      <c r="I80" s="64">
        <v>720</v>
      </c>
      <c r="J80" s="64">
        <v>720</v>
      </c>
      <c r="K80" s="64">
        <v>720</v>
      </c>
      <c r="L80" s="64">
        <v>720</v>
      </c>
      <c r="M80" s="64">
        <v>720</v>
      </c>
      <c r="N80" s="323"/>
    </row>
    <row r="81" spans="1:15" ht="16" outlineLevel="1" x14ac:dyDescent="0.2">
      <c r="A81" s="64" t="s">
        <v>222</v>
      </c>
      <c r="D81" s="285">
        <v>566</v>
      </c>
      <c r="E81" s="285">
        <v>1089</v>
      </c>
      <c r="F81" s="285">
        <v>1190</v>
      </c>
      <c r="G81" s="285">
        <v>919</v>
      </c>
      <c r="H81" s="285">
        <v>775</v>
      </c>
      <c r="I81" s="428">
        <f>H81</f>
        <v>775</v>
      </c>
      <c r="J81" s="428">
        <f t="shared" ref="J81:M81" si="24">I81</f>
        <v>775</v>
      </c>
      <c r="K81" s="428">
        <f t="shared" si="24"/>
        <v>775</v>
      </c>
      <c r="L81" s="428">
        <f t="shared" si="24"/>
        <v>775</v>
      </c>
      <c r="M81" s="428">
        <f t="shared" si="24"/>
        <v>775</v>
      </c>
      <c r="N81" s="323"/>
    </row>
    <row r="82" spans="1:15" ht="17" outlineLevel="1" thickBot="1" x14ac:dyDescent="0.25">
      <c r="A82" s="97" t="s">
        <v>99</v>
      </c>
      <c r="B82" s="97"/>
      <c r="C82" s="98"/>
      <c r="D82" s="99">
        <f>SUM(D77:D81)+D71</f>
        <v>19723</v>
      </c>
      <c r="E82" s="99">
        <f t="shared" ref="E82:G82" si="25">SUM(E77:E81)+E71</f>
        <v>21312</v>
      </c>
      <c r="F82" s="99">
        <f t="shared" si="25"/>
        <v>23286</v>
      </c>
      <c r="G82" s="99">
        <f t="shared" si="25"/>
        <v>25110</v>
      </c>
      <c r="H82" s="99">
        <f>SUM(H77:H81)+H71</f>
        <v>26243</v>
      </c>
      <c r="I82" s="99">
        <f>SUM(I77:I81)+I71</f>
        <v>29368.47772411165</v>
      </c>
      <c r="J82" s="99">
        <f t="shared" ref="J82" si="26">SUM(J77:J81)+J71</f>
        <v>33234.979780549256</v>
      </c>
      <c r="K82" s="99">
        <f t="shared" ref="K82" si="27">SUM(K77:K81)+K71</f>
        <v>37604.831972619017</v>
      </c>
      <c r="L82" s="99">
        <f t="shared" ref="L82" si="28">SUM(L77:L81)+L71</f>
        <v>42886.99836284871</v>
      </c>
      <c r="M82" s="99">
        <f t="shared" ref="M82" si="29">SUM(M77:M81)+M71</f>
        <v>48482.029766246516</v>
      </c>
      <c r="N82" s="323"/>
    </row>
    <row r="83" spans="1:15" ht="17" outlineLevel="1" thickTop="1" x14ac:dyDescent="0.2">
      <c r="A83" s="83"/>
      <c r="B83" s="83"/>
      <c r="C83" s="84"/>
      <c r="D83" s="85"/>
      <c r="E83" s="85"/>
      <c r="F83" s="85"/>
      <c r="G83" s="85"/>
      <c r="H83" s="85"/>
      <c r="I83" s="83"/>
      <c r="J83" s="83"/>
      <c r="K83" s="83"/>
      <c r="L83" s="83"/>
      <c r="M83" s="83"/>
      <c r="N83" s="323"/>
    </row>
    <row r="84" spans="1:15" ht="16" outlineLevel="1" x14ac:dyDescent="0.2">
      <c r="A84" s="72" t="s">
        <v>223</v>
      </c>
      <c r="B84" s="83"/>
      <c r="C84" s="84"/>
      <c r="D84" s="85"/>
      <c r="E84" s="85"/>
      <c r="F84" s="85"/>
      <c r="G84" s="85"/>
      <c r="H84" s="85"/>
      <c r="I84" s="83"/>
      <c r="J84" s="83"/>
      <c r="K84" s="83"/>
      <c r="L84" s="83"/>
      <c r="M84" s="83"/>
      <c r="N84" s="323"/>
    </row>
    <row r="85" spans="1:15" ht="16" outlineLevel="1" x14ac:dyDescent="0.2">
      <c r="A85" s="64" t="s">
        <v>225</v>
      </c>
      <c r="B85" s="83"/>
      <c r="C85" s="84"/>
      <c r="D85" s="88">
        <v>1203</v>
      </c>
      <c r="E85" s="88">
        <v>1188</v>
      </c>
      <c r="F85" s="88">
        <v>1178</v>
      </c>
      <c r="G85" s="88">
        <v>1320</v>
      </c>
      <c r="H85" s="88">
        <v>1416</v>
      </c>
      <c r="I85" s="76">
        <f>I51/365*I23</f>
        <v>1453.2063541441112</v>
      </c>
      <c r="J85" s="76">
        <f>J51/365*J23</f>
        <v>1506.8234188086776</v>
      </c>
      <c r="K85" s="76">
        <f>K51/365*K23</f>
        <v>1584.0964146450201</v>
      </c>
      <c r="L85" s="76">
        <f>L51/365*L23</f>
        <v>1657.5258838655441</v>
      </c>
      <c r="M85" s="76">
        <f>M51/365*M23</f>
        <v>1802.982236939459</v>
      </c>
      <c r="N85" s="323"/>
    </row>
    <row r="86" spans="1:15" ht="16" outlineLevel="1" x14ac:dyDescent="0.2">
      <c r="A86" s="64" t="s">
        <v>226</v>
      </c>
      <c r="B86" s="83"/>
      <c r="C86" s="84"/>
      <c r="D86" s="88">
        <v>1565</v>
      </c>
      <c r="E86" s="88">
        <v>2591</v>
      </c>
      <c r="F86" s="88">
        <v>1985</v>
      </c>
      <c r="G86" s="88">
        <v>1700</v>
      </c>
      <c r="H86" s="88">
        <v>1749</v>
      </c>
      <c r="I86" s="76">
        <f>AVERAGE(D86:H86)</f>
        <v>1918</v>
      </c>
      <c r="J86" s="76">
        <f t="shared" ref="J86:M86" si="30">AVERAGE(E86:I86)</f>
        <v>1988.6</v>
      </c>
      <c r="K86" s="76">
        <f t="shared" si="30"/>
        <v>1868.1200000000001</v>
      </c>
      <c r="L86" s="76">
        <f t="shared" si="30"/>
        <v>1844.7440000000001</v>
      </c>
      <c r="M86" s="76">
        <f t="shared" si="30"/>
        <v>1873.6928</v>
      </c>
      <c r="N86" s="323"/>
    </row>
    <row r="87" spans="1:15" ht="16" outlineLevel="1" x14ac:dyDescent="0.2">
      <c r="A87" s="64" t="s">
        <v>227</v>
      </c>
      <c r="B87" s="83"/>
      <c r="C87" s="84"/>
      <c r="D87" s="88">
        <v>258</v>
      </c>
      <c r="E87" s="88">
        <v>637</v>
      </c>
      <c r="F87" s="88">
        <v>566</v>
      </c>
      <c r="G87" s="88">
        <v>348</v>
      </c>
      <c r="H87" s="88">
        <v>606</v>
      </c>
      <c r="I87" s="130">
        <f>I175*I28</f>
        <v>625.40000000000009</v>
      </c>
      <c r="J87" s="130">
        <f>J175*J28</f>
        <v>575.4</v>
      </c>
      <c r="K87" s="130">
        <f>K175*K28</f>
        <v>525.4</v>
      </c>
      <c r="L87" s="130">
        <f>L175*L28</f>
        <v>475.40000000000003</v>
      </c>
      <c r="M87" s="130">
        <f>M175*M28</f>
        <v>425.40000000000003</v>
      </c>
      <c r="N87" s="323"/>
    </row>
    <row r="88" spans="1:15" ht="16" outlineLevel="1" x14ac:dyDescent="0.2">
      <c r="A88" s="64" t="s">
        <v>228</v>
      </c>
      <c r="B88" s="83"/>
      <c r="C88" s="84"/>
      <c r="D88" s="88">
        <v>2897</v>
      </c>
      <c r="E88" s="88">
        <v>2990</v>
      </c>
      <c r="F88" s="88">
        <v>3115</v>
      </c>
      <c r="G88" s="88">
        <v>3495</v>
      </c>
      <c r="H88" s="88">
        <v>4134</v>
      </c>
      <c r="I88" s="76">
        <f>H88*(1+10%)</f>
        <v>4547.4000000000005</v>
      </c>
      <c r="J88" s="76">
        <f t="shared" ref="J88:M88" si="31">I88*(1+10%)</f>
        <v>5002.1400000000012</v>
      </c>
      <c r="K88" s="76">
        <f t="shared" si="31"/>
        <v>5502.3540000000021</v>
      </c>
      <c r="L88" s="76">
        <f t="shared" si="31"/>
        <v>6052.5894000000026</v>
      </c>
      <c r="M88" s="76">
        <f t="shared" si="31"/>
        <v>6657.8483400000032</v>
      </c>
      <c r="N88" s="323"/>
    </row>
    <row r="89" spans="1:15" ht="16" outlineLevel="1" x14ac:dyDescent="0.2">
      <c r="A89" s="102" t="s">
        <v>224</v>
      </c>
      <c r="B89" s="102"/>
      <c r="C89" s="103"/>
      <c r="D89" s="104">
        <f>SUM(D85:D88)</f>
        <v>5923</v>
      </c>
      <c r="E89" s="104">
        <f t="shared" ref="E89:M89" si="32">SUM(E85:E88)</f>
        <v>7406</v>
      </c>
      <c r="F89" s="104">
        <f t="shared" si="32"/>
        <v>6844</v>
      </c>
      <c r="G89" s="104">
        <f t="shared" si="32"/>
        <v>6863</v>
      </c>
      <c r="H89" s="104">
        <f t="shared" si="32"/>
        <v>7905</v>
      </c>
      <c r="I89" s="104">
        <f t="shared" si="32"/>
        <v>8544.0063541441123</v>
      </c>
      <c r="J89" s="104">
        <f t="shared" si="32"/>
        <v>9072.9634188086784</v>
      </c>
      <c r="K89" s="104">
        <f t="shared" si="32"/>
        <v>9479.9704146450222</v>
      </c>
      <c r="L89" s="104">
        <f t="shared" si="32"/>
        <v>10030.259283865547</v>
      </c>
      <c r="M89" s="104">
        <f t="shared" si="32"/>
        <v>10759.923376939463</v>
      </c>
      <c r="N89" s="323"/>
      <c r="O89" s="323"/>
    </row>
    <row r="90" spans="1:15" ht="16" outlineLevel="1" x14ac:dyDescent="0.2">
      <c r="A90" s="72" t="s">
        <v>229</v>
      </c>
      <c r="B90" s="64"/>
      <c r="C90" s="100"/>
      <c r="D90" s="91"/>
      <c r="E90" s="431"/>
      <c r="F90" s="431"/>
      <c r="G90" s="431"/>
      <c r="H90" s="431"/>
      <c r="I90" s="64"/>
      <c r="J90" s="64"/>
      <c r="K90" s="64"/>
      <c r="L90" s="64"/>
      <c r="M90" s="64"/>
      <c r="N90" s="323"/>
      <c r="O90" s="323"/>
    </row>
    <row r="91" spans="1:15" ht="16" outlineLevel="1" x14ac:dyDescent="0.2">
      <c r="A91" s="64" t="s">
        <v>230</v>
      </c>
      <c r="B91" s="64"/>
      <c r="C91" s="100"/>
      <c r="D91" s="281">
        <v>2434</v>
      </c>
      <c r="E91" s="281">
        <v>2541</v>
      </c>
      <c r="F91" s="281">
        <v>2821</v>
      </c>
      <c r="G91" s="281">
        <v>3320</v>
      </c>
      <c r="H91" s="281">
        <v>2771</v>
      </c>
      <c r="I91" s="429">
        <f>I175*I29</f>
        <v>2501.6000000000004</v>
      </c>
      <c r="J91" s="429">
        <f>J175*J29</f>
        <v>2301.6</v>
      </c>
      <c r="K91" s="429">
        <f>K175*K29</f>
        <v>2101.6</v>
      </c>
      <c r="L91" s="429">
        <f>L175*L29</f>
        <v>1901.6000000000001</v>
      </c>
      <c r="M91" s="429">
        <f>M175*M29</f>
        <v>1701.6000000000001</v>
      </c>
      <c r="N91" s="323"/>
      <c r="O91" s="323"/>
    </row>
    <row r="92" spans="1:15" ht="16" outlineLevel="1" x14ac:dyDescent="0.2">
      <c r="A92" s="64" t="s">
        <v>231</v>
      </c>
      <c r="B92" s="64"/>
      <c r="C92" s="100"/>
      <c r="D92" s="281" t="s">
        <v>193</v>
      </c>
      <c r="E92" s="281" t="s">
        <v>193</v>
      </c>
      <c r="F92" s="281" t="s">
        <v>193</v>
      </c>
      <c r="G92" s="281">
        <v>1070</v>
      </c>
      <c r="H92" s="281">
        <v>936</v>
      </c>
      <c r="I92" s="64">
        <f>H92</f>
        <v>936</v>
      </c>
      <c r="J92" s="64">
        <f t="shared" ref="J92:M95" si="33">I92</f>
        <v>936</v>
      </c>
      <c r="K92" s="64">
        <f t="shared" si="33"/>
        <v>936</v>
      </c>
      <c r="L92" s="64">
        <f t="shared" si="33"/>
        <v>936</v>
      </c>
      <c r="M92" s="64">
        <f t="shared" si="33"/>
        <v>936</v>
      </c>
      <c r="N92" s="323"/>
    </row>
    <row r="93" spans="1:15" ht="16" outlineLevel="1" x14ac:dyDescent="0.2">
      <c r="A93" s="64" t="s">
        <v>232</v>
      </c>
      <c r="B93" s="64"/>
      <c r="C93" s="100"/>
      <c r="D93" s="281">
        <v>2782</v>
      </c>
      <c r="E93" s="281">
        <v>2490</v>
      </c>
      <c r="F93" s="281">
        <v>3374</v>
      </c>
      <c r="G93" s="281">
        <v>2119</v>
      </c>
      <c r="H93" s="281">
        <v>2427</v>
      </c>
      <c r="I93" s="64">
        <f>H93</f>
        <v>2427</v>
      </c>
      <c r="J93" s="64">
        <f t="shared" si="33"/>
        <v>2427</v>
      </c>
      <c r="K93" s="64">
        <f t="shared" si="33"/>
        <v>2427</v>
      </c>
      <c r="L93" s="64">
        <f t="shared" si="33"/>
        <v>2427</v>
      </c>
      <c r="M93" s="64">
        <f t="shared" si="33"/>
        <v>2427</v>
      </c>
      <c r="N93" s="323"/>
    </row>
    <row r="94" spans="1:15" ht="16" outlineLevel="1" x14ac:dyDescent="0.2">
      <c r="A94" s="64" t="s">
        <v>233</v>
      </c>
      <c r="B94" s="64"/>
      <c r="C94" s="100"/>
      <c r="D94" s="281">
        <v>1255</v>
      </c>
      <c r="E94" s="281">
        <v>760</v>
      </c>
      <c r="F94" s="281">
        <v>728</v>
      </c>
      <c r="G94" s="281">
        <v>707</v>
      </c>
      <c r="H94" s="281">
        <v>650</v>
      </c>
      <c r="I94" s="64">
        <f>H94</f>
        <v>650</v>
      </c>
      <c r="J94" s="64">
        <f t="shared" si="33"/>
        <v>650</v>
      </c>
      <c r="K94" s="64">
        <f t="shared" si="33"/>
        <v>650</v>
      </c>
      <c r="L94" s="64">
        <f t="shared" si="33"/>
        <v>650</v>
      </c>
      <c r="M94" s="64">
        <f t="shared" si="33"/>
        <v>650</v>
      </c>
      <c r="N94" s="323"/>
    </row>
    <row r="95" spans="1:15" ht="16" outlineLevel="1" x14ac:dyDescent="0.2">
      <c r="A95" s="64" t="s">
        <v>234</v>
      </c>
      <c r="B95" s="64"/>
      <c r="C95" s="68"/>
      <c r="D95" s="281">
        <v>554</v>
      </c>
      <c r="E95" s="281">
        <v>757</v>
      </c>
      <c r="F95" s="281">
        <v>1078</v>
      </c>
      <c r="G95" s="281">
        <v>1390</v>
      </c>
      <c r="H95" s="281">
        <v>1701</v>
      </c>
      <c r="I95" s="64">
        <f>H95</f>
        <v>1701</v>
      </c>
      <c r="J95" s="64">
        <f t="shared" si="33"/>
        <v>1701</v>
      </c>
      <c r="K95" s="64">
        <f t="shared" si="33"/>
        <v>1701</v>
      </c>
      <c r="L95" s="64">
        <f t="shared" si="33"/>
        <v>1701</v>
      </c>
      <c r="M95" s="64">
        <f t="shared" si="33"/>
        <v>1701</v>
      </c>
      <c r="N95" s="323"/>
    </row>
    <row r="96" spans="1:15" ht="16" outlineLevel="1" x14ac:dyDescent="0.2">
      <c r="A96" s="102" t="s">
        <v>103</v>
      </c>
      <c r="B96" s="102"/>
      <c r="C96" s="103"/>
      <c r="D96" s="104">
        <f>SUM(D91:D95)+D89</f>
        <v>12948</v>
      </c>
      <c r="E96" s="104">
        <f>SUM(E91:E95)+E89</f>
        <v>13954</v>
      </c>
      <c r="F96" s="104">
        <f>SUM(F91:F95)+F89</f>
        <v>14845</v>
      </c>
      <c r="G96" s="104">
        <f>SUM(G91:G95)+G89</f>
        <v>15469</v>
      </c>
      <c r="H96" s="104">
        <f>SUM(H91:H95)+H89</f>
        <v>16390</v>
      </c>
      <c r="I96" s="104">
        <f>SUM(I91:I95)+I89</f>
        <v>16759.606354144111</v>
      </c>
      <c r="J96" s="104">
        <f>SUM(J91:J95)+J89</f>
        <v>17088.563418808677</v>
      </c>
      <c r="K96" s="104">
        <f>SUM(K91:K95)+K89</f>
        <v>17295.570414645023</v>
      </c>
      <c r="L96" s="104">
        <f>SUM(L91:L95)+L89</f>
        <v>17645.859283865546</v>
      </c>
      <c r="M96" s="104">
        <f>SUM(M91:M95)+M89</f>
        <v>18175.523376939462</v>
      </c>
      <c r="N96" s="323"/>
    </row>
    <row r="97" spans="1:14" ht="16" outlineLevel="1" x14ac:dyDescent="0.2">
      <c r="A97" s="72" t="s">
        <v>104</v>
      </c>
      <c r="B97" s="64"/>
      <c r="C97" s="68"/>
      <c r="D97" s="91"/>
      <c r="E97" s="91"/>
      <c r="F97" s="91"/>
      <c r="G97" s="91"/>
      <c r="H97" s="91"/>
      <c r="I97" s="64"/>
      <c r="J97" s="64"/>
      <c r="K97" s="64"/>
      <c r="L97" s="64"/>
      <c r="M97" s="64"/>
      <c r="N97" s="323"/>
    </row>
    <row r="98" spans="1:14" ht="16" outlineLevel="1" x14ac:dyDescent="0.2">
      <c r="A98" s="64" t="s">
        <v>235</v>
      </c>
      <c r="B98" s="64"/>
      <c r="C98" s="68"/>
      <c r="D98" s="91">
        <v>808</v>
      </c>
      <c r="E98" s="91">
        <v>808</v>
      </c>
      <c r="F98" s="91">
        <v>808</v>
      </c>
      <c r="G98" s="91">
        <v>808</v>
      </c>
      <c r="H98" s="91">
        <v>808</v>
      </c>
      <c r="I98" s="64">
        <f>H98</f>
        <v>808</v>
      </c>
      <c r="J98" s="64">
        <f t="shared" ref="J98:M99" si="34">I98</f>
        <v>808</v>
      </c>
      <c r="K98" s="64">
        <f t="shared" si="34"/>
        <v>808</v>
      </c>
      <c r="L98" s="64">
        <f t="shared" si="34"/>
        <v>808</v>
      </c>
      <c r="M98" s="64">
        <f t="shared" si="34"/>
        <v>808</v>
      </c>
      <c r="N98" s="323"/>
    </row>
    <row r="99" spans="1:14" ht="16" outlineLevel="1" x14ac:dyDescent="0.2">
      <c r="A99" s="64" t="s">
        <v>236</v>
      </c>
      <c r="B99" s="64"/>
      <c r="C99" s="68"/>
      <c r="D99" s="91">
        <v>1315</v>
      </c>
      <c r="E99" s="91">
        <v>1374</v>
      </c>
      <c r="F99" s="91">
        <v>1410</v>
      </c>
      <c r="G99" s="91">
        <v>1451</v>
      </c>
      <c r="H99" s="91">
        <v>1510</v>
      </c>
      <c r="I99" s="64">
        <f>H99</f>
        <v>1510</v>
      </c>
      <c r="J99" s="64">
        <f t="shared" si="34"/>
        <v>1510</v>
      </c>
      <c r="K99" s="64">
        <f t="shared" si="34"/>
        <v>1510</v>
      </c>
      <c r="L99" s="64">
        <f t="shared" si="34"/>
        <v>1510</v>
      </c>
      <c r="M99" s="64">
        <f t="shared" si="34"/>
        <v>1510</v>
      </c>
      <c r="N99" s="323"/>
    </row>
    <row r="100" spans="1:14" ht="16" outlineLevel="1" x14ac:dyDescent="0.2">
      <c r="A100" s="64" t="s">
        <v>237</v>
      </c>
      <c r="B100" s="64"/>
      <c r="C100" s="68"/>
      <c r="D100" s="91">
        <v>-2026</v>
      </c>
      <c r="E100" s="91">
        <v>-3182</v>
      </c>
      <c r="F100" s="91">
        <v>-4872</v>
      </c>
      <c r="G100" s="91">
        <v>-6462</v>
      </c>
      <c r="H100" s="91">
        <v>-8452</v>
      </c>
      <c r="I100" s="64">
        <f>H100+I141</f>
        <v>-8952</v>
      </c>
      <c r="J100" s="64">
        <f t="shared" ref="J100:M100" si="35">I100+J141</f>
        <v>-9452</v>
      </c>
      <c r="K100" s="64">
        <f t="shared" si="35"/>
        <v>-9952</v>
      </c>
      <c r="L100" s="64">
        <f t="shared" si="35"/>
        <v>-10452</v>
      </c>
      <c r="M100" s="64">
        <f t="shared" si="35"/>
        <v>-10952</v>
      </c>
      <c r="N100" s="323"/>
    </row>
    <row r="101" spans="1:14" ht="16" outlineLevel="1" x14ac:dyDescent="0.2">
      <c r="A101" s="64" t="s">
        <v>238</v>
      </c>
      <c r="B101" s="64"/>
      <c r="C101" s="68"/>
      <c r="D101" s="91">
        <v>7416</v>
      </c>
      <c r="E101" s="91">
        <v>9409</v>
      </c>
      <c r="F101" s="91">
        <v>11418</v>
      </c>
      <c r="G101" s="91">
        <v>13832</v>
      </c>
      <c r="H101" s="91">
        <v>15967</v>
      </c>
      <c r="I101" s="92">
        <f>H101+I60-(-I142)</f>
        <v>19222.871369967539</v>
      </c>
      <c r="J101" s="92">
        <f t="shared" ref="J101:M101" si="36">I101+J60-(-J142)</f>
        <v>23260.416361740579</v>
      </c>
      <c r="K101" s="92">
        <f t="shared" si="36"/>
        <v>27923.261557973994</v>
      </c>
      <c r="L101" s="92">
        <f t="shared" si="36"/>
        <v>33355.139078983164</v>
      </c>
      <c r="M101" s="92">
        <f t="shared" si="36"/>
        <v>38920.506389307055</v>
      </c>
      <c r="N101" s="323"/>
    </row>
    <row r="102" spans="1:14" ht="16" outlineLevel="1" x14ac:dyDescent="0.2">
      <c r="A102" s="64" t="s">
        <v>239</v>
      </c>
      <c r="B102" s="64"/>
      <c r="C102" s="68"/>
      <c r="D102" s="91">
        <v>-738</v>
      </c>
      <c r="E102" s="91">
        <v>-1051</v>
      </c>
      <c r="F102" s="91">
        <v>-323</v>
      </c>
      <c r="G102" s="91">
        <v>12</v>
      </c>
      <c r="H102" s="91">
        <v>20</v>
      </c>
      <c r="I102" s="64">
        <f>H102</f>
        <v>20</v>
      </c>
      <c r="J102" s="64">
        <f t="shared" ref="J102:M102" si="37">I102</f>
        <v>20</v>
      </c>
      <c r="K102" s="64">
        <f t="shared" si="37"/>
        <v>20</v>
      </c>
      <c r="L102" s="64">
        <f t="shared" si="37"/>
        <v>20</v>
      </c>
      <c r="M102" s="64">
        <f t="shared" si="37"/>
        <v>20</v>
      </c>
      <c r="N102" s="323"/>
    </row>
    <row r="103" spans="1:14" ht="16" outlineLevel="1" x14ac:dyDescent="0.2">
      <c r="A103" s="102" t="s">
        <v>240</v>
      </c>
      <c r="B103" s="102"/>
      <c r="C103" s="103"/>
      <c r="D103" s="104">
        <f>SUM(D98:D102)</f>
        <v>6775</v>
      </c>
      <c r="E103" s="104">
        <f t="shared" ref="E103:M103" si="38">SUM(E98:E102)</f>
        <v>7358</v>
      </c>
      <c r="F103" s="104">
        <f t="shared" si="38"/>
        <v>8441</v>
      </c>
      <c r="G103" s="104">
        <f t="shared" si="38"/>
        <v>9641</v>
      </c>
      <c r="H103" s="104">
        <f>SUM(H98:H102)</f>
        <v>9853</v>
      </c>
      <c r="I103" s="104">
        <f>SUM(I98:I102)</f>
        <v>12608.871369967539</v>
      </c>
      <c r="J103" s="104">
        <f t="shared" si="38"/>
        <v>16146.416361740579</v>
      </c>
      <c r="K103" s="104">
        <f t="shared" si="38"/>
        <v>20309.261557973994</v>
      </c>
      <c r="L103" s="104">
        <f t="shared" si="38"/>
        <v>25241.139078983164</v>
      </c>
      <c r="M103" s="104">
        <f t="shared" si="38"/>
        <v>30306.506389307055</v>
      </c>
      <c r="N103" s="323"/>
    </row>
    <row r="104" spans="1:14" ht="17" outlineLevel="1" thickBot="1" x14ac:dyDescent="0.25">
      <c r="A104" s="97" t="s">
        <v>107</v>
      </c>
      <c r="B104" s="97"/>
      <c r="C104" s="98"/>
      <c r="D104" s="99">
        <f>D96+D103</f>
        <v>19723</v>
      </c>
      <c r="E104" s="99">
        <f t="shared" ref="E104:M104" si="39">E96+E103</f>
        <v>21312</v>
      </c>
      <c r="F104" s="99">
        <f t="shared" si="39"/>
        <v>23286</v>
      </c>
      <c r="G104" s="99">
        <f t="shared" si="39"/>
        <v>25110</v>
      </c>
      <c r="H104" s="99">
        <f t="shared" si="39"/>
        <v>26243</v>
      </c>
      <c r="I104" s="99">
        <f>I96+I103</f>
        <v>29368.47772411165</v>
      </c>
      <c r="J104" s="99">
        <f t="shared" si="39"/>
        <v>33234.979780549256</v>
      </c>
      <c r="K104" s="99">
        <f t="shared" si="39"/>
        <v>37604.831972619017</v>
      </c>
      <c r="L104" s="99">
        <f t="shared" si="39"/>
        <v>42886.99836284871</v>
      </c>
      <c r="M104" s="99">
        <f t="shared" si="39"/>
        <v>48482.029766246516</v>
      </c>
      <c r="N104" s="323"/>
    </row>
    <row r="105" spans="1:14" ht="17" outlineLevel="1" thickTop="1" x14ac:dyDescent="0.2">
      <c r="A105" s="64"/>
      <c r="B105" s="64"/>
      <c r="C105" s="68"/>
      <c r="D105" s="91"/>
      <c r="E105" s="91"/>
      <c r="F105" s="91"/>
      <c r="G105" s="91"/>
      <c r="H105" s="91"/>
      <c r="I105" s="64"/>
      <c r="J105" s="64"/>
      <c r="K105" s="64"/>
      <c r="L105" s="64"/>
      <c r="M105" s="64"/>
      <c r="N105" s="106"/>
    </row>
    <row r="106" spans="1:14" ht="16" x14ac:dyDescent="0.2">
      <c r="A106" s="105" t="s">
        <v>108</v>
      </c>
      <c r="B106" s="106"/>
      <c r="C106" s="107"/>
      <c r="D106" s="106">
        <f>D104-D82</f>
        <v>0</v>
      </c>
      <c r="E106" s="106">
        <f>E104-E82</f>
        <v>0</v>
      </c>
      <c r="F106" s="106">
        <f>F104-F82</f>
        <v>0</v>
      </c>
      <c r="G106" s="106">
        <f>G104-G82</f>
        <v>0</v>
      </c>
      <c r="H106" s="106">
        <f>H104-H82</f>
        <v>0</v>
      </c>
      <c r="I106" s="106">
        <f>I104-I82</f>
        <v>0</v>
      </c>
      <c r="J106" s="106">
        <f>J104-J82</f>
        <v>0</v>
      </c>
      <c r="K106" s="106">
        <f>K104-K82</f>
        <v>0</v>
      </c>
      <c r="L106" s="106">
        <f>L104-L82</f>
        <v>0</v>
      </c>
      <c r="M106" s="106">
        <f>M104-M82</f>
        <v>0</v>
      </c>
    </row>
    <row r="107" spans="1:14" ht="16" x14ac:dyDescent="0.2">
      <c r="A107" s="106"/>
      <c r="B107" s="106"/>
      <c r="C107" s="107"/>
      <c r="D107" s="106"/>
      <c r="E107" s="106"/>
      <c r="F107" s="106"/>
      <c r="G107" s="106"/>
      <c r="H107" s="106"/>
      <c r="I107" s="106"/>
      <c r="J107" s="106"/>
      <c r="K107" s="106"/>
      <c r="L107" s="106"/>
      <c r="M107" s="106"/>
    </row>
    <row r="108" spans="1:14" ht="16" outlineLevel="1" x14ac:dyDescent="0.2">
      <c r="A108" s="64"/>
      <c r="B108" s="64"/>
      <c r="C108" s="68"/>
      <c r="D108" s="91"/>
      <c r="E108" s="91"/>
      <c r="F108" s="91"/>
      <c r="G108" s="91"/>
      <c r="H108" s="91"/>
      <c r="I108" s="64"/>
      <c r="J108" s="64"/>
      <c r="K108" s="64"/>
      <c r="L108" s="64"/>
      <c r="M108" s="64"/>
    </row>
    <row r="109" spans="1:14" ht="20" outlineLevel="1" x14ac:dyDescent="0.2">
      <c r="A109" s="444" t="s">
        <v>109</v>
      </c>
      <c r="B109" s="453"/>
      <c r="C109" s="454"/>
      <c r="D109" s="453"/>
      <c r="E109" s="453"/>
      <c r="F109" s="453"/>
      <c r="G109" s="453"/>
      <c r="H109" s="453"/>
      <c r="I109" s="453"/>
      <c r="J109" s="453"/>
      <c r="K109" s="453"/>
      <c r="L109" s="453"/>
      <c r="M109" s="453"/>
    </row>
    <row r="110" spans="1:14" ht="16" outlineLevel="1" x14ac:dyDescent="0.2">
      <c r="A110" s="72"/>
      <c r="B110" s="64"/>
      <c r="C110" s="68"/>
      <c r="D110" s="85"/>
      <c r="E110" s="91"/>
      <c r="F110" s="91"/>
      <c r="G110" s="91"/>
      <c r="H110" s="91"/>
      <c r="I110" s="64"/>
      <c r="J110" s="64"/>
      <c r="K110" s="64"/>
      <c r="L110" s="64"/>
      <c r="M110" s="64"/>
    </row>
    <row r="111" spans="1:14" ht="16" outlineLevel="1" x14ac:dyDescent="0.2">
      <c r="A111" s="72" t="s">
        <v>110</v>
      </c>
      <c r="B111" s="64"/>
      <c r="C111" s="68"/>
      <c r="D111" s="91"/>
      <c r="E111" s="91"/>
      <c r="F111" s="91"/>
      <c r="G111" s="91"/>
      <c r="H111" s="91"/>
      <c r="I111" s="64"/>
      <c r="J111" s="64"/>
      <c r="K111" s="64"/>
      <c r="L111" s="64"/>
      <c r="M111" s="64"/>
    </row>
    <row r="112" spans="1:14" ht="16" outlineLevel="1" x14ac:dyDescent="0.2">
      <c r="A112" s="64" t="s">
        <v>92</v>
      </c>
      <c r="B112" s="64"/>
      <c r="C112" s="68"/>
      <c r="D112" s="281">
        <f>D60</f>
        <v>1136</v>
      </c>
      <c r="E112" s="281">
        <f>E60</f>
        <v>2181</v>
      </c>
      <c r="F112" s="281">
        <f>F60</f>
        <v>2183</v>
      </c>
      <c r="G112" s="281">
        <f>G60</f>
        <v>3357</v>
      </c>
      <c r="H112" s="281">
        <f>H60</f>
        <v>2465</v>
      </c>
      <c r="I112" s="286">
        <f>I60</f>
        <v>3615.8713699675404</v>
      </c>
      <c r="J112" s="286">
        <f>J60</f>
        <v>4397.5449917730402</v>
      </c>
      <c r="K112" s="286">
        <f>K60</f>
        <v>5022.8451962334148</v>
      </c>
      <c r="L112" s="286">
        <f>L60</f>
        <v>5791.8775210091717</v>
      </c>
      <c r="M112" s="286">
        <f>M60</f>
        <v>5925.367310323888</v>
      </c>
    </row>
    <row r="113" spans="1:13" ht="16" outlineLevel="1" x14ac:dyDescent="0.2">
      <c r="A113" s="64" t="s">
        <v>202</v>
      </c>
      <c r="B113" s="64"/>
      <c r="C113" s="68"/>
      <c r="D113" s="281">
        <v>938</v>
      </c>
      <c r="E113" s="281">
        <v>1015</v>
      </c>
      <c r="F113" s="281">
        <v>1221</v>
      </c>
      <c r="G113" s="281">
        <v>1218</v>
      </c>
      <c r="H113" s="281">
        <v>1201</v>
      </c>
      <c r="I113" s="286">
        <f>I169</f>
        <v>1273.6499999999999</v>
      </c>
      <c r="J113" s="286">
        <f t="shared" ref="J113:M113" si="40">J169</f>
        <v>1290.6262499999998</v>
      </c>
      <c r="K113" s="286">
        <f t="shared" si="40"/>
        <v>1306.3292812499997</v>
      </c>
      <c r="L113" s="286">
        <f t="shared" si="40"/>
        <v>1320.8545851562496</v>
      </c>
      <c r="M113" s="286">
        <f t="shared" si="40"/>
        <v>1334.290491269531</v>
      </c>
    </row>
    <row r="114" spans="1:13" ht="16" outlineLevel="1" x14ac:dyDescent="0.2">
      <c r="A114" s="64" t="s">
        <v>241</v>
      </c>
      <c r="B114" s="64"/>
      <c r="C114" s="68"/>
      <c r="D114" s="281">
        <v>0</v>
      </c>
      <c r="E114" s="281">
        <v>0</v>
      </c>
      <c r="F114" s="281">
        <v>21</v>
      </c>
      <c r="G114" s="281">
        <v>0</v>
      </c>
      <c r="H114" s="281">
        <v>0</v>
      </c>
      <c r="I114" s="286"/>
      <c r="J114" s="286"/>
      <c r="K114" s="286"/>
      <c r="L114" s="286"/>
      <c r="M114" s="286"/>
    </row>
    <row r="115" spans="1:13" ht="16" outlineLevel="1" x14ac:dyDescent="0.2">
      <c r="A115" s="64" t="s">
        <v>232</v>
      </c>
      <c r="B115" s="64"/>
      <c r="C115" s="68"/>
      <c r="D115" s="281">
        <v>501</v>
      </c>
      <c r="E115" s="281">
        <v>-109</v>
      </c>
      <c r="F115" s="281">
        <v>419</v>
      </c>
      <c r="G115" s="281">
        <v>-1066</v>
      </c>
      <c r="H115" s="281">
        <v>301</v>
      </c>
      <c r="I115" s="286"/>
      <c r="J115" s="286"/>
      <c r="K115" s="286"/>
      <c r="L115" s="286"/>
      <c r="M115" s="286"/>
    </row>
    <row r="116" spans="1:13" ht="16" outlineLevel="1" x14ac:dyDescent="0.2">
      <c r="A116" s="64" t="s">
        <v>242</v>
      </c>
      <c r="B116" s="64"/>
      <c r="C116" s="68"/>
      <c r="D116" s="281">
        <v>-277</v>
      </c>
      <c r="E116" s="281">
        <v>-462</v>
      </c>
      <c r="F116" s="281">
        <v>-165</v>
      </c>
      <c r="G116" s="281">
        <v>-121</v>
      </c>
      <c r="H116" s="281">
        <v>14</v>
      </c>
      <c r="I116" s="286"/>
      <c r="J116" s="286"/>
      <c r="K116" s="286"/>
      <c r="L116" s="286"/>
      <c r="M116" s="286"/>
    </row>
    <row r="117" spans="1:13" ht="16" outlineLevel="1" x14ac:dyDescent="0.2">
      <c r="A117" s="64" t="s">
        <v>221</v>
      </c>
      <c r="B117" s="64"/>
      <c r="C117" s="68"/>
      <c r="D117" s="281">
        <v>142</v>
      </c>
      <c r="E117" s="281">
        <v>103</v>
      </c>
      <c r="F117" s="281">
        <v>-119</v>
      </c>
      <c r="G117" s="281">
        <v>-262</v>
      </c>
      <c r="H117" s="281">
        <v>-227</v>
      </c>
      <c r="I117" s="286"/>
      <c r="J117" s="286"/>
      <c r="K117" s="286"/>
      <c r="L117" s="286"/>
      <c r="M117" s="286"/>
    </row>
    <row r="118" spans="1:13" ht="16" outlineLevel="1" x14ac:dyDescent="0.2">
      <c r="A118" s="64" t="s">
        <v>243</v>
      </c>
      <c r="B118" s="64"/>
      <c r="C118" s="68"/>
      <c r="D118" s="281">
        <v>279</v>
      </c>
      <c r="E118" s="281">
        <v>113</v>
      </c>
      <c r="F118" s="281" t="s">
        <v>193</v>
      </c>
      <c r="G118" s="281" t="s">
        <v>193</v>
      </c>
      <c r="H118" s="281" t="s">
        <v>193</v>
      </c>
      <c r="I118" s="286"/>
      <c r="J118" s="286"/>
      <c r="K118" s="286"/>
      <c r="L118" s="286"/>
      <c r="M118" s="286"/>
    </row>
    <row r="119" spans="1:13" ht="16" outlineLevel="1" x14ac:dyDescent="0.2">
      <c r="A119" s="64" t="s">
        <v>244</v>
      </c>
      <c r="B119" s="64"/>
      <c r="C119" s="68"/>
      <c r="D119" s="281" t="s">
        <v>193</v>
      </c>
      <c r="E119" s="281" t="s">
        <v>193</v>
      </c>
      <c r="F119" s="281">
        <v>-200</v>
      </c>
      <c r="G119" s="281">
        <v>-50</v>
      </c>
      <c r="H119" s="281">
        <v>-14</v>
      </c>
      <c r="I119" s="286"/>
      <c r="J119" s="286"/>
      <c r="K119" s="286"/>
      <c r="L119" s="286"/>
      <c r="M119" s="286"/>
    </row>
    <row r="120" spans="1:13" ht="16" outlineLevel="1" x14ac:dyDescent="0.2">
      <c r="A120" s="64" t="s">
        <v>245</v>
      </c>
      <c r="B120" s="64"/>
      <c r="C120" s="68"/>
      <c r="D120" s="281" t="s">
        <v>193</v>
      </c>
      <c r="E120" s="281" t="s">
        <v>193</v>
      </c>
      <c r="F120" s="281" t="s">
        <v>193</v>
      </c>
      <c r="G120" s="281">
        <v>63</v>
      </c>
      <c r="H120" s="281" t="s">
        <v>193</v>
      </c>
      <c r="I120" s="286"/>
      <c r="J120" s="286"/>
      <c r="K120" s="286"/>
      <c r="L120" s="286"/>
      <c r="M120" s="286"/>
    </row>
    <row r="121" spans="1:13" ht="16" outlineLevel="1" x14ac:dyDescent="0.2">
      <c r="A121" s="64" t="s">
        <v>246</v>
      </c>
      <c r="B121" s="64"/>
      <c r="C121" s="68"/>
      <c r="D121" s="281">
        <v>54</v>
      </c>
      <c r="E121" s="281">
        <v>-88</v>
      </c>
      <c r="F121" s="281">
        <v>-50</v>
      </c>
      <c r="G121" s="281">
        <v>-102</v>
      </c>
      <c r="H121" s="281">
        <v>117</v>
      </c>
      <c r="I121" s="286"/>
      <c r="J121" s="286"/>
      <c r="K121" s="286"/>
      <c r="L121" s="286"/>
      <c r="M121" s="286"/>
    </row>
    <row r="122" spans="1:13" ht="16" outlineLevel="1" x14ac:dyDescent="0.2">
      <c r="A122" s="64" t="s">
        <v>226</v>
      </c>
      <c r="B122" s="64"/>
      <c r="C122" s="68"/>
      <c r="D122" s="281">
        <v>36</v>
      </c>
      <c r="E122" s="281">
        <v>961</v>
      </c>
      <c r="F122" s="281">
        <v>221</v>
      </c>
      <c r="G122" s="281">
        <v>233</v>
      </c>
      <c r="H122" s="281">
        <v>545</v>
      </c>
      <c r="I122" s="286">
        <f>I86-H86</f>
        <v>169</v>
      </c>
      <c r="J122" s="286">
        <f t="shared" ref="J122:M122" si="41">J86-I86</f>
        <v>70.599999999999909</v>
      </c>
      <c r="K122" s="286">
        <f t="shared" si="41"/>
        <v>-120.47999999999979</v>
      </c>
      <c r="L122" s="286">
        <f t="shared" si="41"/>
        <v>-23.375999999999976</v>
      </c>
      <c r="M122" s="286">
        <f t="shared" si="41"/>
        <v>28.948799999999892</v>
      </c>
    </row>
    <row r="123" spans="1:13" ht="16" outlineLevel="1" x14ac:dyDescent="0.2">
      <c r="A123" s="64" t="s">
        <v>247</v>
      </c>
      <c r="B123" s="64"/>
      <c r="C123" s="68"/>
      <c r="D123" s="281">
        <v>326</v>
      </c>
      <c r="E123" s="281">
        <v>94</v>
      </c>
      <c r="F123" s="281">
        <v>227</v>
      </c>
      <c r="G123" s="281">
        <v>343</v>
      </c>
      <c r="H123" s="281">
        <v>506</v>
      </c>
      <c r="I123" s="286">
        <f>I88-H88</f>
        <v>413.40000000000055</v>
      </c>
      <c r="J123" s="286">
        <f t="shared" ref="J123:M123" si="42">J88-I88</f>
        <v>454.74000000000069</v>
      </c>
      <c r="K123" s="286">
        <f t="shared" si="42"/>
        <v>500.21400000000085</v>
      </c>
      <c r="L123" s="286">
        <f t="shared" si="42"/>
        <v>550.23540000000048</v>
      </c>
      <c r="M123" s="286">
        <f t="shared" si="42"/>
        <v>605.25894000000062</v>
      </c>
    </row>
    <row r="124" spans="1:13" ht="16" outlineLevel="1" x14ac:dyDescent="0.2">
      <c r="A124" s="64" t="s">
        <v>248</v>
      </c>
      <c r="B124" s="64"/>
      <c r="C124" s="68"/>
      <c r="D124" s="281">
        <v>-233</v>
      </c>
      <c r="E124" s="281">
        <v>-570</v>
      </c>
      <c r="F124" s="281">
        <v>535</v>
      </c>
      <c r="G124" s="281">
        <v>316</v>
      </c>
      <c r="H124" s="281">
        <v>-15</v>
      </c>
      <c r="I124" s="286"/>
      <c r="J124" s="286"/>
      <c r="K124" s="286"/>
      <c r="L124" s="286"/>
      <c r="M124" s="286"/>
    </row>
    <row r="125" spans="1:13" ht="16" outlineLevel="1" x14ac:dyDescent="0.2">
      <c r="A125" s="64" t="s">
        <v>445</v>
      </c>
      <c r="B125" s="64"/>
      <c r="C125" s="68"/>
      <c r="D125" s="281"/>
      <c r="E125" s="281"/>
      <c r="F125" s="281"/>
      <c r="G125" s="281"/>
      <c r="H125" s="281"/>
      <c r="I125" s="286">
        <f>I164</f>
        <v>-45.67870737865951</v>
      </c>
      <c r="J125" s="286">
        <f t="shared" ref="J125:M125" si="43">J164</f>
        <v>-9.4771840696189429</v>
      </c>
      <c r="K125" s="286">
        <f t="shared" si="43"/>
        <v>3.3132487670959563</v>
      </c>
      <c r="L125" s="286">
        <f t="shared" si="43"/>
        <v>-2.7886607160903623</v>
      </c>
      <c r="M125" s="286">
        <f t="shared" si="43"/>
        <v>42.344425942139878</v>
      </c>
    </row>
    <row r="126" spans="1:13" ht="16" outlineLevel="1" x14ac:dyDescent="0.2">
      <c r="A126" s="74" t="s">
        <v>113</v>
      </c>
      <c r="B126" s="73"/>
      <c r="C126" s="108"/>
      <c r="D126" s="287">
        <f>SUM(D112:D124)</f>
        <v>2902</v>
      </c>
      <c r="E126" s="287">
        <f>SUM(E112:E124)</f>
        <v>3238</v>
      </c>
      <c r="F126" s="287">
        <f>SUM(F112:F124)</f>
        <v>4293</v>
      </c>
      <c r="G126" s="287">
        <f>SUM(G112:G124)</f>
        <v>3929</v>
      </c>
      <c r="H126" s="287">
        <f>SUM(H112:H124)</f>
        <v>4893</v>
      </c>
      <c r="I126" s="287">
        <f>SUM(I112:I125)</f>
        <v>5426.242662588882</v>
      </c>
      <c r="J126" s="287">
        <f t="shared" ref="J126:M126" si="44">SUM(J112:J125)</f>
        <v>6204.0340577034221</v>
      </c>
      <c r="K126" s="287">
        <f t="shared" si="44"/>
        <v>6712.221726250511</v>
      </c>
      <c r="L126" s="287">
        <f t="shared" si="44"/>
        <v>7636.8028454493306</v>
      </c>
      <c r="M126" s="287">
        <f t="shared" si="44"/>
        <v>7936.2099675355603</v>
      </c>
    </row>
    <row r="127" spans="1:13" ht="16" outlineLevel="1" x14ac:dyDescent="0.2">
      <c r="A127" s="83"/>
      <c r="B127" s="76"/>
      <c r="C127" s="77"/>
      <c r="D127" s="288"/>
      <c r="E127" s="288"/>
      <c r="F127" s="288"/>
      <c r="G127" s="288"/>
      <c r="H127" s="288"/>
      <c r="I127" s="83"/>
      <c r="J127" s="83"/>
      <c r="K127" s="83"/>
      <c r="L127" s="83"/>
      <c r="M127" s="83"/>
    </row>
    <row r="128" spans="1:13" ht="16" outlineLevel="1" x14ac:dyDescent="0.2">
      <c r="A128" s="72" t="s">
        <v>114</v>
      </c>
      <c r="B128" s="64"/>
      <c r="C128" s="68"/>
      <c r="D128" s="282"/>
      <c r="E128" s="282"/>
      <c r="F128" s="282"/>
      <c r="G128" s="282"/>
      <c r="H128" s="282"/>
      <c r="I128" s="76"/>
      <c r="J128" s="76"/>
      <c r="K128" s="76"/>
      <c r="L128" s="76"/>
      <c r="M128" s="76"/>
    </row>
    <row r="129" spans="1:13" ht="16" outlineLevel="1" x14ac:dyDescent="0.2">
      <c r="A129" s="64" t="s">
        <v>242</v>
      </c>
      <c r="B129" s="64"/>
      <c r="C129" s="68"/>
      <c r="D129" s="282">
        <v>-4</v>
      </c>
      <c r="E129" s="282">
        <v>-7</v>
      </c>
      <c r="F129" s="282" t="s">
        <v>193</v>
      </c>
      <c r="G129" s="282" t="s">
        <v>193</v>
      </c>
      <c r="H129" s="282">
        <v>5</v>
      </c>
      <c r="I129" s="76"/>
      <c r="J129" s="76"/>
      <c r="K129" s="76"/>
      <c r="L129" s="76"/>
      <c r="M129" s="76"/>
    </row>
    <row r="130" spans="1:13" ht="16" outlineLevel="1" x14ac:dyDescent="0.2">
      <c r="A130" s="64" t="s">
        <v>249</v>
      </c>
      <c r="B130" s="64"/>
      <c r="C130" s="68"/>
      <c r="D130" s="282">
        <v>-1748</v>
      </c>
      <c r="E130" s="282">
        <v>-2041</v>
      </c>
      <c r="F130" s="282">
        <v>-2038</v>
      </c>
      <c r="G130" s="282">
        <v>-2123</v>
      </c>
      <c r="H130" s="282">
        <v>-1922</v>
      </c>
      <c r="I130" s="76">
        <f>-I24</f>
        <v>-1500</v>
      </c>
      <c r="J130" s="76">
        <f>-J24</f>
        <v>-1500</v>
      </c>
      <c r="K130" s="76">
        <f>-K24</f>
        <v>-1500</v>
      </c>
      <c r="L130" s="76">
        <f>-L24</f>
        <v>-1500</v>
      </c>
      <c r="M130" s="76">
        <f>-M24</f>
        <v>-1500</v>
      </c>
    </row>
    <row r="131" spans="1:13" ht="16" outlineLevel="1" x14ac:dyDescent="0.2">
      <c r="A131" s="64" t="s">
        <v>219</v>
      </c>
      <c r="B131" s="64"/>
      <c r="C131" s="68"/>
      <c r="D131" s="282">
        <v>-80</v>
      </c>
      <c r="E131" s="282">
        <v>-102</v>
      </c>
      <c r="F131" s="282">
        <v>-109</v>
      </c>
      <c r="G131" s="282">
        <v>-126</v>
      </c>
      <c r="H131" s="282">
        <v>-54</v>
      </c>
      <c r="I131" s="76"/>
      <c r="J131" s="76"/>
      <c r="K131" s="76"/>
      <c r="L131" s="76"/>
      <c r="M131" s="76"/>
    </row>
    <row r="132" spans="1:13" ht="16" outlineLevel="1" x14ac:dyDescent="0.2">
      <c r="A132" s="64" t="s">
        <v>250</v>
      </c>
      <c r="B132" s="64"/>
      <c r="C132" s="68"/>
      <c r="D132" s="282">
        <v>-3080</v>
      </c>
      <c r="E132" s="282">
        <v>-1986</v>
      </c>
      <c r="F132" s="282">
        <v>-2388</v>
      </c>
      <c r="G132" s="282">
        <v>-2380</v>
      </c>
      <c r="H132" s="282">
        <v>-2409</v>
      </c>
      <c r="I132" s="76"/>
      <c r="J132" s="76"/>
      <c r="K132" s="76"/>
      <c r="L132" s="76"/>
      <c r="M132" s="76"/>
    </row>
    <row r="133" spans="1:13" ht="16" outlineLevel="1" x14ac:dyDescent="0.2">
      <c r="A133" s="64" t="s">
        <v>251</v>
      </c>
      <c r="B133" s="64"/>
      <c r="C133" s="68"/>
      <c r="D133" s="282">
        <v>3185</v>
      </c>
      <c r="E133" s="282">
        <v>2223</v>
      </c>
      <c r="F133" s="282">
        <v>2263</v>
      </c>
      <c r="G133" s="282">
        <v>2221</v>
      </c>
      <c r="H133" s="282">
        <v>2342</v>
      </c>
      <c r="I133" s="76"/>
      <c r="J133" s="76"/>
      <c r="K133" s="76"/>
      <c r="L133" s="76"/>
      <c r="M133" s="76"/>
    </row>
    <row r="134" spans="1:13" ht="16" outlineLevel="1" x14ac:dyDescent="0.2">
      <c r="A134" s="74" t="s">
        <v>116</v>
      </c>
      <c r="B134" s="73"/>
      <c r="C134" s="108"/>
      <c r="D134" s="287">
        <f>SUM(D129:D133)</f>
        <v>-1727</v>
      </c>
      <c r="E134" s="287">
        <f t="shared" ref="E134:M134" si="45">SUM(E129:E133)</f>
        <v>-1913</v>
      </c>
      <c r="F134" s="287">
        <f t="shared" si="45"/>
        <v>-2272</v>
      </c>
      <c r="G134" s="287">
        <f t="shared" si="45"/>
        <v>-2408</v>
      </c>
      <c r="H134" s="287">
        <f t="shared" si="45"/>
        <v>-2038</v>
      </c>
      <c r="I134" s="89">
        <f>SUM(I129:I133)</f>
        <v>-1500</v>
      </c>
      <c r="J134" s="89">
        <f t="shared" si="45"/>
        <v>-1500</v>
      </c>
      <c r="K134" s="89">
        <f t="shared" si="45"/>
        <v>-1500</v>
      </c>
      <c r="L134" s="89">
        <f t="shared" si="45"/>
        <v>-1500</v>
      </c>
      <c r="M134" s="89">
        <f t="shared" si="45"/>
        <v>-1500</v>
      </c>
    </row>
    <row r="135" spans="1:13" ht="16" outlineLevel="1" x14ac:dyDescent="0.2">
      <c r="A135" s="83"/>
      <c r="B135" s="76"/>
      <c r="C135" s="77"/>
      <c r="D135" s="288"/>
      <c r="E135" s="288"/>
      <c r="F135" s="288"/>
      <c r="G135" s="288"/>
      <c r="H135" s="288"/>
      <c r="I135" s="83"/>
      <c r="J135" s="83"/>
      <c r="K135" s="83"/>
      <c r="L135" s="83"/>
      <c r="M135" s="83"/>
    </row>
    <row r="136" spans="1:13" ht="16" outlineLevel="1" x14ac:dyDescent="0.2">
      <c r="A136" s="72" t="s">
        <v>117</v>
      </c>
      <c r="B136" s="64"/>
      <c r="C136" s="68"/>
      <c r="D136" s="282"/>
      <c r="E136" s="282"/>
      <c r="F136" s="282"/>
      <c r="G136" s="282"/>
      <c r="H136" s="282"/>
      <c r="I136" s="76"/>
      <c r="J136" s="76"/>
      <c r="K136" s="76"/>
      <c r="L136" s="76"/>
      <c r="M136" s="76"/>
    </row>
    <row r="137" spans="1:13" ht="16" outlineLevel="1" x14ac:dyDescent="0.2">
      <c r="A137" s="64" t="s">
        <v>252</v>
      </c>
      <c r="B137" s="64"/>
      <c r="C137" s="68"/>
      <c r="D137" s="282">
        <v>-561</v>
      </c>
      <c r="E137" s="282">
        <v>-213</v>
      </c>
      <c r="F137" s="282">
        <v>-523</v>
      </c>
      <c r="G137" s="282">
        <v>-592</v>
      </c>
      <c r="H137" s="282">
        <v>-342</v>
      </c>
      <c r="I137" s="289">
        <f>IF(I25&lt;0,I25,0)</f>
        <v>-250</v>
      </c>
      <c r="J137" s="289">
        <f>IF(J25&lt;0,J25,0)</f>
        <v>-250</v>
      </c>
      <c r="K137" s="289">
        <f>IF(K25&lt;0,K25,0)</f>
        <v>-250</v>
      </c>
      <c r="L137" s="289">
        <f>IF(L25&lt;0,L25,0)</f>
        <v>-250</v>
      </c>
      <c r="M137" s="289">
        <f>IF(M25&lt;0,M25,0)</f>
        <v>-250</v>
      </c>
    </row>
    <row r="138" spans="1:13" ht="16" outlineLevel="1" x14ac:dyDescent="0.2">
      <c r="A138" s="64" t="s">
        <v>253</v>
      </c>
      <c r="B138" s="64"/>
      <c r="C138" s="68"/>
      <c r="D138" s="282">
        <v>300</v>
      </c>
      <c r="E138" s="282">
        <v>500</v>
      </c>
      <c r="F138" s="282">
        <v>515</v>
      </c>
      <c r="G138" s="282">
        <v>600</v>
      </c>
      <c r="H138" s="282">
        <v>0</v>
      </c>
      <c r="I138" s="289">
        <f>IF(I25&gt;0,I25,0)</f>
        <v>0</v>
      </c>
      <c r="J138" s="289">
        <f>IF(J25&gt;0,J25,0)</f>
        <v>0</v>
      </c>
      <c r="K138" s="289">
        <f>IF(K25&gt;0,K25,0)</f>
        <v>0</v>
      </c>
      <c r="L138" s="289">
        <f>IF(L25&gt;0,L25,0)</f>
        <v>0</v>
      </c>
      <c r="M138" s="289">
        <f>IF(M25&gt;0,M25,0)</f>
        <v>0</v>
      </c>
    </row>
    <row r="139" spans="1:13" ht="16" outlineLevel="1" x14ac:dyDescent="0.2">
      <c r="A139" s="64" t="s">
        <v>254</v>
      </c>
      <c r="B139" s="64"/>
      <c r="C139" s="68"/>
      <c r="D139" s="282" t="s">
        <v>193</v>
      </c>
      <c r="E139" s="282" t="s">
        <v>193</v>
      </c>
      <c r="F139" s="282">
        <v>-68</v>
      </c>
      <c r="G139" s="282" t="s">
        <v>193</v>
      </c>
      <c r="H139" s="282" t="s">
        <v>193</v>
      </c>
      <c r="I139" s="289">
        <v>0</v>
      </c>
      <c r="J139" s="289">
        <v>0</v>
      </c>
      <c r="K139" s="289">
        <v>0</v>
      </c>
      <c r="L139" s="289">
        <v>0</v>
      </c>
      <c r="M139" s="289">
        <v>0</v>
      </c>
    </row>
    <row r="140" spans="1:13" ht="16" outlineLevel="1" x14ac:dyDescent="0.2">
      <c r="A140" s="64" t="s">
        <v>255</v>
      </c>
      <c r="B140" s="64"/>
      <c r="C140" s="68"/>
      <c r="D140" s="282">
        <v>110</v>
      </c>
      <c r="E140" s="282">
        <v>46</v>
      </c>
      <c r="F140" s="282">
        <v>29</v>
      </c>
      <c r="G140" s="282">
        <v>29</v>
      </c>
      <c r="H140" s="282">
        <v>35</v>
      </c>
      <c r="I140" s="289">
        <v>0</v>
      </c>
      <c r="J140" s="289">
        <v>0</v>
      </c>
      <c r="K140" s="289">
        <v>0</v>
      </c>
      <c r="L140" s="289">
        <v>0</v>
      </c>
      <c r="M140" s="289">
        <v>0</v>
      </c>
    </row>
    <row r="141" spans="1:13" ht="16" outlineLevel="1" x14ac:dyDescent="0.2">
      <c r="A141" s="64" t="s">
        <v>256</v>
      </c>
      <c r="B141" s="64"/>
      <c r="C141" s="68"/>
      <c r="D141" s="282">
        <v>-955</v>
      </c>
      <c r="E141" s="282">
        <v>-1180</v>
      </c>
      <c r="F141" s="282">
        <v>-1750</v>
      </c>
      <c r="G141" s="282">
        <v>-1600</v>
      </c>
      <c r="H141" s="282">
        <v>-2000</v>
      </c>
      <c r="I141" s="289">
        <f>IF(I26&lt;0,I26,0)</f>
        <v>-500</v>
      </c>
      <c r="J141" s="289">
        <f>IF(J26&lt;0,J26,0)</f>
        <v>-500</v>
      </c>
      <c r="K141" s="289">
        <f>IF(K26&lt;0,K26,0)</f>
        <v>-500</v>
      </c>
      <c r="L141" s="289">
        <f>IF(L26&lt;0,L26,0)</f>
        <v>-500</v>
      </c>
      <c r="M141" s="289">
        <f>IF(M26&lt;0,M26,0)</f>
        <v>-500</v>
      </c>
    </row>
    <row r="142" spans="1:13" ht="16" outlineLevel="1" x14ac:dyDescent="0.2">
      <c r="A142" s="64" t="s">
        <v>257</v>
      </c>
      <c r="B142" s="64"/>
      <c r="C142" s="68"/>
      <c r="D142" s="282">
        <v>-139</v>
      </c>
      <c r="E142" s="282">
        <v>-180</v>
      </c>
      <c r="F142" s="282">
        <v>-222</v>
      </c>
      <c r="G142" s="282">
        <v>-274</v>
      </c>
      <c r="H142" s="282">
        <v>-332</v>
      </c>
      <c r="I142" s="289">
        <f>I27</f>
        <v>-360</v>
      </c>
      <c r="J142" s="289">
        <f>J27</f>
        <v>-360</v>
      </c>
      <c r="K142" s="289">
        <f>K27</f>
        <v>-360</v>
      </c>
      <c r="L142" s="289">
        <f>L27</f>
        <v>-360</v>
      </c>
      <c r="M142" s="289">
        <f>M27</f>
        <v>-360</v>
      </c>
    </row>
    <row r="143" spans="1:13" ht="16" outlineLevel="1" x14ac:dyDescent="0.2">
      <c r="A143" s="64" t="s">
        <v>194</v>
      </c>
      <c r="B143" s="64"/>
      <c r="C143" s="68"/>
      <c r="D143" s="282">
        <v>-19</v>
      </c>
      <c r="E143" s="282">
        <v>-23</v>
      </c>
      <c r="F143" s="282">
        <v>-3</v>
      </c>
      <c r="G143" s="282">
        <v>15</v>
      </c>
      <c r="H143" s="282">
        <v>3</v>
      </c>
      <c r="I143" s="289"/>
      <c r="J143" s="289"/>
      <c r="K143" s="289"/>
      <c r="L143" s="289"/>
      <c r="M143" s="289"/>
    </row>
    <row r="144" spans="1:13" ht="16" outlineLevel="1" x14ac:dyDescent="0.2">
      <c r="A144" s="64" t="s">
        <v>258</v>
      </c>
      <c r="B144" s="64"/>
      <c r="C144" s="68"/>
      <c r="D144" s="282" t="s">
        <v>193</v>
      </c>
      <c r="E144" s="282">
        <v>12</v>
      </c>
      <c r="F144" s="282" t="s">
        <v>193</v>
      </c>
      <c r="G144" s="282" t="s">
        <v>193</v>
      </c>
      <c r="H144" s="282" t="s">
        <v>193</v>
      </c>
      <c r="I144" s="289"/>
      <c r="J144" s="289"/>
      <c r="K144" s="289"/>
      <c r="L144" s="289"/>
      <c r="M144" s="289"/>
    </row>
    <row r="145" spans="1:13" ht="16" outlineLevel="1" x14ac:dyDescent="0.2">
      <c r="A145" s="64" t="s">
        <v>259</v>
      </c>
      <c r="B145" s="64"/>
      <c r="C145" s="68"/>
      <c r="D145" s="282">
        <v>-11</v>
      </c>
      <c r="E145" s="282">
        <v>-10</v>
      </c>
      <c r="F145" s="282">
        <v>-9</v>
      </c>
      <c r="G145" s="282">
        <v>-10</v>
      </c>
      <c r="H145" s="282">
        <v>-30</v>
      </c>
      <c r="I145" s="289"/>
      <c r="J145" s="289"/>
      <c r="K145" s="289"/>
      <c r="L145" s="289"/>
      <c r="M145" s="289"/>
    </row>
    <row r="146" spans="1:13" ht="16" outlineLevel="1" x14ac:dyDescent="0.2">
      <c r="A146" s="64" t="s">
        <v>260</v>
      </c>
      <c r="B146" s="64"/>
      <c r="C146" s="68"/>
      <c r="D146" s="282">
        <v>27</v>
      </c>
      <c r="E146" s="282">
        <v>24</v>
      </c>
      <c r="F146" s="282">
        <v>107</v>
      </c>
      <c r="G146" s="282">
        <v>126</v>
      </c>
      <c r="H146" s="282">
        <v>170</v>
      </c>
      <c r="I146" s="289"/>
      <c r="J146" s="289"/>
      <c r="K146" s="289"/>
      <c r="L146" s="289"/>
      <c r="M146" s="289"/>
    </row>
    <row r="147" spans="1:13" ht="16" outlineLevel="1" x14ac:dyDescent="0.2">
      <c r="A147" s="74" t="s">
        <v>120</v>
      </c>
      <c r="B147" s="73"/>
      <c r="C147" s="108"/>
      <c r="D147" s="287">
        <f>SUM(D137:D146)</f>
        <v>-1248</v>
      </c>
      <c r="E147" s="287">
        <f t="shared" ref="E147:M147" si="46">SUM(E137:E146)</f>
        <v>-1024</v>
      </c>
      <c r="F147" s="287">
        <f t="shared" si="46"/>
        <v>-1924</v>
      </c>
      <c r="G147" s="287">
        <f t="shared" si="46"/>
        <v>-1706</v>
      </c>
      <c r="H147" s="287">
        <f t="shared" si="46"/>
        <v>-2496</v>
      </c>
      <c r="I147" s="287">
        <f>SUM(I137:I146)</f>
        <v>-1110</v>
      </c>
      <c r="J147" s="287">
        <f t="shared" si="46"/>
        <v>-1110</v>
      </c>
      <c r="K147" s="287">
        <f t="shared" si="46"/>
        <v>-1110</v>
      </c>
      <c r="L147" s="287">
        <f t="shared" si="46"/>
        <v>-1110</v>
      </c>
      <c r="M147" s="287">
        <f t="shared" si="46"/>
        <v>-1110</v>
      </c>
    </row>
    <row r="148" spans="1:13" ht="16" outlineLevel="1" x14ac:dyDescent="0.2">
      <c r="A148" s="83"/>
      <c r="B148" s="76"/>
      <c r="C148" s="77"/>
      <c r="D148" s="288"/>
      <c r="E148" s="288"/>
      <c r="F148" s="288"/>
      <c r="G148" s="288"/>
      <c r="H148" s="288"/>
      <c r="I148" s="293"/>
      <c r="J148" s="293"/>
      <c r="K148" s="293"/>
      <c r="L148" s="293"/>
      <c r="M148" s="293"/>
    </row>
    <row r="149" spans="1:13" ht="16" outlineLevel="1" x14ac:dyDescent="0.2">
      <c r="A149" s="64" t="s">
        <v>121</v>
      </c>
      <c r="B149" s="64"/>
      <c r="C149" s="68"/>
      <c r="D149" s="296">
        <f>SUM(D147,D134,D126)</f>
        <v>-73</v>
      </c>
      <c r="E149" s="296">
        <f t="shared" ref="E149:M149" si="47">SUM(E147,E134,E126)</f>
        <v>301</v>
      </c>
      <c r="F149" s="296">
        <f t="shared" si="47"/>
        <v>97</v>
      </c>
      <c r="G149" s="296">
        <f t="shared" si="47"/>
        <v>-185</v>
      </c>
      <c r="H149" s="296">
        <f t="shared" si="47"/>
        <v>359</v>
      </c>
      <c r="I149" s="296">
        <f>SUM(I147,I134,I126)</f>
        <v>2816.242662588882</v>
      </c>
      <c r="J149" s="296">
        <f t="shared" si="47"/>
        <v>3594.0340577034221</v>
      </c>
      <c r="K149" s="296">
        <f t="shared" si="47"/>
        <v>4102.221726250511</v>
      </c>
      <c r="L149" s="296">
        <f t="shared" si="47"/>
        <v>5026.8028454493306</v>
      </c>
      <c r="M149" s="296">
        <f t="shared" si="47"/>
        <v>5326.2099675355603</v>
      </c>
    </row>
    <row r="150" spans="1:13" ht="16" outlineLevel="1" x14ac:dyDescent="0.2">
      <c r="A150" s="64" t="s">
        <v>122</v>
      </c>
      <c r="B150" s="64"/>
      <c r="C150" s="68"/>
      <c r="D150" s="282">
        <v>0</v>
      </c>
      <c r="E150" s="297">
        <f>D151</f>
        <v>1282</v>
      </c>
      <c r="F150" s="297">
        <f t="shared" ref="F150:M150" si="48">E151</f>
        <v>1583</v>
      </c>
      <c r="G150" s="297">
        <f t="shared" si="48"/>
        <v>1680</v>
      </c>
      <c r="H150" s="297">
        <f t="shared" si="48"/>
        <v>1495</v>
      </c>
      <c r="I150" s="297">
        <f>H151</f>
        <v>1854</v>
      </c>
      <c r="J150" s="297">
        <f t="shared" si="48"/>
        <v>4670.242662588882</v>
      </c>
      <c r="K150" s="297">
        <f t="shared" si="48"/>
        <v>8264.2767202923042</v>
      </c>
      <c r="L150" s="297">
        <f t="shared" si="48"/>
        <v>12366.498446542815</v>
      </c>
      <c r="M150" s="297">
        <f t="shared" si="48"/>
        <v>17393.301291992146</v>
      </c>
    </row>
    <row r="151" spans="1:13" ht="16" outlineLevel="1" x14ac:dyDescent="0.2">
      <c r="A151" s="74" t="s">
        <v>123</v>
      </c>
      <c r="B151" s="73"/>
      <c r="C151" s="108"/>
      <c r="D151" s="290">
        <v>1282</v>
      </c>
      <c r="E151" s="291">
        <f t="shared" ref="E151:M151" si="49">SUM(E149:E150)</f>
        <v>1583</v>
      </c>
      <c r="F151" s="291">
        <f t="shared" si="49"/>
        <v>1680</v>
      </c>
      <c r="G151" s="291">
        <f t="shared" si="49"/>
        <v>1495</v>
      </c>
      <c r="H151" s="291">
        <f t="shared" si="49"/>
        <v>1854</v>
      </c>
      <c r="I151" s="291">
        <f>SUM(I149:I150)</f>
        <v>4670.242662588882</v>
      </c>
      <c r="J151" s="291">
        <f t="shared" si="49"/>
        <v>8264.2767202923042</v>
      </c>
      <c r="K151" s="291">
        <f t="shared" si="49"/>
        <v>12366.498446542815</v>
      </c>
      <c r="L151" s="291">
        <f t="shared" si="49"/>
        <v>17393.301291992146</v>
      </c>
      <c r="M151" s="291">
        <f t="shared" si="49"/>
        <v>22719.511259527706</v>
      </c>
    </row>
    <row r="152" spans="1:13" ht="16" x14ac:dyDescent="0.2">
      <c r="A152" s="72"/>
      <c r="B152" s="64"/>
      <c r="C152" s="68"/>
      <c r="D152" s="292"/>
      <c r="E152" s="294"/>
      <c r="F152" s="294"/>
      <c r="G152" s="294"/>
      <c r="H152" s="294"/>
      <c r="I152" s="295"/>
      <c r="J152" s="295"/>
      <c r="K152" s="295"/>
      <c r="L152" s="295"/>
      <c r="M152" s="295"/>
    </row>
    <row r="153" spans="1:13" ht="16" x14ac:dyDescent="0.2">
      <c r="A153" s="72"/>
      <c r="B153" s="64"/>
      <c r="C153" s="68"/>
      <c r="D153" s="292"/>
      <c r="E153" s="294"/>
      <c r="F153" s="294"/>
      <c r="G153" s="294"/>
      <c r="H153" s="294"/>
      <c r="I153" s="295"/>
      <c r="J153" s="295"/>
      <c r="K153" s="295"/>
      <c r="L153" s="295"/>
      <c r="M153" s="295"/>
    </row>
    <row r="154" spans="1:13" ht="16" outlineLevel="1" x14ac:dyDescent="0.2">
      <c r="A154" s="64"/>
      <c r="B154" s="64"/>
      <c r="C154" s="68"/>
      <c r="D154" s="91"/>
      <c r="E154" s="91"/>
      <c r="F154" s="91"/>
      <c r="G154" s="91"/>
      <c r="H154" s="91"/>
      <c r="I154" s="64"/>
      <c r="J154" s="64"/>
      <c r="K154" s="64"/>
      <c r="L154" s="64"/>
      <c r="M154" s="64"/>
    </row>
    <row r="155" spans="1:13" ht="20" outlineLevel="1" x14ac:dyDescent="0.2">
      <c r="A155" s="440" t="s">
        <v>124</v>
      </c>
      <c r="B155" s="441"/>
      <c r="C155" s="442"/>
      <c r="D155" s="441"/>
      <c r="E155" s="441"/>
      <c r="F155" s="441"/>
      <c r="G155" s="441"/>
      <c r="H155" s="441"/>
      <c r="I155" s="441"/>
      <c r="J155" s="441"/>
      <c r="K155" s="441"/>
      <c r="L155" s="441"/>
      <c r="M155" s="441"/>
    </row>
    <row r="156" spans="1:13" ht="16" outlineLevel="1" x14ac:dyDescent="0.2">
      <c r="A156" s="64"/>
      <c r="B156" s="64"/>
      <c r="C156" s="68"/>
      <c r="D156" s="91"/>
      <c r="E156" s="91"/>
      <c r="F156" s="91"/>
      <c r="G156" s="91"/>
      <c r="H156" s="91"/>
      <c r="I156" s="64"/>
      <c r="J156" s="64"/>
      <c r="K156" s="64"/>
      <c r="L156" s="64"/>
      <c r="M156" s="64"/>
    </row>
    <row r="157" spans="1:13" ht="16" outlineLevel="1" x14ac:dyDescent="0.2">
      <c r="A157" s="72" t="s">
        <v>125</v>
      </c>
      <c r="B157" s="64"/>
      <c r="C157" s="68"/>
      <c r="D157" s="91"/>
      <c r="E157" s="91"/>
      <c r="F157" s="91"/>
      <c r="G157" s="91"/>
      <c r="H157" s="91"/>
      <c r="I157" s="64"/>
      <c r="J157" s="64"/>
      <c r="K157" s="64"/>
      <c r="L157" s="64"/>
      <c r="M157" s="64"/>
    </row>
    <row r="158" spans="1:13" ht="16" outlineLevel="1" x14ac:dyDescent="0.2">
      <c r="A158" s="64" t="s">
        <v>96</v>
      </c>
      <c r="B158" s="64"/>
      <c r="C158" s="68"/>
      <c r="D158" s="91">
        <f>D68</f>
        <v>365</v>
      </c>
      <c r="E158" s="91">
        <f>E68</f>
        <v>474</v>
      </c>
      <c r="F158" s="91">
        <f>F68</f>
        <v>546</v>
      </c>
      <c r="G158" s="91">
        <f>G68</f>
        <v>662</v>
      </c>
      <c r="H158" s="91">
        <f>H68</f>
        <v>568</v>
      </c>
      <c r="I158" s="110">
        <f>I68</f>
        <v>644.78301911930646</v>
      </c>
      <c r="J158" s="110">
        <f t="shared" ref="J158:M158" si="50">J68</f>
        <v>690.64321135416685</v>
      </c>
      <c r="K158" s="110">
        <f t="shared" si="50"/>
        <v>739.76520976173197</v>
      </c>
      <c r="L158" s="110">
        <f t="shared" si="50"/>
        <v>792.38101030603491</v>
      </c>
      <c r="M158" s="110">
        <f t="shared" si="50"/>
        <v>848.73910966405151</v>
      </c>
    </row>
    <row r="159" spans="1:13" ht="16" outlineLevel="1" x14ac:dyDescent="0.2">
      <c r="A159" s="64" t="s">
        <v>97</v>
      </c>
      <c r="B159" s="64"/>
      <c r="C159" s="68"/>
      <c r="D159" s="91">
        <f>D69</f>
        <v>342</v>
      </c>
      <c r="E159" s="91">
        <f>E69</f>
        <v>311</v>
      </c>
      <c r="F159" s="91">
        <f>F69</f>
        <v>337</v>
      </c>
      <c r="G159" s="91">
        <f>G69</f>
        <v>420</v>
      </c>
      <c r="H159" s="91">
        <f>H69</f>
        <v>461</v>
      </c>
      <c r="I159" s="110">
        <f>I69</f>
        <v>467.10204240346434</v>
      </c>
      <c r="J159" s="110">
        <f t="shared" ref="J159:M159" si="51">J69</f>
        <v>484.33609890278922</v>
      </c>
      <c r="K159" s="110">
        <f t="shared" si="51"/>
        <v>509.17384756447075</v>
      </c>
      <c r="L159" s="110">
        <f t="shared" si="51"/>
        <v>532.77617695678202</v>
      </c>
      <c r="M159" s="110">
        <f t="shared" si="51"/>
        <v>579.53000473054044</v>
      </c>
    </row>
    <row r="160" spans="1:13" ht="16" outlineLevel="1" x14ac:dyDescent="0.2">
      <c r="A160" s="64" t="str">
        <f>A70</f>
        <v xml:space="preserve">  Prepaid Expenses and Other Current Assets</v>
      </c>
      <c r="B160" s="64"/>
      <c r="C160" s="64"/>
      <c r="D160" s="64">
        <f t="shared" ref="D160:I160" si="52">D70</f>
        <v>232</v>
      </c>
      <c r="E160" s="64">
        <f t="shared" si="52"/>
        <v>188</v>
      </c>
      <c r="F160" s="64">
        <f t="shared" si="52"/>
        <v>310</v>
      </c>
      <c r="G160" s="64">
        <f t="shared" si="52"/>
        <v>460</v>
      </c>
      <c r="H160" s="64">
        <f t="shared" si="52"/>
        <v>310</v>
      </c>
      <c r="I160" s="64">
        <f t="shared" si="52"/>
        <v>310</v>
      </c>
      <c r="J160" s="64">
        <f t="shared" ref="J160:M160" si="53">J70</f>
        <v>310</v>
      </c>
      <c r="K160" s="64">
        <f t="shared" si="53"/>
        <v>310</v>
      </c>
      <c r="L160" s="64">
        <f t="shared" si="53"/>
        <v>310</v>
      </c>
      <c r="M160" s="64">
        <f t="shared" si="53"/>
        <v>310</v>
      </c>
    </row>
    <row r="161" spans="1:13" ht="16" outlineLevel="1" x14ac:dyDescent="0.2">
      <c r="A161" s="64" t="s">
        <v>101</v>
      </c>
      <c r="B161" s="64"/>
      <c r="C161" s="68"/>
      <c r="D161" s="91">
        <f>D85</f>
        <v>1203</v>
      </c>
      <c r="E161" s="91">
        <f>E85</f>
        <v>1188</v>
      </c>
      <c r="F161" s="91">
        <f>F85</f>
        <v>1178</v>
      </c>
      <c r="G161" s="91">
        <f>G85</f>
        <v>1320</v>
      </c>
      <c r="H161" s="91">
        <f>H85</f>
        <v>1416</v>
      </c>
      <c r="I161" s="110">
        <f>I85</f>
        <v>1453.2063541441112</v>
      </c>
      <c r="J161" s="110">
        <f t="shared" ref="J161:M161" si="54">J85</f>
        <v>1506.8234188086776</v>
      </c>
      <c r="K161" s="110">
        <f t="shared" si="54"/>
        <v>1584.0964146450201</v>
      </c>
      <c r="L161" s="110">
        <f t="shared" si="54"/>
        <v>1657.5258838655441</v>
      </c>
      <c r="M161" s="110">
        <f t="shared" si="54"/>
        <v>1802.982236939459</v>
      </c>
    </row>
    <row r="162" spans="1:13" ht="16" outlineLevel="1" x14ac:dyDescent="0.2">
      <c r="A162" s="432" t="str">
        <f>A88</f>
        <v xml:space="preserve">  Air Traffic Liability</v>
      </c>
      <c r="B162" s="432"/>
      <c r="C162" s="432"/>
      <c r="D162" s="432">
        <f t="shared" ref="D162:I162" si="55">D88</f>
        <v>2897</v>
      </c>
      <c r="E162" s="432">
        <f t="shared" si="55"/>
        <v>2990</v>
      </c>
      <c r="F162" s="432">
        <f t="shared" si="55"/>
        <v>3115</v>
      </c>
      <c r="G162" s="432">
        <f t="shared" si="55"/>
        <v>3495</v>
      </c>
      <c r="H162" s="432">
        <f t="shared" si="55"/>
        <v>4134</v>
      </c>
      <c r="I162" s="432">
        <f t="shared" si="55"/>
        <v>4547.4000000000005</v>
      </c>
      <c r="J162" s="432">
        <f t="shared" ref="J162:M162" si="56">J88</f>
        <v>5002.1400000000012</v>
      </c>
      <c r="K162" s="432">
        <f t="shared" si="56"/>
        <v>5502.3540000000021</v>
      </c>
      <c r="L162" s="432">
        <f t="shared" si="56"/>
        <v>6052.5894000000026</v>
      </c>
      <c r="M162" s="432">
        <f t="shared" si="56"/>
        <v>6657.8483400000032</v>
      </c>
    </row>
    <row r="163" spans="1:13" ht="16" outlineLevel="1" x14ac:dyDescent="0.2">
      <c r="A163" s="73" t="s">
        <v>126</v>
      </c>
      <c r="B163" s="73"/>
      <c r="C163" s="108"/>
      <c r="D163" s="111">
        <f t="shared" ref="D163:G163" si="57">SUM(D161)-SUM(D158:D160)</f>
        <v>264</v>
      </c>
      <c r="E163" s="111">
        <f t="shared" si="57"/>
        <v>215</v>
      </c>
      <c r="F163" s="111">
        <f t="shared" si="57"/>
        <v>-15</v>
      </c>
      <c r="G163" s="111">
        <f t="shared" si="57"/>
        <v>-222</v>
      </c>
      <c r="H163" s="111">
        <f>SUM(H161)-SUM(H158:H160)</f>
        <v>77</v>
      </c>
      <c r="I163" s="111">
        <f t="shared" ref="I163" si="58">SUM(I161)-SUM(I158:I160)</f>
        <v>31.32129262134049</v>
      </c>
      <c r="J163" s="111">
        <f t="shared" ref="J163:M163" si="59">SUM(J161)-SUM(J158:J160)</f>
        <v>21.844108551721547</v>
      </c>
      <c r="K163" s="111">
        <f t="shared" si="59"/>
        <v>25.157357318817503</v>
      </c>
      <c r="L163" s="111">
        <f t="shared" si="59"/>
        <v>22.368696602727141</v>
      </c>
      <c r="M163" s="111">
        <f t="shared" si="59"/>
        <v>64.713122544867019</v>
      </c>
    </row>
    <row r="164" spans="1:13" ht="16" outlineLevel="1" x14ac:dyDescent="0.2">
      <c r="A164" s="64" t="s">
        <v>127</v>
      </c>
      <c r="B164" s="64"/>
      <c r="C164" s="68"/>
      <c r="D164" s="113"/>
      <c r="E164" s="113">
        <f t="shared" ref="E164:I164" si="60">E163-D163</f>
        <v>-49</v>
      </c>
      <c r="F164" s="113">
        <f t="shared" si="60"/>
        <v>-230</v>
      </c>
      <c r="G164" s="113">
        <f t="shared" si="60"/>
        <v>-207</v>
      </c>
      <c r="H164" s="113">
        <f t="shared" si="60"/>
        <v>299</v>
      </c>
      <c r="I164" s="110">
        <f t="shared" si="60"/>
        <v>-45.67870737865951</v>
      </c>
      <c r="J164" s="110">
        <f t="shared" ref="J164" si="61">J163-I163</f>
        <v>-9.4771840696189429</v>
      </c>
      <c r="K164" s="110">
        <f t="shared" ref="K164" si="62">K163-J163</f>
        <v>3.3132487670959563</v>
      </c>
      <c r="L164" s="110">
        <f t="shared" ref="L164" si="63">L163-K163</f>
        <v>-2.7886607160903623</v>
      </c>
      <c r="M164" s="110">
        <f t="shared" ref="M164" si="64">M163-L163</f>
        <v>42.344425942139878</v>
      </c>
    </row>
    <row r="165" spans="1:13" ht="16" outlineLevel="1" x14ac:dyDescent="0.2">
      <c r="A165" s="64"/>
      <c r="B165" s="64"/>
      <c r="C165" s="68"/>
      <c r="D165" s="91"/>
      <c r="E165" s="91"/>
      <c r="F165" s="91"/>
      <c r="G165" s="91"/>
      <c r="H165" s="91"/>
      <c r="I165" s="91"/>
      <c r="J165" s="91"/>
      <c r="K165" s="91"/>
      <c r="L165" s="91"/>
      <c r="M165" s="91"/>
    </row>
    <row r="166" spans="1:13" ht="16" outlineLevel="1" x14ac:dyDescent="0.2">
      <c r="A166" s="72" t="s">
        <v>128</v>
      </c>
      <c r="B166" s="64"/>
      <c r="C166" s="68"/>
      <c r="D166" s="91"/>
      <c r="E166" s="91"/>
      <c r="F166" s="91"/>
      <c r="G166" s="91"/>
      <c r="H166" s="91"/>
      <c r="I166" s="91"/>
      <c r="J166" s="91"/>
      <c r="K166" s="91"/>
      <c r="L166" s="91"/>
      <c r="M166" s="91"/>
    </row>
    <row r="167" spans="1:13" ht="16" outlineLevel="1" x14ac:dyDescent="0.2">
      <c r="A167" s="64" t="s">
        <v>129</v>
      </c>
      <c r="B167" s="64"/>
      <c r="C167" s="68"/>
      <c r="D167" s="91">
        <f>SUM(D73:D76)</f>
        <v>13105</v>
      </c>
      <c r="E167" s="91">
        <f>SUM(E73:E76)</f>
        <v>13597</v>
      </c>
      <c r="F167" s="91">
        <f>SUM(F73:F76)</f>
        <v>14634</v>
      </c>
      <c r="G167" s="91">
        <f>SUM(G73:G76)</f>
        <v>16077</v>
      </c>
      <c r="H167" s="91">
        <f>SUM(H73:H76)</f>
        <v>16982</v>
      </c>
      <c r="I167" s="300">
        <f>H170</f>
        <v>16982</v>
      </c>
      <c r="J167" s="300">
        <f t="shared" ref="J167:M167" si="65">I170</f>
        <v>17208.349999999999</v>
      </c>
      <c r="K167" s="300">
        <f t="shared" si="65"/>
        <v>17417.723749999997</v>
      </c>
      <c r="L167" s="300">
        <f t="shared" si="65"/>
        <v>17611.394468749997</v>
      </c>
      <c r="M167" s="300">
        <f t="shared" si="65"/>
        <v>17790.539883593749</v>
      </c>
    </row>
    <row r="168" spans="1:13" ht="16" outlineLevel="1" x14ac:dyDescent="0.2">
      <c r="A168" s="64" t="s">
        <v>130</v>
      </c>
      <c r="B168" s="64"/>
      <c r="C168" s="68"/>
      <c r="D168" s="91">
        <f>-D130</f>
        <v>1748</v>
      </c>
      <c r="E168" s="91">
        <f t="shared" ref="E168:H168" si="66">-E130</f>
        <v>2041</v>
      </c>
      <c r="F168" s="91">
        <f t="shared" si="66"/>
        <v>2038</v>
      </c>
      <c r="G168" s="91">
        <f t="shared" si="66"/>
        <v>2123</v>
      </c>
      <c r="H168" s="91">
        <f t="shared" si="66"/>
        <v>1922</v>
      </c>
      <c r="I168" s="300">
        <f>I24</f>
        <v>1500</v>
      </c>
      <c r="J168" s="300">
        <f>J24</f>
        <v>1500</v>
      </c>
      <c r="K168" s="300">
        <f>K24</f>
        <v>1500</v>
      </c>
      <c r="L168" s="300">
        <f>L24</f>
        <v>1500</v>
      </c>
      <c r="M168" s="300">
        <f>M24</f>
        <v>1500</v>
      </c>
    </row>
    <row r="169" spans="1:13" ht="16" outlineLevel="1" x14ac:dyDescent="0.2">
      <c r="A169" s="64" t="s">
        <v>131</v>
      </c>
      <c r="B169" s="64"/>
      <c r="C169" s="100"/>
      <c r="D169" s="91">
        <f>D113</f>
        <v>938</v>
      </c>
      <c r="E169" s="91">
        <f t="shared" ref="E169:H169" si="67">E113</f>
        <v>1015</v>
      </c>
      <c r="F169" s="91">
        <f t="shared" si="67"/>
        <v>1221</v>
      </c>
      <c r="G169" s="91">
        <f t="shared" si="67"/>
        <v>1218</v>
      </c>
      <c r="H169" s="91">
        <f t="shared" si="67"/>
        <v>1201</v>
      </c>
      <c r="I169" s="299">
        <f>I17*I167</f>
        <v>1273.6499999999999</v>
      </c>
      <c r="J169" s="299">
        <f>J17*J167</f>
        <v>1290.6262499999998</v>
      </c>
      <c r="K169" s="299">
        <f>K17*K167</f>
        <v>1306.3292812499997</v>
      </c>
      <c r="L169" s="299">
        <f>L17*L167</f>
        <v>1320.8545851562496</v>
      </c>
      <c r="M169" s="299">
        <f>M17*M167</f>
        <v>1334.290491269531</v>
      </c>
    </row>
    <row r="170" spans="1:13" ht="16" outlineLevel="1" x14ac:dyDescent="0.2">
      <c r="A170" s="73" t="s">
        <v>132</v>
      </c>
      <c r="B170" s="73"/>
      <c r="C170" s="108"/>
      <c r="D170" s="111">
        <f>D167+D168-D169</f>
        <v>13915</v>
      </c>
      <c r="E170" s="111">
        <f t="shared" ref="E170:I170" si="68">E167+E168-E169</f>
        <v>14623</v>
      </c>
      <c r="F170" s="111">
        <f t="shared" si="68"/>
        <v>15451</v>
      </c>
      <c r="G170" s="111">
        <f t="shared" si="68"/>
        <v>16982</v>
      </c>
      <c r="H170" s="111">
        <v>16982</v>
      </c>
      <c r="I170" s="112">
        <f t="shared" si="68"/>
        <v>17208.349999999999</v>
      </c>
      <c r="J170" s="112">
        <f t="shared" ref="J170:M170" si="69">J167+J168-J169</f>
        <v>17417.723749999997</v>
      </c>
      <c r="K170" s="112">
        <f t="shared" si="69"/>
        <v>17611.394468749997</v>
      </c>
      <c r="L170" s="112">
        <f t="shared" si="69"/>
        <v>17790.539883593749</v>
      </c>
      <c r="M170" s="112">
        <f t="shared" si="69"/>
        <v>17956.249392324218</v>
      </c>
    </row>
    <row r="171" spans="1:13" ht="16" outlineLevel="1" x14ac:dyDescent="0.2">
      <c r="A171" s="64"/>
      <c r="B171" s="64"/>
      <c r="C171" s="68"/>
      <c r="D171" s="91"/>
      <c r="E171" s="91"/>
      <c r="F171" s="91"/>
      <c r="G171" s="91"/>
      <c r="H171" s="91"/>
      <c r="I171" s="110"/>
      <c r="J171" s="110"/>
      <c r="K171" s="110"/>
      <c r="L171" s="110"/>
      <c r="M171" s="110"/>
    </row>
    <row r="172" spans="1:13" ht="16" outlineLevel="1" x14ac:dyDescent="0.2">
      <c r="A172" s="72" t="s">
        <v>133</v>
      </c>
      <c r="B172" s="64"/>
      <c r="C172" s="68"/>
      <c r="D172" s="91"/>
      <c r="E172" s="91"/>
      <c r="F172" s="91"/>
      <c r="G172" s="91"/>
      <c r="H172" s="91"/>
      <c r="I172" s="110"/>
      <c r="J172" s="110"/>
      <c r="K172" s="110"/>
      <c r="L172" s="110"/>
      <c r="M172" s="110"/>
    </row>
    <row r="173" spans="1:13" ht="16" outlineLevel="1" x14ac:dyDescent="0.2">
      <c r="A173" s="64" t="s">
        <v>134</v>
      </c>
      <c r="B173" s="64"/>
      <c r="C173" s="68"/>
      <c r="D173" s="91"/>
      <c r="E173" s="91">
        <f>SUM(D87,D91)</f>
        <v>2692</v>
      </c>
      <c r="F173" s="91">
        <f>SUM(E87,E91)</f>
        <v>3178</v>
      </c>
      <c r="G173" s="91">
        <f>SUM(F87,F91)</f>
        <v>3387</v>
      </c>
      <c r="H173" s="91">
        <f>SUM(G87,G91)</f>
        <v>3668</v>
      </c>
      <c r="I173" s="110">
        <f>H175</f>
        <v>3377</v>
      </c>
      <c r="J173" s="110">
        <f t="shared" ref="J173:M173" si="70">I175</f>
        <v>3127</v>
      </c>
      <c r="K173" s="110">
        <f t="shared" si="70"/>
        <v>2877</v>
      </c>
      <c r="L173" s="110">
        <f t="shared" si="70"/>
        <v>2627</v>
      </c>
      <c r="M173" s="110">
        <f t="shared" si="70"/>
        <v>2377</v>
      </c>
    </row>
    <row r="174" spans="1:13" ht="16" outlineLevel="1" x14ac:dyDescent="0.2">
      <c r="A174" s="64" t="s">
        <v>135</v>
      </c>
      <c r="B174" s="64"/>
      <c r="C174" s="68"/>
      <c r="D174" s="91">
        <f>D23</f>
        <v>0</v>
      </c>
      <c r="E174" s="91">
        <f>E23</f>
        <v>27.855569741461856</v>
      </c>
      <c r="F174" s="91">
        <f>F23</f>
        <v>25.823224190373949</v>
      </c>
      <c r="G174" s="91">
        <f>G23</f>
        <v>25.699588477366255</v>
      </c>
      <c r="H174" s="91">
        <f>H25</f>
        <v>-342</v>
      </c>
      <c r="I174" s="114">
        <f>I25</f>
        <v>-250</v>
      </c>
      <c r="J174" s="114">
        <f t="shared" ref="J174:M174" si="71">J25</f>
        <v>-250</v>
      </c>
      <c r="K174" s="114">
        <f t="shared" si="71"/>
        <v>-250</v>
      </c>
      <c r="L174" s="114">
        <f t="shared" si="71"/>
        <v>-250</v>
      </c>
      <c r="M174" s="114">
        <f t="shared" si="71"/>
        <v>-250</v>
      </c>
    </row>
    <row r="175" spans="1:13" ht="16" outlineLevel="1" x14ac:dyDescent="0.2">
      <c r="A175" s="73" t="s">
        <v>136</v>
      </c>
      <c r="B175" s="73"/>
      <c r="C175" s="108"/>
      <c r="D175" s="111">
        <f>SUM(D87,D91)</f>
        <v>2692</v>
      </c>
      <c r="E175" s="111">
        <f>SUM(E87,E91)</f>
        <v>3178</v>
      </c>
      <c r="F175" s="111">
        <f>SUM(F87,F91)</f>
        <v>3387</v>
      </c>
      <c r="G175" s="111">
        <f>SUM(G87,G91)</f>
        <v>3668</v>
      </c>
      <c r="H175" s="111">
        <f>SUM(H87,H91)</f>
        <v>3377</v>
      </c>
      <c r="I175" s="115">
        <f t="shared" ref="I175" si="72">SUM(I173:I174)</f>
        <v>3127</v>
      </c>
      <c r="J175" s="115">
        <f t="shared" ref="J175:M175" si="73">SUM(J173:J174)</f>
        <v>2877</v>
      </c>
      <c r="K175" s="115">
        <f t="shared" si="73"/>
        <v>2627</v>
      </c>
      <c r="L175" s="115">
        <f t="shared" si="73"/>
        <v>2377</v>
      </c>
      <c r="M175" s="115">
        <f t="shared" si="73"/>
        <v>2127</v>
      </c>
    </row>
    <row r="176" spans="1:13" ht="16" outlineLevel="1" x14ac:dyDescent="0.2">
      <c r="A176" s="64" t="s">
        <v>137</v>
      </c>
      <c r="B176" s="64"/>
      <c r="C176" s="100"/>
      <c r="D176" s="91">
        <f>SUM(D52:D54)</f>
        <v>100</v>
      </c>
      <c r="E176" s="91">
        <f>SUM(E52:E54)</f>
        <v>81</v>
      </c>
      <c r="F176" s="91">
        <f>SUM(F52:F54)</f>
        <v>51</v>
      </c>
      <c r="G176" s="91">
        <f>SUM(G52:G54)</f>
        <v>30</v>
      </c>
      <c r="H176" s="91">
        <f>SUM(H52:H54)</f>
        <v>24</v>
      </c>
      <c r="I176" s="110">
        <f>I175*I18</f>
        <v>109.44500000000001</v>
      </c>
      <c r="J176" s="110">
        <f>J175*J18</f>
        <v>100.69500000000001</v>
      </c>
      <c r="K176" s="110">
        <f>K175*K18</f>
        <v>91.945000000000007</v>
      </c>
      <c r="L176" s="110">
        <f>L175*L18</f>
        <v>83.195000000000007</v>
      </c>
      <c r="M176" s="110">
        <f>M175*M18</f>
        <v>74.445000000000007</v>
      </c>
    </row>
    <row r="177" spans="1:14" ht="16" x14ac:dyDescent="0.2">
      <c r="A177" s="64"/>
      <c r="B177" s="64"/>
      <c r="C177" s="68"/>
      <c r="D177" s="91"/>
      <c r="E177" s="91"/>
      <c r="F177" s="91"/>
      <c r="G177" s="91"/>
      <c r="H177" s="91"/>
      <c r="I177" s="64"/>
      <c r="J177" s="64"/>
      <c r="K177" s="64"/>
      <c r="L177" s="64"/>
      <c r="M177" s="64"/>
    </row>
    <row r="178" spans="1:14" ht="16" x14ac:dyDescent="0.2">
      <c r="A178" s="64"/>
      <c r="B178" s="64"/>
      <c r="C178" s="68"/>
      <c r="D178" s="91"/>
      <c r="E178" s="91"/>
      <c r="F178" s="91"/>
      <c r="G178" s="91"/>
      <c r="H178" s="91"/>
      <c r="I178" s="64"/>
      <c r="J178" s="64"/>
      <c r="K178" s="64"/>
      <c r="L178" s="64"/>
      <c r="M178" s="64"/>
    </row>
    <row r="179" spans="1:14" ht="16" outlineLevel="1" x14ac:dyDescent="0.2">
      <c r="A179" s="64"/>
      <c r="B179" s="64"/>
      <c r="C179" s="68"/>
      <c r="D179" s="91"/>
      <c r="E179" s="91"/>
      <c r="F179" s="91"/>
      <c r="G179" s="91"/>
      <c r="H179" s="91"/>
      <c r="I179" s="64"/>
      <c r="J179" s="64"/>
      <c r="K179" s="64"/>
      <c r="L179" s="64"/>
      <c r="M179" s="64"/>
    </row>
    <row r="180" spans="1:14" ht="20" outlineLevel="1" x14ac:dyDescent="0.2">
      <c r="A180" s="440" t="s">
        <v>138</v>
      </c>
      <c r="B180" s="441"/>
      <c r="C180" s="442"/>
      <c r="D180" s="441"/>
      <c r="E180" s="441"/>
      <c r="F180" s="441"/>
      <c r="G180" s="441"/>
      <c r="H180" s="441"/>
      <c r="I180" s="441"/>
      <c r="J180" s="441"/>
      <c r="K180" s="441"/>
      <c r="L180" s="441"/>
      <c r="M180" s="441"/>
    </row>
    <row r="181" spans="1:14" ht="16" outlineLevel="1" x14ac:dyDescent="0.2">
      <c r="A181" s="72"/>
      <c r="B181" s="64"/>
      <c r="C181" s="68"/>
      <c r="D181" s="91"/>
      <c r="E181" s="91"/>
      <c r="F181" s="91"/>
      <c r="G181" s="91"/>
      <c r="H181" s="91"/>
      <c r="I181" s="64"/>
      <c r="J181" s="64"/>
      <c r="K181" s="64"/>
      <c r="L181" s="64"/>
      <c r="M181" s="64"/>
    </row>
    <row r="182" spans="1:14" ht="16" outlineLevel="1" x14ac:dyDescent="0.2">
      <c r="A182" s="116" t="s">
        <v>66</v>
      </c>
      <c r="B182" s="91"/>
      <c r="C182" s="91"/>
      <c r="D182" s="91"/>
      <c r="E182" s="64"/>
      <c r="F182" s="64"/>
      <c r="G182" s="64"/>
      <c r="H182" s="64"/>
      <c r="I182" s="64"/>
      <c r="J182" s="64"/>
      <c r="K182" s="64"/>
      <c r="L182" s="64"/>
      <c r="M182" s="64"/>
    </row>
    <row r="183" spans="1:14" ht="16" outlineLevel="1" x14ac:dyDescent="0.2">
      <c r="A183" s="111" t="s">
        <v>139</v>
      </c>
      <c r="B183" s="117"/>
      <c r="C183" s="118">
        <v>0.21</v>
      </c>
      <c r="D183" s="91"/>
      <c r="E183" s="64"/>
      <c r="F183" s="64"/>
      <c r="G183" s="64"/>
      <c r="H183" s="64"/>
      <c r="I183" s="64"/>
      <c r="J183" s="64"/>
      <c r="K183" s="64"/>
      <c r="L183" s="64"/>
      <c r="M183" s="64"/>
      <c r="N183" s="64"/>
    </row>
    <row r="184" spans="1:14" ht="16" outlineLevel="1" x14ac:dyDescent="0.2">
      <c r="A184" s="113" t="s">
        <v>140</v>
      </c>
      <c r="B184" s="64"/>
      <c r="C184" s="119">
        <v>0.2</v>
      </c>
      <c r="D184" s="64"/>
      <c r="E184" s="64"/>
      <c r="F184" s="64"/>
      <c r="G184" s="64"/>
      <c r="H184" s="64"/>
      <c r="I184" s="64"/>
      <c r="J184" s="64"/>
      <c r="K184" s="64"/>
      <c r="L184" s="64"/>
      <c r="M184" s="64"/>
      <c r="N184" s="64"/>
    </row>
    <row r="185" spans="1:14" ht="16" outlineLevel="1" x14ac:dyDescent="0.2">
      <c r="A185" s="64" t="s">
        <v>141</v>
      </c>
      <c r="B185" s="64"/>
      <c r="C185" s="119">
        <v>0.03</v>
      </c>
      <c r="D185" s="64"/>
      <c r="E185" s="64"/>
      <c r="F185" s="64"/>
      <c r="G185" s="64"/>
      <c r="H185" s="64"/>
      <c r="I185" s="64"/>
      <c r="J185" s="100"/>
      <c r="K185" s="100"/>
      <c r="L185" s="100"/>
      <c r="M185" s="100"/>
      <c r="N185" s="64"/>
    </row>
    <row r="186" spans="1:14" ht="16" outlineLevel="1" x14ac:dyDescent="0.2">
      <c r="A186" s="64" t="s">
        <v>142</v>
      </c>
      <c r="B186" s="64"/>
      <c r="C186" s="120">
        <v>6.5</v>
      </c>
      <c r="D186" s="64"/>
      <c r="E186" s="64"/>
      <c r="F186" s="64"/>
      <c r="G186" s="64"/>
      <c r="H186" s="64"/>
      <c r="I186" s="64"/>
      <c r="J186" s="100"/>
      <c r="K186" s="100"/>
      <c r="L186" s="100"/>
      <c r="M186" s="100"/>
      <c r="N186" s="64"/>
    </row>
    <row r="187" spans="1:14" ht="16" outlineLevel="1" x14ac:dyDescent="0.2">
      <c r="A187" s="64" t="s">
        <v>143</v>
      </c>
      <c r="B187" s="64"/>
      <c r="C187" s="121">
        <v>43466</v>
      </c>
      <c r="D187" s="64"/>
      <c r="E187" s="64"/>
      <c r="F187" s="64"/>
      <c r="G187" s="64"/>
      <c r="H187" s="64"/>
      <c r="I187" s="64"/>
      <c r="J187" s="100"/>
      <c r="K187" s="100"/>
      <c r="L187" s="100"/>
      <c r="M187" s="100"/>
      <c r="N187" s="64"/>
    </row>
    <row r="188" spans="1:14" ht="16" outlineLevel="1" x14ac:dyDescent="0.2">
      <c r="A188" s="64" t="s">
        <v>153</v>
      </c>
      <c r="B188" s="64"/>
      <c r="C188" s="121">
        <v>43830</v>
      </c>
      <c r="D188" s="64"/>
      <c r="E188" s="64"/>
      <c r="F188" s="64"/>
      <c r="G188" s="64"/>
      <c r="H188" s="64"/>
      <c r="I188" s="64"/>
      <c r="J188" s="100"/>
      <c r="K188" s="100"/>
      <c r="L188" s="100"/>
      <c r="M188" s="100"/>
      <c r="N188" s="64"/>
    </row>
    <row r="189" spans="1:14" ht="16" outlineLevel="1" x14ac:dyDescent="0.2">
      <c r="A189" s="64" t="s">
        <v>46</v>
      </c>
      <c r="B189" s="64"/>
      <c r="C189" s="122">
        <v>54.9</v>
      </c>
      <c r="D189" s="64"/>
      <c r="E189" s="64"/>
      <c r="F189" s="64"/>
      <c r="G189" s="64"/>
      <c r="H189" s="64"/>
      <c r="I189" s="64"/>
      <c r="J189" s="100"/>
      <c r="K189" s="100"/>
      <c r="L189" s="100"/>
      <c r="M189" s="100"/>
      <c r="N189" s="64"/>
    </row>
    <row r="190" spans="1:14" ht="16" outlineLevel="1" x14ac:dyDescent="0.2">
      <c r="A190" s="64" t="s">
        <v>144</v>
      </c>
      <c r="B190" s="64"/>
      <c r="C190" s="123">
        <v>526.29999999999995</v>
      </c>
      <c r="D190" s="64"/>
      <c r="E190" s="64"/>
      <c r="F190" s="64"/>
      <c r="G190" s="64"/>
      <c r="H190" s="64"/>
      <c r="I190" s="64"/>
      <c r="J190" s="64"/>
      <c r="K190" s="64"/>
      <c r="L190" s="64"/>
      <c r="M190" s="64"/>
      <c r="N190" s="76"/>
    </row>
    <row r="191" spans="1:14" ht="16" outlineLevel="1" x14ac:dyDescent="0.2">
      <c r="A191" s="64"/>
      <c r="B191" s="64"/>
      <c r="C191" s="123"/>
      <c r="D191" s="64"/>
      <c r="E191" s="64"/>
      <c r="F191" s="64"/>
      <c r="G191" s="64"/>
      <c r="H191" s="64"/>
      <c r="I191" s="64"/>
      <c r="J191" s="64"/>
      <c r="K191" s="64"/>
      <c r="L191" s="64"/>
      <c r="M191" s="64"/>
      <c r="N191" s="76"/>
    </row>
    <row r="192" spans="1:14" ht="16" outlineLevel="1" x14ac:dyDescent="0.2">
      <c r="A192" s="76"/>
      <c r="B192" s="76"/>
      <c r="C192" s="124"/>
      <c r="D192" s="124"/>
      <c r="E192" s="124"/>
      <c r="F192" s="124"/>
      <c r="G192" s="124"/>
      <c r="H192" s="124"/>
      <c r="I192" s="124"/>
      <c r="J192" s="76"/>
      <c r="K192" s="76"/>
      <c r="L192" s="76"/>
      <c r="M192" s="76"/>
      <c r="N192" s="76"/>
    </row>
    <row r="193" spans="1:19" ht="16" outlineLevel="1" x14ac:dyDescent="0.2">
      <c r="A193" s="125" t="s">
        <v>156</v>
      </c>
      <c r="B193" s="126"/>
      <c r="C193" s="127" t="s">
        <v>157</v>
      </c>
      <c r="D193" s="128">
        <f>YEAR(C187)</f>
        <v>2019</v>
      </c>
      <c r="E193" s="128">
        <f>D193+1</f>
        <v>2020</v>
      </c>
      <c r="F193" s="128">
        <f t="shared" ref="F193:H193" si="74">E193+1</f>
        <v>2021</v>
      </c>
      <c r="G193" s="128">
        <f t="shared" si="74"/>
        <v>2022</v>
      </c>
      <c r="H193" s="128">
        <f t="shared" si="74"/>
        <v>2023</v>
      </c>
      <c r="I193" s="127" t="s">
        <v>158</v>
      </c>
      <c r="J193" s="76"/>
      <c r="K193" s="83" t="s">
        <v>159</v>
      </c>
      <c r="L193" s="76"/>
      <c r="M193" s="76"/>
      <c r="N193" s="76"/>
    </row>
    <row r="194" spans="1:19" ht="16" outlineLevel="1" x14ac:dyDescent="0.2">
      <c r="A194" s="138" t="s">
        <v>1</v>
      </c>
      <c r="B194" s="138"/>
      <c r="C194" s="139">
        <f>C187</f>
        <v>43466</v>
      </c>
      <c r="D194" s="139">
        <f>DATE(YEAR($C$194)+D195,MONTH($C$188),DAY($C$188))</f>
        <v>43830</v>
      </c>
      <c r="E194" s="139">
        <f>DATE(YEAR($C$194)+E195,MONTH($C$188),DAY($C$188))</f>
        <v>44196</v>
      </c>
      <c r="F194" s="139">
        <f>DATE(YEAR($C$194)+F195,MONTH($C$188),DAY($C$188))</f>
        <v>44561</v>
      </c>
      <c r="G194" s="139">
        <f>DATE(YEAR($C$194)+G195,MONTH($C$188),DAY($C$188))</f>
        <v>44926</v>
      </c>
      <c r="H194" s="139">
        <f>DATE(YEAR($C$194)+H195,MONTH($C$188),DAY($C$188))</f>
        <v>45291</v>
      </c>
      <c r="I194" s="139">
        <f>H194</f>
        <v>45291</v>
      </c>
      <c r="J194" s="76"/>
      <c r="K194" s="73" t="s">
        <v>6</v>
      </c>
      <c r="L194" s="73"/>
      <c r="M194" s="140">
        <f>H202*C186</f>
        <v>57909.802866802922</v>
      </c>
      <c r="N194" s="76"/>
    </row>
    <row r="195" spans="1:19" ht="16" outlineLevel="1" x14ac:dyDescent="0.2">
      <c r="A195" s="80" t="s">
        <v>181</v>
      </c>
      <c r="B195" s="80"/>
      <c r="C195" s="129"/>
      <c r="D195" s="131">
        <v>0</v>
      </c>
      <c r="E195" s="132">
        <f>D195+1</f>
        <v>1</v>
      </c>
      <c r="F195" s="132">
        <f t="shared" ref="F195:H195" si="75">E195+1</f>
        <v>2</v>
      </c>
      <c r="G195" s="132">
        <f t="shared" si="75"/>
        <v>3</v>
      </c>
      <c r="H195" s="132">
        <f t="shared" si="75"/>
        <v>4</v>
      </c>
      <c r="I195" s="132"/>
      <c r="J195" s="76"/>
      <c r="K195" s="76" t="s">
        <v>182</v>
      </c>
      <c r="L195" s="76"/>
      <c r="M195" s="130">
        <f>(H205*(1+$C$185))/(C184-C185)</f>
        <v>34996.52160835774</v>
      </c>
      <c r="N195" s="76"/>
    </row>
    <row r="196" spans="1:19" ht="16" outlineLevel="1" x14ac:dyDescent="0.2">
      <c r="A196" s="80" t="s">
        <v>183</v>
      </c>
      <c r="B196" s="80"/>
      <c r="C196" s="80"/>
      <c r="D196" s="133">
        <f>YEARFRAC(C194,D194)</f>
        <v>1</v>
      </c>
      <c r="E196" s="133">
        <f t="shared" ref="E196:H196" si="76">YEARFRAC(D194,E194)</f>
        <v>1</v>
      </c>
      <c r="F196" s="133">
        <f t="shared" si="76"/>
        <v>1</v>
      </c>
      <c r="G196" s="133">
        <f t="shared" si="76"/>
        <v>1</v>
      </c>
      <c r="H196" s="133">
        <f t="shared" si="76"/>
        <v>1</v>
      </c>
      <c r="I196" s="143">
        <v>1</v>
      </c>
      <c r="J196" s="76"/>
      <c r="K196" s="76" t="s">
        <v>8</v>
      </c>
      <c r="L196" s="76"/>
      <c r="M196" s="73">
        <f>AVERAGE(M194:M195)</f>
        <v>46453.162237580327</v>
      </c>
      <c r="N196" s="76"/>
    </row>
    <row r="197" spans="1:19" ht="16" outlineLevel="1" x14ac:dyDescent="0.2">
      <c r="A197" s="80"/>
      <c r="B197" s="80"/>
      <c r="C197" s="80"/>
      <c r="D197" s="133"/>
      <c r="E197" s="133"/>
      <c r="F197" s="133"/>
      <c r="G197" s="133"/>
      <c r="H197" s="133"/>
      <c r="I197" s="134"/>
      <c r="J197" s="76"/>
      <c r="K197" s="76"/>
      <c r="L197" s="76"/>
      <c r="M197" s="76"/>
      <c r="N197" s="76"/>
    </row>
    <row r="198" spans="1:19" ht="16" outlineLevel="1" x14ac:dyDescent="0.2">
      <c r="A198" s="76" t="s">
        <v>25</v>
      </c>
      <c r="B198" s="76"/>
      <c r="C198" s="76"/>
      <c r="D198" s="76">
        <f>I58+I52</f>
        <v>4686.4973670475192</v>
      </c>
      <c r="E198" s="76">
        <f>J58+J52</f>
        <v>5667.2076478139752</v>
      </c>
      <c r="F198" s="76">
        <f>K58+K52</f>
        <v>6449.9768939663481</v>
      </c>
      <c r="G198" s="76">
        <f>L58+L52</f>
        <v>7414.685532923002</v>
      </c>
      <c r="H198" s="76">
        <f>M58+M52</f>
        <v>7574.9099497770731</v>
      </c>
      <c r="I198" s="76"/>
      <c r="J198" s="76"/>
      <c r="K198" s="76"/>
      <c r="L198" s="76"/>
      <c r="M198" s="76"/>
      <c r="N198" s="76"/>
    </row>
    <row r="199" spans="1:19" ht="16" outlineLevel="1" x14ac:dyDescent="0.2">
      <c r="A199" s="76" t="s">
        <v>160</v>
      </c>
      <c r="B199" s="76"/>
      <c r="C199" s="76"/>
      <c r="D199" s="130">
        <f>D198*$C$183</f>
        <v>984.16444707997903</v>
      </c>
      <c r="E199" s="130">
        <f>E198*$C$183</f>
        <v>1190.1136060409347</v>
      </c>
      <c r="F199" s="130">
        <f>F198*$C$183</f>
        <v>1354.495147732933</v>
      </c>
      <c r="G199" s="130">
        <f>G198*$C$183</f>
        <v>1557.0839619138303</v>
      </c>
      <c r="H199" s="130">
        <f>H198*$C$183</f>
        <v>1590.7310894531852</v>
      </c>
      <c r="I199" s="76"/>
      <c r="J199" s="76"/>
      <c r="K199" s="76"/>
      <c r="L199" s="76"/>
      <c r="M199" s="76"/>
      <c r="N199" s="76"/>
      <c r="O199" s="64"/>
      <c r="P199" s="64"/>
      <c r="Q199" s="64"/>
      <c r="R199" s="64"/>
      <c r="S199" s="64"/>
    </row>
    <row r="200" spans="1:19" ht="16" outlineLevel="1" x14ac:dyDescent="0.2">
      <c r="A200" s="73" t="s">
        <v>161</v>
      </c>
      <c r="B200" s="73"/>
      <c r="C200" s="73"/>
      <c r="D200" s="140">
        <f>D198-D199</f>
        <v>3702.33291996754</v>
      </c>
      <c r="E200" s="140">
        <f t="shared" ref="E200:H200" si="77">E198-E199</f>
        <v>4477.0940417730408</v>
      </c>
      <c r="F200" s="140">
        <f t="shared" si="77"/>
        <v>5095.4817462334149</v>
      </c>
      <c r="G200" s="140">
        <f t="shared" si="77"/>
        <v>5857.6015710091715</v>
      </c>
      <c r="H200" s="140">
        <f t="shared" si="77"/>
        <v>5984.1788603238874</v>
      </c>
      <c r="I200" s="76"/>
      <c r="J200" s="76"/>
      <c r="K200" s="76"/>
      <c r="L200" s="76"/>
      <c r="M200" s="76"/>
      <c r="N200" s="76"/>
      <c r="O200" s="64"/>
      <c r="P200" s="64"/>
      <c r="Q200" s="64"/>
      <c r="R200" s="64"/>
      <c r="S200" s="64"/>
    </row>
    <row r="201" spans="1:19" ht="16" outlineLevel="1" x14ac:dyDescent="0.2">
      <c r="A201" s="76" t="s">
        <v>162</v>
      </c>
      <c r="B201" s="76"/>
      <c r="C201" s="76"/>
      <c r="D201" s="130">
        <f>I113</f>
        <v>1273.6499999999999</v>
      </c>
      <c r="E201" s="130">
        <f>J113</f>
        <v>1290.6262499999998</v>
      </c>
      <c r="F201" s="130">
        <f>K113</f>
        <v>1306.3292812499997</v>
      </c>
      <c r="G201" s="130">
        <f>L113</f>
        <v>1320.8545851562496</v>
      </c>
      <c r="H201" s="130">
        <f>M113</f>
        <v>1334.290491269531</v>
      </c>
      <c r="I201" s="76"/>
      <c r="J201" s="76"/>
      <c r="K201" s="76"/>
      <c r="L201" s="76"/>
      <c r="M201" s="76"/>
      <c r="N201" s="76"/>
      <c r="O201" s="64"/>
      <c r="P201" s="64"/>
      <c r="Q201" s="64"/>
      <c r="R201" s="64"/>
      <c r="S201" s="64"/>
    </row>
    <row r="202" spans="1:19" ht="16" outlineLevel="1" x14ac:dyDescent="0.2">
      <c r="A202" s="76" t="s">
        <v>24</v>
      </c>
      <c r="B202" s="76"/>
      <c r="C202" s="76"/>
      <c r="D202" s="130">
        <f>D198+D201</f>
        <v>5960.1473670475189</v>
      </c>
      <c r="E202" s="130">
        <f t="shared" ref="E202:H202" si="78">E198+E201</f>
        <v>6957.8338978139745</v>
      </c>
      <c r="F202" s="130">
        <f t="shared" si="78"/>
        <v>7756.3061752163476</v>
      </c>
      <c r="G202" s="130">
        <f t="shared" si="78"/>
        <v>8735.5401180792524</v>
      </c>
      <c r="H202" s="130">
        <f t="shared" si="78"/>
        <v>8909.2004410466034</v>
      </c>
      <c r="I202" s="76"/>
      <c r="J202" s="76"/>
      <c r="K202" s="76"/>
      <c r="L202" s="76"/>
      <c r="M202" s="76"/>
      <c r="N202" s="76"/>
      <c r="O202" s="64"/>
      <c r="P202" s="64"/>
      <c r="Q202" s="64"/>
      <c r="R202" s="64"/>
      <c r="S202" s="64"/>
    </row>
    <row r="203" spans="1:19" ht="16" outlineLevel="1" x14ac:dyDescent="0.2">
      <c r="A203" s="76" t="s">
        <v>163</v>
      </c>
      <c r="B203" s="76"/>
      <c r="C203" s="76"/>
      <c r="D203" s="76">
        <f>I168</f>
        <v>1500</v>
      </c>
      <c r="E203" s="76">
        <f>J168</f>
        <v>1500</v>
      </c>
      <c r="F203" s="76">
        <f>K168</f>
        <v>1500</v>
      </c>
      <c r="G203" s="76">
        <f>L168</f>
        <v>1500</v>
      </c>
      <c r="H203" s="76">
        <f>M168</f>
        <v>1500</v>
      </c>
      <c r="I203" s="76"/>
      <c r="J203" s="76"/>
      <c r="K203" s="76"/>
      <c r="L203" s="76"/>
      <c r="M203" s="76"/>
      <c r="N203" s="76"/>
      <c r="O203" s="64"/>
      <c r="P203" s="64"/>
      <c r="Q203" s="64"/>
      <c r="R203" s="64"/>
      <c r="S203" s="64"/>
    </row>
    <row r="204" spans="1:19" ht="16" outlineLevel="1" x14ac:dyDescent="0.2">
      <c r="A204" s="76" t="s">
        <v>164</v>
      </c>
      <c r="B204" s="76"/>
      <c r="C204" s="76"/>
      <c r="D204" s="76">
        <f>I164</f>
        <v>-45.67870737865951</v>
      </c>
      <c r="E204" s="76">
        <f>J164</f>
        <v>-9.4771840696189429</v>
      </c>
      <c r="F204" s="76">
        <f>K164</f>
        <v>3.3132487670959563</v>
      </c>
      <c r="G204" s="76">
        <f>L164</f>
        <v>-2.7886607160903623</v>
      </c>
      <c r="H204" s="76">
        <f>M164</f>
        <v>42.344425942139878</v>
      </c>
      <c r="I204" s="76"/>
      <c r="J204" s="76"/>
      <c r="K204" s="76"/>
      <c r="L204" s="76"/>
      <c r="M204" s="76"/>
      <c r="N204" s="76"/>
      <c r="O204" s="64"/>
      <c r="P204" s="64"/>
      <c r="Q204" s="64"/>
      <c r="R204" s="64"/>
      <c r="S204" s="64"/>
    </row>
    <row r="205" spans="1:19" ht="16" outlineLevel="1" x14ac:dyDescent="0.2">
      <c r="A205" s="74" t="s">
        <v>184</v>
      </c>
      <c r="B205" s="74"/>
      <c r="C205" s="74"/>
      <c r="D205" s="74">
        <f>D200+D201-D203-D204</f>
        <v>3521.6616273461991</v>
      </c>
      <c r="E205" s="74">
        <f t="shared" ref="E205:H205" si="79">E200+E201-E203-E204</f>
        <v>4277.1974758426604</v>
      </c>
      <c r="F205" s="74">
        <f t="shared" si="79"/>
        <v>4898.4977787163189</v>
      </c>
      <c r="G205" s="74">
        <f t="shared" si="79"/>
        <v>5681.2448168815117</v>
      </c>
      <c r="H205" s="74">
        <f t="shared" si="79"/>
        <v>5776.1249256512783</v>
      </c>
      <c r="I205" s="141">
        <f>M196</f>
        <v>46453.162237580327</v>
      </c>
      <c r="J205" s="76"/>
      <c r="K205" s="76"/>
      <c r="L205" s="76"/>
      <c r="M205" s="76"/>
      <c r="N205" s="79"/>
      <c r="O205" s="79"/>
      <c r="P205" s="79"/>
      <c r="Q205" s="79"/>
      <c r="R205" s="79"/>
      <c r="S205" s="79"/>
    </row>
    <row r="206" spans="1:19" ht="16" outlineLevel="1" x14ac:dyDescent="0.2">
      <c r="A206" s="76"/>
      <c r="B206" s="76"/>
      <c r="C206" s="76"/>
      <c r="D206" s="76"/>
      <c r="E206" s="76"/>
      <c r="F206" s="76"/>
      <c r="G206" s="76"/>
      <c r="H206" s="76"/>
      <c r="I206" s="126"/>
      <c r="J206" s="76"/>
      <c r="K206" s="76"/>
      <c r="L206" s="76"/>
      <c r="M206" s="76"/>
      <c r="N206" s="79"/>
      <c r="O206" s="79"/>
      <c r="P206" s="79"/>
      <c r="Q206" s="79"/>
      <c r="R206" s="79"/>
      <c r="S206" s="79"/>
    </row>
    <row r="207" spans="1:19" ht="16" outlineLevel="1" x14ac:dyDescent="0.2">
      <c r="A207" s="144" t="s">
        <v>165</v>
      </c>
      <c r="B207" s="144"/>
      <c r="C207" s="145">
        <v>0</v>
      </c>
      <c r="D207" s="144">
        <f>D205*D196</f>
        <v>3521.6616273461991</v>
      </c>
      <c r="E207" s="144">
        <f t="shared" ref="E207:H207" si="80">E205*E196</f>
        <v>4277.1974758426604</v>
      </c>
      <c r="F207" s="144">
        <f t="shared" si="80"/>
        <v>4898.4977787163189</v>
      </c>
      <c r="G207" s="144">
        <f t="shared" si="80"/>
        <v>5681.2448168815117</v>
      </c>
      <c r="H207" s="144">
        <f t="shared" si="80"/>
        <v>5776.1249256512783</v>
      </c>
      <c r="I207" s="144">
        <f>I205*I196</f>
        <v>46453.162237580327</v>
      </c>
      <c r="J207" s="79"/>
      <c r="K207" s="79"/>
      <c r="L207" s="79"/>
      <c r="M207" s="79"/>
      <c r="N207" s="146"/>
      <c r="O207" s="146"/>
      <c r="P207" s="146"/>
      <c r="Q207" s="146"/>
      <c r="R207" s="146"/>
      <c r="S207" s="79"/>
    </row>
    <row r="208" spans="1:19" ht="16" outlineLevel="1" x14ac:dyDescent="0.2">
      <c r="A208" s="79"/>
      <c r="B208" s="79"/>
      <c r="C208" s="79"/>
      <c r="D208" s="79"/>
      <c r="E208" s="79"/>
      <c r="F208" s="79"/>
      <c r="G208" s="79"/>
      <c r="H208" s="79"/>
      <c r="I208" s="79"/>
      <c r="J208" s="79"/>
      <c r="K208" s="79"/>
      <c r="L208" s="79"/>
      <c r="M208" s="79"/>
      <c r="N208" s="79"/>
      <c r="O208" s="79"/>
      <c r="P208" s="79"/>
      <c r="Q208" s="79"/>
      <c r="R208" s="79"/>
      <c r="S208" s="79"/>
    </row>
    <row r="209" spans="1:19" ht="16" outlineLevel="1" x14ac:dyDescent="0.2">
      <c r="A209" s="144" t="s">
        <v>166</v>
      </c>
      <c r="B209" s="144"/>
      <c r="C209" s="144">
        <f>-G215</f>
        <v>-28581.869999999995</v>
      </c>
      <c r="D209" s="144">
        <f>D207</f>
        <v>3521.6616273461991</v>
      </c>
      <c r="E209" s="144">
        <f t="shared" ref="E209:I209" si="81">E207</f>
        <v>4277.1974758426604</v>
      </c>
      <c r="F209" s="144">
        <f t="shared" si="81"/>
        <v>4898.4977787163189</v>
      </c>
      <c r="G209" s="144">
        <f t="shared" si="81"/>
        <v>5681.2448168815117</v>
      </c>
      <c r="H209" s="144">
        <f t="shared" si="81"/>
        <v>5776.1249256512783</v>
      </c>
      <c r="I209" s="144">
        <f t="shared" si="81"/>
        <v>46453.162237580327</v>
      </c>
      <c r="J209" s="79"/>
      <c r="K209" s="79"/>
      <c r="L209" s="146"/>
      <c r="M209" s="146"/>
      <c r="N209" s="79"/>
      <c r="O209" s="79"/>
      <c r="P209" s="79"/>
      <c r="Q209" s="79"/>
      <c r="R209" s="79"/>
      <c r="S209" s="79"/>
    </row>
    <row r="210" spans="1:19" ht="16" outlineLevel="1" x14ac:dyDescent="0.2">
      <c r="A210" s="79"/>
      <c r="B210" s="147"/>
      <c r="C210" s="79"/>
      <c r="D210" s="79"/>
      <c r="E210" s="79"/>
      <c r="F210" s="79"/>
      <c r="G210" s="79"/>
      <c r="H210" s="79"/>
      <c r="I210" s="79"/>
      <c r="J210" s="79"/>
      <c r="K210" s="79"/>
      <c r="L210" s="79"/>
      <c r="M210" s="79"/>
      <c r="N210" s="79"/>
      <c r="O210" s="79"/>
      <c r="P210" s="79"/>
      <c r="Q210" s="79"/>
      <c r="R210" s="79"/>
      <c r="S210" s="79"/>
    </row>
    <row r="211" spans="1:19" ht="16" outlineLevel="1" x14ac:dyDescent="0.2">
      <c r="A211" s="144" t="s">
        <v>167</v>
      </c>
      <c r="B211" s="79"/>
      <c r="C211" s="79"/>
      <c r="D211" s="79"/>
      <c r="E211" s="144" t="s">
        <v>168</v>
      </c>
      <c r="F211" s="79"/>
      <c r="G211" s="79"/>
      <c r="H211" s="79"/>
      <c r="I211" s="144" t="s">
        <v>169</v>
      </c>
      <c r="J211" s="79"/>
      <c r="K211" s="79"/>
      <c r="L211" s="79"/>
      <c r="M211" s="79"/>
      <c r="N211" s="79"/>
      <c r="O211" s="79"/>
      <c r="P211" s="79"/>
      <c r="Q211" s="79"/>
      <c r="R211" s="79"/>
      <c r="S211" s="79"/>
    </row>
    <row r="212" spans="1:19" ht="16" outlineLevel="1" x14ac:dyDescent="0.2">
      <c r="A212" s="148" t="s">
        <v>170</v>
      </c>
      <c r="B212" s="148"/>
      <c r="C212" s="148">
        <f>XNPV(C184,C207:I207,C194:I194)</f>
        <v>32470.816106218117</v>
      </c>
      <c r="D212" s="79"/>
      <c r="E212" s="148" t="s">
        <v>20</v>
      </c>
      <c r="F212" s="148"/>
      <c r="G212" s="148">
        <f>C189*C190</f>
        <v>28893.869999999995</v>
      </c>
      <c r="H212" s="79"/>
      <c r="I212" s="148" t="s">
        <v>46</v>
      </c>
      <c r="J212" s="148"/>
      <c r="K212" s="149">
        <f>C189</f>
        <v>54.9</v>
      </c>
      <c r="L212" s="79"/>
      <c r="M212" s="79"/>
      <c r="N212" s="79"/>
      <c r="O212" s="79"/>
      <c r="P212" s="79"/>
      <c r="Q212" s="79"/>
      <c r="R212" s="79"/>
      <c r="S212" s="79"/>
    </row>
    <row r="213" spans="1:19" ht="16" outlineLevel="1" x14ac:dyDescent="0.2">
      <c r="A213" s="79" t="s">
        <v>171</v>
      </c>
      <c r="B213" s="79"/>
      <c r="C213" s="79">
        <f>H66+H67</f>
        <v>3689</v>
      </c>
      <c r="D213" s="79"/>
      <c r="E213" s="79" t="s">
        <v>172</v>
      </c>
      <c r="F213" s="79"/>
      <c r="G213" s="79">
        <f>C214</f>
        <v>3377</v>
      </c>
      <c r="H213" s="79"/>
      <c r="I213" s="79" t="s">
        <v>173</v>
      </c>
      <c r="J213" s="79"/>
      <c r="K213" s="150">
        <f>C217</f>
        <v>62.289219278392778</v>
      </c>
      <c r="L213" s="79"/>
      <c r="M213" s="79"/>
      <c r="N213" s="79"/>
      <c r="O213" s="79"/>
      <c r="P213" s="79"/>
      <c r="Q213" s="79"/>
      <c r="R213" s="79"/>
      <c r="S213" s="79"/>
    </row>
    <row r="214" spans="1:19" ht="16" outlineLevel="1" x14ac:dyDescent="0.2">
      <c r="A214" s="79" t="s">
        <v>174</v>
      </c>
      <c r="B214" s="79"/>
      <c r="C214" s="79">
        <f>H91+H87</f>
        <v>3377</v>
      </c>
      <c r="D214" s="79"/>
      <c r="E214" s="79" t="s">
        <v>175</v>
      </c>
      <c r="F214" s="79"/>
      <c r="G214" s="79">
        <f>C213</f>
        <v>3689</v>
      </c>
      <c r="H214" s="79"/>
      <c r="I214" s="79" t="s">
        <v>185</v>
      </c>
      <c r="J214" s="79"/>
      <c r="K214" s="147">
        <f>K213/K212-1</f>
        <v>0.13459415807637121</v>
      </c>
      <c r="L214" s="79"/>
      <c r="M214" s="79"/>
      <c r="N214" s="79"/>
      <c r="O214" s="79"/>
      <c r="P214" s="79"/>
      <c r="Q214" s="79"/>
      <c r="R214" s="79"/>
      <c r="S214" s="79"/>
    </row>
    <row r="215" spans="1:19" ht="16" outlineLevel="1" x14ac:dyDescent="0.2">
      <c r="A215" s="79" t="s">
        <v>47</v>
      </c>
      <c r="B215" s="79"/>
      <c r="C215" s="148">
        <f>C212+C213-C214</f>
        <v>32782.816106218117</v>
      </c>
      <c r="D215" s="79"/>
      <c r="E215" s="79" t="s">
        <v>170</v>
      </c>
      <c r="F215" s="79"/>
      <c r="G215" s="148">
        <f>G212+G213-G214</f>
        <v>28581.869999999995</v>
      </c>
      <c r="H215" s="79"/>
      <c r="I215" s="79" t="s">
        <v>176</v>
      </c>
      <c r="J215" s="79"/>
      <c r="K215" s="147">
        <f>XIRR(C209:I209,C194:I194)</f>
        <v>0.23816712498664855</v>
      </c>
      <c r="L215" s="79"/>
      <c r="M215" s="79"/>
      <c r="N215" s="79"/>
      <c r="O215" s="79"/>
      <c r="P215" s="79"/>
      <c r="Q215" s="79"/>
      <c r="R215" s="79"/>
      <c r="S215" s="79"/>
    </row>
    <row r="216" spans="1:19" ht="16" outlineLevel="1" x14ac:dyDescent="0.2">
      <c r="A216" s="79"/>
      <c r="B216" s="79"/>
      <c r="C216" s="79"/>
      <c r="D216" s="79"/>
      <c r="E216" s="79"/>
      <c r="F216" s="79"/>
      <c r="G216" s="151"/>
      <c r="H216" s="79"/>
      <c r="I216" s="79"/>
      <c r="J216" s="79"/>
      <c r="K216" s="79"/>
      <c r="L216" s="79"/>
      <c r="M216" s="79"/>
      <c r="N216" s="79"/>
      <c r="O216" s="79"/>
      <c r="P216" s="79"/>
      <c r="Q216" s="79"/>
      <c r="R216" s="79"/>
      <c r="S216" s="79"/>
    </row>
    <row r="217" spans="1:19" ht="16" outlineLevel="1" x14ac:dyDescent="0.2">
      <c r="A217" s="144" t="s">
        <v>177</v>
      </c>
      <c r="B217" s="79"/>
      <c r="C217" s="452">
        <f>C215/C190</f>
        <v>62.289219278392778</v>
      </c>
      <c r="D217" s="79"/>
      <c r="E217" s="144" t="s">
        <v>177</v>
      </c>
      <c r="F217" s="144"/>
      <c r="G217" s="152">
        <f>G212/C190</f>
        <v>54.9</v>
      </c>
      <c r="H217" s="79"/>
      <c r="I217" s="79"/>
      <c r="J217" s="79"/>
      <c r="K217" s="79"/>
      <c r="L217" s="79"/>
      <c r="M217" s="79"/>
      <c r="N217" s="76"/>
      <c r="O217" s="64"/>
      <c r="P217" s="64"/>
      <c r="Q217" s="64"/>
      <c r="R217" s="64"/>
      <c r="S217" s="64"/>
    </row>
    <row r="218" spans="1:19" ht="16" x14ac:dyDescent="0.2">
      <c r="A218" s="79"/>
      <c r="B218" s="79"/>
      <c r="C218" s="79"/>
      <c r="D218" s="79"/>
      <c r="E218" s="79"/>
      <c r="F218" s="79"/>
      <c r="G218" s="79"/>
      <c r="H218" s="79"/>
      <c r="I218" s="79"/>
      <c r="J218" s="79"/>
      <c r="K218" s="79"/>
      <c r="L218" s="79"/>
      <c r="M218" s="79"/>
      <c r="N218" s="64"/>
      <c r="O218" s="64"/>
      <c r="P218" s="64"/>
      <c r="Q218" s="64"/>
      <c r="R218" s="64"/>
      <c r="S218" s="64"/>
    </row>
    <row r="219" spans="1:19" ht="16" x14ac:dyDescent="0.2">
      <c r="A219" s="76"/>
      <c r="B219" s="76"/>
      <c r="C219" s="76"/>
      <c r="D219" s="76"/>
      <c r="E219" s="76"/>
      <c r="F219" s="76"/>
      <c r="G219" s="76"/>
      <c r="H219" s="76"/>
      <c r="I219" s="76"/>
      <c r="J219" s="76"/>
      <c r="K219" s="76"/>
      <c r="L219" s="76"/>
      <c r="M219" s="76"/>
      <c r="N219" s="64"/>
      <c r="O219" s="64"/>
      <c r="P219" s="64"/>
      <c r="Q219" s="64"/>
      <c r="R219" s="64"/>
      <c r="S219" s="64"/>
    </row>
    <row r="220" spans="1:19" ht="16" outlineLevel="1" x14ac:dyDescent="0.2">
      <c r="A220" s="64"/>
      <c r="B220" s="64"/>
      <c r="C220" s="64"/>
      <c r="D220" s="64"/>
      <c r="E220" s="64"/>
      <c r="F220" s="64"/>
      <c r="G220" s="64"/>
      <c r="H220" s="64"/>
      <c r="I220" s="64"/>
      <c r="J220" s="64"/>
      <c r="K220" s="64"/>
      <c r="L220" s="64"/>
      <c r="M220" s="64"/>
      <c r="N220" s="64"/>
      <c r="O220" s="64"/>
      <c r="P220" s="64"/>
      <c r="Q220" s="64"/>
      <c r="R220" s="64"/>
      <c r="S220" s="64"/>
    </row>
    <row r="221" spans="1:19" ht="20" outlineLevel="1" x14ac:dyDescent="0.2">
      <c r="A221" s="444" t="s">
        <v>154</v>
      </c>
      <c r="B221" s="453"/>
      <c r="C221" s="454"/>
      <c r="D221" s="453"/>
      <c r="E221" s="453"/>
      <c r="F221" s="453"/>
      <c r="G221" s="453"/>
      <c r="H221" s="453"/>
      <c r="I221" s="453"/>
      <c r="J221" s="453"/>
      <c r="K221" s="453"/>
      <c r="L221" s="453"/>
      <c r="M221" s="453"/>
      <c r="N221" s="64"/>
      <c r="O221" s="64"/>
      <c r="P221" s="64"/>
      <c r="Q221" s="64"/>
      <c r="R221" s="64"/>
      <c r="S221" s="64"/>
    </row>
    <row r="222" spans="1:19" ht="16" outlineLevel="1" x14ac:dyDescent="0.2">
      <c r="A222" s="64"/>
      <c r="B222" s="64"/>
      <c r="C222" s="64"/>
      <c r="D222" s="64"/>
      <c r="E222" s="64"/>
      <c r="F222" s="64"/>
      <c r="G222" s="64"/>
      <c r="H222" s="64"/>
      <c r="I222" s="64"/>
      <c r="J222" s="64"/>
      <c r="K222" s="64"/>
      <c r="L222" s="64"/>
      <c r="M222" s="64"/>
      <c r="N222" s="64"/>
      <c r="O222" s="64"/>
      <c r="P222" s="64"/>
      <c r="Q222" s="64"/>
      <c r="R222" s="64"/>
      <c r="S222" s="64"/>
    </row>
    <row r="223" spans="1:19" ht="16" outlineLevel="1" x14ac:dyDescent="0.2">
      <c r="A223" s="64" t="s">
        <v>1</v>
      </c>
      <c r="B223" s="64"/>
      <c r="C223" s="68"/>
      <c r="D223" s="142">
        <f>YEAR(D194)</f>
        <v>2019</v>
      </c>
      <c r="E223" s="142">
        <f>YEAR(E194)</f>
        <v>2020</v>
      </c>
      <c r="F223" s="142">
        <f>YEAR(F194)</f>
        <v>2021</v>
      </c>
      <c r="G223" s="142">
        <f>YEAR(G194)</f>
        <v>2022</v>
      </c>
      <c r="H223" s="142">
        <f>YEAR(H194)</f>
        <v>2023</v>
      </c>
      <c r="I223" s="64"/>
      <c r="J223" s="64" t="s">
        <v>178</v>
      </c>
      <c r="K223" s="64"/>
      <c r="L223" s="64"/>
      <c r="M223" s="64"/>
      <c r="N223" s="64"/>
      <c r="O223" s="64"/>
      <c r="P223" s="64"/>
      <c r="Q223" s="64"/>
      <c r="R223" s="64"/>
      <c r="S223" s="64"/>
    </row>
    <row r="224" spans="1:19" ht="16" outlineLevel="1" x14ac:dyDescent="0.2">
      <c r="A224" s="73" t="s">
        <v>179</v>
      </c>
      <c r="B224" s="73"/>
      <c r="C224" s="108"/>
      <c r="D224" s="73">
        <f>D209</f>
        <v>3521.6616273461991</v>
      </c>
      <c r="E224" s="73">
        <f>E209</f>
        <v>4277.1974758426604</v>
      </c>
      <c r="F224" s="73">
        <f>F209</f>
        <v>4898.4977787163189</v>
      </c>
      <c r="G224" s="73">
        <f>G209</f>
        <v>5681.2448168815117</v>
      </c>
      <c r="H224" s="73">
        <f>H209</f>
        <v>5776.1249256512783</v>
      </c>
      <c r="I224" s="64"/>
      <c r="J224" s="73" t="s">
        <v>168</v>
      </c>
      <c r="K224" s="73"/>
      <c r="L224" s="153">
        <f>G217</f>
        <v>54.9</v>
      </c>
      <c r="M224" s="64"/>
      <c r="N224" s="64"/>
      <c r="O224" s="64"/>
      <c r="P224" s="64"/>
      <c r="Q224" s="64"/>
      <c r="R224" s="64"/>
      <c r="S224" s="64"/>
    </row>
    <row r="225" spans="1:19" ht="16" outlineLevel="1" x14ac:dyDescent="0.2">
      <c r="A225" s="64"/>
      <c r="B225" s="64"/>
      <c r="C225" s="68"/>
      <c r="D225" s="64"/>
      <c r="E225" s="64"/>
      <c r="F225" s="64"/>
      <c r="G225" s="64"/>
      <c r="H225" s="64"/>
      <c r="I225" s="64"/>
      <c r="J225" s="64" t="s">
        <v>180</v>
      </c>
      <c r="K225" s="64"/>
      <c r="L225" s="135">
        <f>L226-L224</f>
        <v>7.3892192783927797</v>
      </c>
      <c r="M225" s="64"/>
      <c r="N225" s="64"/>
      <c r="O225" s="64"/>
      <c r="P225" s="64"/>
      <c r="Q225" s="64"/>
      <c r="R225" s="64"/>
      <c r="S225" s="64"/>
    </row>
    <row r="226" spans="1:19" ht="16" outlineLevel="1" x14ac:dyDescent="0.2">
      <c r="A226" s="64"/>
      <c r="B226" s="64"/>
      <c r="C226" s="68"/>
      <c r="D226" s="64"/>
      <c r="E226" s="64"/>
      <c r="F226" s="64"/>
      <c r="G226" s="64"/>
      <c r="H226" s="64"/>
      <c r="I226" s="64"/>
      <c r="J226" s="64" t="s">
        <v>167</v>
      </c>
      <c r="K226" s="64"/>
      <c r="L226" s="135">
        <f>C217</f>
        <v>62.289219278392778</v>
      </c>
      <c r="M226" s="64"/>
      <c r="N226" s="64"/>
      <c r="O226" s="64"/>
      <c r="P226" s="64"/>
      <c r="Q226" s="64"/>
      <c r="R226" s="64"/>
      <c r="S226" s="64"/>
    </row>
    <row r="227" spans="1:19" ht="16" outlineLevel="1" x14ac:dyDescent="0.2">
      <c r="A227" s="64"/>
      <c r="B227" s="64"/>
      <c r="C227" s="68"/>
      <c r="D227" s="64"/>
      <c r="E227" s="64"/>
      <c r="F227" s="64"/>
      <c r="G227" s="64"/>
      <c r="H227" s="64"/>
      <c r="I227" s="64"/>
      <c r="J227" s="64"/>
      <c r="K227" s="64"/>
      <c r="L227" s="64"/>
      <c r="M227" s="64"/>
      <c r="N227" s="64"/>
      <c r="O227" s="64"/>
      <c r="P227" s="64"/>
      <c r="Q227" s="64"/>
      <c r="R227" s="64"/>
      <c r="S227" s="64"/>
    </row>
    <row r="228" spans="1:19" ht="16" outlineLevel="1" x14ac:dyDescent="0.2">
      <c r="A228" s="64"/>
      <c r="B228" s="64"/>
      <c r="C228" s="68"/>
      <c r="D228" s="64"/>
      <c r="E228" s="64"/>
      <c r="F228" s="64"/>
      <c r="G228" s="64"/>
      <c r="H228" s="64"/>
      <c r="I228" s="64"/>
      <c r="J228" s="64"/>
      <c r="K228" s="64"/>
      <c r="L228" s="64"/>
      <c r="M228" s="64"/>
      <c r="N228" s="64"/>
      <c r="O228" s="64"/>
      <c r="P228" s="64"/>
      <c r="Q228" s="64"/>
      <c r="R228" s="64"/>
      <c r="S228" s="64"/>
    </row>
    <row r="229" spans="1:19" ht="16" outlineLevel="1" x14ac:dyDescent="0.2">
      <c r="A229" s="64"/>
      <c r="B229" s="64"/>
      <c r="C229" s="68"/>
      <c r="D229" s="64"/>
      <c r="E229" s="64"/>
      <c r="F229" s="64"/>
      <c r="G229" s="64"/>
      <c r="H229" s="64"/>
      <c r="I229" s="64"/>
      <c r="J229" s="64"/>
      <c r="K229" s="64"/>
      <c r="L229" s="64"/>
      <c r="M229" s="64"/>
      <c r="N229" s="64"/>
      <c r="O229" s="64"/>
      <c r="P229" s="64"/>
      <c r="Q229" s="64"/>
      <c r="R229" s="64"/>
      <c r="S229" s="64"/>
    </row>
    <row r="230" spans="1:19" ht="16" outlineLevel="1" x14ac:dyDescent="0.2">
      <c r="A230" s="64"/>
      <c r="B230" s="64"/>
      <c r="C230" s="68"/>
      <c r="D230" s="64"/>
      <c r="E230" s="64"/>
      <c r="F230" s="64"/>
      <c r="G230" s="64"/>
      <c r="H230" s="64"/>
      <c r="I230" s="64"/>
      <c r="J230" s="64"/>
      <c r="K230" s="64"/>
      <c r="L230" s="64"/>
      <c r="M230" s="64"/>
      <c r="N230" s="64"/>
      <c r="O230" s="64"/>
      <c r="P230" s="64"/>
      <c r="Q230" s="64"/>
      <c r="R230" s="64"/>
      <c r="S230" s="64"/>
    </row>
    <row r="231" spans="1:19" ht="16" outlineLevel="1" x14ac:dyDescent="0.2">
      <c r="A231" s="64"/>
      <c r="B231" s="64"/>
      <c r="C231" s="68"/>
      <c r="D231" s="64"/>
      <c r="E231" s="64"/>
      <c r="F231" s="64"/>
      <c r="G231" s="64"/>
      <c r="H231" s="64"/>
      <c r="I231" s="64"/>
      <c r="J231" s="64"/>
      <c r="K231" s="64"/>
      <c r="L231" s="64"/>
      <c r="M231" s="64"/>
    </row>
    <row r="232" spans="1:19" ht="16" outlineLevel="1" x14ac:dyDescent="0.2">
      <c r="A232" s="64"/>
      <c r="B232" s="64"/>
      <c r="C232" s="68"/>
      <c r="D232" s="64"/>
      <c r="E232" s="64"/>
      <c r="F232" s="64"/>
      <c r="G232" s="64"/>
      <c r="H232" s="64"/>
      <c r="I232" s="64"/>
      <c r="J232" s="64"/>
      <c r="K232" s="64"/>
      <c r="L232" s="64"/>
      <c r="M232" s="64"/>
    </row>
    <row r="233" spans="1:19" outlineLevel="1" x14ac:dyDescent="0.15"/>
    <row r="234" spans="1:19" outlineLevel="1" x14ac:dyDescent="0.15"/>
    <row r="235" spans="1:19" outlineLevel="1" x14ac:dyDescent="0.15"/>
    <row r="236" spans="1:19" outlineLevel="1" x14ac:dyDescent="0.15"/>
    <row r="237" spans="1:19" outlineLevel="1" x14ac:dyDescent="0.15"/>
    <row r="238" spans="1:19" outlineLevel="1" x14ac:dyDescent="0.15"/>
    <row r="239" spans="1:19" outlineLevel="1" x14ac:dyDescent="0.15"/>
    <row r="240" spans="1:19" outlineLevel="1" x14ac:dyDescent="0.15"/>
    <row r="241" outlineLevel="1" x14ac:dyDescent="0.15"/>
  </sheetData>
  <sheetProtection formatCells="0" formatColumns="0" formatRows="0" insertColumns="0" insertRows="0" insertHyperlinks="0" deleteColumns="0" deleteRows="0" sort="0" autoFilter="0" pivotTables="0"/>
  <conditionalFormatting sqref="D3:M3">
    <cfRule type="containsText" dxfId="3" priority="1" operator="containsText" text="OK">
      <formula>NOT(ISERROR(SEARCH("OK",D3)))</formula>
    </cfRule>
    <cfRule type="containsText" dxfId="2" priority="2" operator="containsText" text="ERROR">
      <formula>NOT(ISERROR(SEARCH("ERROR",D3)))</formula>
    </cfRule>
  </conditionalFormatting>
  <pageMargins left="0.70866141732283472" right="0.70866141732283472" top="0.74803149606299213" bottom="0.74803149606299213" header="0.31496062992125984" footer="0.31496062992125984"/>
  <pageSetup scale="78" orientation="landscape" r:id="rId1"/>
  <ignoredErrors>
    <ignoredError sqref="O6 O7:O15" unlockedFormula="1"/>
  </ignoredError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99"/>
  <sheetViews>
    <sheetView showGridLines="0" workbookViewId="0">
      <selection activeCell="N30" sqref="N30:O30"/>
    </sheetView>
  </sheetViews>
  <sheetFormatPr baseColWidth="10" defaultRowHeight="14" x14ac:dyDescent="0.15"/>
  <cols>
    <col min="1" max="3" width="10.83203125" style="1"/>
    <col min="4" max="4" width="26" style="1" customWidth="1"/>
    <col min="5" max="6" width="10.83203125" style="1"/>
    <col min="7" max="7" width="15.83203125" style="1" bestFit="1" customWidth="1"/>
    <col min="8" max="8" width="13.33203125" style="1" customWidth="1"/>
    <col min="9" max="9" width="15.5" style="1" bestFit="1" customWidth="1"/>
    <col min="10" max="13" width="13.5" style="1" bestFit="1" customWidth="1"/>
    <col min="14" max="16384" width="10.83203125" style="1"/>
  </cols>
  <sheetData>
    <row r="1" spans="1:16" ht="30" customHeight="1" x14ac:dyDescent="0.2">
      <c r="A1" s="476" t="s">
        <v>491</v>
      </c>
      <c r="B1" s="65"/>
      <c r="C1" s="65"/>
      <c r="D1" s="60"/>
      <c r="E1" s="61"/>
      <c r="F1" s="61"/>
      <c r="G1" s="61"/>
      <c r="H1" s="61"/>
      <c r="I1" s="62" t="s">
        <v>62</v>
      </c>
      <c r="J1" s="63"/>
      <c r="K1" s="63"/>
      <c r="L1" s="63"/>
      <c r="M1" s="63"/>
    </row>
    <row r="2" spans="1:16" ht="18" x14ac:dyDescent="0.2">
      <c r="A2" s="65"/>
      <c r="B2" s="65"/>
      <c r="C2" s="65"/>
      <c r="D2" s="65">
        <v>2014</v>
      </c>
      <c r="E2" s="65">
        <f>+D2+1</f>
        <v>2015</v>
      </c>
      <c r="F2" s="65">
        <f t="shared" ref="F2:M2" si="0">+E2+1</f>
        <v>2016</v>
      </c>
      <c r="G2" s="65">
        <f t="shared" si="0"/>
        <v>2017</v>
      </c>
      <c r="H2" s="65">
        <f t="shared" si="0"/>
        <v>2018</v>
      </c>
      <c r="I2" s="66">
        <f t="shared" si="0"/>
        <v>2019</v>
      </c>
      <c r="J2" s="66">
        <f t="shared" si="0"/>
        <v>2020</v>
      </c>
      <c r="K2" s="66">
        <f t="shared" si="0"/>
        <v>2021</v>
      </c>
      <c r="L2" s="66">
        <f t="shared" si="0"/>
        <v>2022</v>
      </c>
      <c r="M2" s="66">
        <f t="shared" si="0"/>
        <v>2023</v>
      </c>
    </row>
    <row r="3" spans="1:16" ht="18" x14ac:dyDescent="0.2">
      <c r="D3" s="310" t="s">
        <v>266</v>
      </c>
      <c r="E3" s="310" t="s">
        <v>267</v>
      </c>
      <c r="F3" s="310"/>
      <c r="G3" s="310"/>
      <c r="H3" s="310"/>
      <c r="I3" s="310" t="s">
        <v>268</v>
      </c>
      <c r="J3" s="311"/>
      <c r="K3" s="310" t="s">
        <v>269</v>
      </c>
      <c r="L3" s="310"/>
      <c r="M3" s="315"/>
    </row>
    <row r="4" spans="1:16" ht="18" x14ac:dyDescent="0.2">
      <c r="D4" s="308" t="s">
        <v>437</v>
      </c>
      <c r="E4" s="312"/>
      <c r="F4" s="312"/>
      <c r="G4" s="312"/>
      <c r="H4" s="312"/>
      <c r="I4" s="308">
        <v>1</v>
      </c>
      <c r="J4" s="311"/>
      <c r="K4" s="312" t="s">
        <v>268</v>
      </c>
      <c r="L4" s="313">
        <v>1</v>
      </c>
      <c r="M4" s="315"/>
    </row>
    <row r="5" spans="1:16" ht="18" x14ac:dyDescent="0.2">
      <c r="D5" s="309" t="s">
        <v>438</v>
      </c>
      <c r="E5" s="311"/>
      <c r="F5" s="311"/>
      <c r="G5" s="311"/>
      <c r="H5" s="311"/>
      <c r="I5" s="309">
        <v>2</v>
      </c>
      <c r="J5" s="311"/>
      <c r="K5" s="311" t="s">
        <v>270</v>
      </c>
      <c r="L5" s="314">
        <v>2024</v>
      </c>
      <c r="M5" s="315"/>
    </row>
    <row r="6" spans="1:16" x14ac:dyDescent="0.15">
      <c r="D6" s="309" t="s">
        <v>271</v>
      </c>
      <c r="E6" s="311"/>
      <c r="F6" s="311"/>
      <c r="G6" s="311"/>
      <c r="H6" s="311"/>
      <c r="I6" s="309">
        <v>3</v>
      </c>
      <c r="J6" s="311"/>
      <c r="K6" s="311"/>
      <c r="L6" s="311"/>
    </row>
    <row r="8" spans="1:16" x14ac:dyDescent="0.15">
      <c r="A8" s="303" t="s">
        <v>263</v>
      </c>
      <c r="B8" s="301"/>
      <c r="C8" s="301"/>
      <c r="D8" s="301"/>
      <c r="E8" s="301"/>
      <c r="F8" s="301"/>
      <c r="G8" s="301"/>
      <c r="H8" s="301"/>
      <c r="I8" s="301"/>
      <c r="J8" s="301"/>
      <c r="K8" s="301"/>
      <c r="L8" s="301"/>
      <c r="M8" s="301"/>
    </row>
    <row r="9" spans="1:16" s="317" customFormat="1" ht="16" x14ac:dyDescent="0.2">
      <c r="A9" s="76" t="s">
        <v>435</v>
      </c>
      <c r="B9" s="423"/>
      <c r="C9" s="76"/>
      <c r="D9" s="76"/>
      <c r="E9" s="76"/>
      <c r="F9" s="76"/>
      <c r="G9" s="76"/>
      <c r="H9" s="76"/>
      <c r="I9" s="391">
        <f>CHOOSE($L$4,I32,I55,I78)</f>
        <v>2.5000000000000001E-2</v>
      </c>
      <c r="J9" s="391">
        <f>CHOOSE($L$4,J32,J55,J78)</f>
        <v>2.5000000000000001E-2</v>
      </c>
      <c r="K9" s="391">
        <f>CHOOSE($L$4,K32,K55,K78)</f>
        <v>2.5000000000000001E-2</v>
      </c>
      <c r="L9" s="391">
        <f>CHOOSE($L$4,L32,L55,L78)</f>
        <v>2.5000000000000001E-2</v>
      </c>
      <c r="M9" s="391">
        <f>CHOOSE($L$4,M32,M55,M78)</f>
        <v>2.5000000000000001E-2</v>
      </c>
      <c r="N9" s="422"/>
      <c r="O9" s="76"/>
    </row>
    <row r="10" spans="1:16" s="317" customFormat="1" ht="16" x14ac:dyDescent="0.2">
      <c r="A10" s="76" t="s">
        <v>387</v>
      </c>
      <c r="B10" s="76"/>
      <c r="C10" s="76"/>
      <c r="D10" s="76"/>
      <c r="E10" s="76"/>
      <c r="F10" s="76"/>
      <c r="G10" s="76"/>
      <c r="H10" s="76"/>
      <c r="I10" s="76">
        <f>CHOOSE($L$4,I33,I56,I79)</f>
        <v>163790031.82499999</v>
      </c>
      <c r="J10" s="76">
        <f>CHOOSE($L$4,J33,J56,J79)</f>
        <v>167884782.62062496</v>
      </c>
      <c r="K10" s="76">
        <f>CHOOSE($L$4,K33,K56,K79)</f>
        <v>172081902.18614057</v>
      </c>
      <c r="L10" s="76">
        <f>CHOOSE($L$4,L33,L56,L79)</f>
        <v>176383949.74079406</v>
      </c>
      <c r="M10" s="76">
        <f>CHOOSE($L$4,M33,M56,M79)</f>
        <v>180793548.48431391</v>
      </c>
      <c r="N10" s="422"/>
      <c r="O10" s="76"/>
    </row>
    <row r="11" spans="1:16" s="317" customFormat="1" ht="16" x14ac:dyDescent="0.2">
      <c r="A11" s="76" t="s">
        <v>392</v>
      </c>
      <c r="B11" s="76"/>
      <c r="C11" s="76"/>
      <c r="D11" s="76"/>
      <c r="E11" s="76"/>
      <c r="F11" s="76"/>
      <c r="G11" s="76"/>
      <c r="H11" s="76"/>
      <c r="I11" s="134">
        <f>CHOOSE($L$4,I34,I57,I80)</f>
        <v>14.368749999999999</v>
      </c>
      <c r="J11" s="134">
        <f>CHOOSE($L$4,J34,J57,J80)</f>
        <v>15.015343749999998</v>
      </c>
      <c r="K11" s="134">
        <f>CHOOSE($L$4,K34,K57,K80)</f>
        <v>15.691034218749996</v>
      </c>
      <c r="L11" s="134">
        <f>CHOOSE($L$4,L34,L57,L80)</f>
        <v>16.397130758593743</v>
      </c>
      <c r="M11" s="134">
        <f>CHOOSE($L$4,M34,M57,M80)</f>
        <v>17.135001642730462</v>
      </c>
      <c r="N11" s="422"/>
      <c r="O11" s="76"/>
    </row>
    <row r="12" spans="1:16" s="317" customFormat="1" ht="16" x14ac:dyDescent="0.2">
      <c r="A12" s="76" t="s">
        <v>393</v>
      </c>
      <c r="B12" s="76"/>
      <c r="C12" s="76"/>
      <c r="D12" s="76"/>
      <c r="E12" s="76"/>
      <c r="F12" s="76"/>
      <c r="G12" s="76"/>
      <c r="H12" s="76"/>
      <c r="I12" s="134">
        <f>CHOOSE($L$4,I35,I58,I81)</f>
        <v>13.375999999999999</v>
      </c>
      <c r="J12" s="134">
        <f>CHOOSE($L$4,J35,J58,J81)</f>
        <v>13.977919999999999</v>
      </c>
      <c r="K12" s="134">
        <f>CHOOSE($L$4,K35,K58,K81)</f>
        <v>14.606926399999999</v>
      </c>
      <c r="L12" s="134">
        <f>CHOOSE($L$4,L35,L58,L81)</f>
        <v>15.264238087999997</v>
      </c>
      <c r="M12" s="134">
        <f>CHOOSE($L$4,M35,M58,M81)</f>
        <v>15.951128801959996</v>
      </c>
      <c r="N12" s="422"/>
      <c r="O12" s="76"/>
    </row>
    <row r="13" spans="1:16" ht="16" x14ac:dyDescent="0.2">
      <c r="A13" s="76" t="s">
        <v>388</v>
      </c>
      <c r="B13" s="76"/>
      <c r="C13" s="76"/>
      <c r="D13" s="76"/>
      <c r="E13" s="76"/>
      <c r="F13" s="76"/>
      <c r="G13" s="76"/>
      <c r="H13" s="76"/>
      <c r="I13" s="134">
        <f>CHOOSE($L$4,I36,I59,I82)</f>
        <v>11.565772727272725</v>
      </c>
      <c r="J13" s="134">
        <f>CHOOSE($L$4,J36,J59,J82)</f>
        <v>11.7</v>
      </c>
      <c r="K13" s="134">
        <f>CHOOSE($L$4,K36,K59,K82)</f>
        <v>12</v>
      </c>
      <c r="L13" s="134">
        <f>CHOOSE($L$4,L36,L59,L82)</f>
        <v>12.25</v>
      </c>
      <c r="M13" s="134">
        <f>CHOOSE($L$4,M36,M59,M82)</f>
        <v>13</v>
      </c>
      <c r="N13" s="422"/>
      <c r="O13" s="83"/>
      <c r="P13" s="316"/>
    </row>
    <row r="14" spans="1:16" ht="16" x14ac:dyDescent="0.2">
      <c r="A14" s="76" t="s">
        <v>401</v>
      </c>
      <c r="B14" s="76"/>
      <c r="C14" s="76"/>
      <c r="D14" s="76"/>
      <c r="E14" s="76"/>
      <c r="F14" s="76"/>
      <c r="G14" s="76"/>
      <c r="H14" s="76"/>
      <c r="I14" s="134">
        <f>CHOOSE($L$4,I37,I60,I83)</f>
        <v>8.9384999999999994</v>
      </c>
      <c r="J14" s="134">
        <f>CHOOSE($L$4,J37,J60,J83)</f>
        <v>9.0278849999999995</v>
      </c>
      <c r="K14" s="134">
        <f>CHOOSE($L$4,K37,K60,K83)</f>
        <v>9.1181638500000002</v>
      </c>
      <c r="L14" s="134">
        <f>CHOOSE($L$4,L37,L60,L83)</f>
        <v>9.2093454885000003</v>
      </c>
      <c r="M14" s="134">
        <f>CHOOSE($L$4,M37,M60,M83)</f>
        <v>9.3014389433849995</v>
      </c>
      <c r="N14" s="424"/>
      <c r="O14" s="76"/>
      <c r="P14" s="316"/>
    </row>
    <row r="15" spans="1:16" ht="16" x14ac:dyDescent="0.2">
      <c r="A15" s="76" t="s">
        <v>389</v>
      </c>
      <c r="B15" s="76"/>
      <c r="C15" s="76"/>
      <c r="D15" s="76"/>
      <c r="E15" s="76"/>
      <c r="F15" s="76"/>
      <c r="G15" s="76"/>
      <c r="H15" s="76"/>
      <c r="I15" s="134">
        <f>CHOOSE($L$4,I38,I61,I84)</f>
        <v>2.0499999999999998</v>
      </c>
      <c r="J15" s="134">
        <f>CHOOSE($L$4,J38,J61,J84)</f>
        <v>2.2000000000000002</v>
      </c>
      <c r="K15" s="134">
        <f>CHOOSE($L$4,K38,K61,K84)</f>
        <v>2.2999999999999998</v>
      </c>
      <c r="L15" s="134">
        <f>CHOOSE($L$4,L38,L61,L84)</f>
        <v>2.15</v>
      </c>
      <c r="M15" s="134">
        <f>CHOOSE($L$4,M38,M61,M84)</f>
        <v>2.2999999999999998</v>
      </c>
      <c r="N15" s="422"/>
      <c r="O15" s="76"/>
      <c r="P15" s="316"/>
    </row>
    <row r="16" spans="1:16" ht="16" x14ac:dyDescent="0.2">
      <c r="A16" s="76" t="s">
        <v>403</v>
      </c>
      <c r="B16" s="76"/>
      <c r="C16" s="76"/>
      <c r="D16" s="76"/>
      <c r="E16" s="76"/>
      <c r="F16" s="76"/>
      <c r="G16" s="76"/>
      <c r="H16" s="76"/>
      <c r="I16" s="76">
        <f>CHOOSE($L$4,I39,I62,I85)</f>
        <v>2099.1272371363634</v>
      </c>
      <c r="J16" s="76">
        <f>CHOOSE($L$4,J39,J62,J85)</f>
        <v>2099.1272371363634</v>
      </c>
      <c r="K16" s="76">
        <f>CHOOSE($L$4,K39,K62,K85)</f>
        <v>2099.1272371363634</v>
      </c>
      <c r="L16" s="76">
        <f>CHOOSE($L$4,L39,L62,L85)</f>
        <v>2099.1272371363634</v>
      </c>
      <c r="M16" s="76">
        <f>CHOOSE($L$4,M39,M62,M85)</f>
        <v>2099.1272371363634</v>
      </c>
      <c r="N16" s="422"/>
      <c r="O16" s="76"/>
      <c r="P16" s="316"/>
    </row>
    <row r="17" spans="1:16" ht="16" x14ac:dyDescent="0.2">
      <c r="A17" s="76" t="s">
        <v>397</v>
      </c>
      <c r="B17" s="76"/>
      <c r="C17" s="76"/>
      <c r="D17" s="76"/>
      <c r="E17" s="76"/>
      <c r="F17" s="76"/>
      <c r="G17" s="76"/>
      <c r="H17" s="76"/>
      <c r="I17" s="76">
        <f>CHOOSE($L$4,I40,I63,I86)</f>
        <v>4303.210836129545</v>
      </c>
      <c r="J17" s="76">
        <f>CHOOSE($L$4,J40,J63,J86)</f>
        <v>4303.210836129545</v>
      </c>
      <c r="K17" s="76">
        <f>CHOOSE($L$4,K40,K63,K86)</f>
        <v>4303.210836129545</v>
      </c>
      <c r="L17" s="76">
        <f>CHOOSE($L$4,L40,L63,L86)</f>
        <v>4303.210836129545</v>
      </c>
      <c r="M17" s="76">
        <f>CHOOSE($L$4,M40,M63,M86)</f>
        <v>4303.210836129545</v>
      </c>
      <c r="N17" s="424"/>
      <c r="O17" s="76"/>
      <c r="P17" s="316"/>
    </row>
    <row r="18" spans="1:16" ht="16" x14ac:dyDescent="0.2">
      <c r="A18" s="76" t="s">
        <v>71</v>
      </c>
      <c r="B18" s="316"/>
      <c r="C18" s="316"/>
      <c r="D18" s="316"/>
      <c r="E18" s="316"/>
      <c r="F18" s="316"/>
      <c r="G18" s="316"/>
      <c r="H18" s="316"/>
      <c r="I18" s="304">
        <f>CHOOSE($L$4,I41,I67,I90)</f>
        <v>7.4999999999999997E-2</v>
      </c>
      <c r="J18" s="304">
        <f>CHOOSE($L$4,J41,J67,J90)</f>
        <v>7.4999999999999997E-2</v>
      </c>
      <c r="K18" s="304">
        <f>CHOOSE($L$4,K41,K67,K90)</f>
        <v>7.4999999999999997E-2</v>
      </c>
      <c r="L18" s="304">
        <f>CHOOSE($L$4,L41,L67,L90)</f>
        <v>7.4999999999999997E-2</v>
      </c>
      <c r="M18" s="304">
        <f>CHOOSE($L$4,M41,M67,M90)</f>
        <v>7.4999999999999997E-2</v>
      </c>
      <c r="N18" s="422"/>
      <c r="O18" s="311"/>
      <c r="P18" s="316"/>
    </row>
    <row r="19" spans="1:16" ht="16" x14ac:dyDescent="0.2">
      <c r="A19" s="76" t="s">
        <v>72</v>
      </c>
      <c r="B19" s="316"/>
      <c r="C19" s="316"/>
      <c r="D19" s="316"/>
      <c r="E19" s="316"/>
      <c r="F19" s="316"/>
      <c r="G19" s="316"/>
      <c r="H19" s="316"/>
      <c r="I19" s="304">
        <f>CHOOSE($L$4,I42,I68,I91)</f>
        <v>3.5000000000000003E-2</v>
      </c>
      <c r="J19" s="304">
        <f>CHOOSE($L$4,J42,J68,J91)</f>
        <v>3.5000000000000003E-2</v>
      </c>
      <c r="K19" s="304">
        <f>CHOOSE($L$4,K42,K68,K91)</f>
        <v>3.5000000000000003E-2</v>
      </c>
      <c r="L19" s="304">
        <f>CHOOSE($L$4,L42,L68,L91)</f>
        <v>3.5000000000000003E-2</v>
      </c>
      <c r="M19" s="304">
        <f>CHOOSE($L$4,M42,M68,M91)</f>
        <v>3.5000000000000003E-2</v>
      </c>
      <c r="N19" s="422"/>
      <c r="O19" s="311"/>
      <c r="P19" s="316"/>
    </row>
    <row r="20" spans="1:16" ht="16" x14ac:dyDescent="0.2">
      <c r="A20" s="76" t="s">
        <v>73</v>
      </c>
      <c r="B20" s="316"/>
      <c r="C20" s="316"/>
      <c r="D20" s="316"/>
      <c r="E20" s="316"/>
      <c r="F20" s="316"/>
      <c r="G20" s="316"/>
      <c r="H20" s="316"/>
      <c r="I20" s="304">
        <f>CHOOSE($L$4,I43,I69,I92)</f>
        <v>0.21</v>
      </c>
      <c r="J20" s="304">
        <f>CHOOSE($L$4,J43,J69,J92)</f>
        <v>0.21</v>
      </c>
      <c r="K20" s="304">
        <f>CHOOSE($L$4,K43,K69,K92)</f>
        <v>0.21</v>
      </c>
      <c r="L20" s="304">
        <f>CHOOSE($L$4,L43,L69,L92)</f>
        <v>0.21</v>
      </c>
      <c r="M20" s="304">
        <f>CHOOSE($L$4,M43,M69,M92)</f>
        <v>0.21</v>
      </c>
      <c r="N20" s="422"/>
      <c r="O20" s="311"/>
      <c r="P20" s="316"/>
    </row>
    <row r="21" spans="1:16" ht="16" x14ac:dyDescent="0.2">
      <c r="A21" s="76" t="s">
        <v>74</v>
      </c>
      <c r="B21" s="316"/>
      <c r="C21" s="316"/>
      <c r="D21" s="316"/>
      <c r="E21" s="316"/>
      <c r="F21" s="316"/>
      <c r="G21" s="316"/>
      <c r="H21" s="316"/>
      <c r="I21" s="307">
        <f>CHOOSE($L$4,I44,I70,I93)</f>
        <v>10</v>
      </c>
      <c r="J21" s="307">
        <f>CHOOSE($L$4,J44,J70,J93)</f>
        <v>10</v>
      </c>
      <c r="K21" s="307">
        <f>CHOOSE($L$4,K44,K70,K93)</f>
        <v>10</v>
      </c>
      <c r="L21" s="307">
        <f>CHOOSE($L$4,L44,L70,L93)</f>
        <v>10</v>
      </c>
      <c r="M21" s="307">
        <f>CHOOSE($L$4,M44,M70,M93)</f>
        <v>10</v>
      </c>
      <c r="N21" s="422"/>
      <c r="O21" s="311"/>
      <c r="P21" s="316"/>
    </row>
    <row r="22" spans="1:16" ht="16" x14ac:dyDescent="0.2">
      <c r="A22" s="76" t="s">
        <v>261</v>
      </c>
      <c r="B22" s="316"/>
      <c r="C22" s="316"/>
      <c r="D22" s="316"/>
      <c r="E22" s="316"/>
      <c r="F22" s="316"/>
      <c r="G22" s="316"/>
      <c r="H22" s="316"/>
      <c r="I22" s="307">
        <f>CHOOSE($L$4,I45,I71,I94)</f>
        <v>9</v>
      </c>
      <c r="J22" s="307">
        <f>CHOOSE($L$4,J45,J71,J94)</f>
        <v>9</v>
      </c>
      <c r="K22" s="307">
        <f>CHOOSE($L$4,K45,K71,K94)</f>
        <v>9</v>
      </c>
      <c r="L22" s="307">
        <f>CHOOSE($L$4,L45,L71,L94)</f>
        <v>9</v>
      </c>
      <c r="M22" s="307">
        <f>CHOOSE($L$4,M45,M71,M94)</f>
        <v>9</v>
      </c>
      <c r="N22" s="422"/>
      <c r="O22" s="311"/>
      <c r="P22" s="316"/>
    </row>
    <row r="23" spans="1:16" ht="16" x14ac:dyDescent="0.2">
      <c r="A23" s="76" t="s">
        <v>262</v>
      </c>
      <c r="B23" s="316"/>
      <c r="C23" s="316"/>
      <c r="D23" s="316"/>
      <c r="E23" s="316"/>
      <c r="F23" s="316"/>
      <c r="G23" s="316"/>
      <c r="H23" s="316"/>
      <c r="I23" s="307">
        <f>CHOOSE($L$4,I46,I72,I95)</f>
        <v>108</v>
      </c>
      <c r="J23" s="307">
        <f>CHOOSE($L$4,J46,J72,J95)</f>
        <v>108</v>
      </c>
      <c r="K23" s="307">
        <f>CHOOSE($L$4,K46,K72,K95)</f>
        <v>108</v>
      </c>
      <c r="L23" s="307">
        <f>CHOOSE($L$4,L46,L72,L95)</f>
        <v>108</v>
      </c>
      <c r="M23" s="307">
        <f>CHOOSE($L$4,M46,M72,M95)</f>
        <v>108</v>
      </c>
      <c r="N23" s="422"/>
      <c r="O23" s="311"/>
      <c r="P23" s="316"/>
    </row>
    <row r="24" spans="1:16" ht="16" x14ac:dyDescent="0.2">
      <c r="A24" s="76" t="s">
        <v>76</v>
      </c>
      <c r="B24" s="316"/>
      <c r="C24" s="316"/>
      <c r="D24" s="316"/>
      <c r="E24" s="316"/>
      <c r="F24" s="316"/>
      <c r="G24" s="316"/>
      <c r="H24" s="316"/>
      <c r="I24" s="307">
        <f>CHOOSE($L$4,I47,I73,I96)</f>
        <v>28</v>
      </c>
      <c r="J24" s="307">
        <f>CHOOSE($L$4,J47,J73,J96)</f>
        <v>28</v>
      </c>
      <c r="K24" s="307">
        <f>CHOOSE($L$4,K47,K73,K96)</f>
        <v>28</v>
      </c>
      <c r="L24" s="307">
        <f>CHOOSE($L$4,L47,L73,L96)</f>
        <v>28</v>
      </c>
      <c r="M24" s="307">
        <f>CHOOSE($L$4,M47,M73,M96)</f>
        <v>28</v>
      </c>
      <c r="N24" s="422"/>
      <c r="O24" s="311"/>
      <c r="P24" s="316"/>
    </row>
    <row r="25" spans="1:16" ht="16" x14ac:dyDescent="0.2">
      <c r="A25" s="76" t="s">
        <v>77</v>
      </c>
      <c r="B25" s="316"/>
      <c r="C25" s="316"/>
      <c r="D25" s="316"/>
      <c r="E25" s="316"/>
      <c r="F25" s="316"/>
      <c r="G25" s="316"/>
      <c r="H25" s="316"/>
      <c r="I25" s="307">
        <f>CHOOSE($L$4,I48,I74,I97)</f>
        <v>1500</v>
      </c>
      <c r="J25" s="307">
        <f>CHOOSE($L$4,J48,J74,J97)</f>
        <v>1500</v>
      </c>
      <c r="K25" s="307">
        <f>CHOOSE($L$4,K48,K74,K97)</f>
        <v>1500</v>
      </c>
      <c r="L25" s="307">
        <f>CHOOSE($L$4,L48,L74,L97)</f>
        <v>1500</v>
      </c>
      <c r="M25" s="307">
        <f>CHOOSE($L$4,M48,M74,M97)</f>
        <v>1500</v>
      </c>
      <c r="N25" s="422"/>
      <c r="O25" s="311"/>
      <c r="P25" s="316"/>
    </row>
    <row r="26" spans="1:16" ht="16" x14ac:dyDescent="0.2">
      <c r="A26" s="76" t="s">
        <v>78</v>
      </c>
      <c r="B26" s="316"/>
      <c r="C26" s="316"/>
      <c r="D26" s="316"/>
      <c r="E26" s="316"/>
      <c r="F26" s="316"/>
      <c r="G26" s="316"/>
      <c r="H26" s="316"/>
      <c r="I26" s="307">
        <f>CHOOSE($L$4,I49,I75,I98)</f>
        <v>-250</v>
      </c>
      <c r="J26" s="307">
        <f>CHOOSE($L$4,J49,J75,J98)</f>
        <v>-250</v>
      </c>
      <c r="K26" s="307">
        <f>CHOOSE($L$4,K49,K75,K98)</f>
        <v>-250</v>
      </c>
      <c r="L26" s="307">
        <f>CHOOSE($L$4,L49,L75,L98)</f>
        <v>-250</v>
      </c>
      <c r="M26" s="307">
        <f>CHOOSE($L$4,M49,M75,M98)</f>
        <v>-250</v>
      </c>
      <c r="N26" s="422"/>
      <c r="O26" s="311"/>
      <c r="P26" s="316"/>
    </row>
    <row r="27" spans="1:16" ht="16" x14ac:dyDescent="0.2">
      <c r="A27" s="76" t="s">
        <v>79</v>
      </c>
      <c r="B27" s="316"/>
      <c r="C27" s="316"/>
      <c r="D27" s="316"/>
      <c r="E27" s="316"/>
      <c r="F27" s="316"/>
      <c r="G27" s="316"/>
      <c r="H27" s="316"/>
      <c r="I27" s="307">
        <f>CHOOSE($L$4,I50,I76,I99)</f>
        <v>-500</v>
      </c>
      <c r="J27" s="307">
        <f>CHOOSE($L$4,J50,J76,J99)</f>
        <v>-500</v>
      </c>
      <c r="K27" s="307">
        <f>CHOOSE($L$4,K50,K76,K99)</f>
        <v>-500</v>
      </c>
      <c r="L27" s="307">
        <f>CHOOSE($L$4,L50,L76,L99)</f>
        <v>-500</v>
      </c>
      <c r="M27" s="307">
        <f>CHOOSE($L$4,M50,M76,M99)</f>
        <v>-500</v>
      </c>
      <c r="N27" s="422"/>
      <c r="O27" s="311"/>
      <c r="P27" s="316"/>
    </row>
    <row r="28" spans="1:16" ht="16" x14ac:dyDescent="0.2">
      <c r="A28" s="76" t="s">
        <v>276</v>
      </c>
      <c r="B28" s="316"/>
      <c r="C28" s="316"/>
      <c r="D28" s="316"/>
      <c r="E28" s="316"/>
      <c r="F28" s="316"/>
      <c r="G28" s="316"/>
      <c r="H28" s="316"/>
      <c r="I28" s="307">
        <f>CHOOSE($L$4,I51,#REF!,#REF!)</f>
        <v>-360</v>
      </c>
      <c r="J28" s="307">
        <f>CHOOSE($L$4,J51,#REF!,#REF!)</f>
        <v>-360</v>
      </c>
      <c r="K28" s="307">
        <f>CHOOSE($L$4,K51,#REF!,#REF!)</f>
        <v>-360</v>
      </c>
      <c r="L28" s="307">
        <f>CHOOSE($L$4,L51,#REF!,#REF!)</f>
        <v>-360</v>
      </c>
      <c r="M28" s="307">
        <f>CHOOSE($L$4,M51,#REF!,#REF!)</f>
        <v>-360</v>
      </c>
      <c r="N28" s="422"/>
      <c r="O28" s="311"/>
      <c r="P28" s="316"/>
    </row>
    <row r="29" spans="1:16" ht="16" x14ac:dyDescent="0.2">
      <c r="A29" s="422" t="s">
        <v>461</v>
      </c>
      <c r="B29" s="316"/>
      <c r="C29" s="316"/>
      <c r="D29" s="316"/>
      <c r="E29" s="316"/>
      <c r="F29" s="316"/>
      <c r="G29" s="316"/>
      <c r="H29" s="316"/>
      <c r="I29" s="306">
        <f>CHOOSE($L$4,I52,#REF!,#REF!)</f>
        <v>0.2</v>
      </c>
      <c r="J29" s="306">
        <f>CHOOSE($L$4,J52,#REF!,#REF!)</f>
        <v>0.2</v>
      </c>
      <c r="K29" s="306">
        <f>CHOOSE($L$4,K52,#REF!,#REF!)</f>
        <v>0.2</v>
      </c>
      <c r="L29" s="306">
        <f>CHOOSE($L$4,L52,#REF!,#REF!)</f>
        <v>0.2</v>
      </c>
      <c r="M29" s="306">
        <f>CHOOSE($L$4,M52,#REF!,#REF!)</f>
        <v>0.2</v>
      </c>
      <c r="N29" s="76"/>
      <c r="O29" s="76"/>
      <c r="P29" s="316"/>
    </row>
    <row r="30" spans="1:16" ht="16" x14ac:dyDescent="0.2">
      <c r="A30" s="422" t="s">
        <v>462</v>
      </c>
      <c r="I30" s="306">
        <f>CHOOSE($L$4,I53,#REF!,#REF!)</f>
        <v>0.8</v>
      </c>
      <c r="J30" s="306">
        <f>CHOOSE($L$4,J53,#REF!,#REF!)</f>
        <v>0.8</v>
      </c>
      <c r="K30" s="306">
        <f>CHOOSE($L$4,K53,#REF!,#REF!)</f>
        <v>0.8</v>
      </c>
      <c r="L30" s="306">
        <f>CHOOSE($L$4,L53,#REF!,#REF!)</f>
        <v>0.8</v>
      </c>
      <c r="M30" s="306">
        <f>CHOOSE($L$4,M53,#REF!,#REF!)</f>
        <v>0.8</v>
      </c>
      <c r="N30" s="76"/>
      <c r="O30" s="76"/>
      <c r="P30" s="316"/>
    </row>
    <row r="31" spans="1:16" x14ac:dyDescent="0.15">
      <c r="A31" s="303" t="s">
        <v>416</v>
      </c>
      <c r="B31" s="303"/>
      <c r="C31" s="303"/>
      <c r="D31" s="303"/>
      <c r="E31" s="303"/>
      <c r="F31" s="303"/>
      <c r="G31" s="303"/>
      <c r="H31" s="303"/>
      <c r="I31" s="303"/>
      <c r="J31" s="303"/>
      <c r="K31" s="303"/>
      <c r="L31" s="303"/>
      <c r="M31" s="303"/>
      <c r="N31" s="316"/>
      <c r="O31" s="316"/>
      <c r="P31" s="316"/>
    </row>
    <row r="32" spans="1:16" ht="16" x14ac:dyDescent="0.2">
      <c r="A32" s="76" t="s">
        <v>435</v>
      </c>
      <c r="B32" s="76"/>
      <c r="C32" s="76"/>
      <c r="D32" s="76"/>
      <c r="E32" s="76"/>
      <c r="F32" s="76"/>
      <c r="G32" s="76">
        <v>0</v>
      </c>
      <c r="H32" s="391">
        <v>3.8905398175756778E-2</v>
      </c>
      <c r="I32" s="391">
        <v>2.5000000000000001E-2</v>
      </c>
      <c r="J32" s="391">
        <v>2.5000000000000001E-2</v>
      </c>
      <c r="K32" s="391">
        <v>2.5000000000000001E-2</v>
      </c>
      <c r="L32" s="391">
        <v>2.5000000000000001E-2</v>
      </c>
      <c r="M32" s="391">
        <v>2.5000000000000001E-2</v>
      </c>
      <c r="N32" s="422"/>
      <c r="O32" s="76"/>
      <c r="P32" s="316"/>
    </row>
    <row r="33" spans="1:16" ht="16" x14ac:dyDescent="0.2">
      <c r="A33" s="76" t="s">
        <v>387</v>
      </c>
      <c r="B33" s="76"/>
      <c r="C33" s="76"/>
      <c r="D33" s="76"/>
      <c r="E33" s="76"/>
      <c r="F33" s="76"/>
      <c r="G33" s="76">
        <v>153811072</v>
      </c>
      <c r="H33" s="76">
        <v>159795153</v>
      </c>
      <c r="I33" s="76">
        <v>163790031.82499999</v>
      </c>
      <c r="J33" s="76">
        <v>167884782.62062496</v>
      </c>
      <c r="K33" s="76">
        <v>172081902.18614057</v>
      </c>
      <c r="L33" s="76">
        <v>176383949.74079406</v>
      </c>
      <c r="M33" s="76">
        <v>180793548.48431391</v>
      </c>
      <c r="N33" s="422"/>
      <c r="O33" s="76"/>
      <c r="P33" s="316"/>
    </row>
    <row r="34" spans="1:16" ht="16" x14ac:dyDescent="0.2">
      <c r="A34" s="76" t="s">
        <v>392</v>
      </c>
      <c r="B34" s="76"/>
      <c r="C34" s="76"/>
      <c r="D34" s="76"/>
      <c r="E34" s="76"/>
      <c r="F34" s="76"/>
      <c r="G34" s="134">
        <v>13.75</v>
      </c>
      <c r="H34" s="134">
        <v>13.75</v>
      </c>
      <c r="I34" s="134">
        <v>14.368749999999999</v>
      </c>
      <c r="J34" s="134">
        <v>15.015343749999998</v>
      </c>
      <c r="K34" s="134">
        <v>15.691034218749996</v>
      </c>
      <c r="L34" s="134">
        <v>16.397130758593743</v>
      </c>
      <c r="M34" s="134">
        <v>17.135001642730462</v>
      </c>
      <c r="N34" s="422"/>
      <c r="O34" s="76"/>
      <c r="P34" s="316"/>
    </row>
    <row r="35" spans="1:16" ht="16" x14ac:dyDescent="0.2">
      <c r="A35" s="76" t="s">
        <v>393</v>
      </c>
      <c r="B35" s="76"/>
      <c r="C35" s="76"/>
      <c r="D35" s="76"/>
      <c r="E35" s="76"/>
      <c r="F35" s="76"/>
      <c r="G35" s="134">
        <v>12.85</v>
      </c>
      <c r="H35" s="134">
        <v>12.8</v>
      </c>
      <c r="I35" s="134">
        <f>H35*(I34/H34)</f>
        <v>13.375999999999999</v>
      </c>
      <c r="J35" s="134">
        <f t="shared" ref="J35:M35" si="1">I35*(J34/I34)</f>
        <v>13.977919999999999</v>
      </c>
      <c r="K35" s="134">
        <f t="shared" si="1"/>
        <v>14.606926399999999</v>
      </c>
      <c r="L35" s="134">
        <f t="shared" si="1"/>
        <v>15.264238087999997</v>
      </c>
      <c r="M35" s="134">
        <f t="shared" si="1"/>
        <v>15.951128801959996</v>
      </c>
      <c r="N35" s="422"/>
      <c r="O35" s="76"/>
      <c r="P35" s="316"/>
    </row>
    <row r="36" spans="1:16" ht="16" x14ac:dyDescent="0.2">
      <c r="A36" s="76" t="s">
        <v>388</v>
      </c>
      <c r="B36" s="76"/>
      <c r="C36" s="76"/>
      <c r="D36" s="76"/>
      <c r="E36" s="76"/>
      <c r="F36" s="76"/>
      <c r="G36" s="134">
        <v>11.53</v>
      </c>
      <c r="H36" s="134">
        <v>11.74</v>
      </c>
      <c r="I36" s="134">
        <v>11.565772727272725</v>
      </c>
      <c r="J36" s="134">
        <v>11.7</v>
      </c>
      <c r="K36" s="134">
        <v>12</v>
      </c>
      <c r="L36" s="134">
        <v>12.25</v>
      </c>
      <c r="M36" s="134">
        <v>13</v>
      </c>
      <c r="N36" s="422"/>
      <c r="O36" s="83"/>
      <c r="P36" s="316"/>
    </row>
    <row r="37" spans="1:16" ht="16" x14ac:dyDescent="0.2">
      <c r="A37" s="76" t="s">
        <v>401</v>
      </c>
      <c r="B37" s="76"/>
      <c r="C37" s="76"/>
      <c r="D37" s="76"/>
      <c r="E37" s="76"/>
      <c r="F37" s="76"/>
      <c r="G37" s="134">
        <v>8.8800000000000008</v>
      </c>
      <c r="H37" s="134">
        <v>8.85</v>
      </c>
      <c r="I37" s="134">
        <v>8.9384999999999994</v>
      </c>
      <c r="J37" s="134">
        <v>9.0278849999999995</v>
      </c>
      <c r="K37" s="134">
        <v>9.1181638500000002</v>
      </c>
      <c r="L37" s="134">
        <v>9.2093454885000003</v>
      </c>
      <c r="M37" s="134">
        <v>9.3014389433849995</v>
      </c>
      <c r="N37" s="424"/>
      <c r="O37" s="76"/>
      <c r="P37" s="316"/>
    </row>
    <row r="38" spans="1:16" ht="16" x14ac:dyDescent="0.2">
      <c r="A38" s="76" t="s">
        <v>389</v>
      </c>
      <c r="B38" s="76"/>
      <c r="C38" s="76"/>
      <c r="D38" s="76"/>
      <c r="E38" s="76"/>
      <c r="F38" s="76"/>
      <c r="G38" s="134">
        <v>1.99</v>
      </c>
      <c r="H38" s="134">
        <v>2.2000000000000002</v>
      </c>
      <c r="I38" s="134">
        <v>2.0499999999999998</v>
      </c>
      <c r="J38" s="134">
        <v>2.2000000000000002</v>
      </c>
      <c r="K38" s="134">
        <v>2.2999999999999998</v>
      </c>
      <c r="L38" s="134">
        <v>2.15</v>
      </c>
      <c r="M38" s="134">
        <v>2.2999999999999998</v>
      </c>
      <c r="N38" s="422"/>
      <c r="O38" s="76"/>
      <c r="P38" s="316"/>
    </row>
    <row r="39" spans="1:16" ht="16" x14ac:dyDescent="0.2">
      <c r="A39" s="76" t="s">
        <v>403</v>
      </c>
      <c r="B39" s="76"/>
      <c r="C39" s="76"/>
      <c r="D39" s="76"/>
      <c r="E39" s="76"/>
      <c r="F39" s="76"/>
      <c r="G39" s="76">
        <v>2045</v>
      </c>
      <c r="H39" s="76">
        <v>2094</v>
      </c>
      <c r="I39" s="76">
        <v>2099.1272371363634</v>
      </c>
      <c r="J39" s="76">
        <v>2099.1272371363634</v>
      </c>
      <c r="K39" s="76">
        <v>2099.1272371363634</v>
      </c>
      <c r="L39" s="76">
        <v>2099.1272371363634</v>
      </c>
      <c r="M39" s="76">
        <v>2099.1272371363634</v>
      </c>
      <c r="N39" s="422"/>
      <c r="O39" s="76"/>
      <c r="P39" s="316"/>
    </row>
    <row r="40" spans="1:16" ht="16" x14ac:dyDescent="0.2">
      <c r="A40" s="76" t="s">
        <v>397</v>
      </c>
      <c r="B40" s="76"/>
      <c r="C40" s="76"/>
      <c r="D40" s="76"/>
      <c r="E40" s="76"/>
      <c r="F40" s="76"/>
      <c r="G40" s="76">
        <v>4069.55</v>
      </c>
      <c r="H40" s="76">
        <v>4606.8</v>
      </c>
      <c r="I40" s="76">
        <v>4303.210836129545</v>
      </c>
      <c r="J40" s="76">
        <v>4303.210836129545</v>
      </c>
      <c r="K40" s="76">
        <v>4303.210836129545</v>
      </c>
      <c r="L40" s="76">
        <v>4303.210836129545</v>
      </c>
      <c r="M40" s="76">
        <v>4303.210836129545</v>
      </c>
      <c r="N40" s="424"/>
      <c r="O40" s="76"/>
      <c r="P40" s="316"/>
    </row>
    <row r="41" spans="1:16" ht="16" x14ac:dyDescent="0.2">
      <c r="A41" s="422" t="s">
        <v>450</v>
      </c>
      <c r="B41" s="76"/>
      <c r="C41" s="76"/>
      <c r="D41" s="76"/>
      <c r="E41" s="76"/>
      <c r="F41" s="76"/>
      <c r="I41" s="304">
        <v>7.4999999999999997E-2</v>
      </c>
      <c r="J41" s="304">
        <v>7.4999999999999997E-2</v>
      </c>
      <c r="K41" s="304">
        <v>7.4999999999999997E-2</v>
      </c>
      <c r="L41" s="304">
        <v>7.4999999999999997E-2</v>
      </c>
      <c r="M41" s="304">
        <v>7.4999999999999997E-2</v>
      </c>
      <c r="N41" s="422"/>
      <c r="O41" s="311"/>
      <c r="P41" s="316"/>
    </row>
    <row r="42" spans="1:16" ht="16" x14ac:dyDescent="0.2">
      <c r="A42" s="422" t="s">
        <v>451</v>
      </c>
      <c r="B42" s="76"/>
      <c r="C42" s="76"/>
      <c r="D42" s="76"/>
      <c r="E42" s="76"/>
      <c r="F42" s="76"/>
      <c r="I42" s="304">
        <v>3.5000000000000003E-2</v>
      </c>
      <c r="J42" s="304">
        <v>3.5000000000000003E-2</v>
      </c>
      <c r="K42" s="304">
        <v>3.5000000000000003E-2</v>
      </c>
      <c r="L42" s="304">
        <v>3.5000000000000003E-2</v>
      </c>
      <c r="M42" s="304">
        <v>3.5000000000000003E-2</v>
      </c>
      <c r="N42" s="422"/>
      <c r="O42" s="311"/>
      <c r="P42" s="316"/>
    </row>
    <row r="43" spans="1:16" ht="16" x14ac:dyDescent="0.2">
      <c r="A43" s="422" t="s">
        <v>452</v>
      </c>
      <c r="B43" s="316"/>
      <c r="C43" s="316"/>
      <c r="D43" s="316"/>
      <c r="E43" s="316"/>
      <c r="F43" s="316"/>
      <c r="I43" s="304">
        <v>0.21</v>
      </c>
      <c r="J43" s="304">
        <v>0.21</v>
      </c>
      <c r="K43" s="304">
        <v>0.21</v>
      </c>
      <c r="L43" s="304">
        <v>0.21</v>
      </c>
      <c r="M43" s="304">
        <v>0.21</v>
      </c>
      <c r="N43" s="422"/>
      <c r="O43" s="311"/>
      <c r="P43" s="316"/>
    </row>
    <row r="44" spans="1:16" ht="16" x14ac:dyDescent="0.2">
      <c r="A44" s="422" t="s">
        <v>453</v>
      </c>
      <c r="B44" s="316"/>
      <c r="C44" s="316"/>
      <c r="D44" s="316"/>
      <c r="E44" s="316"/>
      <c r="F44" s="316"/>
      <c r="I44" s="307">
        <v>10</v>
      </c>
      <c r="J44" s="307">
        <v>10</v>
      </c>
      <c r="K44" s="307">
        <v>10</v>
      </c>
      <c r="L44" s="307">
        <v>10</v>
      </c>
      <c r="M44" s="307">
        <v>10</v>
      </c>
      <c r="N44" s="422"/>
      <c r="O44" s="311"/>
      <c r="P44" s="316"/>
    </row>
    <row r="45" spans="1:16" ht="16" x14ac:dyDescent="0.2">
      <c r="A45" s="422" t="s">
        <v>454</v>
      </c>
      <c r="B45" s="316"/>
      <c r="C45" s="316"/>
      <c r="D45" s="316"/>
      <c r="E45" s="316"/>
      <c r="F45" s="316"/>
      <c r="I45" s="307">
        <v>9</v>
      </c>
      <c r="J45" s="307">
        <v>9</v>
      </c>
      <c r="K45" s="307">
        <v>9</v>
      </c>
      <c r="L45" s="307">
        <v>9</v>
      </c>
      <c r="M45" s="307">
        <v>9</v>
      </c>
      <c r="N45" s="422"/>
      <c r="O45" s="311"/>
      <c r="P45" s="316"/>
    </row>
    <row r="46" spans="1:16" ht="16" x14ac:dyDescent="0.2">
      <c r="A46" s="422" t="s">
        <v>455</v>
      </c>
      <c r="B46" s="316"/>
      <c r="C46" s="316"/>
      <c r="D46" s="316"/>
      <c r="E46" s="316"/>
      <c r="F46" s="316"/>
      <c r="I46" s="307">
        <v>108</v>
      </c>
      <c r="J46" s="307">
        <v>108</v>
      </c>
      <c r="K46" s="307">
        <v>108</v>
      </c>
      <c r="L46" s="307">
        <v>108</v>
      </c>
      <c r="M46" s="307">
        <v>108</v>
      </c>
      <c r="N46" s="422"/>
      <c r="O46" s="311"/>
      <c r="P46" s="316"/>
    </row>
    <row r="47" spans="1:16" ht="16" x14ac:dyDescent="0.2">
      <c r="A47" s="422" t="s">
        <v>456</v>
      </c>
      <c r="B47" s="316"/>
      <c r="C47" s="316"/>
      <c r="D47" s="316"/>
      <c r="E47" s="316"/>
      <c r="F47" s="316"/>
      <c r="I47" s="307">
        <v>28</v>
      </c>
      <c r="J47" s="307">
        <v>28</v>
      </c>
      <c r="K47" s="307">
        <v>28</v>
      </c>
      <c r="L47" s="307">
        <v>28</v>
      </c>
      <c r="M47" s="307">
        <v>28</v>
      </c>
      <c r="N47" s="422"/>
      <c r="O47" s="311"/>
      <c r="P47" s="316"/>
    </row>
    <row r="48" spans="1:16" ht="16" x14ac:dyDescent="0.2">
      <c r="A48" s="422" t="s">
        <v>457</v>
      </c>
      <c r="B48" s="316"/>
      <c r="C48" s="316"/>
      <c r="D48" s="316"/>
      <c r="E48" s="316"/>
      <c r="F48" s="316"/>
      <c r="I48" s="307">
        <v>1500</v>
      </c>
      <c r="J48" s="307">
        <v>1500</v>
      </c>
      <c r="K48" s="307">
        <v>1500</v>
      </c>
      <c r="L48" s="307">
        <v>1500</v>
      </c>
      <c r="M48" s="307">
        <v>1500</v>
      </c>
      <c r="N48" s="422"/>
      <c r="O48" s="76"/>
      <c r="P48" s="316"/>
    </row>
    <row r="49" spans="1:16" ht="16" x14ac:dyDescent="0.2">
      <c r="A49" s="422" t="s">
        <v>458</v>
      </c>
      <c r="B49" s="316"/>
      <c r="C49" s="316"/>
      <c r="D49" s="316"/>
      <c r="E49" s="316"/>
      <c r="F49" s="316"/>
      <c r="I49" s="307">
        <v>-250</v>
      </c>
      <c r="J49" s="307">
        <v>-250</v>
      </c>
      <c r="K49" s="307">
        <v>-250</v>
      </c>
      <c r="L49" s="307">
        <v>-250</v>
      </c>
      <c r="M49" s="307">
        <v>-250</v>
      </c>
      <c r="N49" s="422"/>
      <c r="O49" s="76"/>
      <c r="P49" s="316"/>
    </row>
    <row r="50" spans="1:16" ht="16" x14ac:dyDescent="0.2">
      <c r="A50" s="422" t="s">
        <v>459</v>
      </c>
      <c r="B50" s="316"/>
      <c r="C50" s="316"/>
      <c r="D50" s="316"/>
      <c r="E50" s="316"/>
      <c r="F50" s="316"/>
      <c r="I50" s="307">
        <v>-500</v>
      </c>
      <c r="J50" s="307">
        <v>-500</v>
      </c>
      <c r="K50" s="307">
        <v>-500</v>
      </c>
      <c r="L50" s="307">
        <v>-500</v>
      </c>
      <c r="M50" s="307">
        <v>-500</v>
      </c>
      <c r="N50" s="422"/>
      <c r="O50" s="316"/>
      <c r="P50" s="316"/>
    </row>
    <row r="51" spans="1:16" ht="16" x14ac:dyDescent="0.2">
      <c r="A51" s="422" t="s">
        <v>460</v>
      </c>
      <c r="B51" s="316"/>
      <c r="C51" s="316"/>
      <c r="D51" s="316"/>
      <c r="E51" s="316"/>
      <c r="F51" s="316"/>
      <c r="I51" s="307">
        <v>-360</v>
      </c>
      <c r="J51" s="307">
        <v>-360</v>
      </c>
      <c r="K51" s="307">
        <v>-360</v>
      </c>
      <c r="L51" s="307">
        <v>-360</v>
      </c>
      <c r="M51" s="307">
        <v>-360</v>
      </c>
      <c r="N51" s="422"/>
    </row>
    <row r="52" spans="1:16" ht="16" x14ac:dyDescent="0.2">
      <c r="A52" s="422" t="s">
        <v>461</v>
      </c>
      <c r="B52" s="422"/>
      <c r="C52" s="437"/>
      <c r="D52" s="438">
        <v>0.11</v>
      </c>
      <c r="E52" s="438">
        <v>0.25</v>
      </c>
      <c r="F52" s="438">
        <v>0.2</v>
      </c>
      <c r="G52" s="438">
        <v>0.1</v>
      </c>
      <c r="H52" s="438">
        <v>0.22</v>
      </c>
      <c r="I52" s="306">
        <v>0.2</v>
      </c>
      <c r="J52" s="306">
        <v>0.2</v>
      </c>
      <c r="K52" s="306">
        <v>0.2</v>
      </c>
      <c r="L52" s="306">
        <v>0.2</v>
      </c>
      <c r="M52" s="306">
        <v>0.2</v>
      </c>
      <c r="N52" s="76"/>
      <c r="O52" s="316"/>
      <c r="P52" s="316"/>
    </row>
    <row r="53" spans="1:16" ht="16" x14ac:dyDescent="0.2">
      <c r="A53" s="422" t="s">
        <v>462</v>
      </c>
      <c r="B53" s="422"/>
      <c r="C53" s="437"/>
      <c r="D53" s="438">
        <v>0.89</v>
      </c>
      <c r="E53" s="438">
        <v>0.75</v>
      </c>
      <c r="F53" s="438">
        <v>0.8</v>
      </c>
      <c r="G53" s="438">
        <v>0.9</v>
      </c>
      <c r="H53" s="438">
        <v>0.78</v>
      </c>
      <c r="I53" s="306">
        <f>1-I52</f>
        <v>0.8</v>
      </c>
      <c r="J53" s="306">
        <f t="shared" ref="J53" si="2">1-J52</f>
        <v>0.8</v>
      </c>
      <c r="K53" s="306">
        <f t="shared" ref="K53" si="3">1-K52</f>
        <v>0.8</v>
      </c>
      <c r="L53" s="306">
        <f t="shared" ref="L53" si="4">1-L52</f>
        <v>0.8</v>
      </c>
      <c r="M53" s="306">
        <f t="shared" ref="M53" si="5">1-M52</f>
        <v>0.8</v>
      </c>
      <c r="N53" s="76"/>
      <c r="O53" s="316"/>
      <c r="P53" s="316"/>
    </row>
    <row r="54" spans="1:16" x14ac:dyDescent="0.15">
      <c r="A54" s="301" t="s">
        <v>436</v>
      </c>
      <c r="B54" s="301"/>
      <c r="C54" s="301"/>
      <c r="D54" s="301"/>
      <c r="E54" s="301"/>
      <c r="F54" s="301"/>
      <c r="G54" s="301"/>
      <c r="H54" s="301"/>
      <c r="I54" s="301"/>
      <c r="J54" s="301"/>
      <c r="K54" s="301"/>
      <c r="L54" s="301"/>
      <c r="M54" s="301"/>
    </row>
    <row r="55" spans="1:16" ht="16" x14ac:dyDescent="0.2">
      <c r="A55" s="76" t="s">
        <v>435</v>
      </c>
      <c r="B55" s="76"/>
      <c r="C55" s="76"/>
      <c r="D55" s="76"/>
      <c r="E55" s="76"/>
      <c r="F55" s="76"/>
      <c r="G55" s="76">
        <f>Analysis!H2</f>
        <v>0</v>
      </c>
      <c r="H55" s="391">
        <f>Analysis!I2</f>
        <v>3.8905398175756778E-2</v>
      </c>
      <c r="I55" s="391">
        <f>Analysis!J2</f>
        <v>2.5000000000000001E-2</v>
      </c>
      <c r="J55" s="391">
        <f>Analysis!K2</f>
        <v>2.5000000000000001E-2</v>
      </c>
      <c r="K55" s="391">
        <f>Analysis!L2</f>
        <v>2.5000000000000001E-2</v>
      </c>
      <c r="L55" s="391">
        <f>Analysis!M2</f>
        <v>2.5000000000000001E-2</v>
      </c>
      <c r="M55" s="391">
        <f>Analysis!N2</f>
        <v>2.5000000000000001E-2</v>
      </c>
      <c r="N55" s="422"/>
    </row>
    <row r="56" spans="1:16" ht="16" x14ac:dyDescent="0.2">
      <c r="A56" s="76" t="s">
        <v>387</v>
      </c>
      <c r="B56" s="76"/>
      <c r="C56" s="76"/>
      <c r="D56" s="76"/>
      <c r="E56" s="76"/>
      <c r="F56" s="76"/>
      <c r="G56" s="76">
        <f>Analysis!H13</f>
        <v>153811072</v>
      </c>
      <c r="H56" s="76">
        <f>Analysis!I13</f>
        <v>159795153</v>
      </c>
      <c r="I56" s="76">
        <f>Analysis!J13</f>
        <v>163790031.82499999</v>
      </c>
      <c r="J56" s="76">
        <f>Analysis!K13</f>
        <v>167884782.62062496</v>
      </c>
      <c r="K56" s="76">
        <f>Analysis!L13</f>
        <v>172081902.18614057</v>
      </c>
      <c r="L56" s="76">
        <f>Analysis!M13</f>
        <v>176383949.74079406</v>
      </c>
      <c r="M56" s="76">
        <f>Analysis!N13</f>
        <v>180793548.48431391</v>
      </c>
      <c r="N56" s="422"/>
    </row>
    <row r="57" spans="1:16" ht="16" x14ac:dyDescent="0.2">
      <c r="A57" s="76" t="s">
        <v>392</v>
      </c>
      <c r="B57" s="76"/>
      <c r="C57" s="76"/>
      <c r="D57" s="76"/>
      <c r="E57" s="76"/>
      <c r="F57" s="76"/>
      <c r="G57" s="134">
        <f>Analysis!H14</f>
        <v>13.75</v>
      </c>
      <c r="H57" s="134">
        <f>Analysis!I14</f>
        <v>13.75</v>
      </c>
      <c r="I57" s="134">
        <f>Analysis!J14</f>
        <v>14.368749999999999</v>
      </c>
      <c r="J57" s="134">
        <f>Analysis!K14</f>
        <v>15.015343749999998</v>
      </c>
      <c r="K57" s="134">
        <f>Analysis!L14</f>
        <v>15.691034218749996</v>
      </c>
      <c r="L57" s="134">
        <f>Analysis!M14</f>
        <v>16.397130758593743</v>
      </c>
      <c r="M57" s="134">
        <f>Analysis!N14</f>
        <v>17.135001642730462</v>
      </c>
      <c r="N57" s="422"/>
    </row>
    <row r="58" spans="1:16" ht="16" x14ac:dyDescent="0.2">
      <c r="A58" s="76" t="s">
        <v>393</v>
      </c>
      <c r="B58" s="76"/>
      <c r="C58" s="76"/>
      <c r="D58" s="76"/>
      <c r="E58" s="76"/>
      <c r="F58" s="76"/>
      <c r="G58" s="134">
        <f>Analysis!H15</f>
        <v>12.85</v>
      </c>
      <c r="H58" s="134">
        <f>Analysis!I15</f>
        <v>12.8</v>
      </c>
      <c r="I58" s="134">
        <f>Analysis!J15</f>
        <v>12.750194552529186</v>
      </c>
      <c r="J58" s="134">
        <f>Analysis!K15</f>
        <v>12.700582900573821</v>
      </c>
      <c r="K58" s="134">
        <f>Analysis!L15</f>
        <v>12.651164290065752</v>
      </c>
      <c r="L58" s="134">
        <f>Analysis!M15</f>
        <v>12.601937969870946</v>
      </c>
      <c r="M58" s="134">
        <f>Analysis!N15</f>
        <v>12.552903191778064</v>
      </c>
      <c r="N58" s="422"/>
    </row>
    <row r="59" spans="1:16" ht="16" x14ac:dyDescent="0.2">
      <c r="A59" s="76" t="s">
        <v>388</v>
      </c>
      <c r="B59" s="76"/>
      <c r="C59" s="76"/>
      <c r="D59" s="76"/>
      <c r="E59" s="76"/>
      <c r="F59" s="76"/>
      <c r="G59" s="134">
        <f>Analysis!H20</f>
        <v>11.53</v>
      </c>
      <c r="H59" s="134">
        <f>Analysis!I20</f>
        <v>11.74</v>
      </c>
      <c r="I59" s="134">
        <f>Analysis!J20</f>
        <v>11.565772727272725</v>
      </c>
      <c r="J59" s="134">
        <f>Analysis!K20</f>
        <v>11.394131071458736</v>
      </c>
      <c r="K59" s="134">
        <f>Analysis!L20</f>
        <v>11.225036660753679</v>
      </c>
      <c r="L59" s="134">
        <f>Analysis!M20</f>
        <v>11.058451692809319</v>
      </c>
      <c r="M59" s="134">
        <f>Analysis!N20</f>
        <v>10.894338926282531</v>
      </c>
      <c r="N59" s="422"/>
    </row>
    <row r="60" spans="1:16" ht="16" x14ac:dyDescent="0.2">
      <c r="A60" s="76" t="s">
        <v>401</v>
      </c>
      <c r="B60" s="76"/>
      <c r="C60" s="76"/>
      <c r="D60" s="76"/>
      <c r="E60" s="76"/>
      <c r="F60" s="76"/>
      <c r="G60" s="134">
        <f>Analysis!H21</f>
        <v>8.8800000000000008</v>
      </c>
      <c r="H60" s="134">
        <f>Analysis!I21</f>
        <v>8.85</v>
      </c>
      <c r="I60" s="134">
        <f>Analysis!J21</f>
        <v>8.9384999999999994</v>
      </c>
      <c r="J60" s="134">
        <f>Analysis!K21</f>
        <v>9.0278849999999995</v>
      </c>
      <c r="K60" s="134">
        <f>Analysis!L21</f>
        <v>9.1181638500000002</v>
      </c>
      <c r="L60" s="134">
        <f>Analysis!M21</f>
        <v>9.2093454885000003</v>
      </c>
      <c r="M60" s="134">
        <f>Analysis!N21</f>
        <v>9.3014389433849995</v>
      </c>
      <c r="N60" s="424"/>
    </row>
    <row r="61" spans="1:16" ht="16" x14ac:dyDescent="0.2">
      <c r="A61" s="76" t="s">
        <v>389</v>
      </c>
      <c r="B61" s="76"/>
      <c r="C61" s="76"/>
      <c r="D61" s="76"/>
      <c r="E61" s="76"/>
      <c r="F61" s="76"/>
      <c r="G61" s="134">
        <f>Analysis!H22</f>
        <v>1.99</v>
      </c>
      <c r="H61" s="134">
        <f>Analysis!I22</f>
        <v>2.2000000000000002</v>
      </c>
      <c r="I61" s="134">
        <f>Analysis!J22</f>
        <v>2.0499999999999998</v>
      </c>
      <c r="J61" s="134">
        <f>Analysis!K22</f>
        <v>2.0499999999999998</v>
      </c>
      <c r="K61" s="134">
        <f>Analysis!L22</f>
        <v>2.0499999999999998</v>
      </c>
      <c r="L61" s="134">
        <f>Analysis!M22</f>
        <v>2.0499999999999998</v>
      </c>
      <c r="M61" s="134">
        <f>Analysis!N22</f>
        <v>2.0499999999999998</v>
      </c>
      <c r="N61" s="422"/>
    </row>
    <row r="62" spans="1:16" ht="16" x14ac:dyDescent="0.2">
      <c r="A62" s="76" t="s">
        <v>403</v>
      </c>
      <c r="B62" s="76"/>
      <c r="C62" s="76"/>
      <c r="D62" s="76"/>
      <c r="E62" s="76"/>
      <c r="F62" s="76"/>
      <c r="G62" s="76">
        <f>Analysis!H23</f>
        <v>2045</v>
      </c>
      <c r="H62" s="76">
        <f>Analysis!I23</f>
        <v>2094</v>
      </c>
      <c r="I62" s="76">
        <f>Analysis!J23</f>
        <v>2099.1272371363634</v>
      </c>
      <c r="J62" s="76">
        <f>Analysis!K23</f>
        <v>2099.1272371363634</v>
      </c>
      <c r="K62" s="76">
        <f>Analysis!L23</f>
        <v>2099.1272371363634</v>
      </c>
      <c r="L62" s="76">
        <f>Analysis!M23</f>
        <v>2099.1272371363634</v>
      </c>
      <c r="M62" s="76">
        <f>Analysis!N23</f>
        <v>2099.1272371363634</v>
      </c>
      <c r="N62" s="422"/>
    </row>
    <row r="63" spans="1:16" ht="16" x14ac:dyDescent="0.2">
      <c r="A63" s="76" t="s">
        <v>397</v>
      </c>
      <c r="B63" s="76"/>
      <c r="C63" s="76"/>
      <c r="D63" s="76"/>
      <c r="E63" s="76"/>
      <c r="F63" s="76"/>
      <c r="G63" s="76">
        <f>Analysis!H24</f>
        <v>4069.55</v>
      </c>
      <c r="H63" s="76">
        <f>Analysis!I24</f>
        <v>4606.8</v>
      </c>
      <c r="I63" s="76">
        <f>Analysis!J24</f>
        <v>4303.210836129545</v>
      </c>
      <c r="J63" s="76">
        <f>Analysis!K24</f>
        <v>4303.210836129545</v>
      </c>
      <c r="K63" s="76">
        <f>Analysis!L24</f>
        <v>4303.210836129545</v>
      </c>
      <c r="L63" s="76">
        <f>Analysis!M24</f>
        <v>4303.210836129545</v>
      </c>
      <c r="M63" s="76">
        <f>Analysis!N24</f>
        <v>4303.210836129545</v>
      </c>
      <c r="N63" s="424"/>
    </row>
    <row r="64" spans="1:16" ht="16" x14ac:dyDescent="0.2">
      <c r="A64" s="422" t="s">
        <v>450</v>
      </c>
      <c r="I64" s="421">
        <f>I$56*I60/100000</f>
        <v>14640.371994677622</v>
      </c>
      <c r="J64" s="421">
        <f>J$56*J60/100000</f>
        <v>15156.445107490008</v>
      </c>
      <c r="K64" s="421">
        <f>K$56*K60/100000</f>
        <v>15690.709797529029</v>
      </c>
      <c r="L64" s="421">
        <f>L$56*L60/100000</f>
        <v>16243.807317891928</v>
      </c>
      <c r="M64" s="421">
        <f>M$56*M60/100000</f>
        <v>16816.401525847614</v>
      </c>
      <c r="N64" s="422"/>
    </row>
    <row r="65" spans="1:14" ht="16" x14ac:dyDescent="0.2">
      <c r="A65" s="422" t="s">
        <v>451</v>
      </c>
      <c r="B65" s="475"/>
      <c r="C65" s="475"/>
      <c r="D65" s="475"/>
      <c r="E65" s="475"/>
      <c r="F65" s="475"/>
      <c r="G65" s="475"/>
      <c r="H65" s="475"/>
      <c r="I65" s="305" t="s">
        <v>265</v>
      </c>
      <c r="J65" s="305" t="s">
        <v>265</v>
      </c>
      <c r="K65" s="305" t="s">
        <v>265</v>
      </c>
      <c r="L65" s="305" t="s">
        <v>265</v>
      </c>
      <c r="M65" s="305" t="s">
        <v>265</v>
      </c>
      <c r="N65" s="422"/>
    </row>
    <row r="66" spans="1:14" ht="16" x14ac:dyDescent="0.2">
      <c r="A66" s="422" t="s">
        <v>452</v>
      </c>
      <c r="B66" s="475"/>
      <c r="C66" s="475"/>
      <c r="D66" s="475"/>
      <c r="E66" s="475"/>
      <c r="F66" s="475"/>
      <c r="G66" s="475"/>
      <c r="H66" s="475"/>
      <c r="I66" s="304" t="e">
        <f>#REF!*0.95</f>
        <v>#REF!</v>
      </c>
      <c r="J66" s="304" t="e">
        <f>#REF!*0.95</f>
        <v>#REF!</v>
      </c>
      <c r="K66" s="304" t="e">
        <f>#REF!*0.95</f>
        <v>#REF!</v>
      </c>
      <c r="L66" s="304" t="e">
        <f>#REF!*0.95</f>
        <v>#REF!</v>
      </c>
      <c r="M66" s="304" t="e">
        <f>#REF!*0.95</f>
        <v>#REF!</v>
      </c>
      <c r="N66" s="422"/>
    </row>
    <row r="67" spans="1:14" ht="16" x14ac:dyDescent="0.2">
      <c r="A67" s="422" t="s">
        <v>453</v>
      </c>
      <c r="I67" s="304">
        <f>I41*2</f>
        <v>0.15</v>
      </c>
      <c r="J67" s="304">
        <f>J41*2</f>
        <v>0.15</v>
      </c>
      <c r="K67" s="304">
        <f>K41*2</f>
        <v>0.15</v>
      </c>
      <c r="L67" s="304">
        <f>L41*2</f>
        <v>0.15</v>
      </c>
      <c r="M67" s="304">
        <f>M41*2</f>
        <v>0.15</v>
      </c>
      <c r="N67" s="422"/>
    </row>
    <row r="68" spans="1:14" ht="16" x14ac:dyDescent="0.2">
      <c r="A68" s="422" t="s">
        <v>454</v>
      </c>
      <c r="I68" s="304">
        <v>0.01</v>
      </c>
      <c r="J68" s="304">
        <v>0.01</v>
      </c>
      <c r="K68" s="304">
        <v>0.01</v>
      </c>
      <c r="L68" s="304">
        <v>0.01</v>
      </c>
      <c r="M68" s="304">
        <v>0.01</v>
      </c>
      <c r="N68" s="422"/>
    </row>
    <row r="69" spans="1:14" ht="16" x14ac:dyDescent="0.2">
      <c r="A69" s="422" t="s">
        <v>455</v>
      </c>
      <c r="I69" s="304">
        <f>I43*2</f>
        <v>0.42</v>
      </c>
      <c r="J69" s="304">
        <f>J43*2</f>
        <v>0.42</v>
      </c>
      <c r="K69" s="304">
        <f>K43*2</f>
        <v>0.42</v>
      </c>
      <c r="L69" s="304">
        <f>L43*2</f>
        <v>0.42</v>
      </c>
      <c r="M69" s="304">
        <f>M43*2</f>
        <v>0.42</v>
      </c>
      <c r="N69" s="422"/>
    </row>
    <row r="70" spans="1:14" ht="16" x14ac:dyDescent="0.2">
      <c r="A70" s="422" t="s">
        <v>456</v>
      </c>
      <c r="I70" s="307">
        <v>23</v>
      </c>
      <c r="J70" s="307">
        <v>23</v>
      </c>
      <c r="K70" s="307">
        <v>23</v>
      </c>
      <c r="L70" s="307">
        <v>23</v>
      </c>
      <c r="M70" s="307">
        <v>23</v>
      </c>
      <c r="N70" s="422"/>
    </row>
    <row r="71" spans="1:14" ht="16" x14ac:dyDescent="0.2">
      <c r="A71" s="422" t="s">
        <v>457</v>
      </c>
      <c r="I71" s="307">
        <v>120</v>
      </c>
      <c r="J71" s="307">
        <v>120</v>
      </c>
      <c r="K71" s="307">
        <v>120</v>
      </c>
      <c r="L71" s="307">
        <v>120</v>
      </c>
      <c r="M71" s="307">
        <v>120</v>
      </c>
      <c r="N71" s="422"/>
    </row>
    <row r="72" spans="1:14" ht="16" x14ac:dyDescent="0.2">
      <c r="A72" s="422" t="s">
        <v>458</v>
      </c>
      <c r="I72" s="307">
        <v>22</v>
      </c>
      <c r="J72" s="307">
        <v>22</v>
      </c>
      <c r="K72" s="307">
        <v>22</v>
      </c>
      <c r="L72" s="307">
        <v>22</v>
      </c>
      <c r="M72" s="307">
        <v>22</v>
      </c>
      <c r="N72" s="422"/>
    </row>
    <row r="73" spans="1:14" ht="16" x14ac:dyDescent="0.2">
      <c r="A73" s="422" t="s">
        <v>459</v>
      </c>
      <c r="I73" s="307">
        <v>32</v>
      </c>
      <c r="J73" s="307">
        <v>32</v>
      </c>
      <c r="K73" s="307">
        <v>32</v>
      </c>
      <c r="L73" s="307">
        <v>32</v>
      </c>
      <c r="M73" s="307">
        <v>32</v>
      </c>
      <c r="N73" s="422"/>
    </row>
    <row r="74" spans="1:14" ht="16" x14ac:dyDescent="0.2">
      <c r="A74" s="422" t="s">
        <v>460</v>
      </c>
      <c r="I74" s="307">
        <v>1500</v>
      </c>
      <c r="J74" s="307">
        <v>1500</v>
      </c>
      <c r="K74" s="307">
        <v>1500</v>
      </c>
      <c r="L74" s="307">
        <v>1500</v>
      </c>
      <c r="M74" s="307">
        <v>1500</v>
      </c>
      <c r="N74" s="422"/>
    </row>
    <row r="75" spans="1:14" ht="16" x14ac:dyDescent="0.2">
      <c r="A75" s="422" t="s">
        <v>461</v>
      </c>
      <c r="I75" s="306">
        <v>0.2</v>
      </c>
      <c r="J75" s="306">
        <v>0.2</v>
      </c>
      <c r="K75" s="306">
        <v>0.2</v>
      </c>
      <c r="L75" s="306">
        <v>0.2</v>
      </c>
      <c r="M75" s="306">
        <v>0.2</v>
      </c>
      <c r="N75" s="76"/>
    </row>
    <row r="76" spans="1:14" ht="16" x14ac:dyDescent="0.2">
      <c r="A76" s="422" t="s">
        <v>462</v>
      </c>
      <c r="I76" s="306">
        <f>1-I75</f>
        <v>0.8</v>
      </c>
      <c r="J76" s="306">
        <f t="shared" ref="J76:M76" si="6">1-J75</f>
        <v>0.8</v>
      </c>
      <c r="K76" s="306">
        <f t="shared" si="6"/>
        <v>0.8</v>
      </c>
      <c r="L76" s="306">
        <f t="shared" si="6"/>
        <v>0.8</v>
      </c>
      <c r="M76" s="306">
        <f t="shared" si="6"/>
        <v>0.8</v>
      </c>
      <c r="N76" s="76"/>
    </row>
    <row r="77" spans="1:14" x14ac:dyDescent="0.15">
      <c r="A77" s="301" t="s">
        <v>264</v>
      </c>
      <c r="B77" s="301"/>
      <c r="C77" s="301"/>
      <c r="D77" s="301"/>
      <c r="E77" s="301"/>
      <c r="F77" s="301"/>
      <c r="G77" s="301"/>
      <c r="H77" s="301"/>
      <c r="I77" s="301"/>
      <c r="J77" s="301"/>
      <c r="K77" s="301"/>
      <c r="L77" s="301"/>
      <c r="M77" s="301"/>
    </row>
    <row r="78" spans="1:14" ht="16" x14ac:dyDescent="0.2">
      <c r="A78" s="422" t="s">
        <v>439</v>
      </c>
      <c r="B78" s="302"/>
      <c r="C78" s="302"/>
      <c r="D78" s="302"/>
      <c r="E78" s="302"/>
      <c r="F78" s="302"/>
      <c r="G78" s="76">
        <v>0</v>
      </c>
      <c r="H78" s="391">
        <v>3.8905398175756778E-2</v>
      </c>
      <c r="I78" s="391">
        <v>2.5000000000000001E-2</v>
      </c>
      <c r="J78" s="391">
        <v>2.5000000000000001E-2</v>
      </c>
      <c r="K78" s="391">
        <v>2.5000000000000001E-2</v>
      </c>
      <c r="L78" s="391">
        <v>2.5000000000000001E-2</v>
      </c>
      <c r="M78" s="391">
        <v>2.5000000000000001E-2</v>
      </c>
      <c r="N78" s="424"/>
    </row>
    <row r="79" spans="1:14" ht="16" x14ac:dyDescent="0.2">
      <c r="A79" s="422" t="s">
        <v>420</v>
      </c>
      <c r="B79" s="302"/>
      <c r="C79" s="302"/>
      <c r="D79" s="302"/>
      <c r="E79" s="302"/>
      <c r="F79" s="302"/>
      <c r="G79" s="76">
        <v>153811072</v>
      </c>
      <c r="H79" s="76">
        <v>159795153</v>
      </c>
      <c r="I79" s="76">
        <v>163790031.82499999</v>
      </c>
      <c r="J79" s="76">
        <v>167884782.62062496</v>
      </c>
      <c r="K79" s="76">
        <v>172081902.18614057</v>
      </c>
      <c r="L79" s="76">
        <v>176383949.74079406</v>
      </c>
      <c r="M79" s="76">
        <v>180793548.48431391</v>
      </c>
      <c r="N79" s="424"/>
    </row>
    <row r="80" spans="1:14" ht="16" x14ac:dyDescent="0.2">
      <c r="A80" s="422" t="s">
        <v>421</v>
      </c>
      <c r="B80" s="302"/>
      <c r="C80" s="302"/>
      <c r="D80" s="302"/>
      <c r="E80" s="302"/>
      <c r="F80" s="302"/>
      <c r="G80" s="134">
        <v>13.75</v>
      </c>
      <c r="H80" s="134">
        <v>13.75</v>
      </c>
      <c r="I80" s="134">
        <v>14.368749999999999</v>
      </c>
      <c r="J80" s="134">
        <v>15.015343749999998</v>
      </c>
      <c r="K80" s="134">
        <v>15.691034218749996</v>
      </c>
      <c r="L80" s="134">
        <v>16.397130758593743</v>
      </c>
      <c r="M80" s="134">
        <v>17.135001642730462</v>
      </c>
      <c r="N80" s="424"/>
    </row>
    <row r="81" spans="1:14" ht="16" x14ac:dyDescent="0.2">
      <c r="A81" s="422" t="s">
        <v>422</v>
      </c>
      <c r="B81" s="302"/>
      <c r="C81" s="302"/>
      <c r="D81" s="302"/>
      <c r="E81" s="302"/>
      <c r="F81" s="302"/>
      <c r="G81" s="134">
        <v>12.85</v>
      </c>
      <c r="H81" s="134">
        <v>12.8</v>
      </c>
      <c r="I81" s="134">
        <v>12.750194552529186</v>
      </c>
      <c r="J81" s="134">
        <v>12.700582900573821</v>
      </c>
      <c r="K81" s="134">
        <v>12.651164290065752</v>
      </c>
      <c r="L81" s="134">
        <v>12.601937969870946</v>
      </c>
      <c r="M81" s="134">
        <v>12.552903191778064</v>
      </c>
      <c r="N81" s="424"/>
    </row>
    <row r="82" spans="1:14" ht="16" x14ac:dyDescent="0.2">
      <c r="A82" s="422" t="s">
        <v>423</v>
      </c>
      <c r="G82" s="134">
        <v>11.53</v>
      </c>
      <c r="H82" s="134">
        <v>11.74</v>
      </c>
      <c r="I82" s="134">
        <v>11.565772727272725</v>
      </c>
      <c r="J82" s="134">
        <v>11.394131071458736</v>
      </c>
      <c r="K82" s="134">
        <v>11.225036660753679</v>
      </c>
      <c r="L82" s="134">
        <v>11.058451692809319</v>
      </c>
      <c r="M82" s="134">
        <v>10.894338926282531</v>
      </c>
      <c r="N82" s="424"/>
    </row>
    <row r="83" spans="1:14" ht="16" x14ac:dyDescent="0.2">
      <c r="A83" s="422" t="s">
        <v>424</v>
      </c>
      <c r="G83" s="134">
        <v>8.8800000000000008</v>
      </c>
      <c r="H83" s="134">
        <v>8.85</v>
      </c>
      <c r="I83" s="134">
        <v>8.9384999999999994</v>
      </c>
      <c r="J83" s="134">
        <v>9.0278849999999995</v>
      </c>
      <c r="K83" s="134">
        <v>9.1181638500000002</v>
      </c>
      <c r="L83" s="134">
        <v>9.2093454885000003</v>
      </c>
      <c r="M83" s="134">
        <v>9.3014389433849995</v>
      </c>
      <c r="N83" s="424"/>
    </row>
    <row r="84" spans="1:14" ht="16" x14ac:dyDescent="0.2">
      <c r="A84" s="422" t="s">
        <v>425</v>
      </c>
      <c r="G84" s="134">
        <v>1.99</v>
      </c>
      <c r="H84" s="134">
        <v>2.2000000000000002</v>
      </c>
      <c r="I84" s="134">
        <v>2.0499999999999998</v>
      </c>
      <c r="J84" s="134">
        <v>2.0499999999999998</v>
      </c>
      <c r="K84" s="134">
        <v>2.0499999999999998</v>
      </c>
      <c r="L84" s="134">
        <v>2.0499999999999998</v>
      </c>
      <c r="M84" s="134">
        <v>2.0499999999999998</v>
      </c>
      <c r="N84" s="424"/>
    </row>
    <row r="85" spans="1:14" ht="16" x14ac:dyDescent="0.2">
      <c r="A85" s="422" t="s">
        <v>426</v>
      </c>
      <c r="G85" s="76">
        <v>2045</v>
      </c>
      <c r="H85" s="76">
        <v>2094</v>
      </c>
      <c r="I85" s="76">
        <v>2099.1272371363634</v>
      </c>
      <c r="J85" s="76">
        <v>2099.1272371363634</v>
      </c>
      <c r="K85" s="76">
        <v>2099.1272371363634</v>
      </c>
      <c r="L85" s="76">
        <v>2099.1272371363634</v>
      </c>
      <c r="M85" s="76">
        <v>2099.1272371363634</v>
      </c>
      <c r="N85" s="424"/>
    </row>
    <row r="86" spans="1:14" ht="16" x14ac:dyDescent="0.2">
      <c r="A86" s="422" t="s">
        <v>427</v>
      </c>
      <c r="G86" s="76">
        <v>4069.55</v>
      </c>
      <c r="H86" s="76">
        <v>4606.8</v>
      </c>
      <c r="I86" s="76">
        <v>4303.210836129545</v>
      </c>
      <c r="J86" s="76">
        <v>4303.210836129545</v>
      </c>
      <c r="K86" s="76">
        <v>4303.210836129545</v>
      </c>
      <c r="L86" s="76">
        <v>4303.210836129545</v>
      </c>
      <c r="M86" s="76">
        <v>4303.210836129545</v>
      </c>
      <c r="N86" s="424"/>
    </row>
    <row r="87" spans="1:14" ht="16" x14ac:dyDescent="0.2">
      <c r="A87" s="422" t="s">
        <v>463</v>
      </c>
      <c r="I87" s="421">
        <v>14640.371994677622</v>
      </c>
      <c r="J87" s="421">
        <v>15156.445107490008</v>
      </c>
      <c r="K87" s="421">
        <v>15690.709797529029</v>
      </c>
      <c r="L87" s="421">
        <v>16243.807317891928</v>
      </c>
      <c r="M87" s="421">
        <v>16816.401525847614</v>
      </c>
      <c r="N87" s="424"/>
    </row>
    <row r="88" spans="1:14" ht="16" x14ac:dyDescent="0.2">
      <c r="A88" s="422" t="s">
        <v>464</v>
      </c>
      <c r="G88" s="475"/>
      <c r="H88" s="475"/>
      <c r="I88" s="305" t="s">
        <v>265</v>
      </c>
      <c r="J88" s="305" t="s">
        <v>265</v>
      </c>
      <c r="K88" s="305" t="s">
        <v>265</v>
      </c>
      <c r="L88" s="305" t="s">
        <v>265</v>
      </c>
      <c r="M88" s="305" t="s">
        <v>265</v>
      </c>
      <c r="N88" s="424"/>
    </row>
    <row r="89" spans="1:14" ht="16" x14ac:dyDescent="0.2">
      <c r="A89" s="422" t="s">
        <v>465</v>
      </c>
      <c r="G89" s="475"/>
      <c r="H89" s="475"/>
      <c r="I89" s="304">
        <v>0</v>
      </c>
      <c r="J89" s="304">
        <v>0</v>
      </c>
      <c r="K89" s="304">
        <v>0</v>
      </c>
      <c r="L89" s="304">
        <v>0</v>
      </c>
      <c r="M89" s="304">
        <v>0</v>
      </c>
      <c r="N89" s="424"/>
    </row>
    <row r="90" spans="1:14" ht="16" x14ac:dyDescent="0.2">
      <c r="A90" s="422" t="s">
        <v>466</v>
      </c>
      <c r="I90" s="304">
        <v>0</v>
      </c>
      <c r="J90" s="304">
        <v>0</v>
      </c>
      <c r="K90" s="304">
        <v>0</v>
      </c>
      <c r="L90" s="304">
        <v>0</v>
      </c>
      <c r="M90" s="304">
        <v>0</v>
      </c>
      <c r="N90" s="424"/>
    </row>
    <row r="91" spans="1:14" ht="16" x14ac:dyDescent="0.2">
      <c r="A91" s="422" t="s">
        <v>467</v>
      </c>
      <c r="I91" s="304">
        <v>0.01</v>
      </c>
      <c r="J91" s="304">
        <v>0.01</v>
      </c>
      <c r="K91" s="304">
        <v>0.01</v>
      </c>
      <c r="L91" s="304">
        <v>0.01</v>
      </c>
      <c r="M91" s="304">
        <v>0.01</v>
      </c>
      <c r="N91" s="424"/>
    </row>
    <row r="92" spans="1:14" ht="16" x14ac:dyDescent="0.2">
      <c r="A92" s="422" t="s">
        <v>468</v>
      </c>
      <c r="I92" s="304">
        <v>0.84</v>
      </c>
      <c r="J92" s="304">
        <v>0.84</v>
      </c>
      <c r="K92" s="304">
        <v>0.84</v>
      </c>
      <c r="L92" s="304">
        <v>0.84</v>
      </c>
      <c r="M92" s="304">
        <v>0.84</v>
      </c>
      <c r="N92" s="424"/>
    </row>
    <row r="93" spans="1:14" ht="16" x14ac:dyDescent="0.2">
      <c r="A93" s="422" t="s">
        <v>469</v>
      </c>
      <c r="I93" s="307">
        <v>23</v>
      </c>
      <c r="J93" s="307">
        <v>23</v>
      </c>
      <c r="K93" s="307">
        <v>23</v>
      </c>
      <c r="L93" s="307">
        <v>23</v>
      </c>
      <c r="M93" s="307">
        <v>23</v>
      </c>
      <c r="N93" s="424"/>
    </row>
    <row r="94" spans="1:14" ht="16" x14ac:dyDescent="0.2">
      <c r="A94" s="422" t="s">
        <v>470</v>
      </c>
      <c r="I94" s="307">
        <v>120</v>
      </c>
      <c r="J94" s="307">
        <v>120</v>
      </c>
      <c r="K94" s="307">
        <v>120</v>
      </c>
      <c r="L94" s="307">
        <v>120</v>
      </c>
      <c r="M94" s="307">
        <v>120</v>
      </c>
      <c r="N94" s="424"/>
    </row>
    <row r="95" spans="1:14" ht="16" x14ac:dyDescent="0.2">
      <c r="A95" s="422" t="s">
        <v>471</v>
      </c>
      <c r="I95" s="307">
        <v>22</v>
      </c>
      <c r="J95" s="307">
        <v>22</v>
      </c>
      <c r="K95" s="307">
        <v>22</v>
      </c>
      <c r="L95" s="307">
        <v>22</v>
      </c>
      <c r="M95" s="307">
        <v>22</v>
      </c>
      <c r="N95" s="424"/>
    </row>
    <row r="96" spans="1:14" ht="16" x14ac:dyDescent="0.2">
      <c r="A96" s="422" t="s">
        <v>472</v>
      </c>
      <c r="I96" s="307">
        <v>32</v>
      </c>
      <c r="J96" s="307">
        <v>32</v>
      </c>
      <c r="K96" s="307">
        <v>32</v>
      </c>
      <c r="L96" s="307">
        <v>32</v>
      </c>
      <c r="M96" s="307">
        <v>32</v>
      </c>
      <c r="N96" s="424"/>
    </row>
    <row r="97" spans="1:14" ht="16" x14ac:dyDescent="0.2">
      <c r="A97" s="422" t="s">
        <v>473</v>
      </c>
      <c r="I97" s="307">
        <v>1500</v>
      </c>
      <c r="J97" s="307">
        <v>1500</v>
      </c>
      <c r="K97" s="307">
        <v>1500</v>
      </c>
      <c r="L97" s="307">
        <v>1500</v>
      </c>
      <c r="M97" s="307">
        <v>1500</v>
      </c>
      <c r="N97" s="424"/>
    </row>
    <row r="98" spans="1:14" ht="16" x14ac:dyDescent="0.2">
      <c r="A98" s="422" t="s">
        <v>474</v>
      </c>
      <c r="I98" s="307">
        <v>-250</v>
      </c>
      <c r="J98" s="307">
        <v>-250</v>
      </c>
      <c r="K98" s="307">
        <v>-250</v>
      </c>
      <c r="L98" s="307">
        <v>-250</v>
      </c>
      <c r="M98" s="307">
        <v>-250</v>
      </c>
      <c r="N98" s="76"/>
    </row>
    <row r="99" spans="1:14" ht="16" x14ac:dyDescent="0.2">
      <c r="A99" s="422" t="s">
        <v>475</v>
      </c>
      <c r="I99" s="307">
        <v>-500</v>
      </c>
      <c r="J99" s="307">
        <v>-500</v>
      </c>
      <c r="K99" s="307">
        <v>-500</v>
      </c>
      <c r="L99" s="307">
        <v>-500</v>
      </c>
      <c r="M99" s="307">
        <v>-500</v>
      </c>
      <c r="N99" s="76"/>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7" r:id="rId3" name="Drop Down 3">
              <controlPr defaultSize="0" autoLine="0" autoPict="0">
                <anchor moveWithCells="1">
                  <from>
                    <xdr:col>2</xdr:col>
                    <xdr:colOff>812800</xdr:colOff>
                    <xdr:row>0</xdr:row>
                    <xdr:rowOff>0</xdr:rowOff>
                  </from>
                  <to>
                    <xdr:col>3</xdr:col>
                    <xdr:colOff>1905000</xdr:colOff>
                    <xdr:row>0</xdr:row>
                    <xdr:rowOff>304800</xdr:rowOff>
                  </to>
                </anchor>
              </controlPr>
            </control>
          </mc:Choice>
          <mc:Fallback/>
        </mc:AlternateContent>
      </controls>
    </mc:Choice>
    <mc:Fallback/>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Q21"/>
  <sheetViews>
    <sheetView showGridLines="0" workbookViewId="0">
      <selection activeCell="Q17" sqref="Q17"/>
    </sheetView>
  </sheetViews>
  <sheetFormatPr baseColWidth="10" defaultColWidth="9.1640625" defaultRowHeight="14" x14ac:dyDescent="0.15"/>
  <cols>
    <col min="1" max="1" width="7.83203125" style="1" customWidth="1"/>
    <col min="2" max="7" width="11" style="1" customWidth="1"/>
    <col min="8" max="10" width="12.33203125" style="1" customWidth="1"/>
    <col min="11" max="11" width="7.83203125" style="1" customWidth="1"/>
    <col min="12" max="12" width="12.33203125" style="1" customWidth="1"/>
    <col min="13" max="21" width="11" style="1" customWidth="1"/>
    <col min="22" max="16384" width="9.1640625" style="1"/>
  </cols>
  <sheetData>
    <row r="1" spans="1:17" x14ac:dyDescent="0.15">
      <c r="A1" s="165"/>
      <c r="B1" s="165"/>
      <c r="C1" s="165"/>
      <c r="D1" s="165"/>
      <c r="E1" s="165"/>
      <c r="F1" s="165"/>
      <c r="G1" s="165"/>
      <c r="H1" s="165"/>
      <c r="I1" s="165"/>
      <c r="J1" s="165"/>
      <c r="K1" s="165"/>
      <c r="L1" s="165"/>
      <c r="M1" s="165"/>
      <c r="N1" s="165"/>
      <c r="O1" s="165"/>
      <c r="P1" s="165"/>
      <c r="Q1" s="165"/>
    </row>
    <row r="2" spans="1:17" ht="18" x14ac:dyDescent="0.15">
      <c r="A2" s="167" t="s">
        <v>189</v>
      </c>
      <c r="B2" s="167"/>
      <c r="C2" s="167"/>
      <c r="D2" s="167"/>
      <c r="E2" s="167"/>
      <c r="F2" s="167"/>
      <c r="G2" s="167"/>
      <c r="H2" s="167"/>
      <c r="I2" s="167"/>
      <c r="J2" s="167"/>
      <c r="K2" s="167"/>
      <c r="L2" s="167"/>
      <c r="M2" s="167"/>
      <c r="N2" s="167"/>
      <c r="O2" s="167"/>
      <c r="P2" s="167"/>
      <c r="Q2" s="167"/>
    </row>
    <row r="3" spans="1:17" customFormat="1" ht="13" x14ac:dyDescent="0.15"/>
    <row r="4" spans="1:17" x14ac:dyDescent="0.15">
      <c r="B4" s="34" t="s">
        <v>14</v>
      </c>
      <c r="F4" s="10"/>
    </row>
    <row r="5" spans="1:17" x14ac:dyDescent="0.15">
      <c r="B5" s="31" t="s">
        <v>56</v>
      </c>
      <c r="C5" s="31"/>
      <c r="D5" s="32" t="s">
        <v>14</v>
      </c>
      <c r="E5" s="31"/>
      <c r="F5" s="32" t="s">
        <v>22</v>
      </c>
      <c r="G5" s="32" t="s">
        <v>21</v>
      </c>
      <c r="H5" s="32" t="s">
        <v>47</v>
      </c>
      <c r="I5" s="32" t="s">
        <v>19</v>
      </c>
      <c r="J5" s="32" t="s">
        <v>52</v>
      </c>
      <c r="L5" s="33" t="s">
        <v>145</v>
      </c>
      <c r="M5" s="32"/>
      <c r="N5" s="32"/>
      <c r="O5" s="32"/>
      <c r="P5" s="32"/>
      <c r="Q5" s="32"/>
    </row>
    <row r="6" spans="1:17" ht="16" x14ac:dyDescent="0.2">
      <c r="B6" s="1" t="s">
        <v>51</v>
      </c>
      <c r="D6" s="55">
        <f>Comps!M14</f>
        <v>1.022660247035643</v>
      </c>
      <c r="F6" s="9">
        <f>D6*$Q$6</f>
        <v>22462.732326137899</v>
      </c>
      <c r="G6" s="9">
        <f>$N$8-$N$9</f>
        <v>-312</v>
      </c>
      <c r="H6" s="9">
        <f>F6-G6</f>
        <v>22774.732326137899</v>
      </c>
      <c r="I6" s="9">
        <f>$N$7</f>
        <v>526.29999999999995</v>
      </c>
      <c r="J6" s="12">
        <f>H6/I6</f>
        <v>43.27328961835056</v>
      </c>
      <c r="L6" s="7" t="s">
        <v>46</v>
      </c>
      <c r="M6" s="7"/>
      <c r="N6" s="462">
        <f>DCF!C189</f>
        <v>54.9</v>
      </c>
      <c r="P6" s="1" t="s">
        <v>48</v>
      </c>
      <c r="Q6" s="8">
        <f>DCF!H41</f>
        <v>21965</v>
      </c>
    </row>
    <row r="7" spans="1:17" ht="16" x14ac:dyDescent="0.2">
      <c r="B7" s="1" t="s">
        <v>6</v>
      </c>
      <c r="D7" s="55">
        <f>Comps!N14</f>
        <v>6.114935818724339</v>
      </c>
      <c r="F7" s="9">
        <f>D7*$Q$7</f>
        <v>27492.75144098463</v>
      </c>
      <c r="G7" s="9">
        <f t="shared" ref="G7:G8" si="0">$N$8-$N$9</f>
        <v>-312</v>
      </c>
      <c r="H7" s="9">
        <f>F7-G7</f>
        <v>27804.75144098463</v>
      </c>
      <c r="I7" s="9">
        <f t="shared" ref="I7:I8" si="1">$N$7</f>
        <v>526.29999999999995</v>
      </c>
      <c r="J7" s="12">
        <f t="shared" ref="J7:J8" si="2">H7/I7</f>
        <v>52.830612656250487</v>
      </c>
      <c r="L7" s="7" t="s">
        <v>53</v>
      </c>
      <c r="M7" s="7"/>
      <c r="N7" s="463">
        <f>DCF!C190</f>
        <v>526.29999999999995</v>
      </c>
      <c r="P7" s="1" t="s">
        <v>24</v>
      </c>
      <c r="Q7" s="8">
        <f>DCF!H58+DCF!H50+DCF!H52</f>
        <v>4496</v>
      </c>
    </row>
    <row r="8" spans="1:17" ht="16" x14ac:dyDescent="0.2">
      <c r="B8" s="1" t="s">
        <v>27</v>
      </c>
      <c r="D8" s="55">
        <f>Comps!O14</f>
        <v>8.4171767305355392</v>
      </c>
      <c r="F8" s="9">
        <f>H8+G8</f>
        <v>20436.340640770104</v>
      </c>
      <c r="G8" s="9">
        <f t="shared" si="0"/>
        <v>-312</v>
      </c>
      <c r="H8" s="9">
        <f>D8*$Q$9</f>
        <v>20748.340640770104</v>
      </c>
      <c r="I8" s="9">
        <f t="shared" si="1"/>
        <v>526.29999999999995</v>
      </c>
      <c r="J8" s="12">
        <f t="shared" si="2"/>
        <v>39.423029908360455</v>
      </c>
      <c r="L8" s="7" t="s">
        <v>54</v>
      </c>
      <c r="M8" s="7"/>
      <c r="N8" s="463">
        <f>DCF!C214</f>
        <v>3377</v>
      </c>
      <c r="P8" s="1" t="s">
        <v>25</v>
      </c>
      <c r="Q8" s="8">
        <f>DCF!H58+DCF!H52</f>
        <v>3295</v>
      </c>
    </row>
    <row r="9" spans="1:17" ht="16" x14ac:dyDescent="0.2">
      <c r="D9" s="55"/>
      <c r="F9" s="9"/>
      <c r="G9" s="9"/>
      <c r="H9" s="9"/>
      <c r="I9" s="9"/>
      <c r="J9" s="12"/>
      <c r="L9" s="7" t="s">
        <v>55</v>
      </c>
      <c r="M9" s="7"/>
      <c r="N9" s="463">
        <f>DCF!C213</f>
        <v>3689</v>
      </c>
      <c r="P9" s="1" t="s">
        <v>26</v>
      </c>
      <c r="Q9" s="8">
        <f>DCF!H60</f>
        <v>2465</v>
      </c>
    </row>
    <row r="10" spans="1:17" x14ac:dyDescent="0.15">
      <c r="B10" s="1" t="s">
        <v>49</v>
      </c>
      <c r="D10" s="11"/>
      <c r="F10" s="9"/>
      <c r="G10" s="9"/>
      <c r="H10" s="9"/>
      <c r="I10" s="9"/>
      <c r="J10" s="12">
        <f>MIN(J6:J8)</f>
        <v>39.423029908360455</v>
      </c>
      <c r="M10" s="9"/>
    </row>
    <row r="11" spans="1:17" x14ac:dyDescent="0.15">
      <c r="B11" s="1" t="s">
        <v>50</v>
      </c>
      <c r="D11" s="11"/>
      <c r="F11" s="9"/>
      <c r="G11" s="9"/>
      <c r="H11" s="9"/>
      <c r="I11" s="9"/>
      <c r="J11" s="12">
        <f>MAX(J6:J8)</f>
        <v>52.830612656250487</v>
      </c>
      <c r="M11" s="9"/>
    </row>
    <row r="12" spans="1:17" x14ac:dyDescent="0.15">
      <c r="B12" s="34" t="s">
        <v>13</v>
      </c>
      <c r="D12" s="11"/>
      <c r="F12" s="9"/>
      <c r="G12" s="9"/>
      <c r="H12" s="9"/>
      <c r="I12" s="9"/>
      <c r="J12" s="12"/>
      <c r="M12" s="9"/>
    </row>
    <row r="13" spans="1:17" x14ac:dyDescent="0.15">
      <c r="B13" s="31" t="s">
        <v>56</v>
      </c>
      <c r="C13" s="31"/>
      <c r="D13" s="32" t="s">
        <v>13</v>
      </c>
      <c r="E13" s="31"/>
      <c r="F13" s="32" t="s">
        <v>22</v>
      </c>
      <c r="G13" s="32" t="s">
        <v>21</v>
      </c>
      <c r="H13" s="32" t="s">
        <v>47</v>
      </c>
      <c r="I13" s="32" t="s">
        <v>19</v>
      </c>
      <c r="J13" s="32" t="s">
        <v>52</v>
      </c>
      <c r="L13" s="33" t="s">
        <v>57</v>
      </c>
      <c r="M13" s="32"/>
      <c r="N13" s="32"/>
      <c r="O13" s="32"/>
      <c r="P13" s="32"/>
      <c r="Q13" s="32"/>
    </row>
    <row r="14" spans="1:17" x14ac:dyDescent="0.15">
      <c r="B14" s="1" t="s">
        <v>51</v>
      </c>
      <c r="D14" s="56">
        <f>Precedents!K13</f>
        <v>2.3416666666666663</v>
      </c>
      <c r="F14" s="9">
        <f>D14*$Q$6</f>
        <v>51434.708333333328</v>
      </c>
      <c r="G14" s="9">
        <f>$N$8-$N$9</f>
        <v>-312</v>
      </c>
      <c r="H14" s="9">
        <f>F14-G14</f>
        <v>51746.708333333328</v>
      </c>
      <c r="I14" s="9">
        <f>$N$7</f>
        <v>526.29999999999995</v>
      </c>
      <c r="J14" s="12">
        <f>H14/I14</f>
        <v>98.321695484197861</v>
      </c>
      <c r="N14" s="2" t="s">
        <v>149</v>
      </c>
      <c r="O14" s="2" t="s">
        <v>150</v>
      </c>
      <c r="P14" s="2" t="s">
        <v>151</v>
      </c>
      <c r="Q14" s="2" t="s">
        <v>152</v>
      </c>
    </row>
    <row r="15" spans="1:17" x14ac:dyDescent="0.15">
      <c r="B15" s="1" t="s">
        <v>6</v>
      </c>
      <c r="D15" s="56">
        <f>Precedents!L13</f>
        <v>11.184999999999999</v>
      </c>
      <c r="F15" s="9">
        <f>D15*$Q$7</f>
        <v>50287.759999999995</v>
      </c>
      <c r="G15" s="9">
        <f t="shared" ref="G15:G16" si="3">$N$8-$N$9</f>
        <v>-312</v>
      </c>
      <c r="H15" s="9">
        <f>F15-G15</f>
        <v>50599.759999999995</v>
      </c>
      <c r="I15" s="9">
        <f t="shared" ref="I15:I16" si="4">$N$7</f>
        <v>526.29999999999995</v>
      </c>
      <c r="J15" s="12">
        <f t="shared" ref="J15:J16" si="5">H15/I15</f>
        <v>96.142428272848178</v>
      </c>
      <c r="L15" s="1" t="s">
        <v>14</v>
      </c>
      <c r="N15" s="12">
        <f>$J$10</f>
        <v>39.423029908360455</v>
      </c>
      <c r="O15" s="12">
        <f>$J$10</f>
        <v>39.423029908360455</v>
      </c>
      <c r="P15" s="12">
        <f>$J$11</f>
        <v>52.830612656250487</v>
      </c>
      <c r="Q15" s="12">
        <f>$J$11</f>
        <v>52.830612656250487</v>
      </c>
    </row>
    <row r="16" spans="1:17" x14ac:dyDescent="0.15">
      <c r="B16" s="1" t="s">
        <v>7</v>
      </c>
      <c r="D16" s="56">
        <f>Precedents!M13</f>
        <v>15.413333333333334</v>
      </c>
      <c r="F16" s="9">
        <f>D16*$Q$8</f>
        <v>50786.933333333334</v>
      </c>
      <c r="G16" s="9">
        <f t="shared" si="3"/>
        <v>-312</v>
      </c>
      <c r="H16" s="9">
        <f>F16-G16</f>
        <v>51098.933333333334</v>
      </c>
      <c r="I16" s="9">
        <f t="shared" si="4"/>
        <v>526.29999999999995</v>
      </c>
      <c r="J16" s="12">
        <f t="shared" si="5"/>
        <v>97.090886059915135</v>
      </c>
      <c r="L16" s="1" t="s">
        <v>13</v>
      </c>
      <c r="N16" s="12">
        <f>$J$18</f>
        <v>96.142428272848178</v>
      </c>
      <c r="O16" s="12">
        <f>$J$18</f>
        <v>96.142428272848178</v>
      </c>
      <c r="P16" s="12">
        <f>$J$19</f>
        <v>98.321695484197861</v>
      </c>
      <c r="Q16" s="12">
        <f>$J$19</f>
        <v>98.321695484197861</v>
      </c>
    </row>
    <row r="17" spans="2:17" x14ac:dyDescent="0.15">
      <c r="D17" s="56"/>
      <c r="F17" s="9"/>
      <c r="G17" s="9"/>
      <c r="H17" s="9"/>
      <c r="I17" s="9"/>
      <c r="J17" s="12"/>
      <c r="L17" s="1" t="s">
        <v>12</v>
      </c>
      <c r="N17" s="13">
        <v>28</v>
      </c>
      <c r="O17" s="13">
        <v>28</v>
      </c>
      <c r="P17" s="13">
        <v>36</v>
      </c>
      <c r="Q17" s="13">
        <v>36</v>
      </c>
    </row>
    <row r="18" spans="2:17" x14ac:dyDescent="0.15">
      <c r="B18" s="1" t="s">
        <v>49</v>
      </c>
      <c r="D18" s="11"/>
      <c r="F18" s="9"/>
      <c r="G18" s="9"/>
      <c r="H18" s="9"/>
      <c r="I18" s="9"/>
      <c r="J18" s="12">
        <f>MIN(J14:J16)</f>
        <v>96.142428272848178</v>
      </c>
      <c r="L18" s="1" t="s">
        <v>11</v>
      </c>
      <c r="N18" s="13">
        <v>36</v>
      </c>
      <c r="O18" s="13">
        <v>36</v>
      </c>
      <c r="P18" s="13">
        <v>44</v>
      </c>
      <c r="Q18" s="13">
        <v>44</v>
      </c>
    </row>
    <row r="19" spans="2:17" x14ac:dyDescent="0.15">
      <c r="B19" s="1" t="s">
        <v>50</v>
      </c>
      <c r="F19" s="9"/>
      <c r="G19" s="9"/>
      <c r="H19" s="9"/>
      <c r="I19" s="9"/>
      <c r="J19" s="12">
        <f>MAX(J14:J16)</f>
        <v>98.321695484197861</v>
      </c>
      <c r="L19" s="1" t="s">
        <v>10</v>
      </c>
      <c r="N19" s="13">
        <v>22</v>
      </c>
      <c r="O19" s="13">
        <v>22</v>
      </c>
      <c r="P19" s="13">
        <v>30</v>
      </c>
      <c r="Q19" s="13">
        <v>30</v>
      </c>
    </row>
    <row r="20" spans="2:17" x14ac:dyDescent="0.15">
      <c r="H20" s="9"/>
      <c r="I20" s="9"/>
      <c r="J20" s="9"/>
      <c r="K20" s="9"/>
      <c r="L20" s="9"/>
      <c r="M20" s="9"/>
    </row>
    <row r="21" spans="2:17" ht="21" customHeight="1" x14ac:dyDescent="0.15">
      <c r="B21" s="17" t="s">
        <v>58</v>
      </c>
      <c r="C21" s="35"/>
      <c r="D21" s="35"/>
      <c r="E21" s="35"/>
      <c r="F21" s="35"/>
      <c r="G21" s="35"/>
      <c r="H21" s="35"/>
      <c r="I21" s="35"/>
      <c r="J21" s="35"/>
    </row>
  </sheetData>
  <pageMargins left="0.7" right="0.7" top="0.75" bottom="0.75" header="0.3" footer="0.3"/>
  <pageSetup scale="68" orientation="landscape"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71"/>
  <sheetViews>
    <sheetView showGridLines="0" workbookViewId="0">
      <pane ySplit="3" topLeftCell="A4" activePane="bottomLeft" state="frozen"/>
      <selection pane="bottomLeft" activeCell="J21" sqref="J21"/>
    </sheetView>
  </sheetViews>
  <sheetFormatPr baseColWidth="10" defaultColWidth="9.1640625" defaultRowHeight="13" outlineLevelRow="1" x14ac:dyDescent="0.15"/>
  <cols>
    <col min="1" max="1" width="12.6640625" customWidth="1"/>
    <col min="2" max="2" width="12.33203125" customWidth="1"/>
    <col min="3" max="3" width="11.33203125" customWidth="1"/>
    <col min="4" max="13" width="11.5" customWidth="1"/>
  </cols>
  <sheetData>
    <row r="1" spans="1:16" ht="16" x14ac:dyDescent="0.2">
      <c r="A1" s="168" t="s">
        <v>60</v>
      </c>
      <c r="B1" s="169"/>
      <c r="C1" s="170"/>
      <c r="D1" s="171" t="s">
        <v>61</v>
      </c>
      <c r="E1" s="172"/>
      <c r="F1" s="172"/>
      <c r="G1" s="172"/>
      <c r="H1" s="172"/>
      <c r="I1" s="173" t="s">
        <v>62</v>
      </c>
      <c r="J1" s="174"/>
      <c r="K1" s="174"/>
      <c r="L1" s="174"/>
      <c r="M1" s="174"/>
      <c r="N1" s="175"/>
      <c r="O1" s="175"/>
      <c r="P1" s="175"/>
    </row>
    <row r="2" spans="1:16" ht="21" customHeight="1" x14ac:dyDescent="0.2">
      <c r="A2" s="176" t="s">
        <v>63</v>
      </c>
      <c r="B2" s="177"/>
      <c r="C2" s="178"/>
      <c r="D2" s="179">
        <v>2013</v>
      </c>
      <c r="E2" s="179">
        <f>+D2+1</f>
        <v>2014</v>
      </c>
      <c r="F2" s="179">
        <f t="shared" ref="F2:M2" si="0">+E2+1</f>
        <v>2015</v>
      </c>
      <c r="G2" s="179">
        <f t="shared" si="0"/>
        <v>2016</v>
      </c>
      <c r="H2" s="179">
        <f t="shared" si="0"/>
        <v>2017</v>
      </c>
      <c r="I2" s="180">
        <f t="shared" si="0"/>
        <v>2018</v>
      </c>
      <c r="J2" s="180">
        <f t="shared" si="0"/>
        <v>2019</v>
      </c>
      <c r="K2" s="180">
        <f t="shared" si="0"/>
        <v>2020</v>
      </c>
      <c r="L2" s="180">
        <f t="shared" si="0"/>
        <v>2021</v>
      </c>
      <c r="M2" s="180">
        <f t="shared" si="0"/>
        <v>2022</v>
      </c>
      <c r="N2" s="181"/>
      <c r="O2" s="181"/>
      <c r="P2" s="181"/>
    </row>
    <row r="3" spans="1:16" ht="16" x14ac:dyDescent="0.2">
      <c r="A3" s="175" t="s">
        <v>64</v>
      </c>
      <c r="B3" s="175"/>
      <c r="C3" s="182"/>
      <c r="D3" s="183" t="str">
        <f t="shared" ref="D3:H3" si="1">IFERROR(IF(ABS(D59)&gt;1,"ERROR","OK"),"OK")</f>
        <v>OK</v>
      </c>
      <c r="E3" s="183" t="str">
        <f t="shared" si="1"/>
        <v>OK</v>
      </c>
      <c r="F3" s="183" t="str">
        <f t="shared" si="1"/>
        <v>OK</v>
      </c>
      <c r="G3" s="183" t="str">
        <f t="shared" si="1"/>
        <v>OK</v>
      </c>
      <c r="H3" s="183" t="str">
        <f t="shared" si="1"/>
        <v>OK</v>
      </c>
      <c r="I3" s="183" t="str">
        <f>IFERROR(IF(ABS(I59)&gt;1,"ERROR","OK"),"OK")</f>
        <v>OK</v>
      </c>
      <c r="J3" s="183" t="str">
        <f t="shared" ref="J3:M3" si="2">IFERROR(IF(ABS(J59)&gt;1,"ERROR","OK"),"OK")</f>
        <v>OK</v>
      </c>
      <c r="K3" s="183" t="str">
        <f t="shared" si="2"/>
        <v>OK</v>
      </c>
      <c r="L3" s="183" t="str">
        <f t="shared" si="2"/>
        <v>OK</v>
      </c>
      <c r="M3" s="183" t="str">
        <f t="shared" si="2"/>
        <v>OK</v>
      </c>
      <c r="N3" s="175"/>
      <c r="O3" s="175"/>
      <c r="P3" s="175"/>
    </row>
    <row r="5" spans="1:16" ht="20" x14ac:dyDescent="0.2">
      <c r="A5" s="184" t="s">
        <v>66</v>
      </c>
      <c r="B5" s="185"/>
      <c r="C5" s="186"/>
      <c r="D5" s="185"/>
      <c r="E5" s="185"/>
      <c r="F5" s="185"/>
      <c r="G5" s="185"/>
      <c r="H5" s="185"/>
      <c r="I5" s="185"/>
      <c r="J5" s="185"/>
      <c r="K5" s="185"/>
      <c r="L5" s="185"/>
      <c r="M5" s="185"/>
      <c r="N5" s="175"/>
      <c r="O5" s="175"/>
      <c r="P5" s="175"/>
    </row>
    <row r="6" spans="1:16" ht="16" outlineLevel="1" x14ac:dyDescent="0.2">
      <c r="A6" s="175"/>
      <c r="B6" s="175"/>
      <c r="C6" s="182"/>
      <c r="D6" s="187"/>
      <c r="E6" s="187"/>
      <c r="F6" s="187"/>
      <c r="G6" s="187"/>
      <c r="H6" s="187"/>
      <c r="I6" s="188"/>
      <c r="J6" s="188"/>
      <c r="K6" s="188"/>
      <c r="L6" s="188"/>
      <c r="M6" s="188"/>
      <c r="N6" s="175"/>
      <c r="O6" s="175"/>
      <c r="P6" s="175"/>
    </row>
    <row r="7" spans="1:16" ht="16" outlineLevel="1" x14ac:dyDescent="0.2">
      <c r="A7" s="189" t="s">
        <v>65</v>
      </c>
      <c r="B7" s="175"/>
      <c r="C7" s="182"/>
      <c r="D7" s="187"/>
      <c r="E7" s="187"/>
      <c r="F7" s="187"/>
      <c r="G7" s="187"/>
      <c r="H7" s="187"/>
      <c r="I7" s="188"/>
      <c r="J7" s="188"/>
      <c r="K7" s="188"/>
      <c r="L7" s="188"/>
      <c r="M7" s="188"/>
      <c r="N7" s="175"/>
      <c r="O7" s="175"/>
      <c r="P7" s="175"/>
    </row>
    <row r="8" spans="1:16" ht="16" outlineLevel="1" x14ac:dyDescent="0.2">
      <c r="A8" s="190" t="s">
        <v>67</v>
      </c>
      <c r="B8" s="191"/>
      <c r="C8" s="192"/>
      <c r="D8" s="193">
        <f>IFERROR(D25/C25-1,0)</f>
        <v>0</v>
      </c>
      <c r="E8" s="193">
        <f t="shared" ref="E8:H8" si="3">IFERROR(E25/D25-1,0)</f>
        <v>0.15762643740135474</v>
      </c>
      <c r="F8" s="193">
        <f t="shared" si="3"/>
        <v>0.1122825737174602</v>
      </c>
      <c r="G8" s="193">
        <f t="shared" si="3"/>
        <v>8.3718451406600947E-2</v>
      </c>
      <c r="H8" s="193">
        <f t="shared" si="3"/>
        <v>5.9231001608812672E-2</v>
      </c>
      <c r="I8" s="194">
        <v>0.1</v>
      </c>
      <c r="J8" s="194">
        <v>0.1</v>
      </c>
      <c r="K8" s="194">
        <v>0.1</v>
      </c>
      <c r="L8" s="194">
        <v>0.1</v>
      </c>
      <c r="M8" s="194">
        <v>0.1</v>
      </c>
      <c r="N8" s="175"/>
      <c r="O8" s="175"/>
      <c r="P8" s="175"/>
    </row>
    <row r="9" spans="1:16" ht="16" outlineLevel="1" x14ac:dyDescent="0.2">
      <c r="A9" s="195" t="s">
        <v>68</v>
      </c>
      <c r="B9" s="195"/>
      <c r="C9" s="196"/>
      <c r="D9" s="197">
        <f>D26/D25</f>
        <v>0.38255217779172018</v>
      </c>
      <c r="E9" s="197">
        <f t="shared" ref="E9:H9" si="4">E26/E25</f>
        <v>0.40651728401334619</v>
      </c>
      <c r="F9" s="197">
        <f t="shared" si="4"/>
        <v>0.37399977159389397</v>
      </c>
      <c r="G9" s="197">
        <f t="shared" si="4"/>
        <v>0.369914501092447</v>
      </c>
      <c r="H9" s="197">
        <f t="shared" si="4"/>
        <v>0.37613084657628737</v>
      </c>
      <c r="I9" s="198">
        <v>0.42</v>
      </c>
      <c r="J9" s="198">
        <v>0.47</v>
      </c>
      <c r="K9" s="198">
        <v>0.5</v>
      </c>
      <c r="L9" s="198">
        <v>0.36</v>
      </c>
      <c r="M9" s="198">
        <v>0.35</v>
      </c>
      <c r="N9" s="175"/>
      <c r="O9" s="175"/>
      <c r="P9" s="175"/>
    </row>
    <row r="10" spans="1:16" ht="16" outlineLevel="1" x14ac:dyDescent="0.2">
      <c r="A10" s="195" t="s">
        <v>69</v>
      </c>
      <c r="B10" s="195"/>
      <c r="C10" s="196"/>
      <c r="D10" s="197">
        <f>D29/D25</f>
        <v>0.25907045594910155</v>
      </c>
      <c r="E10" s="197">
        <f t="shared" ref="E10:H10" si="5">E29/E25</f>
        <v>0.19187710651559034</v>
      </c>
      <c r="F10" s="197">
        <f t="shared" si="5"/>
        <v>0.18175035212608018</v>
      </c>
      <c r="G10" s="197">
        <f t="shared" si="5"/>
        <v>0.16159785304304453</v>
      </c>
      <c r="H10" s="197">
        <f t="shared" si="5"/>
        <v>0.16743825113416283</v>
      </c>
      <c r="I10" s="198">
        <v>0.17</v>
      </c>
      <c r="J10" s="198">
        <v>0.17</v>
      </c>
      <c r="K10" s="198">
        <v>0.17</v>
      </c>
      <c r="L10" s="198">
        <v>0.17</v>
      </c>
      <c r="M10" s="198">
        <v>0.17</v>
      </c>
      <c r="N10" s="175"/>
      <c r="O10" s="175"/>
      <c r="P10" s="175"/>
    </row>
    <row r="11" spans="1:16" ht="16" outlineLevel="1" x14ac:dyDescent="0.2">
      <c r="A11" s="195" t="s">
        <v>70</v>
      </c>
      <c r="B11" s="195"/>
      <c r="C11" s="196"/>
      <c r="D11" s="199">
        <f>D30</f>
        <v>10963</v>
      </c>
      <c r="E11" s="199">
        <f t="shared" ref="E11:H11" si="6">E30</f>
        <v>10125</v>
      </c>
      <c r="F11" s="199">
        <f t="shared" si="6"/>
        <v>10087</v>
      </c>
      <c r="G11" s="199">
        <f t="shared" si="6"/>
        <v>11020</v>
      </c>
      <c r="H11" s="199">
        <f t="shared" si="6"/>
        <v>11412</v>
      </c>
      <c r="I11" s="200">
        <v>15000</v>
      </c>
      <c r="J11" s="200">
        <v>15000</v>
      </c>
      <c r="K11" s="200">
        <v>15000</v>
      </c>
      <c r="L11" s="200">
        <v>15000</v>
      </c>
      <c r="M11" s="200">
        <v>15000</v>
      </c>
      <c r="N11" s="175"/>
      <c r="O11" s="175"/>
      <c r="P11" s="175"/>
    </row>
    <row r="12" spans="1:16" ht="16" outlineLevel="1" x14ac:dyDescent="0.2">
      <c r="A12" s="195" t="s">
        <v>71</v>
      </c>
      <c r="B12" s="195"/>
      <c r="C12" s="196"/>
      <c r="D12" s="197">
        <f>D31/D46</f>
        <v>0.42857142857142855</v>
      </c>
      <c r="E12" s="197">
        <f t="shared" ref="E12:H12" si="7">E31/E46</f>
        <v>0.42857142857142855</v>
      </c>
      <c r="F12" s="197">
        <f t="shared" si="7"/>
        <v>0.42857142857142855</v>
      </c>
      <c r="G12" s="197">
        <f t="shared" si="7"/>
        <v>0.42857142857142855</v>
      </c>
      <c r="H12" s="197">
        <f t="shared" si="7"/>
        <v>0.42857142857142849</v>
      </c>
      <c r="I12" s="198">
        <v>0.35</v>
      </c>
      <c r="J12" s="198">
        <v>0.35</v>
      </c>
      <c r="K12" s="198">
        <v>0.35</v>
      </c>
      <c r="L12" s="198">
        <v>0.35</v>
      </c>
      <c r="M12" s="198">
        <v>0.35</v>
      </c>
      <c r="N12" s="175"/>
      <c r="O12" s="175"/>
      <c r="P12" s="175"/>
    </row>
    <row r="13" spans="1:16" ht="16" outlineLevel="1" x14ac:dyDescent="0.2">
      <c r="A13" s="195" t="s">
        <v>72</v>
      </c>
      <c r="B13" s="195"/>
      <c r="C13" s="196"/>
      <c r="D13" s="197">
        <f>D32/D51</f>
        <v>0.05</v>
      </c>
      <c r="E13" s="197">
        <f t="shared" ref="E13:H13" si="8">E32/E51</f>
        <v>0.05</v>
      </c>
      <c r="F13" s="197">
        <f t="shared" si="8"/>
        <v>0.05</v>
      </c>
      <c r="G13" s="197">
        <f t="shared" si="8"/>
        <v>0.05</v>
      </c>
      <c r="H13" s="197">
        <f t="shared" si="8"/>
        <v>0.05</v>
      </c>
      <c r="I13" s="198">
        <v>0.1</v>
      </c>
      <c r="J13" s="198">
        <v>0.1</v>
      </c>
      <c r="K13" s="198">
        <v>0.1</v>
      </c>
      <c r="L13" s="198">
        <v>0.1</v>
      </c>
      <c r="M13" s="198">
        <v>0.1</v>
      </c>
      <c r="N13" s="175"/>
      <c r="O13" s="175"/>
      <c r="P13" s="175"/>
    </row>
    <row r="14" spans="1:16" ht="16" outlineLevel="1" x14ac:dyDescent="0.2">
      <c r="A14" s="195" t="s">
        <v>73</v>
      </c>
      <c r="B14" s="201"/>
      <c r="C14" s="202"/>
      <c r="D14" s="197">
        <f>D36/D34</f>
        <v>0.31167801892042296</v>
      </c>
      <c r="E14" s="197">
        <f t="shared" ref="E14:H14" si="9">E36/E34</f>
        <v>0.29180230056592171</v>
      </c>
      <c r="F14" s="197">
        <f t="shared" si="9"/>
        <v>0.28698850107817436</v>
      </c>
      <c r="G14" s="197">
        <f t="shared" si="9"/>
        <v>0.2899411500446471</v>
      </c>
      <c r="H14" s="197">
        <f t="shared" si="9"/>
        <v>0.29121899033183596</v>
      </c>
      <c r="I14" s="198">
        <v>0.28000000000000003</v>
      </c>
      <c r="J14" s="198">
        <v>0.28000000000000003</v>
      </c>
      <c r="K14" s="198">
        <v>0.28000000000000003</v>
      </c>
      <c r="L14" s="198">
        <v>0.28000000000000003</v>
      </c>
      <c r="M14" s="198">
        <v>0.28000000000000003</v>
      </c>
      <c r="N14" s="175"/>
      <c r="O14" s="175"/>
      <c r="P14" s="175"/>
    </row>
    <row r="15" spans="1:16" ht="16" outlineLevel="1" x14ac:dyDescent="0.2">
      <c r="A15" s="175" t="s">
        <v>74</v>
      </c>
      <c r="B15" s="175"/>
      <c r="C15" s="203"/>
      <c r="D15" s="187">
        <f>D44/D25*365</f>
        <v>18.25</v>
      </c>
      <c r="E15" s="187">
        <f t="shared" ref="E15:H16" si="10">E44/E25*365</f>
        <v>18.25</v>
      </c>
      <c r="F15" s="187">
        <f t="shared" si="10"/>
        <v>18.25</v>
      </c>
      <c r="G15" s="187">
        <f t="shared" si="10"/>
        <v>18.25</v>
      </c>
      <c r="H15" s="187">
        <f t="shared" si="10"/>
        <v>18.25</v>
      </c>
      <c r="I15" s="188">
        <v>18</v>
      </c>
      <c r="J15" s="188">
        <v>18</v>
      </c>
      <c r="K15" s="188">
        <v>18</v>
      </c>
      <c r="L15" s="188">
        <v>18</v>
      </c>
      <c r="M15" s="188">
        <v>18</v>
      </c>
      <c r="N15" s="175"/>
      <c r="O15" s="175"/>
      <c r="P15" s="175"/>
    </row>
    <row r="16" spans="1:16" ht="16" outlineLevel="1" x14ac:dyDescent="0.2">
      <c r="A16" s="175" t="s">
        <v>75</v>
      </c>
      <c r="B16" s="175"/>
      <c r="C16" s="203"/>
      <c r="D16" s="187">
        <f>D45/D26*365</f>
        <v>73</v>
      </c>
      <c r="E16" s="187">
        <f t="shared" si="10"/>
        <v>73</v>
      </c>
      <c r="F16" s="187">
        <f t="shared" si="10"/>
        <v>73</v>
      </c>
      <c r="G16" s="187">
        <f t="shared" si="10"/>
        <v>73</v>
      </c>
      <c r="H16" s="187">
        <f t="shared" si="10"/>
        <v>73</v>
      </c>
      <c r="I16" s="188">
        <v>80</v>
      </c>
      <c r="J16" s="188">
        <v>90</v>
      </c>
      <c r="K16" s="188">
        <v>100</v>
      </c>
      <c r="L16" s="188">
        <v>100</v>
      </c>
      <c r="M16" s="188">
        <v>100</v>
      </c>
      <c r="N16" s="175"/>
      <c r="O16" s="175"/>
      <c r="P16" s="175"/>
    </row>
    <row r="17" spans="1:13" ht="16" outlineLevel="1" x14ac:dyDescent="0.2">
      <c r="A17" s="175" t="s">
        <v>76</v>
      </c>
      <c r="B17" s="175"/>
      <c r="C17" s="203"/>
      <c r="D17" s="187">
        <f>D50/D26*365</f>
        <v>36.5</v>
      </c>
      <c r="E17" s="187">
        <f t="shared" ref="E17:H17" si="11">E50/E26*365</f>
        <v>36.5</v>
      </c>
      <c r="F17" s="187">
        <f t="shared" si="11"/>
        <v>36.5</v>
      </c>
      <c r="G17" s="187">
        <f t="shared" si="11"/>
        <v>36.5</v>
      </c>
      <c r="H17" s="187">
        <f t="shared" si="11"/>
        <v>36.5</v>
      </c>
      <c r="I17" s="188">
        <v>37</v>
      </c>
      <c r="J17" s="188">
        <v>37</v>
      </c>
      <c r="K17" s="188">
        <v>37</v>
      </c>
      <c r="L17" s="188">
        <v>37</v>
      </c>
      <c r="M17" s="188">
        <v>37</v>
      </c>
    </row>
    <row r="18" spans="1:13" ht="16" outlineLevel="1" x14ac:dyDescent="0.2">
      <c r="A18" s="175" t="s">
        <v>77</v>
      </c>
      <c r="B18" s="175"/>
      <c r="C18" s="182"/>
      <c r="D18" s="187">
        <f>D71</f>
        <v>15000</v>
      </c>
      <c r="E18" s="187">
        <f t="shared" ref="E18:H18" si="12">E71</f>
        <v>15000</v>
      </c>
      <c r="F18" s="187">
        <f t="shared" si="12"/>
        <v>15000</v>
      </c>
      <c r="G18" s="187">
        <f t="shared" si="12"/>
        <v>15000</v>
      </c>
      <c r="H18" s="187">
        <f t="shared" si="12"/>
        <v>15000</v>
      </c>
      <c r="I18" s="188">
        <v>15000</v>
      </c>
      <c r="J18" s="188">
        <v>15000</v>
      </c>
      <c r="K18" s="188">
        <v>15000</v>
      </c>
      <c r="L18" s="188">
        <v>15000</v>
      </c>
      <c r="M18" s="188">
        <v>15000</v>
      </c>
    </row>
    <row r="19" spans="1:13" ht="16" outlineLevel="1" x14ac:dyDescent="0.2">
      <c r="A19" s="175" t="s">
        <v>78</v>
      </c>
      <c r="B19" s="175"/>
      <c r="C19" s="182"/>
      <c r="D19" s="187">
        <f>D75</f>
        <v>0</v>
      </c>
      <c r="E19" s="187">
        <f t="shared" ref="E19:H20" si="13">E75</f>
        <v>0</v>
      </c>
      <c r="F19" s="187">
        <f t="shared" si="13"/>
        <v>-20000</v>
      </c>
      <c r="G19" s="187">
        <f t="shared" si="13"/>
        <v>0</v>
      </c>
      <c r="H19" s="187">
        <f t="shared" si="13"/>
        <v>0</v>
      </c>
      <c r="I19" s="188">
        <v>0</v>
      </c>
      <c r="J19" s="188">
        <v>0</v>
      </c>
      <c r="K19" s="188">
        <v>-20000</v>
      </c>
      <c r="L19" s="188">
        <v>0</v>
      </c>
      <c r="M19" s="188">
        <v>0</v>
      </c>
    </row>
    <row r="20" spans="1:13" ht="16" outlineLevel="1" x14ac:dyDescent="0.2">
      <c r="A20" s="175" t="s">
        <v>79</v>
      </c>
      <c r="B20" s="175"/>
      <c r="C20" s="182"/>
      <c r="D20" s="187">
        <f>D76</f>
        <v>70000</v>
      </c>
      <c r="E20" s="187">
        <f t="shared" si="13"/>
        <v>0</v>
      </c>
      <c r="F20" s="187">
        <f t="shared" si="13"/>
        <v>0</v>
      </c>
      <c r="G20" s="187">
        <f t="shared" si="13"/>
        <v>0</v>
      </c>
      <c r="H20" s="187">
        <f t="shared" si="13"/>
        <v>0</v>
      </c>
      <c r="I20" s="188">
        <v>0</v>
      </c>
      <c r="J20" s="188">
        <v>0</v>
      </c>
      <c r="K20" s="188">
        <v>0</v>
      </c>
      <c r="L20" s="188">
        <v>0</v>
      </c>
      <c r="M20" s="188">
        <v>0</v>
      </c>
    </row>
    <row r="21" spans="1:13" ht="16" outlineLevel="1" x14ac:dyDescent="0.2">
      <c r="A21" s="175"/>
      <c r="B21" s="175"/>
      <c r="C21" s="182"/>
      <c r="D21" s="187"/>
      <c r="E21" s="187"/>
      <c r="F21" s="187"/>
      <c r="G21" s="187"/>
      <c r="H21" s="187"/>
      <c r="I21" s="188"/>
      <c r="J21" s="188"/>
      <c r="K21" s="188"/>
      <c r="L21" s="188"/>
      <c r="M21" s="188"/>
    </row>
    <row r="22" spans="1:13" ht="16" x14ac:dyDescent="0.2">
      <c r="A22" s="175"/>
      <c r="B22" s="175"/>
      <c r="C22" s="182"/>
      <c r="D22" s="187"/>
      <c r="E22" s="187"/>
      <c r="F22" s="187"/>
      <c r="G22" s="187"/>
      <c r="H22" s="187"/>
      <c r="I22" s="188"/>
      <c r="J22" s="188"/>
      <c r="K22" s="188"/>
      <c r="L22" s="188"/>
      <c r="M22" s="188"/>
    </row>
    <row r="23" spans="1:13" ht="20" x14ac:dyDescent="0.2">
      <c r="A23" s="184" t="s">
        <v>80</v>
      </c>
      <c r="B23" s="185"/>
      <c r="C23" s="186"/>
      <c r="D23" s="185"/>
      <c r="E23" s="185"/>
      <c r="F23" s="185"/>
      <c r="G23" s="185"/>
      <c r="H23" s="185"/>
      <c r="I23" s="185"/>
      <c r="J23" s="185"/>
      <c r="K23" s="185"/>
      <c r="L23" s="185"/>
      <c r="M23" s="185"/>
    </row>
    <row r="24" spans="1:13" ht="16" outlineLevel="1" x14ac:dyDescent="0.2">
      <c r="A24" s="204"/>
      <c r="B24" s="204"/>
      <c r="C24" s="205"/>
      <c r="D24" s="206"/>
      <c r="E24" s="206"/>
      <c r="F24" s="206"/>
      <c r="G24" s="206"/>
      <c r="H24" s="206"/>
      <c r="I24" s="207"/>
      <c r="J24" s="207"/>
      <c r="K24" s="207"/>
      <c r="L24" s="207"/>
      <c r="M24" s="207"/>
    </row>
    <row r="25" spans="1:13" ht="16" outlineLevel="1" x14ac:dyDescent="0.2">
      <c r="A25" s="189" t="s">
        <v>81</v>
      </c>
      <c r="B25" s="189"/>
      <c r="C25" s="208"/>
      <c r="D25" s="209">
        <v>102007</v>
      </c>
      <c r="E25" s="209">
        <v>118086</v>
      </c>
      <c r="F25" s="209">
        <v>131345</v>
      </c>
      <c r="G25" s="209">
        <v>142341</v>
      </c>
      <c r="H25" s="209">
        <v>150772</v>
      </c>
      <c r="I25" s="210">
        <f>H25*((1+I8))</f>
        <v>165849.20000000001</v>
      </c>
      <c r="J25" s="210">
        <f t="shared" ref="J25:M25" si="14">I25*((1+J8))</f>
        <v>182434.12000000002</v>
      </c>
      <c r="K25" s="210">
        <f t="shared" si="14"/>
        <v>200677.53200000004</v>
      </c>
      <c r="L25" s="210">
        <f t="shared" si="14"/>
        <v>220745.28520000007</v>
      </c>
      <c r="M25" s="210">
        <f t="shared" si="14"/>
        <v>242819.81372000009</v>
      </c>
    </row>
    <row r="26" spans="1:13" ht="16" outlineLevel="1" x14ac:dyDescent="0.2">
      <c r="A26" s="195" t="s">
        <v>82</v>
      </c>
      <c r="B26" s="195"/>
      <c r="C26" s="196"/>
      <c r="D26" s="211">
        <v>39023</v>
      </c>
      <c r="E26" s="211">
        <v>48004</v>
      </c>
      <c r="F26" s="211">
        <v>49123</v>
      </c>
      <c r="G26" s="211">
        <v>52654</v>
      </c>
      <c r="H26" s="211">
        <v>56710</v>
      </c>
      <c r="I26" s="212">
        <f>I25*(I9)</f>
        <v>69656.664000000004</v>
      </c>
      <c r="J26" s="212">
        <f t="shared" ref="J26:M26" si="15">J25*(J9)</f>
        <v>85744.036400000012</v>
      </c>
      <c r="K26" s="212">
        <f t="shared" si="15"/>
        <v>100338.76600000002</v>
      </c>
      <c r="L26" s="212">
        <f t="shared" si="15"/>
        <v>79468.30267200002</v>
      </c>
      <c r="M26" s="212">
        <f t="shared" si="15"/>
        <v>84986.934802000033</v>
      </c>
    </row>
    <row r="27" spans="1:13" ht="16" outlineLevel="1" x14ac:dyDescent="0.2">
      <c r="A27" s="191" t="s">
        <v>83</v>
      </c>
      <c r="B27" s="191"/>
      <c r="C27" s="192"/>
      <c r="D27" s="213">
        <f>D25-D26</f>
        <v>62984</v>
      </c>
      <c r="E27" s="213">
        <f t="shared" ref="E27:M27" si="16">E25-E26</f>
        <v>70082</v>
      </c>
      <c r="F27" s="213">
        <f t="shared" si="16"/>
        <v>82222</v>
      </c>
      <c r="G27" s="213">
        <f t="shared" si="16"/>
        <v>89687</v>
      </c>
      <c r="H27" s="213">
        <f t="shared" si="16"/>
        <v>94062</v>
      </c>
      <c r="I27" s="213">
        <f t="shared" si="16"/>
        <v>96192.536000000007</v>
      </c>
      <c r="J27" s="213">
        <f t="shared" si="16"/>
        <v>96690.083600000013</v>
      </c>
      <c r="K27" s="213">
        <f t="shared" si="16"/>
        <v>100338.76600000002</v>
      </c>
      <c r="L27" s="213">
        <f t="shared" si="16"/>
        <v>141276.98252800005</v>
      </c>
      <c r="M27" s="213">
        <f t="shared" si="16"/>
        <v>157832.87891800006</v>
      </c>
    </row>
    <row r="28" spans="1:13" ht="16" outlineLevel="1" x14ac:dyDescent="0.2">
      <c r="A28" s="204" t="s">
        <v>84</v>
      </c>
      <c r="B28" s="204"/>
      <c r="C28" s="205"/>
      <c r="D28" s="214"/>
      <c r="E28" s="214"/>
      <c r="F28" s="214"/>
      <c r="G28" s="214"/>
      <c r="H28" s="214"/>
      <c r="I28" s="214"/>
      <c r="J28" s="214"/>
      <c r="K28" s="214"/>
      <c r="L28" s="207"/>
      <c r="M28" s="207"/>
    </row>
    <row r="29" spans="1:13" ht="16" outlineLevel="1" x14ac:dyDescent="0.2">
      <c r="A29" s="175" t="s">
        <v>85</v>
      </c>
      <c r="B29" s="175"/>
      <c r="C29" s="182"/>
      <c r="D29" s="215">
        <v>26427</v>
      </c>
      <c r="E29" s="215">
        <v>22658</v>
      </c>
      <c r="F29" s="215">
        <v>23872</v>
      </c>
      <c r="G29" s="215">
        <v>23002</v>
      </c>
      <c r="H29" s="215">
        <v>25245</v>
      </c>
      <c r="I29" s="216">
        <f>I25*I10</f>
        <v>28194.364000000005</v>
      </c>
      <c r="J29" s="216">
        <f>J25*J10</f>
        <v>31013.800400000007</v>
      </c>
      <c r="K29" s="216">
        <f>K25*K10</f>
        <v>34115.180440000011</v>
      </c>
      <c r="L29" s="216">
        <f>L25*L10</f>
        <v>37526.698484000015</v>
      </c>
      <c r="M29" s="216">
        <f>M25*M10</f>
        <v>41279.368332400016</v>
      </c>
    </row>
    <row r="30" spans="1:13" ht="16" outlineLevel="1" x14ac:dyDescent="0.2">
      <c r="A30" s="175" t="s">
        <v>86</v>
      </c>
      <c r="B30" s="175"/>
      <c r="C30" s="182"/>
      <c r="D30" s="215">
        <v>10963</v>
      </c>
      <c r="E30" s="215">
        <v>10125</v>
      </c>
      <c r="F30" s="215">
        <v>10087</v>
      </c>
      <c r="G30" s="215">
        <v>11020</v>
      </c>
      <c r="H30" s="215">
        <v>11412</v>
      </c>
      <c r="I30" s="216">
        <f>I11</f>
        <v>15000</v>
      </c>
      <c r="J30" s="216">
        <f>J11</f>
        <v>15000</v>
      </c>
      <c r="K30" s="216">
        <f>K11</f>
        <v>15000</v>
      </c>
      <c r="L30" s="216">
        <f>L11</f>
        <v>15000</v>
      </c>
      <c r="M30" s="216">
        <f>M11</f>
        <v>15000</v>
      </c>
    </row>
    <row r="31" spans="1:13" ht="16" outlineLevel="1" x14ac:dyDescent="0.2">
      <c r="A31" s="175" t="s">
        <v>87</v>
      </c>
      <c r="B31" s="175"/>
      <c r="C31" s="182"/>
      <c r="D31" s="215">
        <v>19500</v>
      </c>
      <c r="E31" s="215">
        <v>18150</v>
      </c>
      <c r="F31" s="215">
        <v>17205</v>
      </c>
      <c r="G31" s="215">
        <v>16543.5</v>
      </c>
      <c r="H31" s="215">
        <v>16080.449999999999</v>
      </c>
      <c r="I31" s="216">
        <f>+I97</f>
        <v>13132.3675</v>
      </c>
      <c r="J31" s="216">
        <f t="shared" ref="J31:M31" si="17">+J97</f>
        <v>13786.038875</v>
      </c>
      <c r="K31" s="216">
        <f t="shared" si="17"/>
        <v>14210.925268750001</v>
      </c>
      <c r="L31" s="216">
        <f t="shared" si="17"/>
        <v>14487.101424687498</v>
      </c>
      <c r="M31" s="216">
        <f t="shared" si="17"/>
        <v>14666.615926046874</v>
      </c>
    </row>
    <row r="32" spans="1:13" ht="16" outlineLevel="1" x14ac:dyDescent="0.2">
      <c r="A32" s="217" t="s">
        <v>88</v>
      </c>
      <c r="B32" s="217"/>
      <c r="C32" s="218"/>
      <c r="D32" s="219">
        <v>2500</v>
      </c>
      <c r="E32" s="219">
        <v>2500</v>
      </c>
      <c r="F32" s="219">
        <v>1500</v>
      </c>
      <c r="G32" s="219">
        <v>1500</v>
      </c>
      <c r="H32" s="219">
        <v>1500</v>
      </c>
      <c r="I32" s="220">
        <f>I104</f>
        <v>3000</v>
      </c>
      <c r="J32" s="220">
        <f t="shared" ref="J32:M32" si="18">J104</f>
        <v>3000</v>
      </c>
      <c r="K32" s="220">
        <f t="shared" si="18"/>
        <v>1000</v>
      </c>
      <c r="L32" s="220">
        <f t="shared" si="18"/>
        <v>1000</v>
      </c>
      <c r="M32" s="220">
        <f t="shared" si="18"/>
        <v>1000</v>
      </c>
    </row>
    <row r="33" spans="1:13" ht="16" outlineLevel="1" x14ac:dyDescent="0.2">
      <c r="A33" s="204" t="s">
        <v>89</v>
      </c>
      <c r="B33" s="195"/>
      <c r="C33" s="196"/>
      <c r="D33" s="207">
        <f>SUM(D29:D32)</f>
        <v>59390</v>
      </c>
      <c r="E33" s="207">
        <f t="shared" ref="E33:M33" si="19">SUM(E29:E32)</f>
        <v>53433</v>
      </c>
      <c r="F33" s="207">
        <f t="shared" si="19"/>
        <v>52664</v>
      </c>
      <c r="G33" s="207">
        <f t="shared" si="19"/>
        <v>52065.5</v>
      </c>
      <c r="H33" s="207">
        <f t="shared" si="19"/>
        <v>54237.45</v>
      </c>
      <c r="I33" s="207">
        <f t="shared" si="19"/>
        <v>59326.731500000002</v>
      </c>
      <c r="J33" s="207">
        <f t="shared" si="19"/>
        <v>62799.839275000006</v>
      </c>
      <c r="K33" s="207">
        <f t="shared" si="19"/>
        <v>64326.105708750008</v>
      </c>
      <c r="L33" s="207">
        <f t="shared" si="19"/>
        <v>68013.799908687506</v>
      </c>
      <c r="M33" s="207">
        <f t="shared" si="19"/>
        <v>71945.984258446886</v>
      </c>
    </row>
    <row r="34" spans="1:13" ht="16" outlineLevel="1" x14ac:dyDescent="0.2">
      <c r="A34" s="191" t="s">
        <v>90</v>
      </c>
      <c r="B34" s="191"/>
      <c r="C34" s="192"/>
      <c r="D34" s="213">
        <f>D27-D33</f>
        <v>3594</v>
      </c>
      <c r="E34" s="213">
        <f t="shared" ref="E34:M34" si="20">E27-E33</f>
        <v>16649</v>
      </c>
      <c r="F34" s="213">
        <f t="shared" si="20"/>
        <v>29558</v>
      </c>
      <c r="G34" s="213">
        <f t="shared" si="20"/>
        <v>37621.5</v>
      </c>
      <c r="H34" s="213">
        <f t="shared" si="20"/>
        <v>39824.550000000003</v>
      </c>
      <c r="I34" s="213">
        <f t="shared" si="20"/>
        <v>36865.804500000006</v>
      </c>
      <c r="J34" s="213">
        <f t="shared" si="20"/>
        <v>33890.244325000007</v>
      </c>
      <c r="K34" s="213">
        <f t="shared" si="20"/>
        <v>36012.660291250009</v>
      </c>
      <c r="L34" s="213">
        <f t="shared" si="20"/>
        <v>73263.182619312545</v>
      </c>
      <c r="M34" s="213">
        <f t="shared" si="20"/>
        <v>85886.894659553174</v>
      </c>
    </row>
    <row r="35" spans="1:13" ht="16" outlineLevel="1" x14ac:dyDescent="0.2">
      <c r="A35" s="204"/>
      <c r="B35" s="204"/>
      <c r="C35" s="205"/>
      <c r="D35" s="206"/>
      <c r="E35" s="206"/>
      <c r="F35" s="206"/>
      <c r="G35" s="206"/>
      <c r="H35" s="206"/>
      <c r="I35" s="207"/>
      <c r="J35" s="207"/>
      <c r="K35" s="207"/>
      <c r="L35" s="207"/>
      <c r="M35" s="207"/>
    </row>
    <row r="36" spans="1:13" ht="16" outlineLevel="1" x14ac:dyDescent="0.2">
      <c r="A36" s="195" t="s">
        <v>91</v>
      </c>
      <c r="B36" s="195"/>
      <c r="C36" s="196"/>
      <c r="D36" s="215">
        <v>1120.1708000000001</v>
      </c>
      <c r="E36" s="215">
        <v>4858.2165021220308</v>
      </c>
      <c r="F36" s="215">
        <v>8482.8061148686775</v>
      </c>
      <c r="G36" s="215">
        <v>10908.02097640469</v>
      </c>
      <c r="H36" s="215">
        <v>11597.665241419718</v>
      </c>
      <c r="I36" s="221">
        <f>I34*I14</f>
        <v>10322.425260000002</v>
      </c>
      <c r="J36" s="221">
        <f>J34*J14</f>
        <v>9489.2684110000027</v>
      </c>
      <c r="K36" s="221">
        <f>K34*K14</f>
        <v>10083.544881550004</v>
      </c>
      <c r="L36" s="221">
        <f>L34*L14</f>
        <v>20513.691133407516</v>
      </c>
      <c r="M36" s="221">
        <f>M34*M14</f>
        <v>24048.33050467489</v>
      </c>
    </row>
    <row r="37" spans="1:13" ht="17" outlineLevel="1" thickBot="1" x14ac:dyDescent="0.25">
      <c r="A37" s="222" t="s">
        <v>92</v>
      </c>
      <c r="B37" s="222"/>
      <c r="C37" s="223"/>
      <c r="D37" s="224">
        <f>D34-D36</f>
        <v>2473.8292000000001</v>
      </c>
      <c r="E37" s="224">
        <f t="shared" ref="E37:M37" si="21">E34-E36</f>
        <v>11790.783497877968</v>
      </c>
      <c r="F37" s="224">
        <f t="shared" si="21"/>
        <v>21075.193885131324</v>
      </c>
      <c r="G37" s="224">
        <f t="shared" si="21"/>
        <v>26713.479023595311</v>
      </c>
      <c r="H37" s="224">
        <f t="shared" si="21"/>
        <v>28226.884758580287</v>
      </c>
      <c r="I37" s="224">
        <f t="shared" si="21"/>
        <v>26543.379240000002</v>
      </c>
      <c r="J37" s="224">
        <f t="shared" si="21"/>
        <v>24400.975914000002</v>
      </c>
      <c r="K37" s="224">
        <f t="shared" si="21"/>
        <v>25929.115409700004</v>
      </c>
      <c r="L37" s="224">
        <f t="shared" si="21"/>
        <v>52749.491485905033</v>
      </c>
      <c r="M37" s="224">
        <f t="shared" si="21"/>
        <v>61838.564154878288</v>
      </c>
    </row>
    <row r="38" spans="1:13" ht="17" outlineLevel="1" collapsed="1" thickTop="1" x14ac:dyDescent="0.2">
      <c r="A38" s="175"/>
      <c r="B38" s="175"/>
      <c r="C38" s="182"/>
      <c r="D38" s="215"/>
      <c r="E38" s="215"/>
      <c r="F38" s="215"/>
      <c r="G38" s="215"/>
      <c r="H38" s="215"/>
      <c r="I38" s="175"/>
      <c r="J38" s="175"/>
      <c r="K38" s="175"/>
      <c r="L38" s="175"/>
      <c r="M38" s="175"/>
    </row>
    <row r="39" spans="1:13" ht="16" x14ac:dyDescent="0.2">
      <c r="A39" s="175"/>
      <c r="B39" s="175"/>
      <c r="C39" s="182"/>
      <c r="D39" s="215"/>
      <c r="E39" s="215"/>
      <c r="F39" s="215"/>
      <c r="G39" s="215"/>
      <c r="H39" s="215"/>
      <c r="I39" s="175"/>
      <c r="J39" s="175"/>
      <c r="K39" s="175"/>
      <c r="L39" s="175"/>
      <c r="M39" s="175"/>
    </row>
    <row r="40" spans="1:13" ht="20" x14ac:dyDescent="0.2">
      <c r="A40" s="184" t="s">
        <v>93</v>
      </c>
      <c r="B40" s="185"/>
      <c r="C40" s="186"/>
      <c r="D40" s="185"/>
      <c r="E40" s="185"/>
      <c r="F40" s="185"/>
      <c r="G40" s="185"/>
      <c r="H40" s="185"/>
      <c r="I40" s="185"/>
      <c r="J40" s="185"/>
      <c r="K40" s="185"/>
      <c r="L40" s="185"/>
      <c r="M40" s="185"/>
    </row>
    <row r="41" spans="1:13" ht="16" outlineLevel="1" x14ac:dyDescent="0.2">
      <c r="A41" s="175"/>
      <c r="B41" s="175"/>
      <c r="C41" s="182"/>
      <c r="D41" s="215"/>
      <c r="E41" s="215"/>
      <c r="F41" s="215"/>
      <c r="G41" s="215"/>
      <c r="H41" s="215"/>
      <c r="I41" s="175"/>
      <c r="J41" s="175"/>
      <c r="K41" s="175"/>
      <c r="L41" s="175"/>
      <c r="M41" s="175"/>
    </row>
    <row r="42" spans="1:13" ht="16" outlineLevel="1" x14ac:dyDescent="0.2">
      <c r="A42" s="189" t="s">
        <v>94</v>
      </c>
      <c r="B42" s="175"/>
      <c r="C42" s="182"/>
      <c r="D42" s="215"/>
      <c r="E42" s="215"/>
      <c r="F42" s="215"/>
      <c r="G42" s="215"/>
      <c r="H42" s="215"/>
      <c r="I42" s="175"/>
      <c r="J42" s="175"/>
      <c r="K42" s="175"/>
      <c r="L42" s="175"/>
      <c r="M42" s="175"/>
    </row>
    <row r="43" spans="1:13" ht="16" outlineLevel="1" x14ac:dyDescent="0.2">
      <c r="A43" s="175" t="s">
        <v>95</v>
      </c>
      <c r="B43" s="175"/>
      <c r="C43" s="225"/>
      <c r="D43" s="215">
        <v>67971.179200000013</v>
      </c>
      <c r="E43" s="215">
        <v>81209.912697877968</v>
      </c>
      <c r="F43" s="215">
        <v>83715.256583009294</v>
      </c>
      <c r="G43" s="215">
        <v>111069.33560660461</v>
      </c>
      <c r="H43" s="215">
        <v>139549.5203651849</v>
      </c>
      <c r="I43" s="175">
        <f>I81</f>
        <v>161049.87490792462</v>
      </c>
      <c r="J43" s="175">
        <f t="shared" ref="J43:M43" si="22">J81</f>
        <v>179174.62685528077</v>
      </c>
      <c r="K43" s="175">
        <f t="shared" si="22"/>
        <v>178546.75042468967</v>
      </c>
      <c r="L43" s="175">
        <f t="shared" si="22"/>
        <v>233395.99986148495</v>
      </c>
      <c r="M43" s="175">
        <f t="shared" si="22"/>
        <v>292860.04203131422</v>
      </c>
    </row>
    <row r="44" spans="1:13" ht="16" outlineLevel="1" x14ac:dyDescent="0.2">
      <c r="A44" s="175" t="s">
        <v>96</v>
      </c>
      <c r="B44" s="175"/>
      <c r="C44" s="225"/>
      <c r="D44" s="215">
        <v>5100.3500000000004</v>
      </c>
      <c r="E44" s="215">
        <v>5904.3</v>
      </c>
      <c r="F44" s="215">
        <v>6567.25</v>
      </c>
      <c r="G44" s="215">
        <v>7117.05</v>
      </c>
      <c r="H44" s="215">
        <v>7538.6</v>
      </c>
      <c r="I44" s="226">
        <f t="shared" ref="I44:M45" si="23">I25*I15/365</f>
        <v>8178.8646575342473</v>
      </c>
      <c r="J44" s="226">
        <f t="shared" si="23"/>
        <v>8996.7511232876732</v>
      </c>
      <c r="K44" s="226">
        <f t="shared" si="23"/>
        <v>9896.42623561644</v>
      </c>
      <c r="L44" s="226">
        <f t="shared" si="23"/>
        <v>10886.068859178085</v>
      </c>
      <c r="M44" s="226">
        <f t="shared" si="23"/>
        <v>11974.675745095894</v>
      </c>
    </row>
    <row r="45" spans="1:13" ht="16" outlineLevel="1" x14ac:dyDescent="0.2">
      <c r="A45" s="175" t="s">
        <v>97</v>
      </c>
      <c r="B45" s="175"/>
      <c r="C45" s="225"/>
      <c r="D45" s="215">
        <v>7804.6</v>
      </c>
      <c r="E45" s="215">
        <v>9600.8000000000011</v>
      </c>
      <c r="F45" s="215">
        <v>9824.6</v>
      </c>
      <c r="G45" s="215">
        <v>10530.800000000001</v>
      </c>
      <c r="H45" s="215">
        <v>11342</v>
      </c>
      <c r="I45" s="175">
        <f t="shared" si="23"/>
        <v>15267.21402739726</v>
      </c>
      <c r="J45" s="175">
        <f t="shared" si="23"/>
        <v>21142.365139726033</v>
      </c>
      <c r="K45" s="175">
        <f t="shared" si="23"/>
        <v>27490.072876712333</v>
      </c>
      <c r="L45" s="175">
        <f t="shared" si="23"/>
        <v>21772.137718356171</v>
      </c>
      <c r="M45" s="175">
        <f t="shared" si="23"/>
        <v>23284.091726575352</v>
      </c>
    </row>
    <row r="46" spans="1:13" ht="16" outlineLevel="1" x14ac:dyDescent="0.2">
      <c r="A46" s="175" t="s">
        <v>98</v>
      </c>
      <c r="B46" s="175"/>
      <c r="C46" s="182"/>
      <c r="D46" s="215">
        <v>45500</v>
      </c>
      <c r="E46" s="215">
        <v>42350</v>
      </c>
      <c r="F46" s="215">
        <v>40145</v>
      </c>
      <c r="G46" s="215">
        <v>38601.5</v>
      </c>
      <c r="H46" s="215">
        <v>37521.050000000003</v>
      </c>
      <c r="I46" s="175">
        <f t="shared" ref="I46:M46" si="24">I98</f>
        <v>39388.682500000003</v>
      </c>
      <c r="J46" s="175">
        <f t="shared" si="24"/>
        <v>40602.643625000004</v>
      </c>
      <c r="K46" s="175">
        <f t="shared" si="24"/>
        <v>41391.718356249999</v>
      </c>
      <c r="L46" s="175">
        <f t="shared" si="24"/>
        <v>41904.616931562501</v>
      </c>
      <c r="M46" s="175">
        <f t="shared" si="24"/>
        <v>42238.001005515631</v>
      </c>
    </row>
    <row r="47" spans="1:13" ht="17" outlineLevel="1" thickBot="1" x14ac:dyDescent="0.25">
      <c r="A47" s="222" t="s">
        <v>99</v>
      </c>
      <c r="B47" s="222"/>
      <c r="C47" s="223"/>
      <c r="D47" s="224">
        <f>SUM(D43:D46)</f>
        <v>126376.12920000002</v>
      </c>
      <c r="E47" s="224">
        <f t="shared" ref="E47:M47" si="25">SUM(E43:E46)</f>
        <v>139065.01269787797</v>
      </c>
      <c r="F47" s="224">
        <f t="shared" si="25"/>
        <v>140252.1065830093</v>
      </c>
      <c r="G47" s="224">
        <f t="shared" si="25"/>
        <v>167318.68560660462</v>
      </c>
      <c r="H47" s="224">
        <f t="shared" si="25"/>
        <v>195951.17036518489</v>
      </c>
      <c r="I47" s="222">
        <f t="shared" si="25"/>
        <v>223884.63609285612</v>
      </c>
      <c r="J47" s="222">
        <f t="shared" si="25"/>
        <v>249916.38674329448</v>
      </c>
      <c r="K47" s="222">
        <f t="shared" si="25"/>
        <v>257324.96789326845</v>
      </c>
      <c r="L47" s="222">
        <f t="shared" si="25"/>
        <v>307958.82337058167</v>
      </c>
      <c r="M47" s="222">
        <f t="shared" si="25"/>
        <v>370356.81050850108</v>
      </c>
    </row>
    <row r="48" spans="1:13" ht="17" outlineLevel="1" thickTop="1" x14ac:dyDescent="0.2">
      <c r="A48" s="204"/>
      <c r="B48" s="204"/>
      <c r="C48" s="205"/>
      <c r="D48" s="206"/>
      <c r="E48" s="206"/>
      <c r="F48" s="206"/>
      <c r="G48" s="206"/>
      <c r="H48" s="206"/>
      <c r="I48" s="204"/>
      <c r="J48" s="204"/>
      <c r="K48" s="204"/>
      <c r="L48" s="204"/>
      <c r="M48" s="204"/>
    </row>
    <row r="49" spans="1:13" ht="16" outlineLevel="1" x14ac:dyDescent="0.2">
      <c r="A49" s="189" t="s">
        <v>100</v>
      </c>
      <c r="B49" s="175"/>
      <c r="C49" s="225"/>
      <c r="D49" s="215"/>
      <c r="E49" s="215"/>
      <c r="F49" s="215"/>
      <c r="G49" s="215"/>
      <c r="H49" s="215"/>
      <c r="I49" s="175"/>
      <c r="J49" s="175"/>
      <c r="K49" s="175"/>
      <c r="L49" s="175"/>
      <c r="M49" s="175"/>
    </row>
    <row r="50" spans="1:13" ht="16" outlineLevel="1" x14ac:dyDescent="0.2">
      <c r="A50" s="175" t="s">
        <v>101</v>
      </c>
      <c r="B50" s="175"/>
      <c r="C50" s="225"/>
      <c r="D50" s="215">
        <v>3902.3</v>
      </c>
      <c r="E50" s="215">
        <v>4800.4000000000005</v>
      </c>
      <c r="F50" s="215">
        <v>4912.3</v>
      </c>
      <c r="G50" s="215">
        <v>5265.4000000000005</v>
      </c>
      <c r="H50" s="215">
        <v>5671</v>
      </c>
      <c r="I50" s="175">
        <f>I26*I17/365</f>
        <v>7061.086487671233</v>
      </c>
      <c r="J50" s="175">
        <f>J26*J17/365</f>
        <v>8691.8612241095907</v>
      </c>
      <c r="K50" s="175">
        <f>K26*K17/365</f>
        <v>10171.326964383563</v>
      </c>
      <c r="L50" s="175">
        <f>L26*L17/365</f>
        <v>8055.6909557917834</v>
      </c>
      <c r="M50" s="175">
        <f>M26*M17/365</f>
        <v>8615.1139388328793</v>
      </c>
    </row>
    <row r="51" spans="1:13" ht="16" outlineLevel="1" x14ac:dyDescent="0.2">
      <c r="A51" s="175" t="s">
        <v>102</v>
      </c>
      <c r="B51" s="175"/>
      <c r="C51" s="182"/>
      <c r="D51" s="215">
        <v>50000</v>
      </c>
      <c r="E51" s="215">
        <v>50000</v>
      </c>
      <c r="F51" s="215">
        <v>30000</v>
      </c>
      <c r="G51" s="215">
        <v>30000</v>
      </c>
      <c r="H51" s="215">
        <v>30000</v>
      </c>
      <c r="I51" s="175">
        <f t="shared" ref="I51:M51" si="26">I103</f>
        <v>30000</v>
      </c>
      <c r="J51" s="175">
        <f t="shared" si="26"/>
        <v>30000</v>
      </c>
      <c r="K51" s="175">
        <f t="shared" si="26"/>
        <v>10000</v>
      </c>
      <c r="L51" s="175">
        <f t="shared" si="26"/>
        <v>10000</v>
      </c>
      <c r="M51" s="175">
        <f t="shared" si="26"/>
        <v>10000</v>
      </c>
    </row>
    <row r="52" spans="1:13" ht="16" outlineLevel="1" x14ac:dyDescent="0.2">
      <c r="A52" s="191" t="s">
        <v>103</v>
      </c>
      <c r="B52" s="191"/>
      <c r="C52" s="192"/>
      <c r="D52" s="213">
        <f>SUM(D50:D51)</f>
        <v>53902.3</v>
      </c>
      <c r="E52" s="213">
        <f t="shared" ref="E52:M52" si="27">SUM(E50:E51)</f>
        <v>54800.4</v>
      </c>
      <c r="F52" s="213">
        <f t="shared" si="27"/>
        <v>34912.300000000003</v>
      </c>
      <c r="G52" s="213">
        <f t="shared" si="27"/>
        <v>35265.4</v>
      </c>
      <c r="H52" s="213">
        <f t="shared" si="27"/>
        <v>35671</v>
      </c>
      <c r="I52" s="191">
        <f t="shared" si="27"/>
        <v>37061.086487671229</v>
      </c>
      <c r="J52" s="191">
        <f t="shared" si="27"/>
        <v>38691.861224109591</v>
      </c>
      <c r="K52" s="191">
        <f t="shared" si="27"/>
        <v>20171.326964383563</v>
      </c>
      <c r="L52" s="191">
        <f t="shared" si="27"/>
        <v>18055.690955791782</v>
      </c>
      <c r="M52" s="191">
        <f t="shared" si="27"/>
        <v>18615.113938832881</v>
      </c>
    </row>
    <row r="53" spans="1:13" ht="16" outlineLevel="1" x14ac:dyDescent="0.2">
      <c r="A53" s="189" t="s">
        <v>104</v>
      </c>
      <c r="B53" s="175"/>
      <c r="C53" s="182"/>
      <c r="D53" s="215"/>
      <c r="E53" s="215"/>
      <c r="F53" s="215"/>
      <c r="G53" s="215"/>
      <c r="H53" s="215"/>
      <c r="I53" s="175"/>
      <c r="J53" s="175"/>
      <c r="K53" s="175"/>
      <c r="L53" s="175"/>
      <c r="M53" s="175"/>
    </row>
    <row r="54" spans="1:13" ht="16" outlineLevel="1" x14ac:dyDescent="0.2">
      <c r="A54" s="175" t="s">
        <v>105</v>
      </c>
      <c r="B54" s="175"/>
      <c r="C54" s="182"/>
      <c r="D54" s="215">
        <v>70000</v>
      </c>
      <c r="E54" s="215">
        <v>70000</v>
      </c>
      <c r="F54" s="215">
        <v>70000</v>
      </c>
      <c r="G54" s="215">
        <v>70000</v>
      </c>
      <c r="H54" s="215">
        <v>70000</v>
      </c>
      <c r="I54" s="175">
        <f>H54+I20</f>
        <v>70000</v>
      </c>
      <c r="J54" s="175">
        <f>I54+J20</f>
        <v>70000</v>
      </c>
      <c r="K54" s="175">
        <f>J54+K20</f>
        <v>70000</v>
      </c>
      <c r="L54" s="175">
        <f>K54+L20</f>
        <v>70000</v>
      </c>
      <c r="M54" s="175">
        <f>L54+M20</f>
        <v>70000</v>
      </c>
    </row>
    <row r="55" spans="1:13" ht="16" outlineLevel="1" x14ac:dyDescent="0.2">
      <c r="A55" s="175" t="s">
        <v>106</v>
      </c>
      <c r="B55" s="175"/>
      <c r="C55" s="182"/>
      <c r="D55" s="215">
        <v>2473.8292000000001</v>
      </c>
      <c r="E55" s="215">
        <v>14264.612697877968</v>
      </c>
      <c r="F55" s="215">
        <v>35339.806583009296</v>
      </c>
      <c r="G55" s="215">
        <v>62053.285606604608</v>
      </c>
      <c r="H55" s="215">
        <v>90280.170365184895</v>
      </c>
      <c r="I55" s="175">
        <f t="shared" ref="I55:M55" si="28">+H55+I37</f>
        <v>116823.5496051849</v>
      </c>
      <c r="J55" s="175">
        <f t="shared" si="28"/>
        <v>141224.52551918491</v>
      </c>
      <c r="K55" s="175">
        <f t="shared" si="28"/>
        <v>167153.64092888491</v>
      </c>
      <c r="L55" s="175">
        <f t="shared" si="28"/>
        <v>219903.13241478993</v>
      </c>
      <c r="M55" s="175">
        <f t="shared" si="28"/>
        <v>281741.69656966825</v>
      </c>
    </row>
    <row r="56" spans="1:13" ht="16" outlineLevel="1" x14ac:dyDescent="0.2">
      <c r="A56" s="227" t="s">
        <v>104</v>
      </c>
      <c r="B56" s="227"/>
      <c r="C56" s="228"/>
      <c r="D56" s="229">
        <f>SUM(D54:D55)</f>
        <v>72473.829200000007</v>
      </c>
      <c r="E56" s="229">
        <f t="shared" ref="E56:M56" si="29">SUM(E54:E55)</f>
        <v>84264.612697877965</v>
      </c>
      <c r="F56" s="229">
        <f t="shared" si="29"/>
        <v>105339.8065830093</v>
      </c>
      <c r="G56" s="229">
        <f t="shared" si="29"/>
        <v>132053.28560660459</v>
      </c>
      <c r="H56" s="229">
        <f t="shared" si="29"/>
        <v>160280.17036518489</v>
      </c>
      <c r="I56" s="227">
        <f t="shared" si="29"/>
        <v>186823.5496051849</v>
      </c>
      <c r="J56" s="227">
        <f t="shared" si="29"/>
        <v>211224.52551918491</v>
      </c>
      <c r="K56" s="227">
        <f t="shared" si="29"/>
        <v>237153.64092888491</v>
      </c>
      <c r="L56" s="227">
        <f t="shared" si="29"/>
        <v>289903.13241478993</v>
      </c>
      <c r="M56" s="227">
        <f t="shared" si="29"/>
        <v>351741.69656966825</v>
      </c>
    </row>
    <row r="57" spans="1:13" ht="17" outlineLevel="1" thickBot="1" x14ac:dyDescent="0.25">
      <c r="A57" s="222" t="s">
        <v>107</v>
      </c>
      <c r="B57" s="222"/>
      <c r="C57" s="223"/>
      <c r="D57" s="224">
        <f>D52+D56</f>
        <v>126376.12920000001</v>
      </c>
      <c r="E57" s="224">
        <f t="shared" ref="E57:H57" si="30">E52+E56</f>
        <v>139065.01269787797</v>
      </c>
      <c r="F57" s="224">
        <f t="shared" si="30"/>
        <v>140252.1065830093</v>
      </c>
      <c r="G57" s="224">
        <f t="shared" si="30"/>
        <v>167318.68560660459</v>
      </c>
      <c r="H57" s="224">
        <f t="shared" si="30"/>
        <v>195951.17036518489</v>
      </c>
      <c r="I57" s="222">
        <f t="shared" ref="I57:M57" si="31">I56+I52</f>
        <v>223884.63609285612</v>
      </c>
      <c r="J57" s="222">
        <f t="shared" si="31"/>
        <v>249916.38674329451</v>
      </c>
      <c r="K57" s="222">
        <f t="shared" si="31"/>
        <v>257324.96789326848</v>
      </c>
      <c r="L57" s="222">
        <f t="shared" si="31"/>
        <v>307958.82337058173</v>
      </c>
      <c r="M57" s="222">
        <f t="shared" si="31"/>
        <v>370356.81050850113</v>
      </c>
    </row>
    <row r="58" spans="1:13" ht="17" outlineLevel="1" thickTop="1" x14ac:dyDescent="0.2">
      <c r="A58" s="175"/>
      <c r="B58" s="175"/>
      <c r="C58" s="182"/>
      <c r="D58" s="215"/>
      <c r="E58" s="215"/>
      <c r="F58" s="215"/>
      <c r="G58" s="215"/>
      <c r="H58" s="215"/>
      <c r="I58" s="175"/>
      <c r="J58" s="175"/>
      <c r="K58" s="175"/>
      <c r="L58" s="175"/>
      <c r="M58" s="175"/>
    </row>
    <row r="59" spans="1:13" ht="16" outlineLevel="1" x14ac:dyDescent="0.2">
      <c r="A59" s="230" t="s">
        <v>108</v>
      </c>
      <c r="B59" s="231"/>
      <c r="C59" s="232"/>
      <c r="D59" s="231">
        <f t="shared" ref="D59:M59" si="32">D57-D47</f>
        <v>0</v>
      </c>
      <c r="E59" s="231">
        <f t="shared" si="32"/>
        <v>0</v>
      </c>
      <c r="F59" s="231">
        <f t="shared" si="32"/>
        <v>0</v>
      </c>
      <c r="G59" s="231">
        <f t="shared" si="32"/>
        <v>0</v>
      </c>
      <c r="H59" s="231">
        <f t="shared" si="32"/>
        <v>0</v>
      </c>
      <c r="I59" s="231">
        <f t="shared" si="32"/>
        <v>0</v>
      </c>
      <c r="J59" s="231">
        <f t="shared" si="32"/>
        <v>0</v>
      </c>
      <c r="K59" s="231">
        <f t="shared" si="32"/>
        <v>0</v>
      </c>
      <c r="L59" s="231">
        <f t="shared" si="32"/>
        <v>0</v>
      </c>
      <c r="M59" s="231">
        <f t="shared" si="32"/>
        <v>0</v>
      </c>
    </row>
    <row r="60" spans="1:13" ht="16" outlineLevel="1" x14ac:dyDescent="0.2">
      <c r="A60" s="231"/>
      <c r="B60" s="231"/>
      <c r="C60" s="232"/>
      <c r="D60" s="231"/>
      <c r="E60" s="231"/>
      <c r="F60" s="231"/>
      <c r="G60" s="231"/>
      <c r="H60" s="231"/>
      <c r="I60" s="231"/>
      <c r="J60" s="231"/>
      <c r="K60" s="231"/>
      <c r="L60" s="231"/>
      <c r="M60" s="231"/>
    </row>
    <row r="61" spans="1:13" ht="16" x14ac:dyDescent="0.2">
      <c r="A61" s="175"/>
      <c r="B61" s="175"/>
      <c r="C61" s="182"/>
      <c r="D61" s="215"/>
      <c r="E61" s="215"/>
      <c r="F61" s="215"/>
      <c r="G61" s="215"/>
      <c r="H61" s="215"/>
      <c r="I61" s="175"/>
      <c r="J61" s="175"/>
      <c r="K61" s="175"/>
      <c r="L61" s="175"/>
      <c r="M61" s="175"/>
    </row>
    <row r="62" spans="1:13" ht="20" x14ac:dyDescent="0.2">
      <c r="A62" s="184" t="s">
        <v>109</v>
      </c>
      <c r="B62" s="185"/>
      <c r="C62" s="186"/>
      <c r="D62" s="185"/>
      <c r="E62" s="185"/>
      <c r="F62" s="185"/>
      <c r="G62" s="185"/>
      <c r="H62" s="185"/>
      <c r="I62" s="185"/>
      <c r="J62" s="185"/>
      <c r="K62" s="185"/>
      <c r="L62" s="185"/>
      <c r="M62" s="185"/>
    </row>
    <row r="63" spans="1:13" ht="16" outlineLevel="1" x14ac:dyDescent="0.2">
      <c r="A63" s="189"/>
      <c r="B63" s="175"/>
      <c r="C63" s="182"/>
      <c r="D63" s="206"/>
      <c r="E63" s="215"/>
      <c r="F63" s="215"/>
      <c r="G63" s="215"/>
      <c r="H63" s="215"/>
      <c r="I63" s="175"/>
      <c r="J63" s="175"/>
      <c r="K63" s="175"/>
      <c r="L63" s="175"/>
      <c r="M63" s="175"/>
    </row>
    <row r="64" spans="1:13" ht="16" outlineLevel="1" x14ac:dyDescent="0.2">
      <c r="A64" s="189" t="s">
        <v>110</v>
      </c>
      <c r="B64" s="175"/>
      <c r="C64" s="182"/>
      <c r="D64" s="215"/>
      <c r="E64" s="215"/>
      <c r="F64" s="215"/>
      <c r="G64" s="215"/>
      <c r="H64" s="215"/>
      <c r="I64" s="175"/>
      <c r="J64" s="175"/>
      <c r="K64" s="175"/>
      <c r="L64" s="175"/>
      <c r="M64" s="175"/>
    </row>
    <row r="65" spans="1:13" ht="16" outlineLevel="1" x14ac:dyDescent="0.2">
      <c r="A65" s="175" t="s">
        <v>92</v>
      </c>
      <c r="B65" s="175"/>
      <c r="C65" s="182"/>
      <c r="D65" s="215">
        <v>2473.8292000000001</v>
      </c>
      <c r="E65" s="215">
        <v>11790.783497877968</v>
      </c>
      <c r="F65" s="215">
        <v>21075.193885131324</v>
      </c>
      <c r="G65" s="215">
        <v>26713.479023595311</v>
      </c>
      <c r="H65" s="215">
        <v>28226.884758580287</v>
      </c>
      <c r="I65" s="175">
        <f t="shared" ref="I65:M65" si="33">I37</f>
        <v>26543.379240000002</v>
      </c>
      <c r="J65" s="175">
        <f t="shared" si="33"/>
        <v>24400.975914000002</v>
      </c>
      <c r="K65" s="175">
        <f t="shared" si="33"/>
        <v>25929.115409700004</v>
      </c>
      <c r="L65" s="175">
        <f t="shared" si="33"/>
        <v>52749.491485905033</v>
      </c>
      <c r="M65" s="175">
        <f t="shared" si="33"/>
        <v>61838.564154878288</v>
      </c>
    </row>
    <row r="66" spans="1:13" ht="16" outlineLevel="1" x14ac:dyDescent="0.2">
      <c r="A66" s="175" t="s">
        <v>111</v>
      </c>
      <c r="B66" s="175"/>
      <c r="C66" s="182"/>
      <c r="D66" s="215">
        <v>19500</v>
      </c>
      <c r="E66" s="215">
        <v>18150</v>
      </c>
      <c r="F66" s="215">
        <v>17205</v>
      </c>
      <c r="G66" s="215">
        <v>16543.5</v>
      </c>
      <c r="H66" s="215">
        <v>16080.449999999999</v>
      </c>
      <c r="I66" s="175">
        <f>I31</f>
        <v>13132.3675</v>
      </c>
      <c r="J66" s="175">
        <f t="shared" ref="J66:M66" si="34">J31</f>
        <v>13786.038875</v>
      </c>
      <c r="K66" s="175">
        <f t="shared" si="34"/>
        <v>14210.925268750001</v>
      </c>
      <c r="L66" s="175">
        <f t="shared" si="34"/>
        <v>14487.101424687498</v>
      </c>
      <c r="M66" s="175">
        <f t="shared" si="34"/>
        <v>14666.615926046874</v>
      </c>
    </row>
    <row r="67" spans="1:13" ht="16" outlineLevel="1" x14ac:dyDescent="0.2">
      <c r="A67" s="175" t="s">
        <v>112</v>
      </c>
      <c r="B67" s="175"/>
      <c r="C67" s="182"/>
      <c r="D67" s="215">
        <v>9002.6500000000015</v>
      </c>
      <c r="E67" s="215">
        <v>1702.0499999999993</v>
      </c>
      <c r="F67" s="215">
        <v>774.84999999999854</v>
      </c>
      <c r="G67" s="215">
        <v>902.90000000000146</v>
      </c>
      <c r="H67" s="215">
        <v>827.14999999999782</v>
      </c>
      <c r="I67" s="175">
        <f>I92</f>
        <v>3175.3921972602766</v>
      </c>
      <c r="J67" s="175">
        <f t="shared" ref="J67:M67" si="35">J92</f>
        <v>5062.2628416438383</v>
      </c>
      <c r="K67" s="175">
        <f t="shared" si="35"/>
        <v>5767.9171090411</v>
      </c>
      <c r="L67" s="175">
        <f t="shared" si="35"/>
        <v>-2612.6565262027398</v>
      </c>
      <c r="M67" s="175">
        <f t="shared" si="35"/>
        <v>2041.1379110958951</v>
      </c>
    </row>
    <row r="68" spans="1:13" ht="16" outlineLevel="1" x14ac:dyDescent="0.2">
      <c r="A68" s="191" t="s">
        <v>113</v>
      </c>
      <c r="B68" s="190"/>
      <c r="C68" s="233"/>
      <c r="D68" s="213">
        <f>D65+D66-D67</f>
        <v>12971.179199999999</v>
      </c>
      <c r="E68" s="213">
        <f t="shared" ref="E68:M68" si="36">E65+E66-E67</f>
        <v>28238.733497877969</v>
      </c>
      <c r="F68" s="213">
        <f t="shared" si="36"/>
        <v>37505.343885131326</v>
      </c>
      <c r="G68" s="213">
        <f t="shared" si="36"/>
        <v>42354.07902359531</v>
      </c>
      <c r="H68" s="213">
        <f t="shared" si="36"/>
        <v>43480.18475858029</v>
      </c>
      <c r="I68" s="213">
        <f t="shared" si="36"/>
        <v>36500.354542739726</v>
      </c>
      <c r="J68" s="213">
        <f t="shared" si="36"/>
        <v>33124.751947356162</v>
      </c>
      <c r="K68" s="213">
        <f t="shared" si="36"/>
        <v>34372.123569408912</v>
      </c>
      <c r="L68" s="213">
        <f t="shared" si="36"/>
        <v>69849.249436795275</v>
      </c>
      <c r="M68" s="213">
        <f t="shared" si="36"/>
        <v>74464.042169829263</v>
      </c>
    </row>
    <row r="69" spans="1:13" ht="16" outlineLevel="1" x14ac:dyDescent="0.2">
      <c r="A69" s="204"/>
      <c r="B69" s="195"/>
      <c r="C69" s="196"/>
      <c r="D69" s="206"/>
      <c r="E69" s="206"/>
      <c r="F69" s="206"/>
      <c r="G69" s="206"/>
      <c r="H69" s="206"/>
      <c r="I69" s="204"/>
      <c r="J69" s="204"/>
      <c r="K69" s="204"/>
      <c r="L69" s="204"/>
      <c r="M69" s="204"/>
    </row>
    <row r="70" spans="1:13" ht="16" outlineLevel="1" x14ac:dyDescent="0.2">
      <c r="A70" s="189" t="s">
        <v>114</v>
      </c>
      <c r="B70" s="175"/>
      <c r="C70" s="182"/>
      <c r="D70" s="211"/>
      <c r="E70" s="211"/>
      <c r="F70" s="211"/>
      <c r="G70" s="211"/>
      <c r="H70" s="211"/>
      <c r="I70" s="195"/>
      <c r="J70" s="195"/>
      <c r="K70" s="195"/>
      <c r="L70" s="195"/>
      <c r="M70" s="195"/>
    </row>
    <row r="71" spans="1:13" ht="16" outlineLevel="1" x14ac:dyDescent="0.2">
      <c r="A71" s="175" t="s">
        <v>115</v>
      </c>
      <c r="B71" s="175"/>
      <c r="C71" s="182"/>
      <c r="D71" s="211">
        <v>15000</v>
      </c>
      <c r="E71" s="211">
        <v>15000</v>
      </c>
      <c r="F71" s="211">
        <v>15000</v>
      </c>
      <c r="G71" s="211">
        <v>15000</v>
      </c>
      <c r="H71" s="211">
        <v>15000</v>
      </c>
      <c r="I71" s="195">
        <f>I96</f>
        <v>15000</v>
      </c>
      <c r="J71" s="195">
        <f t="shared" ref="J71:M71" si="37">J96</f>
        <v>15000</v>
      </c>
      <c r="K71" s="195">
        <f t="shared" si="37"/>
        <v>15000</v>
      </c>
      <c r="L71" s="195">
        <f t="shared" si="37"/>
        <v>15000</v>
      </c>
      <c r="M71" s="195">
        <f t="shared" si="37"/>
        <v>15000</v>
      </c>
    </row>
    <row r="72" spans="1:13" ht="16" outlineLevel="1" x14ac:dyDescent="0.2">
      <c r="A72" s="191" t="s">
        <v>116</v>
      </c>
      <c r="B72" s="190"/>
      <c r="C72" s="233"/>
      <c r="D72" s="213">
        <f>SUM(D71)</f>
        <v>15000</v>
      </c>
      <c r="E72" s="213">
        <f t="shared" ref="E72:H72" si="38">SUM(E71)</f>
        <v>15000</v>
      </c>
      <c r="F72" s="213">
        <f t="shared" si="38"/>
        <v>15000</v>
      </c>
      <c r="G72" s="213">
        <f t="shared" si="38"/>
        <v>15000</v>
      </c>
      <c r="H72" s="213">
        <f t="shared" si="38"/>
        <v>15000</v>
      </c>
      <c r="I72" s="191">
        <f t="shared" ref="I72:M72" si="39">I71</f>
        <v>15000</v>
      </c>
      <c r="J72" s="191">
        <f t="shared" si="39"/>
        <v>15000</v>
      </c>
      <c r="K72" s="191">
        <f t="shared" si="39"/>
        <v>15000</v>
      </c>
      <c r="L72" s="191">
        <f t="shared" si="39"/>
        <v>15000</v>
      </c>
      <c r="M72" s="191">
        <f t="shared" si="39"/>
        <v>15000</v>
      </c>
    </row>
    <row r="73" spans="1:13" ht="16" outlineLevel="1" x14ac:dyDescent="0.2">
      <c r="A73" s="204"/>
      <c r="B73" s="195"/>
      <c r="C73" s="196"/>
      <c r="D73" s="206"/>
      <c r="E73" s="206"/>
      <c r="F73" s="206"/>
      <c r="G73" s="206"/>
      <c r="H73" s="206"/>
      <c r="I73" s="204"/>
      <c r="J73" s="204"/>
      <c r="K73" s="204"/>
      <c r="L73" s="204"/>
      <c r="M73" s="204"/>
    </row>
    <row r="74" spans="1:13" ht="16" outlineLevel="1" x14ac:dyDescent="0.2">
      <c r="A74" s="189" t="s">
        <v>117</v>
      </c>
      <c r="B74" s="175"/>
      <c r="C74" s="182"/>
      <c r="D74" s="211"/>
      <c r="E74" s="211"/>
      <c r="F74" s="211"/>
      <c r="G74" s="211"/>
      <c r="H74" s="211"/>
      <c r="I74" s="195"/>
      <c r="J74" s="195"/>
      <c r="K74" s="195"/>
      <c r="L74" s="195"/>
      <c r="M74" s="195"/>
    </row>
    <row r="75" spans="1:13" ht="16" outlineLevel="1" x14ac:dyDescent="0.2">
      <c r="A75" s="175" t="s">
        <v>118</v>
      </c>
      <c r="B75" s="175"/>
      <c r="C75" s="182"/>
      <c r="D75" s="211">
        <v>0</v>
      </c>
      <c r="E75" s="211">
        <v>0</v>
      </c>
      <c r="F75" s="211">
        <v>-20000</v>
      </c>
      <c r="G75" s="211">
        <v>0</v>
      </c>
      <c r="H75" s="211">
        <v>0</v>
      </c>
      <c r="I75" s="195">
        <f t="shared" ref="I75:M75" si="40">I102</f>
        <v>0</v>
      </c>
      <c r="J75" s="195">
        <f t="shared" si="40"/>
        <v>0</v>
      </c>
      <c r="K75" s="195">
        <f t="shared" si="40"/>
        <v>-20000</v>
      </c>
      <c r="L75" s="195">
        <f t="shared" si="40"/>
        <v>0</v>
      </c>
      <c r="M75" s="195">
        <f t="shared" si="40"/>
        <v>0</v>
      </c>
    </row>
    <row r="76" spans="1:13" ht="16" outlineLevel="1" x14ac:dyDescent="0.2">
      <c r="A76" s="175" t="s">
        <v>119</v>
      </c>
      <c r="B76" s="175"/>
      <c r="C76" s="182"/>
      <c r="D76" s="211">
        <v>70000</v>
      </c>
      <c r="E76" s="211">
        <v>0</v>
      </c>
      <c r="F76" s="211">
        <v>0</v>
      </c>
      <c r="G76" s="211">
        <v>0</v>
      </c>
      <c r="H76" s="211">
        <v>0</v>
      </c>
      <c r="I76" s="195">
        <f>I20</f>
        <v>0</v>
      </c>
      <c r="J76" s="195">
        <f>J20</f>
        <v>0</v>
      </c>
      <c r="K76" s="195">
        <f>K20</f>
        <v>0</v>
      </c>
      <c r="L76" s="195">
        <f>L20</f>
        <v>0</v>
      </c>
      <c r="M76" s="195">
        <f>M20</f>
        <v>0</v>
      </c>
    </row>
    <row r="77" spans="1:13" ht="16" outlineLevel="1" x14ac:dyDescent="0.2">
      <c r="A77" s="191" t="s">
        <v>120</v>
      </c>
      <c r="B77" s="190"/>
      <c r="C77" s="233"/>
      <c r="D77" s="213">
        <f>SUM(D75:D76)</f>
        <v>70000</v>
      </c>
      <c r="E77" s="213">
        <f t="shared" ref="E77:M77" si="41">SUM(E75:E76)</f>
        <v>0</v>
      </c>
      <c r="F77" s="213">
        <f t="shared" si="41"/>
        <v>-20000</v>
      </c>
      <c r="G77" s="213">
        <f t="shared" si="41"/>
        <v>0</v>
      </c>
      <c r="H77" s="213">
        <f t="shared" si="41"/>
        <v>0</v>
      </c>
      <c r="I77" s="191">
        <f t="shared" si="41"/>
        <v>0</v>
      </c>
      <c r="J77" s="191">
        <f t="shared" si="41"/>
        <v>0</v>
      </c>
      <c r="K77" s="191">
        <f t="shared" si="41"/>
        <v>-20000</v>
      </c>
      <c r="L77" s="191">
        <f t="shared" si="41"/>
        <v>0</v>
      </c>
      <c r="M77" s="191">
        <f t="shared" si="41"/>
        <v>0</v>
      </c>
    </row>
    <row r="78" spans="1:13" ht="16" outlineLevel="1" x14ac:dyDescent="0.2">
      <c r="A78" s="204"/>
      <c r="B78" s="195"/>
      <c r="C78" s="196"/>
      <c r="D78" s="206"/>
      <c r="E78" s="206"/>
      <c r="F78" s="206"/>
      <c r="G78" s="206"/>
      <c r="H78" s="206"/>
      <c r="I78" s="204"/>
      <c r="J78" s="204"/>
      <c r="K78" s="204"/>
      <c r="L78" s="204"/>
      <c r="M78" s="204"/>
    </row>
    <row r="79" spans="1:13" ht="16" outlineLevel="1" x14ac:dyDescent="0.2">
      <c r="A79" s="175" t="s">
        <v>121</v>
      </c>
      <c r="B79" s="175"/>
      <c r="C79" s="182"/>
      <c r="D79" s="234">
        <f>D68-D72+D77</f>
        <v>67971.179199999999</v>
      </c>
      <c r="E79" s="234">
        <f t="shared" ref="E79:M79" si="42">E68-E72+E77</f>
        <v>13238.733497877969</v>
      </c>
      <c r="F79" s="234">
        <f t="shared" si="42"/>
        <v>2505.3438851313258</v>
      </c>
      <c r="G79" s="234">
        <f t="shared" si="42"/>
        <v>27354.07902359531</v>
      </c>
      <c r="H79" s="234">
        <f t="shared" si="42"/>
        <v>28480.18475858029</v>
      </c>
      <c r="I79" s="234">
        <f t="shared" si="42"/>
        <v>21500.354542739726</v>
      </c>
      <c r="J79" s="234">
        <f t="shared" si="42"/>
        <v>18124.751947356162</v>
      </c>
      <c r="K79" s="234">
        <f t="shared" si="42"/>
        <v>-627.87643059108814</v>
      </c>
      <c r="L79" s="234">
        <f t="shared" si="42"/>
        <v>54849.249436795275</v>
      </c>
      <c r="M79" s="234">
        <f t="shared" si="42"/>
        <v>59464.042169829263</v>
      </c>
    </row>
    <row r="80" spans="1:13" ht="16" outlineLevel="1" x14ac:dyDescent="0.2">
      <c r="A80" s="175" t="s">
        <v>122</v>
      </c>
      <c r="B80" s="175"/>
      <c r="C80" s="182"/>
      <c r="D80" s="211">
        <v>0</v>
      </c>
      <c r="E80" s="211">
        <v>67971.179200000013</v>
      </c>
      <c r="F80" s="211">
        <v>81209.912697877968</v>
      </c>
      <c r="G80" s="211">
        <v>83715.256583009294</v>
      </c>
      <c r="H80" s="211">
        <v>111069.33560660461</v>
      </c>
      <c r="I80" s="195">
        <f t="shared" ref="I80:M80" si="43">H81</f>
        <v>139549.5203651849</v>
      </c>
      <c r="J80" s="195">
        <f t="shared" si="43"/>
        <v>161049.87490792462</v>
      </c>
      <c r="K80" s="195">
        <f t="shared" si="43"/>
        <v>179174.62685528077</v>
      </c>
      <c r="L80" s="195">
        <f t="shared" si="43"/>
        <v>178546.75042468967</v>
      </c>
      <c r="M80" s="195">
        <f t="shared" si="43"/>
        <v>233395.99986148495</v>
      </c>
    </row>
    <row r="81" spans="1:13" ht="16" outlineLevel="1" x14ac:dyDescent="0.2">
      <c r="A81" s="191" t="s">
        <v>123</v>
      </c>
      <c r="B81" s="190"/>
      <c r="C81" s="233"/>
      <c r="D81" s="213">
        <f>SUM(D79:D80)</f>
        <v>67971.179199999999</v>
      </c>
      <c r="E81" s="213">
        <f t="shared" ref="E81:M81" si="44">SUM(E79:E80)</f>
        <v>81209.912697877982</v>
      </c>
      <c r="F81" s="213">
        <f t="shared" si="44"/>
        <v>83715.256583009294</v>
      </c>
      <c r="G81" s="213">
        <f t="shared" si="44"/>
        <v>111069.33560660461</v>
      </c>
      <c r="H81" s="213">
        <f t="shared" si="44"/>
        <v>139549.5203651849</v>
      </c>
      <c r="I81" s="213">
        <f t="shared" si="44"/>
        <v>161049.87490792462</v>
      </c>
      <c r="J81" s="213">
        <f t="shared" si="44"/>
        <v>179174.62685528077</v>
      </c>
      <c r="K81" s="213">
        <f t="shared" si="44"/>
        <v>178546.75042468967</v>
      </c>
      <c r="L81" s="213">
        <f t="shared" si="44"/>
        <v>233395.99986148495</v>
      </c>
      <c r="M81" s="213">
        <f t="shared" si="44"/>
        <v>292860.04203131422</v>
      </c>
    </row>
    <row r="82" spans="1:13" ht="16" outlineLevel="1" x14ac:dyDescent="0.2">
      <c r="A82" s="189"/>
      <c r="B82" s="175"/>
      <c r="C82" s="182"/>
      <c r="D82" s="206"/>
      <c r="E82" s="215"/>
      <c r="F82" s="215"/>
      <c r="G82" s="215"/>
      <c r="H82" s="215"/>
      <c r="I82" s="175"/>
      <c r="J82" s="175"/>
      <c r="K82" s="175"/>
      <c r="L82" s="175"/>
      <c r="M82" s="175"/>
    </row>
    <row r="83" spans="1:13" ht="16" outlineLevel="1" x14ac:dyDescent="0.2">
      <c r="A83" s="189"/>
      <c r="B83" s="175"/>
      <c r="C83" s="182"/>
      <c r="D83" s="206"/>
      <c r="E83" s="215"/>
      <c r="F83" s="215"/>
      <c r="G83" s="215"/>
      <c r="H83" s="215"/>
      <c r="I83" s="175"/>
      <c r="J83" s="175"/>
      <c r="K83" s="175"/>
      <c r="L83" s="175"/>
      <c r="M83" s="175"/>
    </row>
    <row r="84" spans="1:13" ht="16" x14ac:dyDescent="0.2">
      <c r="A84" s="175"/>
      <c r="B84" s="175"/>
      <c r="C84" s="182"/>
      <c r="D84" s="215"/>
      <c r="E84" s="215"/>
      <c r="F84" s="215"/>
      <c r="G84" s="215"/>
      <c r="H84" s="215"/>
      <c r="I84" s="175"/>
      <c r="J84" s="175"/>
      <c r="K84" s="175"/>
      <c r="L84" s="175"/>
      <c r="M84" s="175"/>
    </row>
    <row r="85" spans="1:13" ht="20" x14ac:dyDescent="0.2">
      <c r="A85" s="184" t="s">
        <v>124</v>
      </c>
      <c r="B85" s="185"/>
      <c r="C85" s="186"/>
      <c r="D85" s="185"/>
      <c r="E85" s="185"/>
      <c r="F85" s="185"/>
      <c r="G85" s="185"/>
      <c r="H85" s="185"/>
      <c r="I85" s="185"/>
      <c r="J85" s="185"/>
      <c r="K85" s="185"/>
      <c r="L85" s="185"/>
      <c r="M85" s="185"/>
    </row>
    <row r="86" spans="1:13" ht="16" outlineLevel="1" x14ac:dyDescent="0.2">
      <c r="A86" s="175"/>
      <c r="B86" s="175"/>
      <c r="C86" s="182"/>
      <c r="D86" s="215"/>
      <c r="E86" s="215"/>
      <c r="F86" s="215"/>
      <c r="G86" s="215"/>
      <c r="H86" s="215"/>
      <c r="I86" s="175"/>
      <c r="J86" s="175"/>
      <c r="K86" s="175"/>
      <c r="L86" s="175"/>
      <c r="M86" s="175"/>
    </row>
    <row r="87" spans="1:13" ht="16" outlineLevel="1" x14ac:dyDescent="0.2">
      <c r="A87" s="189" t="s">
        <v>125</v>
      </c>
      <c r="B87" s="175"/>
      <c r="C87" s="182"/>
      <c r="D87" s="215"/>
      <c r="E87" s="215"/>
      <c r="F87" s="215"/>
      <c r="G87" s="215"/>
      <c r="H87" s="215"/>
      <c r="I87" s="175"/>
      <c r="J87" s="175"/>
      <c r="K87" s="175"/>
      <c r="L87" s="175"/>
      <c r="M87" s="175"/>
    </row>
    <row r="88" spans="1:13" ht="16" outlineLevel="1" x14ac:dyDescent="0.2">
      <c r="A88" s="175" t="s">
        <v>96</v>
      </c>
      <c r="B88" s="175"/>
      <c r="C88" s="182"/>
      <c r="D88" s="215">
        <v>5100.3500000000004</v>
      </c>
      <c r="E88" s="215">
        <v>5904.3</v>
      </c>
      <c r="F88" s="215">
        <v>6567.25</v>
      </c>
      <c r="G88" s="215">
        <v>7117.05</v>
      </c>
      <c r="H88" s="215">
        <v>7538.6</v>
      </c>
      <c r="I88" s="235">
        <f t="shared" ref="I88:M89" si="45">I44</f>
        <v>8178.8646575342473</v>
      </c>
      <c r="J88" s="235">
        <f t="shared" si="45"/>
        <v>8996.7511232876732</v>
      </c>
      <c r="K88" s="235">
        <f t="shared" si="45"/>
        <v>9896.42623561644</v>
      </c>
      <c r="L88" s="235">
        <f t="shared" si="45"/>
        <v>10886.068859178085</v>
      </c>
      <c r="M88" s="235">
        <f t="shared" si="45"/>
        <v>11974.675745095894</v>
      </c>
    </row>
    <row r="89" spans="1:13" ht="16" outlineLevel="1" x14ac:dyDescent="0.2">
      <c r="A89" s="175" t="s">
        <v>97</v>
      </c>
      <c r="B89" s="175"/>
      <c r="C89" s="182"/>
      <c r="D89" s="215">
        <v>7804.6</v>
      </c>
      <c r="E89" s="215">
        <v>9600.8000000000011</v>
      </c>
      <c r="F89" s="215">
        <v>9824.6</v>
      </c>
      <c r="G89" s="215">
        <v>10530.800000000001</v>
      </c>
      <c r="H89" s="215">
        <v>11342</v>
      </c>
      <c r="I89" s="235">
        <f t="shared" si="45"/>
        <v>15267.21402739726</v>
      </c>
      <c r="J89" s="235">
        <f t="shared" si="45"/>
        <v>21142.365139726033</v>
      </c>
      <c r="K89" s="235">
        <f t="shared" si="45"/>
        <v>27490.072876712333</v>
      </c>
      <c r="L89" s="235">
        <f t="shared" si="45"/>
        <v>21772.137718356171</v>
      </c>
      <c r="M89" s="235">
        <f t="shared" si="45"/>
        <v>23284.091726575352</v>
      </c>
    </row>
    <row r="90" spans="1:13" ht="16" outlineLevel="1" x14ac:dyDescent="0.2">
      <c r="A90" s="175" t="s">
        <v>101</v>
      </c>
      <c r="B90" s="175"/>
      <c r="C90" s="182"/>
      <c r="D90" s="215">
        <v>3902.3</v>
      </c>
      <c r="E90" s="215">
        <v>4800.4000000000005</v>
      </c>
      <c r="F90" s="215">
        <v>4912.3</v>
      </c>
      <c r="G90" s="215">
        <v>5265.4000000000005</v>
      </c>
      <c r="H90" s="215">
        <v>5671</v>
      </c>
      <c r="I90" s="235">
        <f>I50</f>
        <v>7061.086487671233</v>
      </c>
      <c r="J90" s="235">
        <f t="shared" ref="J90:M90" si="46">J50</f>
        <v>8691.8612241095907</v>
      </c>
      <c r="K90" s="235">
        <f t="shared" si="46"/>
        <v>10171.326964383563</v>
      </c>
      <c r="L90" s="235">
        <f t="shared" si="46"/>
        <v>8055.6909557917834</v>
      </c>
      <c r="M90" s="235">
        <f t="shared" si="46"/>
        <v>8615.1139388328793</v>
      </c>
    </row>
    <row r="91" spans="1:13" ht="16" outlineLevel="1" x14ac:dyDescent="0.2">
      <c r="A91" s="190" t="s">
        <v>126</v>
      </c>
      <c r="B91" s="190"/>
      <c r="C91" s="233"/>
      <c r="D91" s="236">
        <f>D88+D89-D90</f>
        <v>9002.6500000000015</v>
      </c>
      <c r="E91" s="236">
        <f t="shared" ref="E91:M91" si="47">E88+E89-E90</f>
        <v>10704.7</v>
      </c>
      <c r="F91" s="236">
        <f t="shared" si="47"/>
        <v>11479.55</v>
      </c>
      <c r="G91" s="236">
        <f t="shared" si="47"/>
        <v>12382.45</v>
      </c>
      <c r="H91" s="236">
        <f t="shared" si="47"/>
        <v>13209.599999999999</v>
      </c>
      <c r="I91" s="237">
        <f t="shared" si="47"/>
        <v>16384.992197260275</v>
      </c>
      <c r="J91" s="237">
        <f t="shared" si="47"/>
        <v>21447.255038904113</v>
      </c>
      <c r="K91" s="237">
        <f t="shared" si="47"/>
        <v>27215.172147945214</v>
      </c>
      <c r="L91" s="237">
        <f t="shared" si="47"/>
        <v>24602.515621742474</v>
      </c>
      <c r="M91" s="237">
        <f t="shared" si="47"/>
        <v>26643.653532838369</v>
      </c>
    </row>
    <row r="92" spans="1:13" ht="16" outlineLevel="1" x14ac:dyDescent="0.2">
      <c r="A92" s="175" t="s">
        <v>127</v>
      </c>
      <c r="B92" s="175"/>
      <c r="C92" s="182"/>
      <c r="D92" s="238">
        <f>D91-C91</f>
        <v>9002.6500000000015</v>
      </c>
      <c r="E92" s="238">
        <f t="shared" ref="E92:M92" si="48">E91-D91</f>
        <v>1702.0499999999993</v>
      </c>
      <c r="F92" s="238">
        <f t="shared" si="48"/>
        <v>774.84999999999854</v>
      </c>
      <c r="G92" s="238">
        <f t="shared" si="48"/>
        <v>902.90000000000146</v>
      </c>
      <c r="H92" s="238">
        <f t="shared" si="48"/>
        <v>827.14999999999782</v>
      </c>
      <c r="I92" s="235">
        <f t="shared" si="48"/>
        <v>3175.3921972602766</v>
      </c>
      <c r="J92" s="235">
        <f t="shared" si="48"/>
        <v>5062.2628416438383</v>
      </c>
      <c r="K92" s="235">
        <f t="shared" si="48"/>
        <v>5767.9171090411</v>
      </c>
      <c r="L92" s="235">
        <f t="shared" si="48"/>
        <v>-2612.6565262027398</v>
      </c>
      <c r="M92" s="235">
        <f t="shared" si="48"/>
        <v>2041.1379110958951</v>
      </c>
    </row>
    <row r="93" spans="1:13" ht="16" outlineLevel="1" x14ac:dyDescent="0.2">
      <c r="A93" s="175"/>
      <c r="B93" s="175"/>
      <c r="C93" s="182"/>
      <c r="D93" s="215"/>
      <c r="E93" s="215"/>
      <c r="F93" s="215"/>
      <c r="G93" s="215"/>
      <c r="H93" s="215"/>
      <c r="I93" s="235"/>
      <c r="J93" s="235"/>
      <c r="K93" s="235"/>
      <c r="L93" s="235"/>
      <c r="M93" s="235"/>
    </row>
    <row r="94" spans="1:13" ht="16" outlineLevel="1" x14ac:dyDescent="0.2">
      <c r="A94" s="189" t="s">
        <v>128</v>
      </c>
      <c r="B94" s="175"/>
      <c r="C94" s="182"/>
      <c r="D94" s="215"/>
      <c r="E94" s="215"/>
      <c r="F94" s="215"/>
      <c r="G94" s="215"/>
      <c r="H94" s="215"/>
      <c r="I94" s="235"/>
      <c r="J94" s="235"/>
      <c r="K94" s="235"/>
      <c r="L94" s="235"/>
      <c r="M94" s="235"/>
    </row>
    <row r="95" spans="1:13" ht="16" outlineLevel="1" x14ac:dyDescent="0.2">
      <c r="A95" s="175" t="s">
        <v>129</v>
      </c>
      <c r="B95" s="175"/>
      <c r="C95" s="182"/>
      <c r="D95" s="215">
        <v>50000</v>
      </c>
      <c r="E95" s="215">
        <v>45500</v>
      </c>
      <c r="F95" s="215">
        <v>42350</v>
      </c>
      <c r="G95" s="215">
        <v>40145</v>
      </c>
      <c r="H95" s="215">
        <v>38601.5</v>
      </c>
      <c r="I95" s="235">
        <f t="shared" ref="I95:M95" si="49">H98</f>
        <v>37521.050000000003</v>
      </c>
      <c r="J95" s="235">
        <f t="shared" si="49"/>
        <v>39388.682500000003</v>
      </c>
      <c r="K95" s="235">
        <f t="shared" si="49"/>
        <v>40602.643625000004</v>
      </c>
      <c r="L95" s="235">
        <f t="shared" si="49"/>
        <v>41391.718356249999</v>
      </c>
      <c r="M95" s="235">
        <f t="shared" si="49"/>
        <v>41904.616931562501</v>
      </c>
    </row>
    <row r="96" spans="1:13" ht="16" outlineLevel="1" x14ac:dyDescent="0.2">
      <c r="A96" s="175" t="s">
        <v>130</v>
      </c>
      <c r="B96" s="175"/>
      <c r="C96" s="182"/>
      <c r="D96" s="215">
        <v>15000</v>
      </c>
      <c r="E96" s="215">
        <v>15000</v>
      </c>
      <c r="F96" s="215">
        <v>15000</v>
      </c>
      <c r="G96" s="215">
        <v>15000</v>
      </c>
      <c r="H96" s="215">
        <v>15000</v>
      </c>
      <c r="I96" s="235">
        <f>I18</f>
        <v>15000</v>
      </c>
      <c r="J96" s="235">
        <f>J18</f>
        <v>15000</v>
      </c>
      <c r="K96" s="235">
        <f>K18</f>
        <v>15000</v>
      </c>
      <c r="L96" s="235">
        <f>L18</f>
        <v>15000</v>
      </c>
      <c r="M96" s="235">
        <f>M18</f>
        <v>15000</v>
      </c>
    </row>
    <row r="97" spans="1:13" ht="16" outlineLevel="1" x14ac:dyDescent="0.2">
      <c r="A97" s="175" t="s">
        <v>131</v>
      </c>
      <c r="B97" s="175"/>
      <c r="C97" s="225"/>
      <c r="D97" s="215">
        <v>19500</v>
      </c>
      <c r="E97" s="215">
        <v>18150</v>
      </c>
      <c r="F97" s="215">
        <v>17205</v>
      </c>
      <c r="G97" s="215">
        <v>16543.5</v>
      </c>
      <c r="H97" s="215">
        <v>16080.449999999999</v>
      </c>
      <c r="I97" s="239">
        <f>I95*I12</f>
        <v>13132.3675</v>
      </c>
      <c r="J97" s="240">
        <f>J95*J12</f>
        <v>13786.038875</v>
      </c>
      <c r="K97" s="240">
        <f>K95*K12</f>
        <v>14210.925268750001</v>
      </c>
      <c r="L97" s="240">
        <f>L95*L12</f>
        <v>14487.101424687498</v>
      </c>
      <c r="M97" s="240">
        <f>M95*M12</f>
        <v>14666.615926046874</v>
      </c>
    </row>
    <row r="98" spans="1:13" ht="16" outlineLevel="1" x14ac:dyDescent="0.2">
      <c r="A98" s="190" t="s">
        <v>132</v>
      </c>
      <c r="B98" s="190"/>
      <c r="C98" s="233"/>
      <c r="D98" s="236">
        <f>D95+D96-D97</f>
        <v>45500</v>
      </c>
      <c r="E98" s="236">
        <f t="shared" ref="E98:M98" si="50">E95+E96-E97</f>
        <v>42350</v>
      </c>
      <c r="F98" s="236">
        <f t="shared" si="50"/>
        <v>40145</v>
      </c>
      <c r="G98" s="236">
        <f t="shared" si="50"/>
        <v>38601.5</v>
      </c>
      <c r="H98" s="236">
        <f t="shared" si="50"/>
        <v>37521.050000000003</v>
      </c>
      <c r="I98" s="237">
        <f t="shared" si="50"/>
        <v>39388.682500000003</v>
      </c>
      <c r="J98" s="237">
        <f t="shared" si="50"/>
        <v>40602.643625000004</v>
      </c>
      <c r="K98" s="237">
        <f t="shared" si="50"/>
        <v>41391.718356249999</v>
      </c>
      <c r="L98" s="237">
        <f t="shared" si="50"/>
        <v>41904.616931562501</v>
      </c>
      <c r="M98" s="237">
        <f t="shared" si="50"/>
        <v>42238.001005515631</v>
      </c>
    </row>
    <row r="99" spans="1:13" ht="16" outlineLevel="1" x14ac:dyDescent="0.2">
      <c r="A99" s="175"/>
      <c r="B99" s="175"/>
      <c r="C99" s="182"/>
      <c r="D99" s="215"/>
      <c r="E99" s="215"/>
      <c r="F99" s="215"/>
      <c r="G99" s="215"/>
      <c r="H99" s="215"/>
      <c r="I99" s="235"/>
      <c r="J99" s="235"/>
      <c r="K99" s="235"/>
      <c r="L99" s="235"/>
      <c r="M99" s="235"/>
    </row>
    <row r="100" spans="1:13" ht="16" outlineLevel="1" x14ac:dyDescent="0.2">
      <c r="A100" s="189" t="s">
        <v>133</v>
      </c>
      <c r="B100" s="175"/>
      <c r="C100" s="182"/>
      <c r="D100" s="215"/>
      <c r="E100" s="215"/>
      <c r="F100" s="215"/>
      <c r="G100" s="215"/>
      <c r="H100" s="215"/>
      <c r="I100" s="235"/>
      <c r="J100" s="235"/>
      <c r="K100" s="235"/>
      <c r="L100" s="235"/>
      <c r="M100" s="235"/>
    </row>
    <row r="101" spans="1:13" ht="16" outlineLevel="1" x14ac:dyDescent="0.2">
      <c r="A101" s="175" t="s">
        <v>134</v>
      </c>
      <c r="B101" s="175"/>
      <c r="C101" s="182"/>
      <c r="D101" s="215">
        <v>50000</v>
      </c>
      <c r="E101" s="215">
        <v>50000</v>
      </c>
      <c r="F101" s="215">
        <v>50000</v>
      </c>
      <c r="G101" s="215">
        <v>30000</v>
      </c>
      <c r="H101" s="215">
        <v>30000</v>
      </c>
      <c r="I101" s="235">
        <f t="shared" ref="I101:M101" si="51">H103</f>
        <v>30000</v>
      </c>
      <c r="J101" s="235">
        <f t="shared" si="51"/>
        <v>30000</v>
      </c>
      <c r="K101" s="235">
        <f t="shared" si="51"/>
        <v>30000</v>
      </c>
      <c r="L101" s="235">
        <f t="shared" si="51"/>
        <v>10000</v>
      </c>
      <c r="M101" s="235">
        <f t="shared" si="51"/>
        <v>10000</v>
      </c>
    </row>
    <row r="102" spans="1:13" ht="16" outlineLevel="1" x14ac:dyDescent="0.2">
      <c r="A102" s="175" t="s">
        <v>135</v>
      </c>
      <c r="B102" s="175"/>
      <c r="C102" s="182"/>
      <c r="D102" s="215">
        <v>0</v>
      </c>
      <c r="E102" s="215">
        <v>0</v>
      </c>
      <c r="F102" s="215">
        <v>-20000</v>
      </c>
      <c r="G102" s="215">
        <v>0</v>
      </c>
      <c r="H102" s="215">
        <v>0</v>
      </c>
      <c r="I102" s="241">
        <f>I19</f>
        <v>0</v>
      </c>
      <c r="J102" s="241">
        <f>J19</f>
        <v>0</v>
      </c>
      <c r="K102" s="241">
        <f>K19</f>
        <v>-20000</v>
      </c>
      <c r="L102" s="241">
        <f>L19</f>
        <v>0</v>
      </c>
      <c r="M102" s="241">
        <f>M19</f>
        <v>0</v>
      </c>
    </row>
    <row r="103" spans="1:13" ht="16" outlineLevel="1" x14ac:dyDescent="0.2">
      <c r="A103" s="190" t="s">
        <v>136</v>
      </c>
      <c r="B103" s="190"/>
      <c r="C103" s="233"/>
      <c r="D103" s="236">
        <f>SUM(D101:D102)</f>
        <v>50000</v>
      </c>
      <c r="E103" s="236">
        <f t="shared" ref="E103:M103" si="52">SUM(E101:E102)</f>
        <v>50000</v>
      </c>
      <c r="F103" s="236">
        <f t="shared" si="52"/>
        <v>30000</v>
      </c>
      <c r="G103" s="236">
        <f t="shared" si="52"/>
        <v>30000</v>
      </c>
      <c r="H103" s="236">
        <f t="shared" si="52"/>
        <v>30000</v>
      </c>
      <c r="I103" s="242">
        <f t="shared" si="52"/>
        <v>30000</v>
      </c>
      <c r="J103" s="242">
        <f t="shared" si="52"/>
        <v>30000</v>
      </c>
      <c r="K103" s="242">
        <f t="shared" si="52"/>
        <v>10000</v>
      </c>
      <c r="L103" s="242">
        <f t="shared" si="52"/>
        <v>10000</v>
      </c>
      <c r="M103" s="242">
        <f t="shared" si="52"/>
        <v>10000</v>
      </c>
    </row>
    <row r="104" spans="1:13" ht="16" outlineLevel="1" x14ac:dyDescent="0.2">
      <c r="A104" s="175" t="s">
        <v>137</v>
      </c>
      <c r="B104" s="175"/>
      <c r="C104" s="225"/>
      <c r="D104" s="215">
        <v>2500</v>
      </c>
      <c r="E104" s="215">
        <v>2500</v>
      </c>
      <c r="F104" s="215">
        <v>1500</v>
      </c>
      <c r="G104" s="215">
        <v>1500</v>
      </c>
      <c r="H104" s="215">
        <v>1500</v>
      </c>
      <c r="I104" s="235">
        <f>I103*I13</f>
        <v>3000</v>
      </c>
      <c r="J104" s="235">
        <f>J103*J13</f>
        <v>3000</v>
      </c>
      <c r="K104" s="235">
        <f>K103*K13</f>
        <v>1000</v>
      </c>
      <c r="L104" s="235">
        <f>L103*L13</f>
        <v>1000</v>
      </c>
      <c r="M104" s="235">
        <f>M103*M13</f>
        <v>1000</v>
      </c>
    </row>
    <row r="105" spans="1:13" ht="16" outlineLevel="1" x14ac:dyDescent="0.2">
      <c r="A105" s="175"/>
      <c r="B105" s="175"/>
      <c r="C105" s="182"/>
      <c r="D105" s="215"/>
      <c r="E105" s="215"/>
      <c r="F105" s="215"/>
      <c r="G105" s="215"/>
      <c r="H105" s="215"/>
      <c r="I105" s="175"/>
      <c r="J105" s="175"/>
      <c r="K105" s="175"/>
      <c r="L105" s="175"/>
      <c r="M105" s="175"/>
    </row>
    <row r="106" spans="1:13" ht="16" outlineLevel="1" x14ac:dyDescent="0.2">
      <c r="A106" s="175"/>
      <c r="B106" s="175"/>
      <c r="C106" s="182"/>
      <c r="D106" s="215"/>
      <c r="E106" s="215"/>
      <c r="F106" s="215"/>
      <c r="G106" s="215"/>
      <c r="H106" s="215"/>
      <c r="I106" s="175"/>
      <c r="J106" s="175"/>
      <c r="K106" s="175"/>
      <c r="L106" s="175"/>
      <c r="M106" s="175"/>
    </row>
    <row r="107" spans="1:13" ht="16" x14ac:dyDescent="0.2">
      <c r="A107" s="175"/>
      <c r="B107" s="175"/>
      <c r="C107" s="182"/>
      <c r="D107" s="215"/>
      <c r="E107" s="215"/>
      <c r="F107" s="215"/>
      <c r="G107" s="215"/>
      <c r="H107" s="215"/>
      <c r="I107" s="175"/>
      <c r="J107" s="175"/>
      <c r="K107" s="175"/>
      <c r="L107" s="175"/>
      <c r="M107" s="175"/>
    </row>
    <row r="108" spans="1:13" ht="20" x14ac:dyDescent="0.2">
      <c r="A108" s="184" t="s">
        <v>138</v>
      </c>
      <c r="B108" s="185"/>
      <c r="C108" s="186"/>
      <c r="D108" s="185"/>
      <c r="E108" s="185"/>
      <c r="F108" s="185"/>
      <c r="G108" s="185"/>
      <c r="H108" s="185"/>
      <c r="I108" s="185"/>
      <c r="J108" s="185"/>
      <c r="K108" s="185"/>
      <c r="L108" s="185"/>
      <c r="M108" s="185"/>
    </row>
    <row r="109" spans="1:13" ht="16" outlineLevel="1" x14ac:dyDescent="0.2">
      <c r="A109" s="189"/>
      <c r="B109" s="175"/>
      <c r="C109" s="182"/>
      <c r="D109" s="215"/>
      <c r="E109" s="215"/>
      <c r="F109" s="215"/>
      <c r="G109" s="215"/>
      <c r="H109" s="215"/>
      <c r="I109" s="175"/>
      <c r="J109" s="175"/>
      <c r="K109" s="175"/>
      <c r="L109" s="175"/>
      <c r="M109" s="175"/>
    </row>
    <row r="110" spans="1:13" ht="16" outlineLevel="1" x14ac:dyDescent="0.2">
      <c r="A110" s="243" t="s">
        <v>66</v>
      </c>
      <c r="B110" s="215"/>
      <c r="C110" s="215"/>
      <c r="D110" s="215"/>
      <c r="E110" s="175"/>
      <c r="F110" s="175"/>
      <c r="G110" s="175"/>
      <c r="H110" s="175"/>
      <c r="I110" s="175"/>
      <c r="J110" s="175"/>
      <c r="K110" s="175"/>
      <c r="L110" s="175"/>
      <c r="M110" s="175"/>
    </row>
    <row r="111" spans="1:13" ht="16" outlineLevel="1" x14ac:dyDescent="0.2">
      <c r="A111" s="236" t="s">
        <v>139</v>
      </c>
      <c r="B111" s="244"/>
      <c r="C111" s="245">
        <v>0.25</v>
      </c>
      <c r="D111" s="215"/>
      <c r="E111" s="175"/>
      <c r="F111" s="175"/>
      <c r="G111" s="175"/>
      <c r="H111" s="175"/>
      <c r="I111" s="175"/>
      <c r="J111" s="175"/>
      <c r="K111" s="175"/>
      <c r="L111" s="175"/>
      <c r="M111" s="175"/>
    </row>
    <row r="112" spans="1:13" ht="16" outlineLevel="1" x14ac:dyDescent="0.2">
      <c r="A112" s="238" t="s">
        <v>140</v>
      </c>
      <c r="B112" s="175"/>
      <c r="C112" s="246">
        <v>0.12</v>
      </c>
      <c r="D112" s="175"/>
      <c r="E112" s="175"/>
      <c r="F112" s="175"/>
      <c r="G112" s="175"/>
      <c r="H112" s="175"/>
      <c r="I112" s="175"/>
      <c r="J112" s="175"/>
      <c r="K112" s="175"/>
      <c r="L112" s="175"/>
      <c r="M112" s="175"/>
    </row>
    <row r="113" spans="1:14" ht="16" outlineLevel="1" x14ac:dyDescent="0.2">
      <c r="A113" s="175" t="s">
        <v>141</v>
      </c>
      <c r="B113" s="175"/>
      <c r="C113" s="246">
        <v>0.04</v>
      </c>
      <c r="D113" s="175"/>
      <c r="E113" s="175"/>
      <c r="F113" s="175"/>
      <c r="G113" s="175"/>
      <c r="H113" s="175"/>
      <c r="I113" s="175"/>
      <c r="J113" s="225"/>
      <c r="K113" s="225"/>
      <c r="L113" s="225"/>
      <c r="M113" s="225"/>
      <c r="N113" s="175"/>
    </row>
    <row r="114" spans="1:14" ht="16" outlineLevel="1" x14ac:dyDescent="0.2">
      <c r="A114" s="175" t="s">
        <v>142</v>
      </c>
      <c r="B114" s="175"/>
      <c r="C114" s="247">
        <v>8</v>
      </c>
      <c r="D114" s="175"/>
      <c r="E114" s="175"/>
      <c r="F114" s="175"/>
      <c r="G114" s="175"/>
      <c r="H114" s="175"/>
      <c r="I114" s="175"/>
      <c r="J114" s="225"/>
      <c r="K114" s="225"/>
      <c r="L114" s="225"/>
      <c r="M114" s="225"/>
      <c r="N114" s="175"/>
    </row>
    <row r="115" spans="1:14" ht="16" outlineLevel="1" x14ac:dyDescent="0.2">
      <c r="A115" s="175" t="s">
        <v>143</v>
      </c>
      <c r="B115" s="175"/>
      <c r="C115" s="248">
        <v>43190</v>
      </c>
      <c r="D115" s="175"/>
      <c r="E115" s="175"/>
      <c r="F115" s="175"/>
      <c r="G115" s="175"/>
      <c r="H115" s="175"/>
      <c r="I115" s="175"/>
      <c r="J115" s="225"/>
      <c r="K115" s="225"/>
      <c r="L115" s="225"/>
      <c r="M115" s="225"/>
      <c r="N115" s="175"/>
    </row>
    <row r="116" spans="1:14" ht="16" outlineLevel="1" x14ac:dyDescent="0.2">
      <c r="A116" s="175" t="s">
        <v>153</v>
      </c>
      <c r="B116" s="175"/>
      <c r="C116" s="248">
        <v>43465</v>
      </c>
      <c r="D116" s="175"/>
      <c r="E116" s="175"/>
      <c r="F116" s="175"/>
      <c r="G116" s="175"/>
      <c r="H116" s="175"/>
      <c r="I116" s="175"/>
      <c r="J116" s="225"/>
      <c r="K116" s="225"/>
      <c r="L116" s="225"/>
      <c r="M116" s="225"/>
      <c r="N116" s="175"/>
    </row>
    <row r="117" spans="1:14" ht="16" outlineLevel="1" x14ac:dyDescent="0.2">
      <c r="A117" s="175" t="s">
        <v>46</v>
      </c>
      <c r="B117" s="175"/>
      <c r="C117" s="249">
        <v>16</v>
      </c>
      <c r="D117" s="175"/>
      <c r="E117" s="175"/>
      <c r="F117" s="175"/>
      <c r="G117" s="175"/>
      <c r="H117" s="175"/>
      <c r="I117" s="175"/>
      <c r="J117" s="225"/>
      <c r="K117" s="225"/>
      <c r="L117" s="225"/>
      <c r="M117" s="225"/>
      <c r="N117" s="175"/>
    </row>
    <row r="118" spans="1:14" ht="16" outlineLevel="1" x14ac:dyDescent="0.2">
      <c r="A118" s="175" t="s">
        <v>144</v>
      </c>
      <c r="B118" s="175"/>
      <c r="C118" s="250">
        <v>20000</v>
      </c>
      <c r="D118" s="175"/>
      <c r="E118" s="175"/>
      <c r="F118" s="175"/>
      <c r="G118" s="175"/>
      <c r="H118" s="175"/>
      <c r="I118" s="175"/>
      <c r="J118" s="175"/>
      <c r="K118" s="175"/>
      <c r="L118" s="175"/>
      <c r="M118" s="175"/>
      <c r="N118" s="175"/>
    </row>
    <row r="119" spans="1:14" ht="16" outlineLevel="1" x14ac:dyDescent="0.2">
      <c r="A119" s="175"/>
      <c r="B119" s="175"/>
      <c r="C119" s="250"/>
      <c r="D119" s="175"/>
      <c r="E119" s="175"/>
      <c r="F119" s="175"/>
      <c r="G119" s="175"/>
      <c r="H119" s="175"/>
      <c r="I119" s="175"/>
      <c r="J119" s="175"/>
      <c r="K119" s="175"/>
      <c r="L119" s="175"/>
      <c r="M119" s="175"/>
      <c r="N119" s="175"/>
    </row>
    <row r="120" spans="1:14" ht="16" outlineLevel="1" x14ac:dyDescent="0.2">
      <c r="A120" s="195"/>
      <c r="B120" s="195"/>
      <c r="C120" s="251"/>
      <c r="D120" s="251"/>
      <c r="E120" s="251"/>
      <c r="F120" s="251"/>
      <c r="G120" s="251"/>
      <c r="H120" s="251"/>
      <c r="I120" s="251"/>
      <c r="J120" s="195"/>
      <c r="K120" s="195"/>
      <c r="L120" s="195"/>
      <c r="M120" s="195"/>
      <c r="N120" s="195"/>
    </row>
    <row r="121" spans="1:14" ht="16" outlineLevel="1" x14ac:dyDescent="0.2">
      <c r="A121" s="252" t="s">
        <v>156</v>
      </c>
      <c r="B121" s="253"/>
      <c r="C121" s="254" t="s">
        <v>157</v>
      </c>
      <c r="D121" s="255">
        <f>YEAR(C115)</f>
        <v>2018</v>
      </c>
      <c r="E121" s="255">
        <f>D121+1</f>
        <v>2019</v>
      </c>
      <c r="F121" s="255">
        <f t="shared" ref="F121:H121" si="53">E121+1</f>
        <v>2020</v>
      </c>
      <c r="G121" s="255">
        <f t="shared" si="53"/>
        <v>2021</v>
      </c>
      <c r="H121" s="255">
        <f t="shared" si="53"/>
        <v>2022</v>
      </c>
      <c r="I121" s="254" t="s">
        <v>158</v>
      </c>
      <c r="J121" s="195"/>
      <c r="K121" s="204" t="s">
        <v>159</v>
      </c>
      <c r="L121" s="195"/>
      <c r="M121" s="195"/>
      <c r="N121" s="195"/>
    </row>
    <row r="122" spans="1:14" ht="16" outlineLevel="1" x14ac:dyDescent="0.2">
      <c r="A122" s="256" t="s">
        <v>1</v>
      </c>
      <c r="B122" s="256"/>
      <c r="C122" s="257">
        <f>C115</f>
        <v>43190</v>
      </c>
      <c r="D122" s="257">
        <f>DATE(YEAR($C$122)+D123,MONTH($C$116),DAY($C$116))</f>
        <v>43465</v>
      </c>
      <c r="E122" s="257">
        <f t="shared" ref="E122:H122" si="54">DATE(YEAR($C$122)+E123,MONTH($C$116),DAY($C$116))</f>
        <v>43830</v>
      </c>
      <c r="F122" s="257">
        <f t="shared" si="54"/>
        <v>44196</v>
      </c>
      <c r="G122" s="257">
        <f t="shared" si="54"/>
        <v>44561</v>
      </c>
      <c r="H122" s="257">
        <f t="shared" si="54"/>
        <v>44926</v>
      </c>
      <c r="I122" s="257">
        <f>H122</f>
        <v>44926</v>
      </c>
      <c r="J122" s="195"/>
      <c r="K122" s="190" t="s">
        <v>6</v>
      </c>
      <c r="L122" s="190"/>
      <c r="M122" s="258">
        <f>H130*C114</f>
        <v>812428.08468480036</v>
      </c>
      <c r="N122" s="195"/>
    </row>
    <row r="123" spans="1:14" ht="16" outlineLevel="1" x14ac:dyDescent="0.2">
      <c r="A123" s="201" t="s">
        <v>181</v>
      </c>
      <c r="B123" s="201"/>
      <c r="C123" s="259"/>
      <c r="D123" s="260">
        <v>0</v>
      </c>
      <c r="E123" s="261">
        <f>D123+1</f>
        <v>1</v>
      </c>
      <c r="F123" s="261">
        <f t="shared" ref="F123:H123" si="55">E123+1</f>
        <v>2</v>
      </c>
      <c r="G123" s="261">
        <f t="shared" si="55"/>
        <v>3</v>
      </c>
      <c r="H123" s="261">
        <f t="shared" si="55"/>
        <v>4</v>
      </c>
      <c r="I123" s="261"/>
      <c r="J123" s="195"/>
      <c r="K123" s="195" t="s">
        <v>182</v>
      </c>
      <c r="L123" s="195"/>
      <c r="M123" s="262">
        <f>(H133*(1+$C$113))/(C112-C113)</f>
        <v>816278.43712500622</v>
      </c>
      <c r="N123" s="195"/>
    </row>
    <row r="124" spans="1:14" ht="16" outlineLevel="1" x14ac:dyDescent="0.2">
      <c r="A124" s="201" t="s">
        <v>183</v>
      </c>
      <c r="B124" s="201"/>
      <c r="C124" s="201"/>
      <c r="D124" s="263">
        <f>YEARFRAC(C122,D122)</f>
        <v>0.75</v>
      </c>
      <c r="E124" s="263">
        <f t="shared" ref="E124:H124" si="56">YEARFRAC(D122,E122)</f>
        <v>1</v>
      </c>
      <c r="F124" s="263">
        <f t="shared" si="56"/>
        <v>1</v>
      </c>
      <c r="G124" s="263">
        <f t="shared" si="56"/>
        <v>1</v>
      </c>
      <c r="H124" s="263">
        <f t="shared" si="56"/>
        <v>1</v>
      </c>
      <c r="I124" s="264">
        <v>1</v>
      </c>
      <c r="J124" s="195"/>
      <c r="K124" s="195" t="s">
        <v>8</v>
      </c>
      <c r="L124" s="195"/>
      <c r="M124" s="190">
        <f>AVERAGE(M122:M123)</f>
        <v>814353.26090490329</v>
      </c>
      <c r="N124" s="195"/>
    </row>
    <row r="125" spans="1:14" ht="16" outlineLevel="1" x14ac:dyDescent="0.2">
      <c r="A125" s="201"/>
      <c r="B125" s="201"/>
      <c r="C125" s="201"/>
      <c r="D125" s="263"/>
      <c r="E125" s="263"/>
      <c r="F125" s="263"/>
      <c r="G125" s="263"/>
      <c r="H125" s="263"/>
      <c r="I125" s="265"/>
      <c r="J125" s="195"/>
      <c r="K125" s="195"/>
      <c r="L125" s="195"/>
      <c r="M125" s="195"/>
      <c r="N125" s="195"/>
    </row>
    <row r="126" spans="1:14" ht="16" outlineLevel="1" x14ac:dyDescent="0.2">
      <c r="A126" s="195" t="s">
        <v>25</v>
      </c>
      <c r="B126" s="195"/>
      <c r="C126" s="195"/>
      <c r="D126" s="195">
        <f>I34+I32</f>
        <v>39865.804500000006</v>
      </c>
      <c r="E126" s="195">
        <f t="shared" ref="E126:H126" si="57">J34+J32</f>
        <v>36890.244325000007</v>
      </c>
      <c r="F126" s="195">
        <f t="shared" si="57"/>
        <v>37012.660291250009</v>
      </c>
      <c r="G126" s="195">
        <f t="shared" si="57"/>
        <v>74263.182619312545</v>
      </c>
      <c r="H126" s="195">
        <f t="shared" si="57"/>
        <v>86886.894659553174</v>
      </c>
      <c r="I126" s="195"/>
      <c r="J126" s="195"/>
      <c r="K126" s="195"/>
      <c r="L126" s="195"/>
      <c r="M126" s="195"/>
      <c r="N126" s="195"/>
    </row>
    <row r="127" spans="1:14" ht="16" outlineLevel="1" x14ac:dyDescent="0.2">
      <c r="A127" s="195" t="s">
        <v>160</v>
      </c>
      <c r="B127" s="195"/>
      <c r="C127" s="195"/>
      <c r="D127" s="262">
        <f>D126*$C$111</f>
        <v>9966.4511250000014</v>
      </c>
      <c r="E127" s="262">
        <f t="shared" ref="E127:H127" si="58">E126*$C$111</f>
        <v>9222.5610812500017</v>
      </c>
      <c r="F127" s="262">
        <f t="shared" si="58"/>
        <v>9253.1650728125023</v>
      </c>
      <c r="G127" s="262">
        <f t="shared" si="58"/>
        <v>18565.795654828136</v>
      </c>
      <c r="H127" s="262">
        <f t="shared" si="58"/>
        <v>21721.723664888294</v>
      </c>
      <c r="I127" s="195"/>
      <c r="J127" s="195"/>
      <c r="K127" s="195"/>
      <c r="L127" s="195"/>
      <c r="M127" s="195"/>
      <c r="N127" s="195"/>
    </row>
    <row r="128" spans="1:14" ht="16" outlineLevel="1" x14ac:dyDescent="0.2">
      <c r="A128" s="190" t="s">
        <v>161</v>
      </c>
      <c r="B128" s="190"/>
      <c r="C128" s="190"/>
      <c r="D128" s="258">
        <f>D126-D127</f>
        <v>29899.353375000006</v>
      </c>
      <c r="E128" s="258">
        <f t="shared" ref="E128:H128" si="59">E126-E127</f>
        <v>27667.683243750005</v>
      </c>
      <c r="F128" s="258">
        <f t="shared" si="59"/>
        <v>27759.495218437507</v>
      </c>
      <c r="G128" s="258">
        <f t="shared" si="59"/>
        <v>55697.386964484409</v>
      </c>
      <c r="H128" s="258">
        <f t="shared" si="59"/>
        <v>65165.170994664877</v>
      </c>
      <c r="I128" s="195"/>
      <c r="J128" s="195"/>
      <c r="K128" s="195"/>
      <c r="L128" s="195"/>
      <c r="M128" s="195"/>
      <c r="N128" s="195"/>
    </row>
    <row r="129" spans="1:19" ht="16" outlineLevel="1" x14ac:dyDescent="0.2">
      <c r="A129" s="195" t="s">
        <v>162</v>
      </c>
      <c r="B129" s="195"/>
      <c r="C129" s="195"/>
      <c r="D129" s="262">
        <f>I66</f>
        <v>13132.3675</v>
      </c>
      <c r="E129" s="262">
        <f t="shared" ref="E129:H129" si="60">J66</f>
        <v>13786.038875</v>
      </c>
      <c r="F129" s="262">
        <f t="shared" si="60"/>
        <v>14210.925268750001</v>
      </c>
      <c r="G129" s="262">
        <f t="shared" si="60"/>
        <v>14487.101424687498</v>
      </c>
      <c r="H129" s="262">
        <f t="shared" si="60"/>
        <v>14666.615926046874</v>
      </c>
      <c r="I129" s="195"/>
      <c r="J129" s="195"/>
      <c r="K129" s="195"/>
      <c r="L129" s="195"/>
      <c r="M129" s="195"/>
      <c r="N129" s="195"/>
      <c r="O129" s="175"/>
      <c r="P129" s="175"/>
      <c r="Q129" s="175"/>
      <c r="R129" s="175"/>
      <c r="S129" s="175"/>
    </row>
    <row r="130" spans="1:19" ht="16" outlineLevel="1" x14ac:dyDescent="0.2">
      <c r="A130" s="195" t="s">
        <v>24</v>
      </c>
      <c r="B130" s="195"/>
      <c r="C130" s="195"/>
      <c r="D130" s="262">
        <f>D126+D129</f>
        <v>52998.172000000006</v>
      </c>
      <c r="E130" s="262">
        <f t="shared" ref="E130:H130" si="61">E126+E129</f>
        <v>50676.283200000005</v>
      </c>
      <c r="F130" s="262">
        <f t="shared" si="61"/>
        <v>51223.585560000007</v>
      </c>
      <c r="G130" s="262">
        <f t="shared" si="61"/>
        <v>88750.284044000044</v>
      </c>
      <c r="H130" s="262">
        <f t="shared" si="61"/>
        <v>101553.51058560004</v>
      </c>
      <c r="I130" s="195"/>
      <c r="J130" s="195"/>
      <c r="K130" s="195"/>
      <c r="L130" s="195"/>
      <c r="M130" s="195"/>
      <c r="N130" s="195"/>
      <c r="O130" s="175"/>
      <c r="P130" s="175"/>
      <c r="Q130" s="175"/>
      <c r="R130" s="175"/>
      <c r="S130" s="175"/>
    </row>
    <row r="131" spans="1:19" ht="16" outlineLevel="1" x14ac:dyDescent="0.2">
      <c r="A131" s="195" t="s">
        <v>163</v>
      </c>
      <c r="B131" s="195"/>
      <c r="C131" s="195"/>
      <c r="D131" s="195">
        <f>I96</f>
        <v>15000</v>
      </c>
      <c r="E131" s="195">
        <f t="shared" ref="E131:H131" si="62">J96</f>
        <v>15000</v>
      </c>
      <c r="F131" s="195">
        <f t="shared" si="62"/>
        <v>15000</v>
      </c>
      <c r="G131" s="195">
        <f t="shared" si="62"/>
        <v>15000</v>
      </c>
      <c r="H131" s="195">
        <f t="shared" si="62"/>
        <v>15000</v>
      </c>
      <c r="I131" s="195"/>
      <c r="J131" s="195"/>
      <c r="K131" s="195"/>
      <c r="L131" s="195"/>
      <c r="M131" s="195"/>
      <c r="N131" s="195"/>
      <c r="O131" s="175"/>
      <c r="P131" s="175"/>
      <c r="Q131" s="175"/>
      <c r="R131" s="175"/>
      <c r="S131" s="175"/>
    </row>
    <row r="132" spans="1:19" ht="16" outlineLevel="1" x14ac:dyDescent="0.2">
      <c r="A132" s="195" t="s">
        <v>164</v>
      </c>
      <c r="B132" s="195"/>
      <c r="C132" s="195"/>
      <c r="D132" s="195">
        <f>I92</f>
        <v>3175.3921972602766</v>
      </c>
      <c r="E132" s="195">
        <f t="shared" ref="E132:H132" si="63">J92</f>
        <v>5062.2628416438383</v>
      </c>
      <c r="F132" s="195">
        <f t="shared" si="63"/>
        <v>5767.9171090411</v>
      </c>
      <c r="G132" s="195">
        <f t="shared" si="63"/>
        <v>-2612.6565262027398</v>
      </c>
      <c r="H132" s="195">
        <f t="shared" si="63"/>
        <v>2041.1379110958951</v>
      </c>
      <c r="I132" s="195"/>
      <c r="J132" s="195"/>
      <c r="K132" s="195"/>
      <c r="L132" s="195"/>
      <c r="M132" s="195"/>
      <c r="N132" s="195"/>
      <c r="O132" s="175"/>
      <c r="P132" s="175"/>
      <c r="Q132" s="175"/>
      <c r="R132" s="175"/>
      <c r="S132" s="175"/>
    </row>
    <row r="133" spans="1:19" ht="16" outlineLevel="1" x14ac:dyDescent="0.2">
      <c r="A133" s="191" t="s">
        <v>184</v>
      </c>
      <c r="B133" s="191"/>
      <c r="C133" s="191"/>
      <c r="D133" s="191">
        <f>D128+D129-D131-D132</f>
        <v>24856.32867773973</v>
      </c>
      <c r="E133" s="191">
        <f t="shared" ref="E133:H133" si="64">E128+E129-E131-E132</f>
        <v>21391.459277106165</v>
      </c>
      <c r="F133" s="191">
        <f t="shared" si="64"/>
        <v>21202.503378146412</v>
      </c>
      <c r="G133" s="191">
        <f t="shared" si="64"/>
        <v>57797.144915374651</v>
      </c>
      <c r="H133" s="191">
        <f t="shared" si="64"/>
        <v>62790.649009615852</v>
      </c>
      <c r="I133" s="266">
        <f>M124</f>
        <v>814353.26090490329</v>
      </c>
      <c r="J133" s="195"/>
      <c r="K133" s="195"/>
      <c r="L133" s="195"/>
      <c r="M133" s="195"/>
      <c r="N133" s="195"/>
      <c r="O133" s="175"/>
      <c r="P133" s="175"/>
      <c r="Q133" s="175"/>
      <c r="R133" s="175"/>
      <c r="S133" s="175"/>
    </row>
    <row r="134" spans="1:19" ht="16" outlineLevel="1" x14ac:dyDescent="0.2">
      <c r="A134" s="195"/>
      <c r="B134" s="195"/>
      <c r="C134" s="195"/>
      <c r="D134" s="195"/>
      <c r="E134" s="195"/>
      <c r="F134" s="195"/>
      <c r="G134" s="195"/>
      <c r="H134" s="195"/>
      <c r="I134" s="253"/>
      <c r="J134" s="195"/>
      <c r="K134" s="195"/>
      <c r="L134" s="195"/>
      <c r="M134" s="195"/>
      <c r="N134" s="195"/>
      <c r="O134" s="175"/>
      <c r="P134" s="175"/>
      <c r="Q134" s="175"/>
      <c r="R134" s="175"/>
      <c r="S134" s="175"/>
    </row>
    <row r="135" spans="1:19" ht="16" outlineLevel="1" x14ac:dyDescent="0.2">
      <c r="A135" s="267" t="s">
        <v>165</v>
      </c>
      <c r="B135" s="267"/>
      <c r="C135" s="268">
        <v>0</v>
      </c>
      <c r="D135" s="267">
        <f>D133*D124</f>
        <v>18642.246508304797</v>
      </c>
      <c r="E135" s="267">
        <f t="shared" ref="E135:I135" si="65">E133*E124</f>
        <v>21391.459277106165</v>
      </c>
      <c r="F135" s="267">
        <f t="shared" si="65"/>
        <v>21202.503378146412</v>
      </c>
      <c r="G135" s="267">
        <f t="shared" si="65"/>
        <v>57797.144915374651</v>
      </c>
      <c r="H135" s="267">
        <f t="shared" si="65"/>
        <v>62790.649009615852</v>
      </c>
      <c r="I135" s="267">
        <f t="shared" si="65"/>
        <v>814353.26090490329</v>
      </c>
      <c r="J135" s="199"/>
      <c r="K135" s="199"/>
      <c r="L135" s="199"/>
      <c r="M135" s="199"/>
      <c r="N135" s="199"/>
      <c r="O135" s="199"/>
      <c r="P135" s="199"/>
      <c r="Q135" s="199"/>
      <c r="R135" s="199"/>
      <c r="S135" s="199"/>
    </row>
    <row r="136" spans="1:19" ht="16" outlineLevel="1" x14ac:dyDescent="0.2">
      <c r="A136" s="199"/>
      <c r="B136" s="199"/>
      <c r="C136" s="199"/>
      <c r="D136" s="199"/>
      <c r="E136" s="199"/>
      <c r="F136" s="199"/>
      <c r="G136" s="199"/>
      <c r="H136" s="199"/>
      <c r="I136" s="199"/>
      <c r="J136" s="199"/>
      <c r="K136" s="199"/>
      <c r="L136" s="199"/>
      <c r="M136" s="199"/>
      <c r="N136" s="199"/>
      <c r="O136" s="199"/>
      <c r="P136" s="199"/>
      <c r="Q136" s="199"/>
      <c r="R136" s="199"/>
      <c r="S136" s="199"/>
    </row>
    <row r="137" spans="1:19" ht="16" outlineLevel="1" x14ac:dyDescent="0.2">
      <c r="A137" s="267" t="s">
        <v>166</v>
      </c>
      <c r="B137" s="267"/>
      <c r="C137" s="267">
        <f>-G143</f>
        <v>-210450.4796348151</v>
      </c>
      <c r="D137" s="267">
        <f>D135</f>
        <v>18642.246508304797</v>
      </c>
      <c r="E137" s="267">
        <f t="shared" ref="E137:I137" si="66">E135</f>
        <v>21391.459277106165</v>
      </c>
      <c r="F137" s="267">
        <f t="shared" si="66"/>
        <v>21202.503378146412</v>
      </c>
      <c r="G137" s="267">
        <f t="shared" si="66"/>
        <v>57797.144915374651</v>
      </c>
      <c r="H137" s="267">
        <f t="shared" si="66"/>
        <v>62790.649009615852</v>
      </c>
      <c r="I137" s="267">
        <f t="shared" si="66"/>
        <v>814353.26090490329</v>
      </c>
      <c r="J137" s="199"/>
      <c r="K137" s="199"/>
      <c r="L137" s="269"/>
      <c r="M137" s="269"/>
      <c r="N137" s="269"/>
      <c r="O137" s="269"/>
      <c r="P137" s="269"/>
      <c r="Q137" s="269"/>
      <c r="R137" s="269"/>
      <c r="S137" s="199"/>
    </row>
    <row r="138" spans="1:19" ht="16" outlineLevel="1" x14ac:dyDescent="0.2">
      <c r="A138" s="199"/>
      <c r="B138" s="270"/>
      <c r="C138" s="199"/>
      <c r="D138" s="199"/>
      <c r="E138" s="199"/>
      <c r="F138" s="199"/>
      <c r="G138" s="199"/>
      <c r="H138" s="199"/>
      <c r="I138" s="199"/>
      <c r="J138" s="199"/>
      <c r="K138" s="199"/>
      <c r="L138" s="199"/>
      <c r="M138" s="199"/>
      <c r="N138" s="199"/>
      <c r="O138" s="199"/>
      <c r="P138" s="199"/>
      <c r="Q138" s="199"/>
      <c r="R138" s="199"/>
      <c r="S138" s="199"/>
    </row>
    <row r="139" spans="1:19" ht="16" outlineLevel="1" x14ac:dyDescent="0.2">
      <c r="A139" s="267" t="s">
        <v>167</v>
      </c>
      <c r="B139" s="199"/>
      <c r="C139" s="199"/>
      <c r="D139" s="199"/>
      <c r="E139" s="267" t="s">
        <v>168</v>
      </c>
      <c r="F139" s="199"/>
      <c r="G139" s="199"/>
      <c r="H139" s="199"/>
      <c r="I139" s="267" t="s">
        <v>169</v>
      </c>
      <c r="J139" s="199"/>
      <c r="K139" s="199"/>
      <c r="L139" s="199"/>
      <c r="M139" s="199"/>
      <c r="N139" s="199"/>
      <c r="O139" s="199"/>
      <c r="P139" s="199"/>
      <c r="Q139" s="199"/>
      <c r="R139" s="199"/>
      <c r="S139" s="199"/>
    </row>
    <row r="140" spans="1:19" ht="16" outlineLevel="1" x14ac:dyDescent="0.2">
      <c r="A140" s="271" t="s">
        <v>170</v>
      </c>
      <c r="B140" s="271"/>
      <c r="C140" s="271">
        <f>XNPV(C112,C135:I135,C122:I122)</f>
        <v>599588.05792713526</v>
      </c>
      <c r="D140" s="199"/>
      <c r="E140" s="271" t="s">
        <v>20</v>
      </c>
      <c r="F140" s="271"/>
      <c r="G140" s="271">
        <f>C117*C118</f>
        <v>320000</v>
      </c>
      <c r="H140" s="199"/>
      <c r="I140" s="271" t="s">
        <v>46</v>
      </c>
      <c r="J140" s="271"/>
      <c r="K140" s="272">
        <f>C117</f>
        <v>16</v>
      </c>
      <c r="L140" s="199"/>
      <c r="M140" s="199"/>
      <c r="N140" s="199"/>
      <c r="O140" s="199"/>
      <c r="P140" s="199"/>
      <c r="Q140" s="199"/>
      <c r="R140" s="199"/>
      <c r="S140" s="199"/>
    </row>
    <row r="141" spans="1:19" ht="16" outlineLevel="1" x14ac:dyDescent="0.2">
      <c r="A141" s="199" t="s">
        <v>171</v>
      </c>
      <c r="B141" s="199"/>
      <c r="C141" s="199">
        <f>H43</f>
        <v>139549.5203651849</v>
      </c>
      <c r="D141" s="199"/>
      <c r="E141" s="199" t="s">
        <v>172</v>
      </c>
      <c r="F141" s="199"/>
      <c r="G141" s="199">
        <f>C142</f>
        <v>30000</v>
      </c>
      <c r="H141" s="199"/>
      <c r="I141" s="199" t="s">
        <v>173</v>
      </c>
      <c r="J141" s="199"/>
      <c r="K141" s="273">
        <f>C145</f>
        <v>35.456878914616006</v>
      </c>
      <c r="L141" s="199"/>
      <c r="M141" s="199"/>
      <c r="N141" s="199"/>
      <c r="O141" s="199"/>
      <c r="P141" s="199"/>
      <c r="Q141" s="199"/>
      <c r="R141" s="199"/>
      <c r="S141" s="199"/>
    </row>
    <row r="142" spans="1:19" ht="16" outlineLevel="1" x14ac:dyDescent="0.2">
      <c r="A142" s="199" t="s">
        <v>174</v>
      </c>
      <c r="B142" s="199"/>
      <c r="C142" s="199">
        <f>H51</f>
        <v>30000</v>
      </c>
      <c r="D142" s="199"/>
      <c r="E142" s="199" t="s">
        <v>175</v>
      </c>
      <c r="F142" s="199"/>
      <c r="G142" s="199">
        <f>C141</f>
        <v>139549.5203651849</v>
      </c>
      <c r="H142" s="199"/>
      <c r="I142" s="199" t="s">
        <v>185</v>
      </c>
      <c r="J142" s="199"/>
      <c r="K142" s="270">
        <f>K141/K140-1</f>
        <v>1.2160549321635004</v>
      </c>
      <c r="L142" s="199"/>
      <c r="M142" s="199"/>
      <c r="N142" s="199"/>
      <c r="O142" s="199"/>
      <c r="P142" s="199"/>
      <c r="Q142" s="199"/>
      <c r="R142" s="199"/>
      <c r="S142" s="199"/>
    </row>
    <row r="143" spans="1:19" ht="16" outlineLevel="1" x14ac:dyDescent="0.2">
      <c r="A143" s="199" t="s">
        <v>47</v>
      </c>
      <c r="B143" s="199"/>
      <c r="C143" s="271">
        <f>C140+C141-C142</f>
        <v>709137.57829232013</v>
      </c>
      <c r="D143" s="199"/>
      <c r="E143" s="199" t="s">
        <v>170</v>
      </c>
      <c r="F143" s="199"/>
      <c r="G143" s="271">
        <f>G140+G141-G142</f>
        <v>210450.4796348151</v>
      </c>
      <c r="H143" s="199"/>
      <c r="I143" s="199" t="s">
        <v>176</v>
      </c>
      <c r="J143" s="199"/>
      <c r="K143" s="270">
        <f>XIRR(C137:I137,C122:I122)</f>
        <v>0.42715774178504951</v>
      </c>
      <c r="L143" s="199"/>
      <c r="M143" s="199"/>
      <c r="N143" s="199"/>
      <c r="O143" s="199"/>
      <c r="P143" s="199"/>
      <c r="Q143" s="199"/>
      <c r="R143" s="199"/>
      <c r="S143" s="199"/>
    </row>
    <row r="144" spans="1:19" ht="16" outlineLevel="1" x14ac:dyDescent="0.2">
      <c r="A144" s="199"/>
      <c r="B144" s="199"/>
      <c r="C144" s="199"/>
      <c r="D144" s="199"/>
      <c r="E144" s="199"/>
      <c r="F144" s="199"/>
      <c r="G144" s="274"/>
      <c r="H144" s="199"/>
      <c r="I144" s="199"/>
      <c r="J144" s="199"/>
      <c r="K144" s="199"/>
      <c r="L144" s="199"/>
      <c r="M144" s="199"/>
      <c r="N144" s="199"/>
      <c r="O144" s="199"/>
      <c r="P144" s="199"/>
      <c r="Q144" s="199"/>
      <c r="R144" s="199"/>
      <c r="S144" s="199"/>
    </row>
    <row r="145" spans="1:19" ht="16" outlineLevel="1" x14ac:dyDescent="0.2">
      <c r="A145" s="267" t="s">
        <v>177</v>
      </c>
      <c r="B145" s="199"/>
      <c r="C145" s="275">
        <f>C143/C118</f>
        <v>35.456878914616006</v>
      </c>
      <c r="D145" s="199"/>
      <c r="E145" s="267" t="s">
        <v>177</v>
      </c>
      <c r="F145" s="267"/>
      <c r="G145" s="276">
        <f>G140/C118</f>
        <v>16</v>
      </c>
      <c r="H145" s="199"/>
      <c r="I145" s="199"/>
      <c r="J145" s="199"/>
      <c r="K145" s="199"/>
      <c r="L145" s="199"/>
      <c r="M145" s="199"/>
      <c r="N145" s="199"/>
      <c r="O145" s="199"/>
      <c r="P145" s="199"/>
      <c r="Q145" s="199"/>
      <c r="R145" s="199"/>
      <c r="S145" s="199"/>
    </row>
    <row r="146" spans="1:19" ht="16" outlineLevel="1" x14ac:dyDescent="0.2">
      <c r="A146" s="199"/>
      <c r="B146" s="199"/>
      <c r="C146" s="199"/>
      <c r="D146" s="199"/>
      <c r="E146" s="199"/>
      <c r="F146" s="199"/>
      <c r="G146" s="199"/>
      <c r="H146" s="199"/>
      <c r="I146" s="199"/>
      <c r="J146" s="199"/>
      <c r="K146" s="199"/>
      <c r="L146" s="199"/>
      <c r="M146" s="199"/>
      <c r="N146" s="199"/>
      <c r="O146" s="199"/>
      <c r="P146" s="199"/>
      <c r="Q146" s="199"/>
      <c r="R146" s="199"/>
      <c r="S146" s="199"/>
    </row>
    <row r="147" spans="1:19" ht="16" outlineLevel="1" x14ac:dyDescent="0.2">
      <c r="A147" s="195"/>
      <c r="B147" s="195"/>
      <c r="C147" s="195"/>
      <c r="D147" s="195"/>
      <c r="E147" s="195"/>
      <c r="F147" s="195"/>
      <c r="G147" s="195"/>
      <c r="H147" s="195"/>
      <c r="I147" s="195"/>
      <c r="J147" s="195"/>
      <c r="K147" s="195"/>
      <c r="L147" s="195"/>
      <c r="M147" s="195"/>
      <c r="N147" s="195"/>
      <c r="O147" s="175"/>
      <c r="P147" s="175"/>
      <c r="Q147" s="175"/>
      <c r="R147" s="175"/>
      <c r="S147" s="175"/>
    </row>
    <row r="148" spans="1:19" ht="16" x14ac:dyDescent="0.2">
      <c r="A148" s="175"/>
      <c r="B148" s="175"/>
      <c r="C148" s="175"/>
      <c r="D148" s="175"/>
      <c r="E148" s="175"/>
      <c r="F148" s="175"/>
      <c r="G148" s="175"/>
      <c r="H148" s="175"/>
      <c r="I148" s="175"/>
      <c r="J148" s="175"/>
      <c r="K148" s="175"/>
      <c r="L148" s="175"/>
      <c r="M148" s="175"/>
      <c r="N148" s="175"/>
      <c r="O148" s="175"/>
      <c r="P148" s="175"/>
      <c r="Q148" s="175"/>
      <c r="R148" s="175"/>
      <c r="S148" s="175"/>
    </row>
    <row r="149" spans="1:19" ht="20" x14ac:dyDescent="0.2">
      <c r="A149" s="184" t="s">
        <v>154</v>
      </c>
      <c r="B149" s="185"/>
      <c r="C149" s="186"/>
      <c r="D149" s="185"/>
      <c r="E149" s="185"/>
      <c r="F149" s="185"/>
      <c r="G149" s="185"/>
      <c r="H149" s="185"/>
      <c r="I149" s="185"/>
      <c r="J149" s="185"/>
      <c r="K149" s="185"/>
      <c r="L149" s="185"/>
      <c r="M149" s="185"/>
      <c r="N149" s="175"/>
      <c r="O149" s="175"/>
      <c r="P149" s="175"/>
      <c r="Q149" s="175"/>
      <c r="R149" s="175"/>
      <c r="S149" s="175"/>
    </row>
    <row r="150" spans="1:19" ht="16" outlineLevel="1" x14ac:dyDescent="0.2">
      <c r="A150" s="175"/>
      <c r="B150" s="175"/>
      <c r="C150" s="175"/>
      <c r="D150" s="175"/>
      <c r="E150" s="175"/>
      <c r="F150" s="175"/>
      <c r="G150" s="175"/>
      <c r="H150" s="175"/>
      <c r="I150" s="175"/>
      <c r="J150" s="175"/>
      <c r="K150" s="175"/>
      <c r="L150" s="175"/>
      <c r="M150" s="175"/>
      <c r="N150" s="175"/>
      <c r="O150" s="175"/>
      <c r="P150" s="175"/>
      <c r="Q150" s="175"/>
      <c r="R150" s="175"/>
      <c r="S150" s="175"/>
    </row>
    <row r="151" spans="1:19" ht="16" outlineLevel="1" x14ac:dyDescent="0.2">
      <c r="A151" s="175" t="s">
        <v>1</v>
      </c>
      <c r="B151" s="175"/>
      <c r="C151" s="182"/>
      <c r="D151" s="277">
        <f>YEAR(D122)</f>
        <v>2018</v>
      </c>
      <c r="E151" s="277">
        <f>YEAR(E122)</f>
        <v>2019</v>
      </c>
      <c r="F151" s="277">
        <f>YEAR(F122)</f>
        <v>2020</v>
      </c>
      <c r="G151" s="277">
        <f>YEAR(G122)</f>
        <v>2021</v>
      </c>
      <c r="H151" s="277">
        <f>YEAR(H122)</f>
        <v>2022</v>
      </c>
      <c r="I151" s="175"/>
      <c r="J151" s="175" t="s">
        <v>178</v>
      </c>
      <c r="K151" s="175"/>
      <c r="L151" s="175"/>
      <c r="M151" s="175"/>
      <c r="N151" s="175"/>
      <c r="O151" s="175"/>
      <c r="P151" s="175"/>
      <c r="Q151" s="175"/>
      <c r="R151" s="175"/>
      <c r="S151" s="175"/>
    </row>
    <row r="152" spans="1:19" ht="16" outlineLevel="1" x14ac:dyDescent="0.2">
      <c r="A152" s="190" t="s">
        <v>179</v>
      </c>
      <c r="B152" s="190"/>
      <c r="C152" s="233"/>
      <c r="D152" s="190">
        <f>D137</f>
        <v>18642.246508304797</v>
      </c>
      <c r="E152" s="190">
        <f>E137</f>
        <v>21391.459277106165</v>
      </c>
      <c r="F152" s="190">
        <f>F137</f>
        <v>21202.503378146412</v>
      </c>
      <c r="G152" s="190">
        <f>G137</f>
        <v>57797.144915374651</v>
      </c>
      <c r="H152" s="190">
        <f>H137</f>
        <v>62790.649009615852</v>
      </c>
      <c r="I152" s="175"/>
      <c r="J152" s="190" t="s">
        <v>168</v>
      </c>
      <c r="K152" s="190"/>
      <c r="L152" s="278">
        <f>G145</f>
        <v>16</v>
      </c>
      <c r="M152" s="175"/>
      <c r="N152" s="175"/>
      <c r="O152" s="175"/>
      <c r="P152" s="175"/>
      <c r="Q152" s="175"/>
      <c r="R152" s="175"/>
      <c r="S152" s="175"/>
    </row>
    <row r="153" spans="1:19" ht="16" outlineLevel="1" x14ac:dyDescent="0.2">
      <c r="A153" s="175"/>
      <c r="B153" s="175"/>
      <c r="C153" s="182"/>
      <c r="D153" s="175"/>
      <c r="E153" s="175"/>
      <c r="F153" s="175"/>
      <c r="G153" s="175"/>
      <c r="H153" s="175"/>
      <c r="I153" s="175"/>
      <c r="J153" s="175" t="s">
        <v>180</v>
      </c>
      <c r="K153" s="175"/>
      <c r="L153" s="279">
        <f>L154-L152</f>
        <v>19.456878914616006</v>
      </c>
      <c r="M153" s="175"/>
      <c r="N153" s="175"/>
      <c r="O153" s="175"/>
      <c r="P153" s="175"/>
      <c r="Q153" s="175"/>
      <c r="R153" s="175"/>
      <c r="S153" s="175"/>
    </row>
    <row r="154" spans="1:19" ht="16" outlineLevel="1" x14ac:dyDescent="0.2">
      <c r="A154" s="175"/>
      <c r="B154" s="175"/>
      <c r="C154" s="182"/>
      <c r="D154" s="175"/>
      <c r="E154" s="175"/>
      <c r="F154" s="175"/>
      <c r="G154" s="175"/>
      <c r="H154" s="175"/>
      <c r="I154" s="175"/>
      <c r="J154" s="175" t="s">
        <v>167</v>
      </c>
      <c r="K154" s="175"/>
      <c r="L154" s="279">
        <f>C145</f>
        <v>35.456878914616006</v>
      </c>
      <c r="M154" s="175"/>
      <c r="N154" s="175"/>
      <c r="O154" s="175"/>
      <c r="P154" s="175"/>
      <c r="Q154" s="175"/>
      <c r="R154" s="175"/>
      <c r="S154" s="175"/>
    </row>
    <row r="155" spans="1:19" ht="16" outlineLevel="1" x14ac:dyDescent="0.2">
      <c r="A155" s="175"/>
      <c r="B155" s="175"/>
      <c r="C155" s="182"/>
      <c r="D155" s="175"/>
      <c r="E155" s="175"/>
      <c r="F155" s="175"/>
      <c r="G155" s="175"/>
      <c r="H155" s="175"/>
      <c r="I155" s="175"/>
      <c r="J155" s="175"/>
      <c r="K155" s="175"/>
      <c r="L155" s="175"/>
      <c r="M155" s="175"/>
      <c r="N155" s="175"/>
      <c r="O155" s="175"/>
      <c r="P155" s="175"/>
      <c r="Q155" s="175"/>
      <c r="R155" s="175"/>
      <c r="S155" s="175"/>
    </row>
    <row r="156" spans="1:19" ht="16" outlineLevel="1" x14ac:dyDescent="0.2">
      <c r="A156" s="175"/>
      <c r="B156" s="175"/>
      <c r="C156" s="182"/>
      <c r="D156" s="175"/>
      <c r="E156" s="175"/>
      <c r="F156" s="175"/>
      <c r="G156" s="175"/>
      <c r="H156" s="175"/>
      <c r="I156" s="175"/>
      <c r="J156" s="175"/>
      <c r="K156" s="175"/>
      <c r="L156" s="175"/>
      <c r="M156" s="175"/>
      <c r="N156" s="175"/>
      <c r="O156" s="175"/>
      <c r="P156" s="175"/>
      <c r="Q156" s="175"/>
      <c r="R156" s="175"/>
      <c r="S156" s="175"/>
    </row>
    <row r="157" spans="1:19" ht="16" outlineLevel="1" x14ac:dyDescent="0.2">
      <c r="A157" s="175"/>
      <c r="B157" s="175"/>
      <c r="C157" s="182"/>
      <c r="D157" s="175"/>
      <c r="E157" s="175"/>
      <c r="F157" s="175"/>
      <c r="G157" s="175"/>
      <c r="H157" s="175"/>
      <c r="I157" s="175"/>
      <c r="J157" s="175"/>
      <c r="K157" s="175"/>
      <c r="L157" s="175"/>
      <c r="M157" s="175"/>
      <c r="N157" s="175"/>
      <c r="O157" s="175"/>
      <c r="P157" s="175"/>
      <c r="Q157" s="175"/>
      <c r="R157" s="175"/>
      <c r="S157" s="175"/>
    </row>
    <row r="158" spans="1:19" ht="16" outlineLevel="1" x14ac:dyDescent="0.2">
      <c r="A158" s="175"/>
      <c r="B158" s="175"/>
      <c r="C158" s="182"/>
      <c r="D158" s="175"/>
      <c r="E158" s="175"/>
      <c r="F158" s="175"/>
      <c r="G158" s="175"/>
      <c r="H158" s="175"/>
      <c r="I158" s="175"/>
      <c r="J158" s="175"/>
      <c r="K158" s="175"/>
      <c r="L158" s="175"/>
      <c r="M158" s="175"/>
      <c r="N158" s="175"/>
      <c r="O158" s="175"/>
      <c r="P158" s="175"/>
      <c r="Q158" s="175"/>
      <c r="R158" s="175"/>
      <c r="S158" s="175"/>
    </row>
    <row r="159" spans="1:19" ht="16" outlineLevel="1" x14ac:dyDescent="0.2">
      <c r="A159" s="175"/>
      <c r="B159" s="175"/>
      <c r="C159" s="182"/>
      <c r="D159" s="175"/>
      <c r="E159" s="175"/>
      <c r="F159" s="175"/>
      <c r="G159" s="175"/>
      <c r="H159" s="175"/>
      <c r="I159" s="175"/>
      <c r="J159" s="175"/>
      <c r="K159" s="175"/>
      <c r="L159" s="175"/>
      <c r="M159" s="175"/>
      <c r="N159" s="175"/>
      <c r="O159" s="175"/>
      <c r="P159" s="175"/>
      <c r="Q159" s="175"/>
      <c r="R159" s="175"/>
      <c r="S159" s="175"/>
    </row>
    <row r="160" spans="1:19" ht="16" outlineLevel="1" x14ac:dyDescent="0.2">
      <c r="A160" s="175"/>
      <c r="B160" s="175"/>
      <c r="C160" s="182"/>
      <c r="D160" s="175"/>
      <c r="E160" s="175"/>
      <c r="F160" s="175"/>
      <c r="G160" s="175"/>
      <c r="H160" s="175"/>
      <c r="I160" s="175"/>
      <c r="J160" s="175"/>
      <c r="K160" s="175"/>
      <c r="L160" s="175"/>
      <c r="M160" s="175"/>
      <c r="N160" s="175"/>
      <c r="O160" s="175"/>
      <c r="P160" s="175"/>
      <c r="Q160" s="175"/>
      <c r="R160" s="175"/>
      <c r="S160" s="175"/>
    </row>
    <row r="161" outlineLevel="1" x14ac:dyDescent="0.15"/>
    <row r="162" outlineLevel="1" x14ac:dyDescent="0.15"/>
    <row r="163" outlineLevel="1" x14ac:dyDescent="0.15"/>
    <row r="164" outlineLevel="1" x14ac:dyDescent="0.15"/>
    <row r="165" outlineLevel="1" x14ac:dyDescent="0.15"/>
    <row r="166" outlineLevel="1" x14ac:dyDescent="0.15"/>
    <row r="167" outlineLevel="1" x14ac:dyDescent="0.15"/>
    <row r="168" outlineLevel="1" x14ac:dyDescent="0.15"/>
    <row r="169" outlineLevel="1" x14ac:dyDescent="0.15"/>
    <row r="170" outlineLevel="1" x14ac:dyDescent="0.15"/>
    <row r="171" outlineLevel="1" x14ac:dyDescent="0.15"/>
  </sheetData>
  <sheetProtection formatCells="0" formatColumns="0" formatRows="0" insertColumns="0" insertRows="0" insertHyperlinks="0" deleteColumns="0" deleteRows="0" sort="0" autoFilter="0" pivotTables="0"/>
  <conditionalFormatting sqref="D3:M3">
    <cfRule type="containsText" dxfId="1" priority="1" operator="containsText" text="OK">
      <formula>NOT(ISERROR(SEARCH("OK",D3)))</formula>
    </cfRule>
    <cfRule type="containsText" dxfId="0" priority="2" operator="containsText" text="ERROR">
      <formula>NOT(ISERROR(SEARCH("ERROR",D3)))</formula>
    </cfRule>
  </conditionalFormatting>
  <pageMargins left="0.70866141732283472" right="0.70866141732283472" top="0.74803149606299213" bottom="0.74803149606299213" header="0.31496062992125984" footer="0.31496062992125984"/>
  <pageSetup scale="78"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Comps</vt:lpstr>
      <vt:lpstr>Precedents</vt:lpstr>
      <vt:lpstr>Analysis</vt:lpstr>
      <vt:lpstr>DCF</vt:lpstr>
      <vt:lpstr>Scenarios</vt:lpstr>
      <vt:lpstr>Summary - Football Field</vt:lpstr>
      <vt:lpstr>DCF - Sample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2020-01-15T14:05:26Z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